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sharedStrings.xml" ContentType="application/vnd.openxmlformats-officedocument.spreadsheetml.sharedStrings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docProps/app.xml" ContentType="application/vnd.openxmlformats-officedocument.extended-properties+xml"/>
  <Override PartName="/xl/customProperty3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5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GrpRates\Public\Gas Sch. 141PFG\2024\Draft Filing\"/>
    </mc:Choice>
  </mc:AlternateContent>
  <bookViews>
    <workbookView xWindow="0" yWindow="0" windowWidth="22815" windowHeight="10470" tabRatio="850"/>
  </bookViews>
  <sheets>
    <sheet name="Sch. 141PFG Rates" sheetId="1" r:id="rId1"/>
    <sheet name="Rate Impacts--&gt;" sheetId="19" r:id="rId2"/>
    <sheet name="Rate Impacts Sch 141PFG" sheetId="67" r:id="rId3"/>
    <sheet name="Typical Res Bill Sch 141PFG" sheetId="68" r:id="rId4"/>
    <sheet name="Sch. 141PFG" sheetId="69" r:id="rId5"/>
    <sheet name="Workpapers--&gt;" sheetId="33" r:id="rId6"/>
    <sheet name="Revenue Requirement" sheetId="66" r:id="rId7"/>
    <sheet name="Therm Forecast" sheetId="65" r:id="rId8"/>
  </sheets>
  <definedNames>
    <definedName name="_xlnm.Print_Area" localSheetId="2">'Rate Impacts Sch 141PFG'!$A$1:$V$37</definedName>
    <definedName name="_xlnm.Print_Area" localSheetId="4">'Sch. 141PFG'!$A$1:$I$22</definedName>
    <definedName name="_xlnm.Print_Area" localSheetId="0">'Sch. 141PFG Rates'!$A$1:$N$23</definedName>
    <definedName name="_xlnm.Print_Area" localSheetId="3">'Typical Res Bill Sch 141PFG'!$B$1:$H$43</definedName>
    <definedName name="_xlnm.Print_Titles" localSheetId="7">'Therm Forecast'!$A:$A</definedName>
  </definedNames>
  <calcPr calcId="162913"/>
</workbook>
</file>

<file path=xl/calcChain.xml><?xml version="1.0" encoding="utf-8"?>
<calcChain xmlns="http://schemas.openxmlformats.org/spreadsheetml/2006/main">
  <c r="H28" i="68" l="1"/>
  <c r="F21" i="69" l="1"/>
  <c r="E21" i="69"/>
  <c r="G20" i="69"/>
  <c r="F20" i="69"/>
  <c r="E20" i="69"/>
  <c r="G19" i="69"/>
  <c r="H19" i="69" s="1"/>
  <c r="U21" i="67" s="1"/>
  <c r="E19" i="69"/>
  <c r="F19" i="69"/>
  <c r="E18" i="69"/>
  <c r="F17" i="69"/>
  <c r="E17" i="69"/>
  <c r="G17" i="69"/>
  <c r="H17" i="69" s="1"/>
  <c r="G16" i="69"/>
  <c r="H16" i="69" s="1"/>
  <c r="U18" i="67" s="1"/>
  <c r="F16" i="69"/>
  <c r="E16" i="69"/>
  <c r="E15" i="69"/>
  <c r="F15" i="69"/>
  <c r="E14" i="69"/>
  <c r="F13" i="69"/>
  <c r="E13" i="69"/>
  <c r="G12" i="69"/>
  <c r="F12" i="69"/>
  <c r="E12" i="69"/>
  <c r="G11" i="69"/>
  <c r="H11" i="69" s="1"/>
  <c r="U13" i="67" s="1"/>
  <c r="E11" i="69"/>
  <c r="F11" i="69"/>
  <c r="E10" i="69"/>
  <c r="F9" i="69"/>
  <c r="E9" i="69"/>
  <c r="G25" i="68" s="1"/>
  <c r="G9" i="69"/>
  <c r="D34" i="68"/>
  <c r="E34" i="68" s="1"/>
  <c r="G33" i="68"/>
  <c r="G32" i="68"/>
  <c r="G34" i="68" s="1"/>
  <c r="H34" i="68" s="1"/>
  <c r="E30" i="68"/>
  <c r="G30" i="68"/>
  <c r="H30" i="68" s="1"/>
  <c r="G27" i="68"/>
  <c r="G26" i="68"/>
  <c r="D25" i="68"/>
  <c r="G24" i="68"/>
  <c r="G23" i="68"/>
  <c r="G22" i="68"/>
  <c r="G21" i="68"/>
  <c r="G20" i="68"/>
  <c r="G19" i="68"/>
  <c r="G18" i="68"/>
  <c r="G15" i="68"/>
  <c r="H15" i="68" s="1"/>
  <c r="G12" i="68"/>
  <c r="B2" i="68"/>
  <c r="S33" i="67"/>
  <c r="R33" i="67"/>
  <c r="N33" i="67"/>
  <c r="M33" i="67"/>
  <c r="L33" i="67"/>
  <c r="J33" i="67"/>
  <c r="I33" i="67"/>
  <c r="E33" i="67"/>
  <c r="F33" i="67" s="1"/>
  <c r="S32" i="67"/>
  <c r="R32" i="67"/>
  <c r="J32" i="67"/>
  <c r="N31" i="67"/>
  <c r="S30" i="67"/>
  <c r="R30" i="67"/>
  <c r="I29" i="67"/>
  <c r="M28" i="67"/>
  <c r="E28" i="67"/>
  <c r="F28" i="67" s="1"/>
  <c r="Q27" i="67"/>
  <c r="I27" i="67"/>
  <c r="Q33" i="67"/>
  <c r="P33" i="67"/>
  <c r="O33" i="67"/>
  <c r="K33" i="67"/>
  <c r="G33" i="67"/>
  <c r="D33" i="67"/>
  <c r="H20" i="67"/>
  <c r="T20" i="67" s="1"/>
  <c r="F20" i="67"/>
  <c r="U19" i="67"/>
  <c r="Q29" i="67"/>
  <c r="F19" i="67"/>
  <c r="H19" i="67" s="1"/>
  <c r="T19" i="67" s="1"/>
  <c r="F18" i="67"/>
  <c r="Q32" i="67"/>
  <c r="P32" i="67"/>
  <c r="O32" i="67"/>
  <c r="N32" i="67"/>
  <c r="M32" i="67"/>
  <c r="L32" i="67"/>
  <c r="K32" i="67"/>
  <c r="I32" i="67"/>
  <c r="G32" i="67"/>
  <c r="F17" i="67"/>
  <c r="H17" i="67" s="1"/>
  <c r="S31" i="67"/>
  <c r="R31" i="67"/>
  <c r="Q31" i="67"/>
  <c r="P31" i="67"/>
  <c r="O31" i="67"/>
  <c r="M31" i="67"/>
  <c r="L31" i="67"/>
  <c r="K31" i="67"/>
  <c r="J31" i="67"/>
  <c r="I31" i="67"/>
  <c r="G31" i="67"/>
  <c r="E31" i="67"/>
  <c r="F31" i="67" s="1"/>
  <c r="D31" i="67"/>
  <c r="Q30" i="67"/>
  <c r="P30" i="67"/>
  <c r="N30" i="67"/>
  <c r="M30" i="67"/>
  <c r="L30" i="67"/>
  <c r="K30" i="67"/>
  <c r="J30" i="67"/>
  <c r="I30" i="67"/>
  <c r="G30" i="67"/>
  <c r="E24" i="67"/>
  <c r="D30" i="67"/>
  <c r="S29" i="67"/>
  <c r="R29" i="67"/>
  <c r="P29" i="67"/>
  <c r="O29" i="67"/>
  <c r="N29" i="67"/>
  <c r="M29" i="67"/>
  <c r="L29" i="67"/>
  <c r="K29" i="67"/>
  <c r="J29" i="67"/>
  <c r="G29" i="67"/>
  <c r="E29" i="67"/>
  <c r="F29" i="67" s="1"/>
  <c r="D29" i="67"/>
  <c r="S28" i="67"/>
  <c r="R28" i="67"/>
  <c r="Q28" i="67"/>
  <c r="P28" i="67"/>
  <c r="O28" i="67"/>
  <c r="N28" i="67"/>
  <c r="L28" i="67"/>
  <c r="K28" i="67"/>
  <c r="J28" i="67"/>
  <c r="I28" i="67"/>
  <c r="G28" i="67"/>
  <c r="F13" i="67"/>
  <c r="H13" i="67" s="1"/>
  <c r="D28" i="67"/>
  <c r="A13" i="67"/>
  <c r="A14" i="67" s="1"/>
  <c r="A15" i="67" s="1"/>
  <c r="A16" i="67" s="1"/>
  <c r="A17" i="67" s="1"/>
  <c r="A18" i="67" s="1"/>
  <c r="A19" i="67" s="1"/>
  <c r="A20" i="67" s="1"/>
  <c r="A21" i="67" s="1"/>
  <c r="A22" i="67" s="1"/>
  <c r="A23" i="67" s="1"/>
  <c r="A24" i="67" s="1"/>
  <c r="A27" i="67" s="1"/>
  <c r="A28" i="67" s="1"/>
  <c r="A29" i="67" s="1"/>
  <c r="A30" i="67" s="1"/>
  <c r="A31" i="67" s="1"/>
  <c r="A32" i="67" s="1"/>
  <c r="A33" i="67" s="1"/>
  <c r="A34" i="67" s="1"/>
  <c r="F12" i="67"/>
  <c r="H12" i="67" s="1"/>
  <c r="T12" i="67" s="1"/>
  <c r="A12" i="67"/>
  <c r="R24" i="67"/>
  <c r="Q24" i="67"/>
  <c r="N27" i="67"/>
  <c r="M27" i="67"/>
  <c r="M34" i="67" s="1"/>
  <c r="J24" i="67"/>
  <c r="I24" i="67"/>
  <c r="E27" i="67"/>
  <c r="E7" i="67"/>
  <c r="T17" i="67" l="1"/>
  <c r="Q34" i="67"/>
  <c r="U28" i="67"/>
  <c r="I34" i="67"/>
  <c r="N34" i="67"/>
  <c r="T13" i="67"/>
  <c r="T28" i="67" s="1"/>
  <c r="P27" i="67"/>
  <c r="P34" i="67" s="1"/>
  <c r="P24" i="67"/>
  <c r="V19" i="67"/>
  <c r="M24" i="67"/>
  <c r="E30" i="67"/>
  <c r="F30" i="67" s="1"/>
  <c r="H12" i="68"/>
  <c r="H13" i="68" s="1"/>
  <c r="G13" i="68"/>
  <c r="G10" i="69"/>
  <c r="F10" i="69"/>
  <c r="F22" i="69" s="1"/>
  <c r="F15" i="67"/>
  <c r="H15" i="67" s="1"/>
  <c r="D32" i="67"/>
  <c r="F22" i="67"/>
  <c r="H22" i="67" s="1"/>
  <c r="T22" i="67" s="1"/>
  <c r="N24" i="67"/>
  <c r="J27" i="67"/>
  <c r="J34" i="67" s="1"/>
  <c r="R27" i="67"/>
  <c r="R34" i="67" s="1"/>
  <c r="E32" i="67"/>
  <c r="F32" i="67" s="1"/>
  <c r="E12" i="68"/>
  <c r="E13" i="68" s="1"/>
  <c r="E15" i="68"/>
  <c r="D28" i="68"/>
  <c r="H9" i="69"/>
  <c r="G18" i="69"/>
  <c r="H18" i="69" s="1"/>
  <c r="U20" i="67" s="1"/>
  <c r="V20" i="67" s="1"/>
  <c r="F18" i="69"/>
  <c r="F11" i="67"/>
  <c r="H11" i="67" s="1"/>
  <c r="F14" i="67"/>
  <c r="H14" i="67" s="1"/>
  <c r="O30" i="67"/>
  <c r="F16" i="67"/>
  <c r="H16" i="67" s="1"/>
  <c r="F23" i="67"/>
  <c r="H23" i="67" s="1"/>
  <c r="D13" i="68"/>
  <c r="H12" i="69"/>
  <c r="U14" i="67" s="1"/>
  <c r="G14" i="69"/>
  <c r="F14" i="69"/>
  <c r="H20" i="69"/>
  <c r="U22" i="67" s="1"/>
  <c r="V22" i="67" s="1"/>
  <c r="C22" i="69"/>
  <c r="D27" i="67"/>
  <c r="D34" i="67" s="1"/>
  <c r="D24" i="67"/>
  <c r="F24" i="67" s="1"/>
  <c r="L27" i="67"/>
  <c r="L34" i="67" s="1"/>
  <c r="L24" i="67"/>
  <c r="G27" i="67"/>
  <c r="G34" i="67" s="1"/>
  <c r="G24" i="67"/>
  <c r="K27" i="67"/>
  <c r="K34" i="67" s="1"/>
  <c r="K24" i="67"/>
  <c r="O27" i="67"/>
  <c r="O24" i="67"/>
  <c r="S27" i="67"/>
  <c r="S34" i="67" s="1"/>
  <c r="S24" i="67"/>
  <c r="H18" i="67"/>
  <c r="T18" i="67" s="1"/>
  <c r="V18" i="67" s="1"/>
  <c r="F21" i="67"/>
  <c r="H21" i="67" s="1"/>
  <c r="T21" i="67" s="1"/>
  <c r="V21" i="67" s="1"/>
  <c r="G28" i="68"/>
  <c r="G13" i="69"/>
  <c r="H13" i="69" s="1"/>
  <c r="U15" i="67" s="1"/>
  <c r="G15" i="69"/>
  <c r="H15" i="69" s="1"/>
  <c r="U17" i="67" s="1"/>
  <c r="G21" i="69"/>
  <c r="H21" i="69" s="1"/>
  <c r="U23" i="67" s="1"/>
  <c r="N10" i="1"/>
  <c r="M16" i="1"/>
  <c r="M11" i="1"/>
  <c r="M12" i="1"/>
  <c r="M13" i="1"/>
  <c r="M14" i="1"/>
  <c r="M15" i="1"/>
  <c r="M10" i="1"/>
  <c r="H30" i="67" l="1"/>
  <c r="T15" i="67"/>
  <c r="T30" i="67" s="1"/>
  <c r="V13" i="67"/>
  <c r="H29" i="67"/>
  <c r="T14" i="67"/>
  <c r="T29" i="67" s="1"/>
  <c r="G22" i="69"/>
  <c r="E37" i="68"/>
  <c r="H28" i="67"/>
  <c r="U30" i="67"/>
  <c r="V30" i="67" s="1"/>
  <c r="V23" i="67"/>
  <c r="U33" i="67"/>
  <c r="H33" i="67"/>
  <c r="T23" i="67"/>
  <c r="T33" i="67" s="1"/>
  <c r="H27" i="67"/>
  <c r="H24" i="67"/>
  <c r="T11" i="67"/>
  <c r="U11" i="67"/>
  <c r="H10" i="69"/>
  <c r="U12" i="67" s="1"/>
  <c r="V12" i="67" s="1"/>
  <c r="E34" i="67"/>
  <c r="F34" i="67" s="1"/>
  <c r="T32" i="67"/>
  <c r="U29" i="67"/>
  <c r="V29" i="67" s="1"/>
  <c r="V14" i="67"/>
  <c r="H35" i="68"/>
  <c r="H37" i="68" s="1"/>
  <c r="H38" i="68" s="1"/>
  <c r="H39" i="68" s="1"/>
  <c r="G35" i="68"/>
  <c r="G41" i="68"/>
  <c r="V17" i="67"/>
  <c r="U32" i="67"/>
  <c r="O34" i="67"/>
  <c r="H14" i="69"/>
  <c r="U16" i="67" s="1"/>
  <c r="H31" i="67"/>
  <c r="T16" i="67"/>
  <c r="T31" i="67" s="1"/>
  <c r="D41" i="68"/>
  <c r="D35" i="68"/>
  <c r="E28" i="68"/>
  <c r="E35" i="68" s="1"/>
  <c r="F27" i="67"/>
  <c r="V28" i="67"/>
  <c r="H32" i="67"/>
  <c r="K19" i="1"/>
  <c r="J19" i="1"/>
  <c r="J13" i="1" s="1"/>
  <c r="I19" i="1"/>
  <c r="A39" i="66"/>
  <c r="A38" i="66"/>
  <c r="A37" i="66"/>
  <c r="A36" i="66"/>
  <c r="L35" i="66"/>
  <c r="A35" i="66"/>
  <c r="L34" i="66"/>
  <c r="A34" i="66"/>
  <c r="A33" i="66"/>
  <c r="L32" i="66"/>
  <c r="A32" i="66"/>
  <c r="M31" i="66"/>
  <c r="L33" i="66"/>
  <c r="L36" i="66" s="1"/>
  <c r="A31" i="66"/>
  <c r="A30" i="66"/>
  <c r="A29" i="66"/>
  <c r="A28" i="66"/>
  <c r="A27" i="66"/>
  <c r="A26" i="66"/>
  <c r="K25" i="66"/>
  <c r="A25" i="66"/>
  <c r="K24" i="66"/>
  <c r="G24" i="66"/>
  <c r="A24" i="66"/>
  <c r="G23" i="66"/>
  <c r="F23" i="66"/>
  <c r="A23" i="66"/>
  <c r="L22" i="66"/>
  <c r="F22" i="66"/>
  <c r="A22" i="66"/>
  <c r="K21" i="66"/>
  <c r="A21" i="66"/>
  <c r="K20" i="66"/>
  <c r="G20" i="66"/>
  <c r="A20" i="66"/>
  <c r="G19" i="66"/>
  <c r="F19" i="66"/>
  <c r="A19" i="66"/>
  <c r="L18" i="66"/>
  <c r="F18" i="66"/>
  <c r="A18" i="66"/>
  <c r="M17" i="66"/>
  <c r="H17" i="66"/>
  <c r="O17" i="66" s="1"/>
  <c r="Q17" i="66" s="1"/>
  <c r="S17" i="66" s="1"/>
  <c r="A17" i="66"/>
  <c r="A16" i="66"/>
  <c r="G15" i="66"/>
  <c r="A15" i="66"/>
  <c r="L14" i="66"/>
  <c r="A14" i="66"/>
  <c r="G13" i="66"/>
  <c r="A13" i="66"/>
  <c r="L12" i="66"/>
  <c r="A12" i="66"/>
  <c r="G11" i="66"/>
  <c r="A11" i="66"/>
  <c r="L10" i="66"/>
  <c r="A10" i="66"/>
  <c r="G9" i="66"/>
  <c r="A9" i="66"/>
  <c r="L8" i="66"/>
  <c r="A8" i="66"/>
  <c r="G7" i="66"/>
  <c r="A7" i="66"/>
  <c r="L6" i="66"/>
  <c r="A6" i="66"/>
  <c r="M5" i="66"/>
  <c r="K15" i="66"/>
  <c r="H5" i="66"/>
  <c r="F15" i="66"/>
  <c r="A5" i="66"/>
  <c r="A4" i="66"/>
  <c r="K19" i="66"/>
  <c r="A3" i="66"/>
  <c r="A2" i="66"/>
  <c r="H22" i="69" l="1"/>
  <c r="U24" i="67"/>
  <c r="U27" i="67"/>
  <c r="V11" i="67"/>
  <c r="V32" i="67"/>
  <c r="T27" i="67"/>
  <c r="T34" i="67" s="1"/>
  <c r="T24" i="67"/>
  <c r="U31" i="67"/>
  <c r="V31" i="67" s="1"/>
  <c r="V16" i="67"/>
  <c r="H34" i="67"/>
  <c r="V33" i="67"/>
  <c r="V15" i="67"/>
  <c r="J16" i="1"/>
  <c r="J12" i="1"/>
  <c r="J15" i="1"/>
  <c r="J11" i="1"/>
  <c r="J14" i="1"/>
  <c r="J10" i="1"/>
  <c r="J17" i="1" s="1"/>
  <c r="L19" i="1"/>
  <c r="O5" i="66"/>
  <c r="K35" i="66"/>
  <c r="F35" i="66"/>
  <c r="K34" i="66"/>
  <c r="F34" i="66"/>
  <c r="K33" i="66"/>
  <c r="F33" i="66"/>
  <c r="K32" i="66"/>
  <c r="F32" i="66"/>
  <c r="F36" i="66" s="1"/>
  <c r="J25" i="66"/>
  <c r="E25" i="66"/>
  <c r="J24" i="66"/>
  <c r="E24" i="66"/>
  <c r="J23" i="66"/>
  <c r="M23" i="66" s="1"/>
  <c r="E23" i="66"/>
  <c r="H23" i="66" s="1"/>
  <c r="J22" i="66"/>
  <c r="E22" i="66"/>
  <c r="H22" i="66" s="1"/>
  <c r="J21" i="66"/>
  <c r="M21" i="66" s="1"/>
  <c r="E21" i="66"/>
  <c r="J20" i="66"/>
  <c r="M20" i="66" s="1"/>
  <c r="E20" i="66"/>
  <c r="G6" i="66"/>
  <c r="G26" i="66" s="1"/>
  <c r="L7" i="66"/>
  <c r="L26" i="66" s="1"/>
  <c r="L38" i="66" s="1"/>
  <c r="L39" i="66" s="1"/>
  <c r="G8" i="66"/>
  <c r="L9" i="66"/>
  <c r="G10" i="66"/>
  <c r="L11" i="66"/>
  <c r="G12" i="66"/>
  <c r="L13" i="66"/>
  <c r="G14" i="66"/>
  <c r="L15" i="66"/>
  <c r="G18" i="66"/>
  <c r="L20" i="66"/>
  <c r="F21" i="66"/>
  <c r="G22" i="66"/>
  <c r="K23" i="66"/>
  <c r="L24" i="66"/>
  <c r="F25" i="66"/>
  <c r="E35" i="66"/>
  <c r="E34" i="66"/>
  <c r="E33" i="66"/>
  <c r="H33" i="66" s="1"/>
  <c r="E32" i="66"/>
  <c r="H31" i="66"/>
  <c r="O31" i="66" s="1"/>
  <c r="L21" i="66"/>
  <c r="L25" i="66"/>
  <c r="G33" i="66"/>
  <c r="J19" i="66"/>
  <c r="E19" i="66"/>
  <c r="H19" i="66" s="1"/>
  <c r="J18" i="66"/>
  <c r="M18" i="66" s="1"/>
  <c r="E18" i="66"/>
  <c r="K18" i="66"/>
  <c r="L19" i="66"/>
  <c r="F20" i="66"/>
  <c r="G21" i="66"/>
  <c r="K22" i="66"/>
  <c r="L23" i="66"/>
  <c r="F24" i="66"/>
  <c r="G25" i="66"/>
  <c r="G32" i="66"/>
  <c r="G36" i="66" s="1"/>
  <c r="G34" i="66"/>
  <c r="G35" i="66"/>
  <c r="E6" i="66"/>
  <c r="J6" i="66"/>
  <c r="E7" i="66"/>
  <c r="J7" i="66"/>
  <c r="E8" i="66"/>
  <c r="J8" i="66"/>
  <c r="E9" i="66"/>
  <c r="J9" i="66"/>
  <c r="E10" i="66"/>
  <c r="J10" i="66"/>
  <c r="E11" i="66"/>
  <c r="J11" i="66"/>
  <c r="E12" i="66"/>
  <c r="J12" i="66"/>
  <c r="E13" i="66"/>
  <c r="J13" i="66"/>
  <c r="E14" i="66"/>
  <c r="J14" i="66"/>
  <c r="E15" i="66"/>
  <c r="H15" i="66" s="1"/>
  <c r="J15" i="66"/>
  <c r="M15" i="66" s="1"/>
  <c r="J32" i="66"/>
  <c r="M32" i="66" s="1"/>
  <c r="J33" i="66"/>
  <c r="J34" i="66"/>
  <c r="M34" i="66" s="1"/>
  <c r="J35" i="66"/>
  <c r="M35" i="66" s="1"/>
  <c r="F6" i="66"/>
  <c r="K6" i="66"/>
  <c r="F7" i="66"/>
  <c r="K7" i="66"/>
  <c r="F8" i="66"/>
  <c r="K8" i="66"/>
  <c r="F9" i="66"/>
  <c r="K9" i="66"/>
  <c r="F10" i="66"/>
  <c r="K10" i="66"/>
  <c r="F11" i="66"/>
  <c r="K11" i="66"/>
  <c r="F12" i="66"/>
  <c r="K12" i="66"/>
  <c r="F13" i="66"/>
  <c r="K13" i="66"/>
  <c r="F14" i="66"/>
  <c r="K14" i="66"/>
  <c r="V24" i="67" l="1"/>
  <c r="V27" i="67"/>
  <c r="U34" i="67"/>
  <c r="V34" i="67" s="1"/>
  <c r="G38" i="66"/>
  <c r="G39" i="66" s="1"/>
  <c r="M22" i="66"/>
  <c r="M24" i="66"/>
  <c r="K36" i="66"/>
  <c r="M13" i="66"/>
  <c r="M11" i="66"/>
  <c r="M9" i="66"/>
  <c r="M7" i="66"/>
  <c r="J26" i="66"/>
  <c r="M25" i="66"/>
  <c r="P15" i="66"/>
  <c r="Q15" i="66" s="1"/>
  <c r="S15" i="66" s="1"/>
  <c r="H13" i="66"/>
  <c r="P13" i="66" s="1"/>
  <c r="Q13" i="66" s="1"/>
  <c r="S13" i="66" s="1"/>
  <c r="H11" i="66"/>
  <c r="P11" i="66" s="1"/>
  <c r="Q11" i="66" s="1"/>
  <c r="S11" i="66" s="1"/>
  <c r="H9" i="66"/>
  <c r="P9" i="66" s="1"/>
  <c r="Q9" i="66" s="1"/>
  <c r="S9" i="66" s="1"/>
  <c r="H7" i="66"/>
  <c r="P7" i="66" s="1"/>
  <c r="Q7" i="66" s="1"/>
  <c r="S7" i="66" s="1"/>
  <c r="H34" i="66"/>
  <c r="P34" i="66" s="1"/>
  <c r="Q34" i="66" s="1"/>
  <c r="S34" i="66" s="1"/>
  <c r="E26" i="66"/>
  <c r="H20" i="66"/>
  <c r="P20" i="66" s="1"/>
  <c r="Q20" i="66" s="1"/>
  <c r="S20" i="66" s="1"/>
  <c r="P22" i="66"/>
  <c r="Q22" i="66" s="1"/>
  <c r="S22" i="66" s="1"/>
  <c r="H24" i="66"/>
  <c r="P24" i="66" s="1"/>
  <c r="Q24" i="66" s="1"/>
  <c r="S24" i="66" s="1"/>
  <c r="O26" i="66"/>
  <c r="Q5" i="66"/>
  <c r="S5" i="66" s="1"/>
  <c r="K26" i="66"/>
  <c r="M33" i="66"/>
  <c r="P33" i="66" s="1"/>
  <c r="Q33" i="66" s="1"/>
  <c r="S33" i="66" s="1"/>
  <c r="M14" i="66"/>
  <c r="M12" i="66"/>
  <c r="M10" i="66"/>
  <c r="M8" i="66"/>
  <c r="M6" i="66"/>
  <c r="M19" i="66"/>
  <c r="P19" i="66" s="1"/>
  <c r="Q19" i="66" s="1"/>
  <c r="S19" i="66" s="1"/>
  <c r="Q31" i="66"/>
  <c r="O36" i="66"/>
  <c r="H35" i="66"/>
  <c r="P35" i="66" s="1"/>
  <c r="Q35" i="66" s="1"/>
  <c r="S35" i="66" s="1"/>
  <c r="J36" i="66"/>
  <c r="M36" i="66" s="1"/>
  <c r="F26" i="66"/>
  <c r="F38" i="66" s="1"/>
  <c r="F39" i="66" s="1"/>
  <c r="H14" i="66"/>
  <c r="H12" i="66"/>
  <c r="H10" i="66"/>
  <c r="P10" i="66" s="1"/>
  <c r="Q10" i="66" s="1"/>
  <c r="S10" i="66" s="1"/>
  <c r="H8" i="66"/>
  <c r="H6" i="66"/>
  <c r="H18" i="66"/>
  <c r="P18" i="66" s="1"/>
  <c r="Q18" i="66" s="1"/>
  <c r="S18" i="66" s="1"/>
  <c r="H32" i="66"/>
  <c r="P32" i="66" s="1"/>
  <c r="E36" i="66"/>
  <c r="H36" i="66" s="1"/>
  <c r="H21" i="66"/>
  <c r="P21" i="66" s="1"/>
  <c r="Q21" i="66" s="1"/>
  <c r="S21" i="66" s="1"/>
  <c r="P23" i="66"/>
  <c r="Q23" i="66" s="1"/>
  <c r="S23" i="66" s="1"/>
  <c r="H25" i="66"/>
  <c r="P25" i="66" s="1"/>
  <c r="Q25" i="66" s="1"/>
  <c r="S25" i="66" s="1"/>
  <c r="P12" i="66" l="1"/>
  <c r="Q12" i="66" s="1"/>
  <c r="S12" i="66" s="1"/>
  <c r="O38" i="66"/>
  <c r="H26" i="66"/>
  <c r="E38" i="66"/>
  <c r="P6" i="66"/>
  <c r="P14" i="66"/>
  <c r="Q14" i="66" s="1"/>
  <c r="S14" i="66" s="1"/>
  <c r="M26" i="66"/>
  <c r="J38" i="66"/>
  <c r="P36" i="66"/>
  <c r="Q32" i="66"/>
  <c r="S32" i="66" s="1"/>
  <c r="P8" i="66"/>
  <c r="Q8" i="66" s="1"/>
  <c r="S8" i="66" s="1"/>
  <c r="S31" i="66"/>
  <c r="K38" i="66"/>
  <c r="K39" i="66" s="1"/>
  <c r="Q36" i="66" l="1"/>
  <c r="S36" i="66" s="1"/>
  <c r="Q6" i="66"/>
  <c r="S6" i="66" s="1"/>
  <c r="P26" i="66"/>
  <c r="M38" i="66"/>
  <c r="M39" i="66" s="1"/>
  <c r="J39" i="66"/>
  <c r="H38" i="66"/>
  <c r="H39" i="66" s="1"/>
  <c r="E39" i="66"/>
  <c r="P38" i="66" l="1"/>
  <c r="Q26" i="66"/>
  <c r="Q38" i="66" l="1"/>
  <c r="S38" i="66" s="1"/>
  <c r="S26" i="66"/>
  <c r="F17" i="1" l="1"/>
  <c r="N8" i="65" l="1"/>
  <c r="N9" i="65"/>
  <c r="D11" i="1" s="1"/>
  <c r="N10" i="65"/>
  <c r="N11" i="65"/>
  <c r="N12" i="65"/>
  <c r="N13" i="65"/>
  <c r="D12" i="1" s="1"/>
  <c r="N14" i="65"/>
  <c r="N15" i="65"/>
  <c r="N16" i="65"/>
  <c r="N17" i="65"/>
  <c r="N18" i="65"/>
  <c r="N19" i="65"/>
  <c r="N20" i="65"/>
  <c r="N21" i="65"/>
  <c r="N22" i="65"/>
  <c r="N23" i="65"/>
  <c r="N24" i="65"/>
  <c r="N25" i="65"/>
  <c r="N26" i="65"/>
  <c r="N27" i="65"/>
  <c r="N28" i="65"/>
  <c r="N29" i="65"/>
  <c r="N30" i="65"/>
  <c r="N7" i="65"/>
  <c r="M31" i="65"/>
  <c r="L31" i="65"/>
  <c r="K31" i="65"/>
  <c r="J31" i="65"/>
  <c r="I31" i="65"/>
  <c r="H31" i="65"/>
  <c r="G31" i="65"/>
  <c r="F31" i="65"/>
  <c r="E31" i="65"/>
  <c r="D31" i="65"/>
  <c r="C31" i="65"/>
  <c r="B31" i="65"/>
  <c r="D10" i="1" l="1"/>
  <c r="G15" i="1"/>
  <c r="G14" i="1"/>
  <c r="H14" i="1" s="1"/>
  <c r="K14" i="1" s="1"/>
  <c r="G13" i="1"/>
  <c r="H13" i="1" s="1"/>
  <c r="K13" i="1" s="1"/>
  <c r="N31" i="65"/>
  <c r="G16" i="1"/>
  <c r="D16" i="1"/>
  <c r="D15" i="1"/>
  <c r="D14" i="1"/>
  <c r="D13" i="1"/>
  <c r="G12" i="1"/>
  <c r="G11" i="1"/>
  <c r="G17" i="1" s="1"/>
  <c r="H10" i="1" s="1"/>
  <c r="K10" i="1" s="1"/>
  <c r="H15" i="1" l="1"/>
  <c r="K15" i="1" s="1"/>
  <c r="H12" i="1"/>
  <c r="K12" i="1" s="1"/>
  <c r="H16" i="1"/>
  <c r="K16" i="1" s="1"/>
  <c r="H11" i="1"/>
  <c r="K11" i="1" s="1"/>
  <c r="K17" i="1" s="1"/>
  <c r="C6" i="65" l="1"/>
  <c r="D6" i="65" l="1"/>
  <c r="E6" i="65" l="1"/>
  <c r="F6" i="65" l="1"/>
  <c r="G6" i="65" l="1"/>
  <c r="H6" i="65" l="1"/>
  <c r="I6" i="65" l="1"/>
  <c r="J6" i="65" l="1"/>
  <c r="K6" i="65" l="1"/>
  <c r="L6" i="65" l="1"/>
  <c r="M6" i="65" l="1"/>
  <c r="D17" i="1" l="1"/>
  <c r="H17" i="1" l="1"/>
  <c r="E16" i="1"/>
  <c r="I16" i="1" s="1"/>
  <c r="L16" i="1" s="1"/>
  <c r="E10" i="1"/>
  <c r="I10" i="1" s="1"/>
  <c r="E13" i="1"/>
  <c r="I13" i="1" s="1"/>
  <c r="L13" i="1" s="1"/>
  <c r="E12" i="1"/>
  <c r="I12" i="1" s="1"/>
  <c r="L12" i="1" s="1"/>
  <c r="E14" i="1"/>
  <c r="I14" i="1" s="1"/>
  <c r="L14" i="1" s="1"/>
  <c r="E11" i="1"/>
  <c r="I11" i="1" s="1"/>
  <c r="L11" i="1" s="1"/>
  <c r="E15" i="1"/>
  <c r="I15" i="1" s="1"/>
  <c r="L15" i="1" s="1"/>
  <c r="L10" i="1" l="1"/>
  <c r="I17" i="1"/>
  <c r="E17" i="1"/>
  <c r="L17" i="1" l="1"/>
  <c r="A11" i="1"/>
  <c r="A12" i="1" s="1"/>
  <c r="A13" i="1" s="1"/>
  <c r="A14" i="1" s="1"/>
  <c r="A15" i="1" s="1"/>
  <c r="A16" i="1" s="1"/>
  <c r="A17" i="1" s="1"/>
  <c r="A18" i="1" s="1"/>
  <c r="A19" i="1" s="1"/>
</calcChain>
</file>

<file path=xl/sharedStrings.xml><?xml version="1.0" encoding="utf-8"?>
<sst xmlns="http://schemas.openxmlformats.org/spreadsheetml/2006/main" count="362" uniqueCount="203">
  <si>
    <t>Puget Sound Energy</t>
  </si>
  <si>
    <t>Proposed</t>
  </si>
  <si>
    <t>Revenue</t>
  </si>
  <si>
    <t>Rate per</t>
  </si>
  <si>
    <t>Rate Class</t>
  </si>
  <si>
    <t>Schedules</t>
  </si>
  <si>
    <t>Requirement</t>
  </si>
  <si>
    <t>Therm</t>
  </si>
  <si>
    <t>Mantle</t>
  </si>
  <si>
    <t>Residential</t>
  </si>
  <si>
    <t>16, 23, 53</t>
  </si>
  <si>
    <t>Commercial &amp; Industrial</t>
  </si>
  <si>
    <t>31, 31T</t>
  </si>
  <si>
    <t>Large Volume</t>
  </si>
  <si>
    <t>41, 41T</t>
  </si>
  <si>
    <t>Interruptible</t>
  </si>
  <si>
    <t>85, 85T</t>
  </si>
  <si>
    <t>Limited Interruptible</t>
  </si>
  <si>
    <t>86, 86T</t>
  </si>
  <si>
    <t>Non-exclusive Interruptible</t>
  </si>
  <si>
    <t>Contracts</t>
  </si>
  <si>
    <t>Total</t>
  </si>
  <si>
    <t>Proposed Revenue Requirement</t>
  </si>
  <si>
    <t>Electric</t>
  </si>
  <si>
    <t>Gas</t>
  </si>
  <si>
    <t>Line</t>
  </si>
  <si>
    <t>No.</t>
  </si>
  <si>
    <t>TOTAL</t>
  </si>
  <si>
    <t>Allocation</t>
  </si>
  <si>
    <t>Percent</t>
  </si>
  <si>
    <t>A</t>
  </si>
  <si>
    <t>B</t>
  </si>
  <si>
    <t>C</t>
  </si>
  <si>
    <t>D</t>
  </si>
  <si>
    <t>H</t>
  </si>
  <si>
    <t>I</t>
  </si>
  <si>
    <t>J</t>
  </si>
  <si>
    <t>K</t>
  </si>
  <si>
    <t>L</t>
  </si>
  <si>
    <t>M</t>
  </si>
  <si>
    <t>Delivered Therms:</t>
  </si>
  <si>
    <t>Rate Schedule</t>
  </si>
  <si>
    <t>31-C</t>
  </si>
  <si>
    <t>31-I</t>
  </si>
  <si>
    <t>31T-C</t>
  </si>
  <si>
    <t>31T-I</t>
  </si>
  <si>
    <t>41-C</t>
  </si>
  <si>
    <t>41-I</t>
  </si>
  <si>
    <t>41T-C</t>
  </si>
  <si>
    <t>41T-I</t>
  </si>
  <si>
    <t>85-C</t>
  </si>
  <si>
    <t>85-I</t>
  </si>
  <si>
    <t>85T-C</t>
  </si>
  <si>
    <t>85T-I</t>
  </si>
  <si>
    <t>86-C</t>
  </si>
  <si>
    <t>86-I</t>
  </si>
  <si>
    <t>86T-C</t>
  </si>
  <si>
    <t>86T-I</t>
  </si>
  <si>
    <t>87-C</t>
  </si>
  <si>
    <t>87-I</t>
  </si>
  <si>
    <t>87T-C</t>
  </si>
  <si>
    <t>87T-I</t>
  </si>
  <si>
    <t>F2023 Forecast (5-26-2023)</t>
  </si>
  <si>
    <t>"Residential Only" Allocator</t>
  </si>
  <si>
    <t>"Industrial Only" Allocator</t>
  </si>
  <si>
    <t>"All Classes"</t>
  </si>
  <si>
    <t>"Residential Only"</t>
  </si>
  <si>
    <t>"Industrial Only"</t>
  </si>
  <si>
    <t>Conversion Factor</t>
  </si>
  <si>
    <t>Weight Avg Cost of Debt</t>
  </si>
  <si>
    <t>Industrial</t>
  </si>
  <si>
    <t>Conv Fctr</t>
  </si>
  <si>
    <t>Only</t>
  </si>
  <si>
    <t>ALL Classes</t>
  </si>
  <si>
    <t>Payments</t>
  </si>
  <si>
    <t>Interest</t>
  </si>
  <si>
    <t>check</t>
  </si>
  <si>
    <t>F&amp;C payment</t>
  </si>
  <si>
    <t>UE-220066/UG-220067</t>
  </si>
  <si>
    <t>UE-210795</t>
  </si>
  <si>
    <t>REVENUE REQUIREMENT</t>
  </si>
  <si>
    <t>E</t>
  </si>
  <si>
    <t>F</t>
  </si>
  <si>
    <t>G</t>
  </si>
  <si>
    <t>Sch. 16</t>
  </si>
  <si>
    <t>JAN - JUN 2.63% / 12</t>
  </si>
  <si>
    <t>JUL - DEC 2.63% / 12</t>
  </si>
  <si>
    <t>Calculation of Schedule 141PFG Rates</t>
  </si>
  <si>
    <t>Proposed Effective May 1, 2024</t>
  </si>
  <si>
    <t>Gas Forecasted Therms</t>
  </si>
  <si>
    <t>"All Classes" Allocator</t>
  </si>
  <si>
    <t>May24 - Apr.25</t>
  </si>
  <si>
    <r>
      <t xml:space="preserve">All Therms </t>
    </r>
    <r>
      <rPr>
        <vertAlign val="superscript"/>
        <sz val="11"/>
        <color theme="1"/>
        <rFont val="Calibri"/>
        <family val="2"/>
        <scheme val="minor"/>
      </rPr>
      <t>(1)</t>
    </r>
  </si>
  <si>
    <r>
      <t xml:space="preserve">Indust. Therms </t>
    </r>
    <r>
      <rPr>
        <vertAlign val="superscript"/>
        <sz val="11"/>
        <color theme="1"/>
        <rFont val="Calibri"/>
        <family val="2"/>
        <scheme val="minor"/>
      </rPr>
      <t>(1)</t>
    </r>
  </si>
  <si>
    <r>
      <rPr>
        <vertAlign val="superscript"/>
        <sz val="11"/>
        <color theme="1"/>
        <rFont val="Calibri"/>
        <family val="2"/>
        <scheme val="minor"/>
      </rPr>
      <t>(1)</t>
    </r>
    <r>
      <rPr>
        <sz val="11"/>
        <color theme="1"/>
        <rFont val="Calibri"/>
        <family val="2"/>
        <scheme val="minor"/>
      </rPr>
      <t xml:space="preserve"> Forecasted therms from the F2023 forecasted approved May 26, 2023.</t>
    </r>
  </si>
  <si>
    <t>2024 Gas Schedule 141PFG Participant Funding Grant Filing</t>
  </si>
  <si>
    <t>Rate Change Impacts by Rate Schedule</t>
  </si>
  <si>
    <t>Proposed Rates Effective May 1, 2024</t>
  </si>
  <si>
    <t>Forecasted</t>
  </si>
  <si>
    <t>UG-220067</t>
  </si>
  <si>
    <t>Base Sch.</t>
  </si>
  <si>
    <t>Therms</t>
  </si>
  <si>
    <t>12ME Apr. 2025</t>
  </si>
  <si>
    <t>Sch. 141PFG</t>
  </si>
  <si>
    <t>Rate</t>
  </si>
  <si>
    <t>Volume</t>
  </si>
  <si>
    <t>Base Schedule</t>
  </si>
  <si>
    <t>May 2024 -</t>
  </si>
  <si>
    <t>Sch. 101</t>
  </si>
  <si>
    <t>Sch. 106</t>
  </si>
  <si>
    <t>Sch. 111</t>
  </si>
  <si>
    <t>Sch. 120</t>
  </si>
  <si>
    <t>Sch. 129</t>
  </si>
  <si>
    <t>Sch. 129D</t>
  </si>
  <si>
    <t>Sch. 140</t>
  </si>
  <si>
    <t>Sch. 141D</t>
  </si>
  <si>
    <t>Sch. 141N</t>
  </si>
  <si>
    <t>Sch. 141R</t>
  </si>
  <si>
    <t>Sch. 142</t>
  </si>
  <si>
    <t>Total Forecasted</t>
  </si>
  <si>
    <t>Schedule</t>
  </si>
  <si>
    <r>
      <t>(Therms)</t>
    </r>
    <r>
      <rPr>
        <vertAlign val="superscript"/>
        <sz val="11"/>
        <color theme="1"/>
        <rFont val="Calibri"/>
        <family val="2"/>
      </rPr>
      <t xml:space="preserve"> (1)</t>
    </r>
  </si>
  <si>
    <r>
      <t>Revenue</t>
    </r>
    <r>
      <rPr>
        <vertAlign val="superscript"/>
        <sz val="11"/>
        <color theme="1"/>
        <rFont val="Calibri"/>
        <family val="2"/>
      </rPr>
      <t xml:space="preserve"> (1)</t>
    </r>
  </si>
  <si>
    <t>$/Therm</t>
  </si>
  <si>
    <t>Apr. 2025</t>
  </si>
  <si>
    <r>
      <t>Revenue</t>
    </r>
    <r>
      <rPr>
        <vertAlign val="superscript"/>
        <sz val="11"/>
        <color theme="1"/>
        <rFont val="Calibri"/>
        <family val="2"/>
        <scheme val="minor"/>
      </rPr>
      <t xml:space="preserve"> (2)</t>
    </r>
  </si>
  <si>
    <t>Change</t>
  </si>
  <si>
    <t>E=D/C</t>
  </si>
  <si>
    <t xml:space="preserve">F </t>
  </si>
  <si>
    <t xml:space="preserve">G=E*F </t>
  </si>
  <si>
    <t>N</t>
  </si>
  <si>
    <t>O</t>
  </si>
  <si>
    <t>P</t>
  </si>
  <si>
    <t>Q</t>
  </si>
  <si>
    <t>R</t>
  </si>
  <si>
    <t>S = sum(G:R)</t>
  </si>
  <si>
    <t>T</t>
  </si>
  <si>
    <t>U= T/S</t>
  </si>
  <si>
    <t>23,53</t>
  </si>
  <si>
    <t>Residential Gas Lights</t>
  </si>
  <si>
    <t>Commercial &amp; Industrial Transportation</t>
  </si>
  <si>
    <t>31T</t>
  </si>
  <si>
    <t>Large Volume Transportation</t>
  </si>
  <si>
    <t>41T</t>
  </si>
  <si>
    <t>Interruptible Transportation</t>
  </si>
  <si>
    <t>85T</t>
  </si>
  <si>
    <t>Limited Interruptible Transportation</t>
  </si>
  <si>
    <t>86T</t>
  </si>
  <si>
    <t>Non-exclusive Interruptible Transportation</t>
  </si>
  <si>
    <t>87T</t>
  </si>
  <si>
    <t>By Customer Class:</t>
  </si>
  <si>
    <t>16,23,53</t>
  </si>
  <si>
    <t>Commercial &amp; industrial</t>
  </si>
  <si>
    <t>31,31T</t>
  </si>
  <si>
    <t>Large volume</t>
  </si>
  <si>
    <t>41,41T</t>
  </si>
  <si>
    <t>85,85T</t>
  </si>
  <si>
    <t>Limited interruptible</t>
  </si>
  <si>
    <t>86,86T</t>
  </si>
  <si>
    <t>Non-exclusive interruptible</t>
  </si>
  <si>
    <t>87,87T</t>
  </si>
  <si>
    <r>
      <rPr>
        <vertAlign val="superscript"/>
        <sz val="11"/>
        <color theme="1"/>
        <rFont val="Calibri"/>
        <family val="2"/>
      </rPr>
      <t xml:space="preserve">(1) </t>
    </r>
    <r>
      <rPr>
        <sz val="11"/>
        <color theme="1"/>
        <rFont val="Calibri"/>
        <family val="2"/>
        <scheme val="minor"/>
      </rPr>
      <t>Weather normalized volume and base schedule margin for 12 months ending June 2021, at approved rates from UG-220067 GRC compliance filing.</t>
    </r>
  </si>
  <si>
    <r>
      <rPr>
        <vertAlign val="superscript"/>
        <sz val="11"/>
        <color theme="1"/>
        <rFont val="Calibri"/>
        <family val="2"/>
      </rPr>
      <t xml:space="preserve">(2) </t>
    </r>
    <r>
      <rPr>
        <sz val="11"/>
        <color theme="1"/>
        <rFont val="Calibri"/>
        <family val="2"/>
        <scheme val="minor"/>
      </rPr>
      <t>Forecasted revenues at current rates effective January 1, 2024.</t>
    </r>
  </si>
  <si>
    <t>Typical Residential Bill Impacts</t>
  </si>
  <si>
    <t>Schedule 141PFG</t>
  </si>
  <si>
    <t>Current Rates</t>
  </si>
  <si>
    <t>Rate Change</t>
  </si>
  <si>
    <r>
      <t>Rates</t>
    </r>
    <r>
      <rPr>
        <vertAlign val="superscript"/>
        <sz val="11"/>
        <rFont val="Calibri"/>
        <family val="2"/>
        <scheme val="minor"/>
      </rPr>
      <t xml:space="preserve"> (1)</t>
    </r>
  </si>
  <si>
    <t>Charges</t>
  </si>
  <si>
    <t>Rates</t>
  </si>
  <si>
    <t>Volume (therms)</t>
  </si>
  <si>
    <t>Customer charge ($/month)</t>
  </si>
  <si>
    <t>Basic charge (Sch. 23)</t>
  </si>
  <si>
    <t>Subtotal</t>
  </si>
  <si>
    <t>Cap &amp; Invest Non-Vol Credit (Sch. 111)</t>
  </si>
  <si>
    <t>Volumetric charges ($/therm)</t>
  </si>
  <si>
    <t>Delivery charge (Sch. 23)</t>
  </si>
  <si>
    <t>Conservation charge (Sch. 120)</t>
  </si>
  <si>
    <t>Low Income charge (Sch. 129)</t>
  </si>
  <si>
    <t>Low Income Discount charge (Sch. 129D)</t>
  </si>
  <si>
    <t>Property Tax charge (Sch. 140)</t>
  </si>
  <si>
    <t>Dist. Pipeline Provisional (Sch. 141D)</t>
  </si>
  <si>
    <t>Rates Not Subject to Refund (Sch. 141N)</t>
  </si>
  <si>
    <t>Participant Fund Grant (Sch. 141PFG)</t>
  </si>
  <si>
    <t>Rates Subject to Refund (Sch. 141R)</t>
  </si>
  <si>
    <t>Decoupling charge (Sch. 142)</t>
  </si>
  <si>
    <t>Cap &amp; Invest charge (Sch. 111)</t>
  </si>
  <si>
    <t>Gas cost charge (Sch. 101)</t>
  </si>
  <si>
    <t>Gas cost amort. charge (Sch. 106)</t>
  </si>
  <si>
    <t>Total volumetric charges</t>
  </si>
  <si>
    <t>Total monthly bill</t>
  </si>
  <si>
    <t>Change from bill under current rates</t>
  </si>
  <si>
    <t>Percent change from bill under current rates</t>
  </si>
  <si>
    <t>Total volumetric rates less gas costs</t>
  </si>
  <si>
    <r>
      <rPr>
        <vertAlign val="superscript"/>
        <sz val="11"/>
        <rFont val="Calibri"/>
        <family val="2"/>
        <scheme val="minor"/>
      </rPr>
      <t xml:space="preserve">(1) </t>
    </r>
    <r>
      <rPr>
        <sz val="11"/>
        <rFont val="Calibri"/>
        <family val="2"/>
        <scheme val="minor"/>
      </rPr>
      <t>Rates for Schedule 23 customers in effect January 1, 2024.</t>
    </r>
  </si>
  <si>
    <t>Gas Schedule 141PFG</t>
  </si>
  <si>
    <t>Participant Funding Grant</t>
  </si>
  <si>
    <t>Current</t>
  </si>
  <si>
    <t>Sched 141PFG</t>
  </si>
  <si>
    <t>Volume (Therms)</t>
  </si>
  <si>
    <t>Proposed Rates</t>
  </si>
  <si>
    <t>* When, or if, Schedule 88T becomes effective, the Schedule 87T rate would also apply to Schedule 88T.</t>
  </si>
  <si>
    <t>87, 87T*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</si>
</sst>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_(* #,##0_);_(* \(#,##0\);_(* &quot;-&quot;??_);_(@_)"/>
    <numFmt numFmtId="166" formatCode="_(&quot;$&quot;* #,##0_);_(&quot;$&quot;* \(#,##0\);_(&quot;$&quot;* &quot;-&quot;??_);_(@_)"/>
    <numFmt numFmtId="167" formatCode="_(&quot;$&quot;* #,##0.00000_);_(&quot;$&quot;* \(#,##0.00000\);_(&quot;$&quot;* &quot;-&quot;_);_(@_)"/>
    <numFmt numFmtId="168" formatCode="&quot;$&quot;#,##0.00"/>
    <numFmt numFmtId="169" formatCode="_(&quot;$&quot;* #,##0.00000_);_(&quot;$&quot;* \(#,##0.00000\);_(&quot;$&quot;* &quot;-&quot;??_);_(@_)"/>
    <numFmt numFmtId="170" formatCode="_(&quot;$&quot;* #,##0.00_);_(&quot;$&quot;* \(#,##0.00\);_(&quot;$&quot;* &quot;-&quot;_);_(@_)"/>
    <numFmt numFmtId="171" formatCode="_(&quot;$&quot;* #,##0.00000_);_(&quot;$&quot;* \(#,##0.00000\);_(&quot;$&quot;* &quot;-&quot;?????_);_(@_)"/>
  </numFmts>
  <fonts count="23" x14ac:knownFonts="1">
    <font>
      <sz val="11"/>
      <color theme="1"/>
      <name val="Calibri"/>
      <family val="2"/>
      <scheme val="minor"/>
    </font>
    <font>
      <sz val="11"/>
      <color rgb="FF0000FF"/>
      <name val="Calibri"/>
      <family val="2"/>
      <scheme val="minor"/>
    </font>
    <font>
      <sz val="11"/>
      <name val="Calibri"/>
      <family val="2"/>
      <scheme val="minor"/>
    </font>
    <font>
      <sz val="11"/>
      <color rgb="FF00808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color rgb="FF008080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color rgb="FF0000FF"/>
      <name val="Arial"/>
      <family val="2"/>
    </font>
    <font>
      <sz val="12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4"/>
      <name val="Calibri"/>
      <family val="2"/>
      <scheme val="minor"/>
    </font>
    <font>
      <b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</font>
    <font>
      <u/>
      <sz val="11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vertAlign val="superscript"/>
      <sz val="11"/>
      <name val="Calibri"/>
      <family val="2"/>
      <scheme val="minor"/>
    </font>
    <font>
      <sz val="11"/>
      <color indexed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89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Continuous"/>
    </xf>
    <xf numFmtId="0" fontId="0" fillId="0" borderId="0" xfId="0" applyFont="1" applyFill="1"/>
    <xf numFmtId="0" fontId="0" fillId="0" borderId="0" xfId="0" applyFont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42" fontId="0" fillId="0" borderId="0" xfId="0" applyNumberFormat="1" applyFont="1" applyBorder="1"/>
    <xf numFmtId="3" fontId="0" fillId="0" borderId="0" xfId="0" applyNumberFormat="1" applyFont="1"/>
    <xf numFmtId="42" fontId="2" fillId="0" borderId="0" xfId="0" applyNumberFormat="1" applyFont="1"/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6" fillId="0" borderId="0" xfId="0" applyFont="1" applyFill="1"/>
    <xf numFmtId="0" fontId="2" fillId="0" borderId="0" xfId="0" applyFont="1" applyFill="1"/>
    <xf numFmtId="164" fontId="0" fillId="0" borderId="0" xfId="0" applyNumberFormat="1" applyFont="1" applyFill="1"/>
    <xf numFmtId="42" fontId="7" fillId="0" borderId="0" xfId="0" applyNumberFormat="1" applyFont="1" applyFill="1"/>
    <xf numFmtId="0" fontId="0" fillId="0" borderId="0" xfId="0" applyFont="1" applyAlignment="1">
      <alignment horizontal="center"/>
    </xf>
    <xf numFmtId="0" fontId="8" fillId="0" borderId="0" xfId="0" applyFont="1" applyFill="1" applyAlignment="1"/>
    <xf numFmtId="0" fontId="9" fillId="0" borderId="0" xfId="0" applyFont="1" applyFill="1"/>
    <xf numFmtId="0" fontId="8" fillId="0" borderId="0" xfId="0" applyFont="1" applyFill="1" applyAlignment="1">
      <alignment horizontal="centerContinuous"/>
    </xf>
    <xf numFmtId="0" fontId="8" fillId="0" borderId="0" xfId="0" applyFont="1" applyFill="1"/>
    <xf numFmtId="0" fontId="8" fillId="0" borderId="1" xfId="0" applyFont="1" applyFill="1" applyBorder="1" applyAlignment="1">
      <alignment horizontal="center"/>
    </xf>
    <xf numFmtId="17" fontId="8" fillId="0" borderId="1" xfId="0" applyNumberFormat="1" applyFont="1" applyFill="1" applyBorder="1" applyAlignment="1">
      <alignment horizontal="center"/>
    </xf>
    <xf numFmtId="0" fontId="9" fillId="0" borderId="0" xfId="0" applyFont="1" applyFill="1" applyAlignment="1">
      <alignment horizontal="center"/>
    </xf>
    <xf numFmtId="165" fontId="10" fillId="0" borderId="0" xfId="0" applyNumberFormat="1" applyFont="1" applyFill="1" applyBorder="1"/>
    <xf numFmtId="165" fontId="9" fillId="0" borderId="2" xfId="0" applyNumberFormat="1" applyFont="1" applyFill="1" applyBorder="1"/>
    <xf numFmtId="0" fontId="9" fillId="0" borderId="0" xfId="0" applyFont="1" applyFill="1" applyAlignment="1">
      <alignment horizontal="left"/>
    </xf>
    <xf numFmtId="165" fontId="9" fillId="0" borderId="0" xfId="0" applyNumberFormat="1" applyFont="1" applyFill="1"/>
    <xf numFmtId="165" fontId="3" fillId="0" borderId="0" xfId="0" applyNumberFormat="1" applyFont="1" applyFill="1"/>
    <xf numFmtId="165" fontId="0" fillId="0" borderId="2" xfId="0" applyNumberFormat="1" applyFont="1" applyFill="1" applyBorder="1"/>
    <xf numFmtId="0" fontId="0" fillId="0" borderId="3" xfId="0" applyFont="1" applyBorder="1"/>
    <xf numFmtId="0" fontId="0" fillId="0" borderId="3" xfId="0" applyFont="1" applyBorder="1" applyAlignment="1">
      <alignment horizontal="center"/>
    </xf>
    <xf numFmtId="0" fontId="0" fillId="0" borderId="3" xfId="0" applyFont="1" applyFill="1" applyBorder="1" applyAlignment="1">
      <alignment horizontal="center"/>
    </xf>
    <xf numFmtId="10" fontId="0" fillId="0" borderId="2" xfId="0" applyNumberFormat="1" applyFont="1" applyBorder="1"/>
    <xf numFmtId="10" fontId="1" fillId="0" borderId="0" xfId="0" applyNumberFormat="1" applyFont="1" applyFill="1"/>
    <xf numFmtId="0" fontId="0" fillId="0" borderId="3" xfId="0" applyFont="1" applyFill="1" applyBorder="1" applyAlignment="1">
      <alignment horizontal="center" wrapText="1"/>
    </xf>
    <xf numFmtId="0" fontId="0" fillId="0" borderId="0" xfId="0" applyFont="1" applyAlignment="1"/>
    <xf numFmtId="0" fontId="0" fillId="0" borderId="0" xfId="0" applyFont="1" applyFill="1" applyBorder="1" applyAlignment="1">
      <alignment horizontal="center" wrapText="1"/>
    </xf>
    <xf numFmtId="0" fontId="5" fillId="0" borderId="0" xfId="0" applyFont="1" applyFill="1" applyAlignment="1">
      <alignment horizontal="center"/>
    </xf>
    <xf numFmtId="0" fontId="11" fillId="0" borderId="0" xfId="0" applyFont="1" applyFill="1"/>
    <xf numFmtId="0" fontId="2" fillId="0" borderId="1" xfId="0" applyFont="1" applyFill="1" applyBorder="1"/>
    <xf numFmtId="0" fontId="2" fillId="0" borderId="4" xfId="0" applyFont="1" applyFill="1" applyBorder="1" applyAlignment="1">
      <alignment horizontal="left"/>
    </xf>
    <xf numFmtId="10" fontId="12" fillId="0" borderId="4" xfId="0" applyNumberFormat="1" applyFont="1" applyFill="1" applyBorder="1"/>
    <xf numFmtId="0" fontId="2" fillId="0" borderId="4" xfId="0" applyFont="1" applyFill="1" applyBorder="1"/>
    <xf numFmtId="0" fontId="2" fillId="0" borderId="4" xfId="0" applyFont="1" applyFill="1" applyBorder="1" applyAlignment="1">
      <alignment horizontal="center"/>
    </xf>
    <xf numFmtId="0" fontId="11" fillId="0" borderId="4" xfId="0" applyFont="1" applyFill="1" applyBorder="1"/>
    <xf numFmtId="10" fontId="2" fillId="0" borderId="4" xfId="0" applyNumberFormat="1" applyFont="1" applyFill="1" applyBorder="1"/>
    <xf numFmtId="0" fontId="5" fillId="0" borderId="4" xfId="0" applyFont="1" applyFill="1" applyBorder="1" applyAlignment="1">
      <alignment horizontal="center"/>
    </xf>
    <xf numFmtId="0" fontId="13" fillId="0" borderId="4" xfId="0" applyFont="1" applyFill="1" applyBorder="1" applyAlignment="1">
      <alignment horizontal="center"/>
    </xf>
    <xf numFmtId="10" fontId="5" fillId="0" borderId="0" xfId="0" applyNumberFormat="1" applyFont="1" applyFill="1"/>
    <xf numFmtId="17" fontId="5" fillId="0" borderId="0" xfId="0" applyNumberFormat="1" applyFont="1" applyFill="1"/>
    <xf numFmtId="166" fontId="5" fillId="0" borderId="0" xfId="0" applyNumberFormat="1" applyFont="1" applyFill="1"/>
    <xf numFmtId="166" fontId="13" fillId="0" borderId="0" xfId="0" applyNumberFormat="1" applyFont="1" applyFill="1"/>
    <xf numFmtId="166" fontId="5" fillId="0" borderId="0" xfId="0" applyNumberFormat="1" applyFont="1" applyFill="1"/>
    <xf numFmtId="43" fontId="12" fillId="0" borderId="0" xfId="0" applyNumberFormat="1" applyFont="1" applyFill="1"/>
    <xf numFmtId="10" fontId="2" fillId="0" borderId="0" xfId="0" applyNumberFormat="1" applyFont="1" applyFill="1"/>
    <xf numFmtId="17" fontId="2" fillId="0" borderId="0" xfId="0" applyNumberFormat="1" applyFont="1" applyFill="1"/>
    <xf numFmtId="165" fontId="2" fillId="0" borderId="0" xfId="0" applyNumberFormat="1" applyFont="1" applyFill="1"/>
    <xf numFmtId="165" fontId="11" fillId="0" borderId="0" xfId="0" applyNumberFormat="1" applyFont="1" applyFill="1"/>
    <xf numFmtId="165" fontId="2" fillId="0" borderId="0" xfId="0" applyNumberFormat="1" applyFont="1" applyFill="1"/>
    <xf numFmtId="0" fontId="5" fillId="0" borderId="0" xfId="0" applyFont="1" applyFill="1"/>
    <xf numFmtId="165" fontId="5" fillId="0" borderId="0" xfId="0" applyNumberFormat="1" applyFont="1" applyFill="1"/>
    <xf numFmtId="10" fontId="2" fillId="0" borderId="1" xfId="0" applyNumberFormat="1" applyFont="1" applyFill="1" applyBorder="1"/>
    <xf numFmtId="17" fontId="2" fillId="0" borderId="1" xfId="0" applyNumberFormat="1" applyFont="1" applyFill="1" applyBorder="1"/>
    <xf numFmtId="165" fontId="2" fillId="0" borderId="1" xfId="0" applyNumberFormat="1" applyFont="1" applyFill="1" applyBorder="1"/>
    <xf numFmtId="165" fontId="11" fillId="0" borderId="1" xfId="0" applyNumberFormat="1" applyFont="1" applyFill="1" applyBorder="1"/>
    <xf numFmtId="10" fontId="5" fillId="0" borderId="0" xfId="0" applyNumberFormat="1" applyFont="1" applyFill="1" applyBorder="1"/>
    <xf numFmtId="166" fontId="13" fillId="0" borderId="0" xfId="0" applyNumberFormat="1" applyFont="1" applyFill="1"/>
    <xf numFmtId="166" fontId="5" fillId="0" borderId="2" xfId="0" applyNumberFormat="1" applyFont="1" applyFill="1" applyBorder="1"/>
    <xf numFmtId="0" fontId="2" fillId="0" borderId="0" xfId="0" applyFont="1" applyFill="1" applyAlignment="1">
      <alignment horizontal="center"/>
    </xf>
    <xf numFmtId="0" fontId="13" fillId="0" borderId="0" xfId="0" applyFont="1" applyFill="1" applyAlignment="1">
      <alignment horizontal="center"/>
    </xf>
    <xf numFmtId="0" fontId="12" fillId="0" borderId="0" xfId="0" applyFont="1" applyFill="1"/>
    <xf numFmtId="166" fontId="6" fillId="0" borderId="7" xfId="0" applyNumberFormat="1" applyFont="1" applyFill="1" applyBorder="1"/>
    <xf numFmtId="166" fontId="6" fillId="0" borderId="8" xfId="0" applyNumberFormat="1" applyFont="1" applyFill="1" applyBorder="1"/>
    <xf numFmtId="166" fontId="6" fillId="0" borderId="9" xfId="0" applyNumberFormat="1" applyFont="1" applyFill="1" applyBorder="1"/>
    <xf numFmtId="0" fontId="14" fillId="0" borderId="8" xfId="0" applyFont="1" applyFill="1" applyBorder="1"/>
    <xf numFmtId="166" fontId="0" fillId="0" borderId="0" xfId="0" applyNumberFormat="1" applyFont="1"/>
    <xf numFmtId="166" fontId="0" fillId="0" borderId="2" xfId="0" applyNumberFormat="1" applyFont="1" applyBorder="1"/>
    <xf numFmtId="10" fontId="4" fillId="0" borderId="0" xfId="0" applyNumberFormat="1" applyFont="1" applyFill="1"/>
    <xf numFmtId="165" fontId="1" fillId="0" borderId="0" xfId="0" applyNumberFormat="1" applyFont="1" applyFill="1"/>
    <xf numFmtId="166" fontId="4" fillId="0" borderId="0" xfId="0" applyNumberFormat="1" applyFont="1" applyFill="1"/>
    <xf numFmtId="166" fontId="4" fillId="0" borderId="0" xfId="0" applyNumberFormat="1" applyFont="1" applyFill="1"/>
    <xf numFmtId="167" fontId="0" fillId="0" borderId="0" xfId="0" applyNumberFormat="1" applyFont="1"/>
    <xf numFmtId="166" fontId="3" fillId="0" borderId="0" xfId="0" applyNumberFormat="1" applyFont="1"/>
    <xf numFmtId="0" fontId="9" fillId="0" borderId="0" xfId="0" applyFont="1" applyFill="1" applyBorder="1" applyAlignment="1">
      <alignment horizontal="left"/>
    </xf>
    <xf numFmtId="0" fontId="15" fillId="0" borderId="0" xfId="0" applyFont="1" applyAlignment="1"/>
    <xf numFmtId="0" fontId="15" fillId="0" borderId="0" xfId="0" applyFont="1" applyAlignment="1">
      <alignment horizontal="left"/>
    </xf>
    <xf numFmtId="168" fontId="2" fillId="0" borderId="0" xfId="0" applyNumberFormat="1" applyFont="1"/>
    <xf numFmtId="0" fontId="2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1" xfId="0" quotePrefix="1" applyFon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42" fontId="0" fillId="0" borderId="0" xfId="0" applyNumberFormat="1" applyBorder="1" applyAlignment="1">
      <alignment horizontal="center"/>
    </xf>
    <xf numFmtId="42" fontId="0" fillId="0" borderId="0" xfId="0" applyNumberFormat="1" applyFont="1" applyBorder="1" applyAlignment="1">
      <alignment horizontal="center"/>
    </xf>
    <xf numFmtId="42" fontId="3" fillId="0" borderId="0" xfId="0" applyNumberFormat="1" applyFont="1"/>
    <xf numFmtId="169" fontId="0" fillId="0" borderId="0" xfId="0" applyNumberFormat="1"/>
    <xf numFmtId="42" fontId="0" fillId="0" borderId="0" xfId="0" applyNumberFormat="1"/>
    <xf numFmtId="10" fontId="0" fillId="0" borderId="0" xfId="0" applyNumberFormat="1" applyFont="1"/>
    <xf numFmtId="42" fontId="1" fillId="0" borderId="0" xfId="0" applyNumberFormat="1" applyFont="1"/>
    <xf numFmtId="169" fontId="0" fillId="0" borderId="1" xfId="0" applyNumberFormat="1" applyBorder="1"/>
    <xf numFmtId="3" fontId="0" fillId="0" borderId="2" xfId="0" applyNumberFormat="1" applyBorder="1"/>
    <xf numFmtId="42" fontId="0" fillId="0" borderId="2" xfId="0" applyNumberFormat="1" applyBorder="1"/>
    <xf numFmtId="42" fontId="2" fillId="0" borderId="2" xfId="0" applyNumberFormat="1" applyFont="1" applyBorder="1"/>
    <xf numFmtId="3" fontId="0" fillId="0" borderId="0" xfId="0" applyNumberFormat="1"/>
    <xf numFmtId="10" fontId="0" fillId="0" borderId="0" xfId="0" applyNumberFormat="1"/>
    <xf numFmtId="0" fontId="18" fillId="0" borderId="0" xfId="0" applyFont="1" applyBorder="1" applyAlignment="1">
      <alignment horizontal="left"/>
    </xf>
    <xf numFmtId="0" fontId="19" fillId="0" borderId="0" xfId="0" applyFont="1" applyAlignment="1">
      <alignment horizontal="left"/>
    </xf>
    <xf numFmtId="3" fontId="20" fillId="0" borderId="0" xfId="0" applyNumberFormat="1" applyFont="1" applyBorder="1"/>
    <xf numFmtId="42" fontId="20" fillId="0" borderId="0" xfId="0" applyNumberFormat="1" applyFont="1" applyBorder="1"/>
    <xf numFmtId="0" fontId="20" fillId="0" borderId="0" xfId="0" applyFont="1"/>
    <xf numFmtId="42" fontId="20" fillId="0" borderId="0" xfId="0" applyNumberFormat="1" applyFont="1"/>
    <xf numFmtId="10" fontId="20" fillId="0" borderId="0" xfId="0" applyNumberFormat="1" applyFont="1"/>
    <xf numFmtId="0" fontId="20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165" fontId="20" fillId="0" borderId="0" xfId="0" applyNumberFormat="1" applyFont="1" applyFill="1"/>
    <xf numFmtId="166" fontId="20" fillId="0" borderId="0" xfId="0" applyNumberFormat="1" applyFont="1" applyFill="1"/>
    <xf numFmtId="0" fontId="20" fillId="0" borderId="0" xfId="0" applyFont="1" applyFill="1" applyBorder="1" applyAlignment="1">
      <alignment horizontal="left"/>
    </xf>
    <xf numFmtId="0" fontId="20" fillId="0" borderId="0" xfId="0" applyFont="1" applyBorder="1" applyAlignment="1">
      <alignment horizontal="left"/>
    </xf>
    <xf numFmtId="165" fontId="20" fillId="0" borderId="2" xfId="0" applyNumberFormat="1" applyFont="1" applyFill="1" applyBorder="1"/>
    <xf numFmtId="166" fontId="20" fillId="0" borderId="2" xfId="0" applyNumberFormat="1" applyFont="1" applyFill="1" applyBorder="1"/>
    <xf numFmtId="169" fontId="0" fillId="0" borderId="2" xfId="0" applyNumberFormat="1" applyBorder="1"/>
    <xf numFmtId="0" fontId="20" fillId="0" borderId="0" xfId="0" applyFont="1" applyFill="1"/>
    <xf numFmtId="0" fontId="20" fillId="0" borderId="0" xfId="0" applyFont="1" applyBorder="1"/>
    <xf numFmtId="44" fontId="20" fillId="0" borderId="0" xfId="0" applyNumberFormat="1" applyFont="1"/>
    <xf numFmtId="0" fontId="2" fillId="0" borderId="0" xfId="0" applyFont="1" applyFill="1" applyAlignment="1">
      <alignment horizontal="centerContinuous"/>
    </xf>
    <xf numFmtId="0" fontId="2" fillId="0" borderId="0" xfId="0" applyFont="1"/>
    <xf numFmtId="0" fontId="2" fillId="0" borderId="0" xfId="0" applyFont="1" applyBorder="1"/>
    <xf numFmtId="0" fontId="2" fillId="0" borderId="0" xfId="0" applyFont="1" applyBorder="1" applyAlignment="1">
      <alignment horizontal="centerContinuous"/>
    </xf>
    <xf numFmtId="0" fontId="2" fillId="0" borderId="1" xfId="0" applyFont="1" applyBorder="1" applyAlignment="1">
      <alignment horizontal="centerContinuous"/>
    </xf>
    <xf numFmtId="0" fontId="2" fillId="0" borderId="0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2" fillId="0" borderId="0" xfId="0" applyFont="1"/>
    <xf numFmtId="170" fontId="2" fillId="0" borderId="0" xfId="0" applyNumberFormat="1" applyFont="1"/>
    <xf numFmtId="0" fontId="22" fillId="0" borderId="0" xfId="0" applyFont="1" applyBorder="1"/>
    <xf numFmtId="44" fontId="22" fillId="0" borderId="0" xfId="0" applyNumberFormat="1" applyFont="1" applyBorder="1"/>
    <xf numFmtId="44" fontId="2" fillId="0" borderId="0" xfId="0" applyNumberFormat="1" applyFont="1"/>
    <xf numFmtId="44" fontId="2" fillId="0" borderId="2" xfId="0" applyNumberFormat="1" applyFont="1" applyFill="1" applyBorder="1"/>
    <xf numFmtId="44" fontId="2" fillId="0" borderId="2" xfId="0" applyNumberFormat="1" applyFont="1" applyBorder="1"/>
    <xf numFmtId="44" fontId="2" fillId="0" borderId="0" xfId="0" applyNumberFormat="1" applyFont="1" applyFill="1" applyBorder="1"/>
    <xf numFmtId="44" fontId="2" fillId="0" borderId="0" xfId="0" applyNumberFormat="1" applyFont="1" applyBorder="1"/>
    <xf numFmtId="44" fontId="0" fillId="0" borderId="0" xfId="0" applyNumberFormat="1" applyFont="1"/>
    <xf numFmtId="171" fontId="3" fillId="0" borderId="0" xfId="0" applyNumberFormat="1" applyFont="1" applyFill="1"/>
    <xf numFmtId="171" fontId="22" fillId="0" borderId="0" xfId="0" applyNumberFormat="1" applyFont="1" applyBorder="1"/>
    <xf numFmtId="171" fontId="2" fillId="0" borderId="0" xfId="0" applyNumberFormat="1" applyFont="1"/>
    <xf numFmtId="171" fontId="0" fillId="0" borderId="0" xfId="0" applyNumberFormat="1" applyFont="1" applyFill="1"/>
    <xf numFmtId="171" fontId="0" fillId="0" borderId="0" xfId="0" applyNumberFormat="1" applyFont="1"/>
    <xf numFmtId="171" fontId="3" fillId="0" borderId="0" xfId="0" applyNumberFormat="1" applyFont="1"/>
    <xf numFmtId="171" fontId="2" fillId="0" borderId="2" xfId="0" applyNumberFormat="1" applyFont="1" applyFill="1" applyBorder="1"/>
    <xf numFmtId="171" fontId="2" fillId="0" borderId="2" xfId="0" applyNumberFormat="1" applyFont="1" applyBorder="1"/>
    <xf numFmtId="170" fontId="2" fillId="0" borderId="2" xfId="0" applyNumberFormat="1" applyFont="1" applyBorder="1"/>
    <xf numFmtId="171" fontId="2" fillId="0" borderId="0" xfId="0" applyNumberFormat="1" applyFont="1" applyBorder="1"/>
    <xf numFmtId="164" fontId="2" fillId="0" borderId="0" xfId="0" applyNumberFormat="1" applyFont="1"/>
    <xf numFmtId="164" fontId="2" fillId="0" borderId="0" xfId="0" applyNumberFormat="1" applyFont="1" applyBorder="1"/>
    <xf numFmtId="10" fontId="2" fillId="0" borderId="0" xfId="0" applyNumberFormat="1" applyFont="1"/>
    <xf numFmtId="0" fontId="2" fillId="0" borderId="0" xfId="0" applyFont="1" applyFill="1" applyAlignment="1"/>
    <xf numFmtId="0" fontId="2" fillId="0" borderId="0" xfId="0" applyFont="1" applyAlignment="1"/>
    <xf numFmtId="0" fontId="5" fillId="0" borderId="0" xfId="0" applyFont="1" applyAlignment="1">
      <alignment horizontal="centerContinuous"/>
    </xf>
    <xf numFmtId="0" fontId="5" fillId="0" borderId="0" xfId="0" applyFont="1"/>
    <xf numFmtId="0" fontId="2" fillId="0" borderId="0" xfId="0" applyFont="1" applyAlignment="1">
      <alignment horizontal="center"/>
    </xf>
    <xf numFmtId="0" fontId="0" fillId="0" borderId="0" xfId="0" applyFont="1" applyBorder="1"/>
    <xf numFmtId="0" fontId="15" fillId="0" borderId="0" xfId="0" applyFont="1" applyBorder="1" applyAlignment="1">
      <alignment horizontal="center"/>
    </xf>
    <xf numFmtId="169" fontId="1" fillId="0" borderId="0" xfId="0" applyNumberFormat="1" applyFont="1"/>
    <xf numFmtId="169" fontId="3" fillId="0" borderId="0" xfId="0" applyNumberFormat="1" applyFont="1"/>
    <xf numFmtId="42" fontId="0" fillId="0" borderId="0" xfId="0" applyNumberFormat="1" applyFont="1"/>
    <xf numFmtId="164" fontId="0" fillId="0" borderId="0" xfId="0" applyNumberFormat="1" applyFont="1"/>
    <xf numFmtId="42" fontId="15" fillId="0" borderId="0" xfId="0" applyNumberFormat="1" applyFont="1" applyBorder="1" applyAlignment="1">
      <alignment horizontal="center"/>
    </xf>
    <xf numFmtId="3" fontId="0" fillId="0" borderId="2" xfId="0" applyNumberFormat="1" applyFont="1" applyBorder="1"/>
    <xf numFmtId="169" fontId="0" fillId="0" borderId="2" xfId="0" applyNumberFormat="1" applyFont="1" applyBorder="1"/>
    <xf numFmtId="42" fontId="0" fillId="0" borderId="2" xfId="0" applyNumberFormat="1" applyFont="1" applyBorder="1"/>
    <xf numFmtId="164" fontId="0" fillId="0" borderId="2" xfId="0" applyNumberFormat="1" applyFont="1" applyBorder="1"/>
    <xf numFmtId="0" fontId="0" fillId="0" borderId="0" xfId="0" quotePrefix="1" applyFont="1"/>
    <xf numFmtId="0" fontId="16" fillId="0" borderId="0" xfId="0" applyFont="1"/>
    <xf numFmtId="3" fontId="1" fillId="0" borderId="0" xfId="0" applyNumberFormat="1" applyFont="1"/>
    <xf numFmtId="44" fontId="1" fillId="0" borderId="0" xfId="0" applyNumberFormat="1" applyFont="1" applyFill="1"/>
    <xf numFmtId="0" fontId="1" fillId="0" borderId="0" xfId="0" applyFont="1" applyFill="1"/>
    <xf numFmtId="171" fontId="1" fillId="0" borderId="0" xfId="0" applyNumberFormat="1" applyFont="1" applyFill="1"/>
    <xf numFmtId="0" fontId="1" fillId="0" borderId="1" xfId="0" applyFont="1" applyFill="1" applyBorder="1" applyAlignment="1">
      <alignment horizontal="center"/>
    </xf>
    <xf numFmtId="3" fontId="1" fillId="0" borderId="0" xfId="0" applyNumberFormat="1" applyFont="1" applyFill="1"/>
    <xf numFmtId="0" fontId="0" fillId="0" borderId="5" xfId="0" applyFont="1" applyFill="1" applyBorder="1" applyAlignment="1">
      <alignment horizontal="center" wrapText="1"/>
    </xf>
    <xf numFmtId="0" fontId="0" fillId="0" borderId="6" xfId="0" applyFont="1" applyFill="1" applyBorder="1" applyAlignment="1">
      <alignment horizontal="center" wrapText="1"/>
    </xf>
    <xf numFmtId="0" fontId="0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2" fillId="0" borderId="0" xfId="0" applyFont="1" applyFill="1" applyBorder="1" applyAlignment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FF"/>
      <color rgb="FF008080"/>
      <color rgb="FF84FCBA"/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17" Type="http://schemas.openxmlformats.org/officeDocument/2006/relationships/customXml" Target="../customXml/item5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6"/>
  <sheetViews>
    <sheetView tabSelected="1" zoomScale="90" zoomScaleNormal="90" workbookViewId="0">
      <selection activeCell="B25" sqref="B25"/>
    </sheetView>
  </sheetViews>
  <sheetFormatPr defaultColWidth="9.140625" defaultRowHeight="15" x14ac:dyDescent="0.25"/>
  <cols>
    <col min="1" max="1" width="4.42578125" style="1" customWidth="1"/>
    <col min="2" max="2" width="24.42578125" style="1" customWidth="1"/>
    <col min="3" max="3" width="9.140625" style="1" bestFit="1" customWidth="1"/>
    <col min="4" max="4" width="15" style="1" customWidth="1"/>
    <col min="5" max="5" width="10.140625" style="1" bestFit="1" customWidth="1"/>
    <col min="6" max="6" width="14.7109375" style="1" bestFit="1" customWidth="1"/>
    <col min="7" max="7" width="16.28515625" style="1" bestFit="1" customWidth="1"/>
    <col min="8" max="8" width="10.140625" style="1" bestFit="1" customWidth="1"/>
    <col min="9" max="12" width="12.7109375" style="1" bestFit="1" customWidth="1"/>
    <col min="13" max="13" width="10.85546875" style="1" customWidth="1"/>
    <col min="14" max="14" width="10" style="1" customWidth="1"/>
    <col min="15" max="16384" width="9.140625" style="1"/>
  </cols>
  <sheetData>
    <row r="1" spans="1:15" x14ac:dyDescent="0.25">
      <c r="A1" s="86" t="s">
        <v>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</row>
    <row r="2" spans="1:15" x14ac:dyDescent="0.25">
      <c r="A2" s="87" t="s">
        <v>95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5" x14ac:dyDescent="0.25">
      <c r="A3" s="86" t="s">
        <v>87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</row>
    <row r="4" spans="1:15" x14ac:dyDescent="0.25">
      <c r="A4" s="86" t="s">
        <v>88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</row>
    <row r="6" spans="1:15" ht="30" customHeight="1" x14ac:dyDescent="0.25">
      <c r="B6" s="4"/>
      <c r="C6" s="4"/>
      <c r="D6" s="184" t="s">
        <v>90</v>
      </c>
      <c r="E6" s="185"/>
      <c r="F6" s="36" t="s">
        <v>63</v>
      </c>
      <c r="G6" s="184" t="s">
        <v>64</v>
      </c>
      <c r="H6" s="185"/>
      <c r="I6" s="38" t="s">
        <v>65</v>
      </c>
      <c r="J6" s="38" t="s">
        <v>66</v>
      </c>
      <c r="K6" s="38" t="s">
        <v>67</v>
      </c>
      <c r="L6" s="38" t="s">
        <v>21</v>
      </c>
      <c r="M6" s="4" t="s">
        <v>1</v>
      </c>
      <c r="N6" s="4" t="s">
        <v>84</v>
      </c>
    </row>
    <row r="7" spans="1:15" ht="15" customHeight="1" x14ac:dyDescent="0.25">
      <c r="A7" s="11" t="s">
        <v>25</v>
      </c>
      <c r="B7" s="4"/>
      <c r="C7" s="4"/>
      <c r="D7" s="5" t="s">
        <v>91</v>
      </c>
      <c r="E7" s="12" t="s">
        <v>29</v>
      </c>
      <c r="F7" s="17" t="s">
        <v>29</v>
      </c>
      <c r="G7" s="5" t="s">
        <v>91</v>
      </c>
      <c r="H7" s="17" t="s">
        <v>29</v>
      </c>
      <c r="I7" s="17" t="s">
        <v>2</v>
      </c>
      <c r="J7" s="17" t="s">
        <v>2</v>
      </c>
      <c r="K7" s="17" t="s">
        <v>2</v>
      </c>
      <c r="L7" s="17" t="s">
        <v>2</v>
      </c>
      <c r="M7" s="4" t="s">
        <v>3</v>
      </c>
      <c r="N7" s="4" t="s">
        <v>3</v>
      </c>
    </row>
    <row r="8" spans="1:15" ht="17.25" x14ac:dyDescent="0.25">
      <c r="A8" s="6" t="s">
        <v>26</v>
      </c>
      <c r="B8" s="6" t="s">
        <v>4</v>
      </c>
      <c r="C8" s="6" t="s">
        <v>5</v>
      </c>
      <c r="D8" s="7" t="s">
        <v>92</v>
      </c>
      <c r="E8" s="7" t="s">
        <v>28</v>
      </c>
      <c r="F8" s="7" t="s">
        <v>28</v>
      </c>
      <c r="G8" s="7" t="s">
        <v>93</v>
      </c>
      <c r="H8" s="7" t="s">
        <v>28</v>
      </c>
      <c r="I8" s="7" t="s">
        <v>6</v>
      </c>
      <c r="J8" s="7" t="s">
        <v>6</v>
      </c>
      <c r="K8" s="7" t="s">
        <v>6</v>
      </c>
      <c r="L8" s="7" t="s">
        <v>6</v>
      </c>
      <c r="M8" s="7" t="s">
        <v>7</v>
      </c>
      <c r="N8" s="7" t="s">
        <v>8</v>
      </c>
    </row>
    <row r="9" spans="1:15" x14ac:dyDescent="0.25">
      <c r="A9" s="31"/>
      <c r="B9" s="32" t="s">
        <v>30</v>
      </c>
      <c r="C9" s="32" t="s">
        <v>31</v>
      </c>
      <c r="D9" s="33" t="s">
        <v>32</v>
      </c>
      <c r="E9" s="33" t="s">
        <v>33</v>
      </c>
      <c r="F9" s="33" t="s">
        <v>81</v>
      </c>
      <c r="G9" s="33" t="s">
        <v>82</v>
      </c>
      <c r="H9" s="33" t="s">
        <v>83</v>
      </c>
      <c r="I9" s="33" t="s">
        <v>34</v>
      </c>
      <c r="J9" s="33" t="s">
        <v>35</v>
      </c>
      <c r="K9" s="33" t="s">
        <v>36</v>
      </c>
      <c r="L9" s="33" t="s">
        <v>37</v>
      </c>
      <c r="M9" s="33" t="s">
        <v>38</v>
      </c>
      <c r="N9" s="33" t="s">
        <v>39</v>
      </c>
      <c r="O9" s="5"/>
    </row>
    <row r="10" spans="1:15" x14ac:dyDescent="0.25">
      <c r="A10" s="11">
        <v>1</v>
      </c>
      <c r="B10" s="1" t="s">
        <v>9</v>
      </c>
      <c r="C10" s="17" t="s">
        <v>10</v>
      </c>
      <c r="D10" s="29">
        <f>SUM('Therm Forecast'!N7:N8,'Therm Forecast'!N17)</f>
        <v>545275773</v>
      </c>
      <c r="E10" s="79">
        <f>D10/$D$17</f>
        <v>0.48736420694099764</v>
      </c>
      <c r="F10" s="35">
        <v>1</v>
      </c>
      <c r="G10" s="80">
        <v>0</v>
      </c>
      <c r="H10" s="79">
        <f t="shared" ref="H10:H16" si="0">G10/$G$17</f>
        <v>0</v>
      </c>
      <c r="I10" s="81">
        <f>I$19*E10</f>
        <v>32543.959299768525</v>
      </c>
      <c r="J10" s="81">
        <f>J$19*F10</f>
        <v>19116.596325181818</v>
      </c>
      <c r="K10" s="81">
        <f>K$19*H10</f>
        <v>0</v>
      </c>
      <c r="L10" s="82">
        <f>SUM(I10:K10)</f>
        <v>51660.555624950342</v>
      </c>
      <c r="M10" s="83">
        <f>ROUND(L10/D10,5)</f>
        <v>9.0000000000000006E-5</v>
      </c>
      <c r="N10" s="88">
        <f>ROUND(M10*19,2)</f>
        <v>0</v>
      </c>
    </row>
    <row r="11" spans="1:15" x14ac:dyDescent="0.25">
      <c r="A11" s="11">
        <f>A10+1</f>
        <v>2</v>
      </c>
      <c r="B11" s="1" t="s">
        <v>11</v>
      </c>
      <c r="C11" s="17" t="s">
        <v>12</v>
      </c>
      <c r="D11" s="29">
        <f>SUM('Therm Forecast'!N9:N12)</f>
        <v>228642219</v>
      </c>
      <c r="E11" s="79">
        <f t="shared" ref="E11:E16" si="1">D11/$D$17</f>
        <v>0.20435904042295475</v>
      </c>
      <c r="F11" s="35">
        <v>0</v>
      </c>
      <c r="G11" s="29">
        <f>SUM('Therm Forecast'!N10,'Therm Forecast'!N12)</f>
        <v>11927622</v>
      </c>
      <c r="H11" s="79">
        <f t="shared" si="0"/>
        <v>5.470996568056366E-2</v>
      </c>
      <c r="I11" s="81">
        <f t="shared" ref="I11:J16" si="2">I$19*E11</f>
        <v>13646.164817494582</v>
      </c>
      <c r="J11" s="81">
        <f t="shared" si="2"/>
        <v>0</v>
      </c>
      <c r="K11" s="81">
        <f t="shared" ref="K11:K16" si="3">K$19*H11</f>
        <v>471.53970742814636</v>
      </c>
      <c r="L11" s="82">
        <f t="shared" ref="L11:L16" si="4">SUM(I11:K11)</f>
        <v>14117.704524922729</v>
      </c>
      <c r="M11" s="83">
        <f t="shared" ref="M11:M15" si="5">ROUND(L11/D11,5)</f>
        <v>6.0000000000000002E-5</v>
      </c>
      <c r="N11" s="10"/>
    </row>
    <row r="12" spans="1:15" x14ac:dyDescent="0.25">
      <c r="A12" s="11">
        <f t="shared" ref="A12:A19" si="6">A11+1</f>
        <v>3</v>
      </c>
      <c r="B12" s="1" t="s">
        <v>13</v>
      </c>
      <c r="C12" s="17" t="s">
        <v>14</v>
      </c>
      <c r="D12" s="29">
        <f>SUM('Therm Forecast'!N13:N16)</f>
        <v>82494154</v>
      </c>
      <c r="E12" s="79">
        <f t="shared" si="1"/>
        <v>7.3732778774087446E-2</v>
      </c>
      <c r="F12" s="35">
        <v>0</v>
      </c>
      <c r="G12" s="29">
        <f>SUM('Therm Forecast'!N14,'Therm Forecast'!N16)</f>
        <v>14368045</v>
      </c>
      <c r="H12" s="79">
        <f t="shared" si="0"/>
        <v>6.5903769321897884E-2</v>
      </c>
      <c r="I12" s="81">
        <f t="shared" si="2"/>
        <v>4923.5387361412013</v>
      </c>
      <c r="J12" s="81">
        <f t="shared" si="2"/>
        <v>0</v>
      </c>
      <c r="K12" s="81">
        <f t="shared" si="3"/>
        <v>568.01797840461757</v>
      </c>
      <c r="L12" s="82">
        <f t="shared" si="4"/>
        <v>5491.556714545819</v>
      </c>
      <c r="M12" s="83">
        <f t="shared" si="5"/>
        <v>6.9999999999999994E-5</v>
      </c>
      <c r="N12" s="10"/>
    </row>
    <row r="13" spans="1:15" x14ac:dyDescent="0.25">
      <c r="A13" s="11">
        <f t="shared" si="6"/>
        <v>4</v>
      </c>
      <c r="B13" s="1" t="s">
        <v>15</v>
      </c>
      <c r="C13" s="17" t="s">
        <v>16</v>
      </c>
      <c r="D13" s="29">
        <f>SUM('Therm Forecast'!N18:N21)</f>
        <v>80069954</v>
      </c>
      <c r="E13" s="79">
        <f t="shared" si="1"/>
        <v>7.1566043391794273E-2</v>
      </c>
      <c r="F13" s="35">
        <v>0</v>
      </c>
      <c r="G13" s="29">
        <f>SUM('Therm Forecast'!N19,'Therm Forecast'!N21)</f>
        <v>50357711</v>
      </c>
      <c r="H13" s="79">
        <f t="shared" si="0"/>
        <v>0.2309822226560955</v>
      </c>
      <c r="I13" s="81">
        <f t="shared" si="2"/>
        <v>4778.8540278871669</v>
      </c>
      <c r="J13" s="81">
        <f t="shared" si="2"/>
        <v>0</v>
      </c>
      <c r="K13" s="81">
        <f t="shared" si="3"/>
        <v>1990.812612245018</v>
      </c>
      <c r="L13" s="82">
        <f t="shared" si="4"/>
        <v>6769.6666401321854</v>
      </c>
      <c r="M13" s="83">
        <f t="shared" si="5"/>
        <v>8.0000000000000007E-5</v>
      </c>
      <c r="N13" s="10"/>
    </row>
    <row r="14" spans="1:15" x14ac:dyDescent="0.25">
      <c r="A14" s="11">
        <f t="shared" si="6"/>
        <v>5</v>
      </c>
      <c r="B14" s="1" t="s">
        <v>17</v>
      </c>
      <c r="C14" s="17" t="s">
        <v>18</v>
      </c>
      <c r="D14" s="29">
        <f>SUM('Therm Forecast'!N22:N25)</f>
        <v>5950024</v>
      </c>
      <c r="E14" s="79">
        <f t="shared" si="1"/>
        <v>5.3180956712703658E-3</v>
      </c>
      <c r="F14" s="35">
        <v>0</v>
      </c>
      <c r="G14" s="29">
        <f>SUM('Therm Forecast'!N23,'Therm Forecast'!N25)</f>
        <v>757448</v>
      </c>
      <c r="H14" s="79">
        <f t="shared" si="0"/>
        <v>3.4742846549640476E-3</v>
      </c>
      <c r="I14" s="81">
        <f t="shared" si="2"/>
        <v>355.11817776772182</v>
      </c>
      <c r="J14" s="81">
        <f t="shared" si="2"/>
        <v>0</v>
      </c>
      <c r="K14" s="81">
        <f t="shared" si="3"/>
        <v>29.944511010831381</v>
      </c>
      <c r="L14" s="82">
        <f t="shared" si="4"/>
        <v>385.06268877855319</v>
      </c>
      <c r="M14" s="83">
        <f t="shared" si="5"/>
        <v>6.0000000000000002E-5</v>
      </c>
      <c r="N14" s="10"/>
    </row>
    <row r="15" spans="1:15" x14ac:dyDescent="0.25">
      <c r="A15" s="11">
        <f t="shared" si="6"/>
        <v>6</v>
      </c>
      <c r="B15" s="1" t="s">
        <v>19</v>
      </c>
      <c r="C15" s="17" t="s">
        <v>202</v>
      </c>
      <c r="D15" s="29">
        <f>SUM('Therm Forecast'!N26:N29)</f>
        <v>144322787</v>
      </c>
      <c r="E15" s="79">
        <f t="shared" si="1"/>
        <v>0.12899483914861098</v>
      </c>
      <c r="F15" s="35">
        <v>0</v>
      </c>
      <c r="G15" s="29">
        <f>SUM('Therm Forecast'!N27,'Therm Forecast'!N29)</f>
        <v>108533557</v>
      </c>
      <c r="H15" s="79">
        <f t="shared" si="0"/>
        <v>0.49782489574698963</v>
      </c>
      <c r="I15" s="81">
        <f t="shared" si="2"/>
        <v>8613.6871262702552</v>
      </c>
      <c r="J15" s="81">
        <f t="shared" si="2"/>
        <v>0</v>
      </c>
      <c r="K15" s="81">
        <f t="shared" si="3"/>
        <v>4290.7028504018699</v>
      </c>
      <c r="L15" s="82">
        <f t="shared" si="4"/>
        <v>12904.389976672126</v>
      </c>
      <c r="M15" s="83">
        <f t="shared" si="5"/>
        <v>9.0000000000000006E-5</v>
      </c>
      <c r="N15" s="10"/>
    </row>
    <row r="16" spans="1:15" x14ac:dyDescent="0.25">
      <c r="A16" s="11">
        <f t="shared" si="6"/>
        <v>7</v>
      </c>
      <c r="B16" s="1" t="s">
        <v>20</v>
      </c>
      <c r="C16" s="17"/>
      <c r="D16" s="29">
        <f>'Therm Forecast'!N30</f>
        <v>32071144</v>
      </c>
      <c r="E16" s="79">
        <f t="shared" si="1"/>
        <v>2.866499565028453E-2</v>
      </c>
      <c r="F16" s="35">
        <v>0</v>
      </c>
      <c r="G16" s="29">
        <f>'Therm Forecast'!N30</f>
        <v>32071144</v>
      </c>
      <c r="H16" s="79">
        <f t="shared" si="0"/>
        <v>0.1471048619394893</v>
      </c>
      <c r="I16" s="81">
        <f t="shared" si="2"/>
        <v>1914.1176936775726</v>
      </c>
      <c r="J16" s="81">
        <f t="shared" si="2"/>
        <v>0</v>
      </c>
      <c r="K16" s="81">
        <f t="shared" si="3"/>
        <v>1267.8820521513803</v>
      </c>
      <c r="L16" s="82">
        <f t="shared" si="4"/>
        <v>3181.9997458289527</v>
      </c>
      <c r="M16" s="83">
        <f>ROUND(L16/D16,5)</f>
        <v>1E-4</v>
      </c>
      <c r="N16" s="10"/>
    </row>
    <row r="17" spans="1:14" x14ac:dyDescent="0.25">
      <c r="A17" s="11">
        <f t="shared" si="6"/>
        <v>8</v>
      </c>
      <c r="B17" s="1" t="s">
        <v>21</v>
      </c>
      <c r="D17" s="30">
        <f t="shared" ref="D17:L17" si="7">SUM(D10:D16)</f>
        <v>1118826055</v>
      </c>
      <c r="E17" s="34">
        <f t="shared" si="7"/>
        <v>1</v>
      </c>
      <c r="F17" s="34">
        <f t="shared" si="7"/>
        <v>1</v>
      </c>
      <c r="G17" s="30">
        <f t="shared" si="7"/>
        <v>218015527</v>
      </c>
      <c r="H17" s="34">
        <f t="shared" si="7"/>
        <v>1</v>
      </c>
      <c r="I17" s="78">
        <f t="shared" si="7"/>
        <v>66775.439879007012</v>
      </c>
      <c r="J17" s="78">
        <f t="shared" si="7"/>
        <v>19116.596325181818</v>
      </c>
      <c r="K17" s="78">
        <f t="shared" si="7"/>
        <v>8618.8997116418632</v>
      </c>
      <c r="L17" s="78">
        <f t="shared" si="7"/>
        <v>94510.935915830705</v>
      </c>
      <c r="M17" s="8"/>
      <c r="N17" s="8"/>
    </row>
    <row r="18" spans="1:14" x14ac:dyDescent="0.25">
      <c r="A18" s="11">
        <f t="shared" si="6"/>
        <v>9</v>
      </c>
      <c r="D18" s="15"/>
      <c r="E18" s="9"/>
      <c r="F18" s="9"/>
      <c r="G18" s="9"/>
      <c r="H18" s="9"/>
      <c r="I18" s="9"/>
      <c r="J18" s="9"/>
      <c r="K18" s="9"/>
      <c r="L18" s="9"/>
    </row>
    <row r="19" spans="1:14" x14ac:dyDescent="0.25">
      <c r="A19" s="11">
        <f t="shared" si="6"/>
        <v>10</v>
      </c>
      <c r="B19" s="1" t="s">
        <v>22</v>
      </c>
      <c r="D19" s="3"/>
      <c r="I19" s="84">
        <f>'Revenue Requirement'!L39</f>
        <v>66775.439879007026</v>
      </c>
      <c r="J19" s="84">
        <f>'Revenue Requirement'!J39</f>
        <v>19116.596325181818</v>
      </c>
      <c r="K19" s="84">
        <f>'Revenue Requirement'!K39</f>
        <v>8618.8997116418632</v>
      </c>
      <c r="L19" s="77">
        <f>SUM(I19:K19)</f>
        <v>94510.935915830705</v>
      </c>
      <c r="M19" s="16"/>
      <c r="N19" s="16"/>
    </row>
    <row r="20" spans="1:14" x14ac:dyDescent="0.25">
      <c r="D20" s="3"/>
    </row>
    <row r="21" spans="1:14" ht="17.25" x14ac:dyDescent="0.25">
      <c r="B21" s="3" t="s">
        <v>94</v>
      </c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</row>
    <row r="22" spans="1:14" x14ac:dyDescent="0.25">
      <c r="D22" s="3"/>
    </row>
    <row r="23" spans="1:14" x14ac:dyDescent="0.25">
      <c r="B23" s="188" t="s">
        <v>201</v>
      </c>
      <c r="D23" s="3"/>
    </row>
    <row r="24" spans="1:14" x14ac:dyDescent="0.25">
      <c r="D24" s="3"/>
    </row>
    <row r="25" spans="1:14" x14ac:dyDescent="0.25">
      <c r="D25" s="3"/>
    </row>
    <row r="26" spans="1:14" x14ac:dyDescent="0.25">
      <c r="D26" s="3"/>
    </row>
  </sheetData>
  <mergeCells count="2">
    <mergeCell ref="D6:E6"/>
    <mergeCell ref="G6:H6"/>
  </mergeCells>
  <printOptions horizontalCentered="1"/>
  <pageMargins left="0.45" right="0.45" top="0.75" bottom="0.75" header="0.3" footer="0.3"/>
  <pageSetup scale="73" orientation="landscape" blackAndWhite="1" r:id="rId1"/>
  <headerFooter>
    <oddFooter>&amp;L&amp;F 
&amp;A&amp;C&amp;P</oddFooter>
  </headerFooter>
  <customProperties>
    <customPr name="EpmWorksheetKeyString_GU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"/>
  <sheetViews>
    <sheetView workbookViewId="0"/>
  </sheetViews>
  <sheetFormatPr defaultRowHeight="15" x14ac:dyDescent="0.25"/>
  <sheetData/>
  <pageMargins left="0.7" right="0.7" top="0.75" bottom="0.75" header="0.3" footer="0.3"/>
  <customProperties>
    <customPr name="EpmWorksheetKeyString_GUID" r:id="rId1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7"/>
  <sheetViews>
    <sheetView zoomScale="85" zoomScaleNormal="85" workbookViewId="0">
      <pane xSplit="3" ySplit="9" topLeftCell="D10" activePane="bottomRight" state="frozenSplit"/>
      <selection activeCell="O38" sqref="O38"/>
      <selection pane="topRight" activeCell="O38" sqref="O38"/>
      <selection pane="bottomLeft" activeCell="O38" sqref="O38"/>
      <selection pane="bottomRight" activeCell="H39" sqref="H39"/>
    </sheetView>
  </sheetViews>
  <sheetFormatPr defaultRowHeight="15" x14ac:dyDescent="0.25"/>
  <cols>
    <col min="1" max="1" width="5" bestFit="1" customWidth="1"/>
    <col min="2" max="2" width="37.5703125" customWidth="1"/>
    <col min="3" max="3" width="8.42578125" bestFit="1" customWidth="1"/>
    <col min="4" max="4" width="14.28515625" bestFit="1" customWidth="1"/>
    <col min="5" max="5" width="14.7109375" bestFit="1" customWidth="1"/>
    <col min="6" max="6" width="10" bestFit="1" customWidth="1"/>
    <col min="7" max="7" width="14.28515625" bestFit="1" customWidth="1"/>
    <col min="8" max="8" width="14.7109375" bestFit="1" customWidth="1"/>
    <col min="9" max="9" width="13.7109375" bestFit="1" customWidth="1"/>
    <col min="10" max="10" width="14.42578125" bestFit="1" customWidth="1"/>
    <col min="11" max="12" width="12.5703125" bestFit="1" customWidth="1"/>
    <col min="13" max="13" width="11.5703125" bestFit="1" customWidth="1"/>
    <col min="14" max="15" width="12.5703125" bestFit="1" customWidth="1"/>
    <col min="16" max="16" width="11.5703125" bestFit="1" customWidth="1"/>
    <col min="17" max="17" width="12.28515625" bestFit="1" customWidth="1"/>
    <col min="18" max="18" width="12.5703125" bestFit="1" customWidth="1"/>
    <col min="19" max="19" width="12.28515625" bestFit="1" customWidth="1"/>
    <col min="20" max="20" width="16.5703125" bestFit="1" customWidth="1"/>
    <col min="21" max="21" width="14.140625" bestFit="1" customWidth="1"/>
    <col min="22" max="22" width="7.85546875" bestFit="1" customWidth="1"/>
  </cols>
  <sheetData>
    <row r="1" spans="1:22" x14ac:dyDescent="0.25">
      <c r="A1" s="89" t="s">
        <v>0</v>
      </c>
      <c r="B1" s="90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  <c r="V1" s="89"/>
    </row>
    <row r="2" spans="1:22" x14ac:dyDescent="0.25">
      <c r="A2" s="89" t="s">
        <v>95</v>
      </c>
      <c r="B2" s="90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</row>
    <row r="3" spans="1:22" x14ac:dyDescent="0.25">
      <c r="A3" s="90" t="s">
        <v>96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</row>
    <row r="4" spans="1:22" x14ac:dyDescent="0.25">
      <c r="A4" s="90" t="s">
        <v>97</v>
      </c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Q4" s="90"/>
      <c r="R4" s="90"/>
      <c r="S4" s="90"/>
      <c r="T4" s="90"/>
      <c r="U4" s="90"/>
      <c r="V4" s="90"/>
    </row>
    <row r="5" spans="1:22" x14ac:dyDescent="0.25">
      <c r="F5" s="91"/>
      <c r="P5" s="91"/>
      <c r="Q5" s="91"/>
      <c r="R5" s="91"/>
    </row>
    <row r="6" spans="1:22" x14ac:dyDescent="0.25">
      <c r="F6" s="91"/>
      <c r="G6" s="92" t="s">
        <v>98</v>
      </c>
      <c r="P6" s="91"/>
      <c r="Q6" s="91"/>
      <c r="R6" s="91"/>
    </row>
    <row r="7" spans="1:22" x14ac:dyDescent="0.25">
      <c r="B7" s="92"/>
      <c r="C7" s="92"/>
      <c r="D7" s="92" t="s">
        <v>99</v>
      </c>
      <c r="E7" s="92" t="str">
        <f>D7</f>
        <v>UG-220067</v>
      </c>
      <c r="F7" s="92" t="s">
        <v>100</v>
      </c>
      <c r="G7" s="92" t="s">
        <v>101</v>
      </c>
      <c r="H7" s="91"/>
      <c r="I7" s="92"/>
      <c r="J7" s="92"/>
      <c r="K7" s="92"/>
      <c r="L7" s="92"/>
      <c r="M7" s="92"/>
      <c r="N7" s="92"/>
      <c r="O7" s="92"/>
      <c r="P7" s="92"/>
      <c r="Q7" s="92"/>
      <c r="R7" s="92"/>
      <c r="S7" s="92"/>
      <c r="T7" s="93" t="s">
        <v>102</v>
      </c>
      <c r="U7" s="93" t="s">
        <v>103</v>
      </c>
      <c r="V7" s="92"/>
    </row>
    <row r="8" spans="1:22" x14ac:dyDescent="0.25">
      <c r="A8" t="s">
        <v>25</v>
      </c>
      <c r="B8" s="92"/>
      <c r="C8" s="92" t="s">
        <v>104</v>
      </c>
      <c r="D8" s="92" t="s">
        <v>105</v>
      </c>
      <c r="E8" s="92" t="s">
        <v>106</v>
      </c>
      <c r="F8" s="92" t="s">
        <v>104</v>
      </c>
      <c r="G8" s="93" t="s">
        <v>107</v>
      </c>
      <c r="H8" s="91" t="s">
        <v>106</v>
      </c>
      <c r="I8" s="92" t="s">
        <v>108</v>
      </c>
      <c r="J8" s="92" t="s">
        <v>109</v>
      </c>
      <c r="K8" s="92" t="s">
        <v>110</v>
      </c>
      <c r="L8" s="92" t="s">
        <v>111</v>
      </c>
      <c r="M8" s="92" t="s">
        <v>112</v>
      </c>
      <c r="N8" s="92" t="s">
        <v>113</v>
      </c>
      <c r="O8" s="92" t="s">
        <v>114</v>
      </c>
      <c r="P8" s="92" t="s">
        <v>115</v>
      </c>
      <c r="Q8" s="92" t="s">
        <v>116</v>
      </c>
      <c r="R8" s="92" t="s">
        <v>117</v>
      </c>
      <c r="S8" s="92" t="s">
        <v>118</v>
      </c>
      <c r="T8" s="92" t="s">
        <v>119</v>
      </c>
      <c r="U8" s="92" t="s">
        <v>2</v>
      </c>
      <c r="V8" s="92" t="s">
        <v>29</v>
      </c>
    </row>
    <row r="9" spans="1:22" ht="17.25" x14ac:dyDescent="0.25">
      <c r="A9" t="s">
        <v>26</v>
      </c>
      <c r="B9" s="94" t="s">
        <v>4</v>
      </c>
      <c r="C9" s="94" t="s">
        <v>120</v>
      </c>
      <c r="D9" s="94" t="s">
        <v>121</v>
      </c>
      <c r="E9" s="94" t="s">
        <v>122</v>
      </c>
      <c r="F9" s="94" t="s">
        <v>123</v>
      </c>
      <c r="G9" s="95" t="s">
        <v>124</v>
      </c>
      <c r="H9" s="94" t="s">
        <v>2</v>
      </c>
      <c r="I9" s="94" t="s">
        <v>2</v>
      </c>
      <c r="J9" s="94" t="s">
        <v>2</v>
      </c>
      <c r="K9" s="94" t="s">
        <v>2</v>
      </c>
      <c r="L9" s="94" t="s">
        <v>2</v>
      </c>
      <c r="M9" s="94" t="s">
        <v>2</v>
      </c>
      <c r="N9" s="94" t="s">
        <v>2</v>
      </c>
      <c r="O9" s="94" t="s">
        <v>2</v>
      </c>
      <c r="P9" s="94" t="s">
        <v>2</v>
      </c>
      <c r="Q9" s="94" t="s">
        <v>2</v>
      </c>
      <c r="R9" s="94" t="s">
        <v>2</v>
      </c>
      <c r="S9" s="94" t="s">
        <v>2</v>
      </c>
      <c r="T9" s="6" t="s">
        <v>125</v>
      </c>
      <c r="U9" s="94" t="s">
        <v>126</v>
      </c>
      <c r="V9" s="94" t="s">
        <v>126</v>
      </c>
    </row>
    <row r="10" spans="1:22" x14ac:dyDescent="0.25">
      <c r="B10" s="92" t="s">
        <v>30</v>
      </c>
      <c r="C10" s="92" t="s">
        <v>31</v>
      </c>
      <c r="D10" s="96" t="s">
        <v>32</v>
      </c>
      <c r="E10" s="97" t="s">
        <v>33</v>
      </c>
      <c r="F10" s="92" t="s">
        <v>127</v>
      </c>
      <c r="G10" s="92" t="s">
        <v>128</v>
      </c>
      <c r="H10" s="92" t="s">
        <v>129</v>
      </c>
      <c r="I10" s="92" t="s">
        <v>34</v>
      </c>
      <c r="J10" s="92" t="s">
        <v>35</v>
      </c>
      <c r="K10" s="92" t="s">
        <v>36</v>
      </c>
      <c r="L10" s="92" t="s">
        <v>37</v>
      </c>
      <c r="M10" s="97" t="s">
        <v>38</v>
      </c>
      <c r="N10" s="97" t="s">
        <v>39</v>
      </c>
      <c r="O10" s="97" t="s">
        <v>130</v>
      </c>
      <c r="P10" s="97" t="s">
        <v>131</v>
      </c>
      <c r="Q10" s="97" t="s">
        <v>132</v>
      </c>
      <c r="R10" s="97" t="s">
        <v>133</v>
      </c>
      <c r="S10" s="97" t="s">
        <v>134</v>
      </c>
      <c r="T10" s="98" t="s">
        <v>135</v>
      </c>
      <c r="U10" s="92" t="s">
        <v>136</v>
      </c>
      <c r="V10" s="92" t="s">
        <v>137</v>
      </c>
    </row>
    <row r="11" spans="1:22" x14ac:dyDescent="0.25">
      <c r="A11" s="91">
        <v>1</v>
      </c>
      <c r="B11" t="s">
        <v>9</v>
      </c>
      <c r="C11" s="91" t="s">
        <v>138</v>
      </c>
      <c r="D11" s="178">
        <v>620836684.05687141</v>
      </c>
      <c r="E11" s="103">
        <v>403613457.09474093</v>
      </c>
      <c r="F11" s="100">
        <f t="shared" ref="F11:F16" si="0">(E11)/D11</f>
        <v>0.6501121268436002</v>
      </c>
      <c r="G11" s="178">
        <v>545268777</v>
      </c>
      <c r="H11" s="101">
        <f>F11*G11</f>
        <v>354485844.31687874</v>
      </c>
      <c r="I11" s="103">
        <v>303229419.57999998</v>
      </c>
      <c r="J11" s="103">
        <v>-109997070.38</v>
      </c>
      <c r="K11" s="103">
        <v>36109134.87256062</v>
      </c>
      <c r="L11" s="103">
        <v>15676477.338750001</v>
      </c>
      <c r="M11" s="103">
        <v>2998978.2734999997</v>
      </c>
      <c r="N11" s="103">
        <v>8702489.6809199993</v>
      </c>
      <c r="O11" s="103">
        <v>12459391.55445</v>
      </c>
      <c r="P11" s="103">
        <v>1717596.6475500001</v>
      </c>
      <c r="Q11" s="103">
        <v>-2617290.1295999996</v>
      </c>
      <c r="R11" s="103">
        <v>38812231.546859995</v>
      </c>
      <c r="S11" s="103">
        <v>2530047.13</v>
      </c>
      <c r="T11" s="10">
        <f t="shared" ref="T11:T23" si="1">SUM(H11:S11)</f>
        <v>664107250.43186927</v>
      </c>
      <c r="U11" s="99">
        <f>'Sch. 141PFG'!H9</f>
        <v>49074.18993</v>
      </c>
      <c r="V11" s="102">
        <f>U11/T11</f>
        <v>7.3894976900322999E-5</v>
      </c>
    </row>
    <row r="12" spans="1:22" x14ac:dyDescent="0.25">
      <c r="A12" s="91">
        <f>A11+1</f>
        <v>2</v>
      </c>
      <c r="B12" t="s">
        <v>139</v>
      </c>
      <c r="C12" s="91">
        <v>16</v>
      </c>
      <c r="D12" s="178">
        <v>8190.2669999999998</v>
      </c>
      <c r="E12" s="103">
        <v>5233.1499999999996</v>
      </c>
      <c r="F12" s="100">
        <f t="shared" si="0"/>
        <v>0.63894742381414427</v>
      </c>
      <c r="G12" s="178">
        <v>6996</v>
      </c>
      <c r="H12" s="101">
        <f t="shared" ref="H12:H23" si="2">F12*G12</f>
        <v>4470.0761770037534</v>
      </c>
      <c r="I12" s="103">
        <v>3890.55</v>
      </c>
      <c r="J12" s="103">
        <v>-1411.3</v>
      </c>
      <c r="K12" s="103">
        <v>739.38882947368415</v>
      </c>
      <c r="L12" s="103">
        <v>201.13500000000002</v>
      </c>
      <c r="M12" s="103"/>
      <c r="N12" s="103"/>
      <c r="O12" s="103">
        <v>159.8586</v>
      </c>
      <c r="P12" s="103">
        <v>22.037400000000002</v>
      </c>
      <c r="Q12" s="103">
        <v>-33.580799999999996</v>
      </c>
      <c r="R12" s="103">
        <v>497.97527999999994</v>
      </c>
      <c r="S12" s="103"/>
      <c r="T12" s="10">
        <f t="shared" si="1"/>
        <v>8536.1404864774377</v>
      </c>
      <c r="U12" s="99">
        <f>'Sch. 141PFG'!H10</f>
        <v>0.62964000000000009</v>
      </c>
      <c r="V12" s="102">
        <f t="shared" ref="V12:V24" si="3">U12/T12</f>
        <v>7.37616726197802E-5</v>
      </c>
    </row>
    <row r="13" spans="1:22" x14ac:dyDescent="0.25">
      <c r="A13" s="91">
        <f t="shared" ref="A13:A34" si="4">A12+1</f>
        <v>3</v>
      </c>
      <c r="B13" t="s">
        <v>11</v>
      </c>
      <c r="C13" s="91">
        <v>31</v>
      </c>
      <c r="D13" s="178">
        <v>222166912.14539161</v>
      </c>
      <c r="E13" s="103">
        <v>122121000.06</v>
      </c>
      <c r="F13" s="100">
        <f t="shared" si="0"/>
        <v>0.54968131339054194</v>
      </c>
      <c r="G13" s="178">
        <v>228642219</v>
      </c>
      <c r="H13" s="101">
        <f t="shared" si="2"/>
        <v>125680355.23644792</v>
      </c>
      <c r="I13" s="103">
        <v>125657190.72</v>
      </c>
      <c r="J13" s="103">
        <v>-45774172.240000002</v>
      </c>
      <c r="K13" s="103">
        <v>23819948.612333745</v>
      </c>
      <c r="L13" s="103">
        <v>6573463.7962500006</v>
      </c>
      <c r="M13" s="103">
        <v>1079191.2736800001</v>
      </c>
      <c r="N13" s="103">
        <v>3132398.4002999999</v>
      </c>
      <c r="O13" s="103">
        <v>5745778.9634699998</v>
      </c>
      <c r="P13" s="103">
        <v>660776.01291000005</v>
      </c>
      <c r="Q13" s="103">
        <v>-1006025.7636000001</v>
      </c>
      <c r="R13" s="103">
        <v>14928050.47851</v>
      </c>
      <c r="S13" s="103">
        <v>-4072117.92</v>
      </c>
      <c r="T13" s="10">
        <f t="shared" si="1"/>
        <v>256424837.57030168</v>
      </c>
      <c r="U13" s="99">
        <f>'Sch. 141PFG'!H11</f>
        <v>13718.53314</v>
      </c>
      <c r="V13" s="102">
        <f t="shared" si="3"/>
        <v>5.3499236930349672E-5</v>
      </c>
    </row>
    <row r="14" spans="1:22" x14ac:dyDescent="0.25">
      <c r="A14" s="91">
        <f t="shared" si="4"/>
        <v>4</v>
      </c>
      <c r="B14" t="s">
        <v>13</v>
      </c>
      <c r="C14" s="91">
        <v>41</v>
      </c>
      <c r="D14" s="178">
        <v>62517991.156948164</v>
      </c>
      <c r="E14" s="103">
        <v>17786398.291046247</v>
      </c>
      <c r="F14" s="100">
        <f t="shared" si="0"/>
        <v>0.28450047677306872</v>
      </c>
      <c r="G14" s="178">
        <v>60970775</v>
      </c>
      <c r="H14" s="101">
        <f t="shared" si="2"/>
        <v>17346214.556723498</v>
      </c>
      <c r="I14" s="103">
        <v>32561973.370000001</v>
      </c>
      <c r="J14" s="103">
        <v>-11963685.470000001</v>
      </c>
      <c r="K14" s="103">
        <v>6476945.1889428794</v>
      </c>
      <c r="L14" s="103">
        <v>1752909.78125</v>
      </c>
      <c r="M14" s="103">
        <v>140842.49025</v>
      </c>
      <c r="N14" s="103">
        <v>409723.60800000001</v>
      </c>
      <c r="O14" s="103">
        <v>612146.58100000001</v>
      </c>
      <c r="P14" s="103">
        <v>134135.70500000002</v>
      </c>
      <c r="Q14" s="103">
        <v>-128038.62749999999</v>
      </c>
      <c r="R14" s="103">
        <v>1902897.88775</v>
      </c>
      <c r="S14" s="103">
        <v>-2191315.06</v>
      </c>
      <c r="T14" s="10">
        <f t="shared" si="1"/>
        <v>47054750.011416376</v>
      </c>
      <c r="U14" s="99">
        <f>'Sch. 141PFG'!H12</f>
        <v>4267.9542499999998</v>
      </c>
      <c r="V14" s="102">
        <f t="shared" si="3"/>
        <v>9.0701879171911715E-5</v>
      </c>
    </row>
    <row r="15" spans="1:22" x14ac:dyDescent="0.25">
      <c r="A15" s="91">
        <f t="shared" si="4"/>
        <v>5</v>
      </c>
      <c r="B15" t="s">
        <v>15</v>
      </c>
      <c r="C15" s="91">
        <v>85</v>
      </c>
      <c r="D15" s="178">
        <v>19992939.502740219</v>
      </c>
      <c r="E15" s="103">
        <v>2272313.06</v>
      </c>
      <c r="F15" s="100">
        <f t="shared" si="0"/>
        <v>0.11365577631486147</v>
      </c>
      <c r="G15" s="178">
        <v>16936355</v>
      </c>
      <c r="H15" s="101">
        <f t="shared" si="2"/>
        <v>1924914.5754690857</v>
      </c>
      <c r="I15" s="103">
        <v>8439822.8399999999</v>
      </c>
      <c r="J15" s="103">
        <v>-3188607.56</v>
      </c>
      <c r="K15" s="103">
        <v>1498708.4434751938</v>
      </c>
      <c r="L15" s="103">
        <v>437635.41319999995</v>
      </c>
      <c r="M15" s="103">
        <v>18775.583371783741</v>
      </c>
      <c r="N15" s="103">
        <v>54732.331257848316</v>
      </c>
      <c r="O15" s="103">
        <v>89593.317950000011</v>
      </c>
      <c r="P15" s="103">
        <v>31332.25675</v>
      </c>
      <c r="Q15" s="103">
        <v>-21678.5344</v>
      </c>
      <c r="R15" s="103">
        <v>321621.38144999999</v>
      </c>
      <c r="S15" s="103"/>
      <c r="T15" s="10">
        <f t="shared" si="1"/>
        <v>9606850.0485239122</v>
      </c>
      <c r="U15" s="99">
        <f>'Sch. 141PFG'!H13</f>
        <v>1354.9084</v>
      </c>
      <c r="V15" s="102">
        <f t="shared" si="3"/>
        <v>1.410356561366523E-4</v>
      </c>
    </row>
    <row r="16" spans="1:22" x14ac:dyDescent="0.25">
      <c r="A16" s="91">
        <f t="shared" si="4"/>
        <v>6</v>
      </c>
      <c r="B16" t="s">
        <v>17</v>
      </c>
      <c r="C16" s="91">
        <v>86</v>
      </c>
      <c r="D16" s="178">
        <v>5773170.4876905456</v>
      </c>
      <c r="E16" s="103">
        <v>1192875.52</v>
      </c>
      <c r="F16" s="100">
        <f t="shared" si="0"/>
        <v>0.20662398980654192</v>
      </c>
      <c r="G16" s="178">
        <v>4761426</v>
      </c>
      <c r="H16" s="101">
        <f t="shared" si="2"/>
        <v>983824.83728860365</v>
      </c>
      <c r="I16" s="103">
        <v>2409192.39</v>
      </c>
      <c r="J16" s="103">
        <v>-904766.17</v>
      </c>
      <c r="K16" s="103">
        <v>513741.83528</v>
      </c>
      <c r="L16" s="103">
        <v>123035.24784</v>
      </c>
      <c r="M16" s="103">
        <v>8142.0384599999998</v>
      </c>
      <c r="N16" s="103">
        <v>23711.90148</v>
      </c>
      <c r="O16" s="103">
        <v>32044.396979999998</v>
      </c>
      <c r="P16" s="103">
        <v>2333.0987399999999</v>
      </c>
      <c r="Q16" s="103">
        <v>-5047.1115599999994</v>
      </c>
      <c r="R16" s="103">
        <v>74849.616719999991</v>
      </c>
      <c r="S16" s="103">
        <v>-126631.35</v>
      </c>
      <c r="T16" s="10">
        <f t="shared" si="1"/>
        <v>3134430.7312286035</v>
      </c>
      <c r="U16" s="99">
        <f>'Sch. 141PFG'!H14</f>
        <v>285.68556000000001</v>
      </c>
      <c r="V16" s="102">
        <f t="shared" si="3"/>
        <v>9.1144320770495947E-5</v>
      </c>
    </row>
    <row r="17" spans="1:22" x14ac:dyDescent="0.25">
      <c r="A17" s="91">
        <f t="shared" si="4"/>
        <v>7</v>
      </c>
      <c r="B17" t="s">
        <v>19</v>
      </c>
      <c r="C17" s="91">
        <v>87</v>
      </c>
      <c r="D17" s="178">
        <v>21819455.762355208</v>
      </c>
      <c r="E17" s="103">
        <v>1509849.77</v>
      </c>
      <c r="F17" s="100">
        <f>(E17)/D17</f>
        <v>6.9197407416775353E-2</v>
      </c>
      <c r="G17" s="178">
        <v>20400254</v>
      </c>
      <c r="H17" s="101">
        <f t="shared" si="2"/>
        <v>1411644.6874437011</v>
      </c>
      <c r="I17" s="103">
        <v>10043861.050000001</v>
      </c>
      <c r="J17" s="103">
        <v>-3813011.48</v>
      </c>
      <c r="K17" s="103">
        <v>162465.6001044687</v>
      </c>
      <c r="L17" s="103">
        <v>527142.56335999991</v>
      </c>
      <c r="M17" s="103">
        <v>9370.9437627335901</v>
      </c>
      <c r="N17" s="103">
        <v>27093.573709896766</v>
      </c>
      <c r="O17" s="103">
        <v>76908.957580000002</v>
      </c>
      <c r="P17" s="103">
        <v>15810.611630403841</v>
      </c>
      <c r="Q17" s="103">
        <v>-12013.017364086816</v>
      </c>
      <c r="R17" s="103">
        <v>177952.66521711831</v>
      </c>
      <c r="S17" s="103"/>
      <c r="T17" s="10">
        <f t="shared" si="1"/>
        <v>8627226.1554442365</v>
      </c>
      <c r="U17" s="99">
        <f>'Sch. 141PFG'!H15</f>
        <v>1836.02286</v>
      </c>
      <c r="V17" s="102">
        <f>U17/T17</f>
        <v>2.1281728645091474E-4</v>
      </c>
    </row>
    <row r="18" spans="1:22" x14ac:dyDescent="0.25">
      <c r="A18" s="91">
        <f t="shared" si="4"/>
        <v>8</v>
      </c>
      <c r="B18" t="s">
        <v>140</v>
      </c>
      <c r="C18" s="91" t="s">
        <v>141</v>
      </c>
      <c r="D18" s="178">
        <v>36958.529999999992</v>
      </c>
      <c r="E18" s="103">
        <v>23981.98</v>
      </c>
      <c r="F18" s="100">
        <f>(E18)/D18</f>
        <v>0.64888890331947735</v>
      </c>
      <c r="G18" s="178">
        <v>0</v>
      </c>
      <c r="H18" s="101">
        <f t="shared" si="2"/>
        <v>0</v>
      </c>
      <c r="I18" s="103"/>
      <c r="J18" s="103"/>
      <c r="K18" s="103">
        <v>0</v>
      </c>
      <c r="L18" s="103"/>
      <c r="M18" s="103">
        <v>0</v>
      </c>
      <c r="N18" s="103">
        <v>0</v>
      </c>
      <c r="O18" s="103">
        <v>0</v>
      </c>
      <c r="P18" s="103">
        <v>0</v>
      </c>
      <c r="Q18" s="103">
        <v>0</v>
      </c>
      <c r="R18" s="103">
        <v>0</v>
      </c>
      <c r="S18" s="103">
        <v>0</v>
      </c>
      <c r="T18" s="10">
        <f t="shared" si="1"/>
        <v>0</v>
      </c>
      <c r="U18" s="99">
        <f>'Sch. 141PFG'!H16</f>
        <v>0</v>
      </c>
      <c r="V18" s="102">
        <f>IF(T18=0,0,U18/T18)</f>
        <v>0</v>
      </c>
    </row>
    <row r="19" spans="1:22" x14ac:dyDescent="0.25">
      <c r="A19" s="91">
        <f t="shared" si="4"/>
        <v>9</v>
      </c>
      <c r="B19" t="s">
        <v>142</v>
      </c>
      <c r="C19" s="91" t="s">
        <v>143</v>
      </c>
      <c r="D19" s="178">
        <v>19494505.608019032</v>
      </c>
      <c r="E19" s="103">
        <v>4475398.7622919884</v>
      </c>
      <c r="F19" s="100">
        <f t="shared" ref="F19:F24" si="5">(E19)/D19</f>
        <v>0.22957231397810063</v>
      </c>
      <c r="G19" s="178">
        <v>21523379</v>
      </c>
      <c r="H19" s="101">
        <f>F19*G19</f>
        <v>4941171.9216576573</v>
      </c>
      <c r="I19" s="103"/>
      <c r="J19" s="103"/>
      <c r="K19" s="103">
        <v>2283191.3100999994</v>
      </c>
      <c r="L19" s="103"/>
      <c r="M19" s="103">
        <v>49719.005490000003</v>
      </c>
      <c r="N19" s="103">
        <v>144637.10688000001</v>
      </c>
      <c r="O19" s="103">
        <v>216094.72516</v>
      </c>
      <c r="P19" s="103">
        <v>0</v>
      </c>
      <c r="Q19" s="103">
        <v>-45199.0959</v>
      </c>
      <c r="R19" s="103">
        <v>671744.65859000001</v>
      </c>
      <c r="S19" s="103">
        <v>-649307.65</v>
      </c>
      <c r="T19" s="10">
        <f t="shared" si="1"/>
        <v>7612051.9819776565</v>
      </c>
      <c r="U19" s="99">
        <f>'Sch. 141PFG'!H17</f>
        <v>1506.6365299999998</v>
      </c>
      <c r="V19" s="102">
        <f t="shared" si="3"/>
        <v>1.9792777736766934E-4</v>
      </c>
    </row>
    <row r="20" spans="1:22" x14ac:dyDescent="0.25">
      <c r="A20" s="91">
        <f t="shared" si="4"/>
        <v>10</v>
      </c>
      <c r="B20" t="s">
        <v>144</v>
      </c>
      <c r="C20" s="91" t="s">
        <v>145</v>
      </c>
      <c r="D20" s="178">
        <v>68886791.019958794</v>
      </c>
      <c r="E20" s="103">
        <v>7339677.3100000005</v>
      </c>
      <c r="F20" s="100">
        <f t="shared" si="5"/>
        <v>0.1065469475544804</v>
      </c>
      <c r="G20" s="178">
        <v>63133599</v>
      </c>
      <c r="H20" s="101">
        <f t="shared" si="2"/>
        <v>6726692.2615785962</v>
      </c>
      <c r="I20" s="103"/>
      <c r="J20" s="103"/>
      <c r="K20" s="103">
        <v>6243031.3552862257</v>
      </c>
      <c r="L20" s="103"/>
      <c r="M20" s="103">
        <v>66804.996771336155</v>
      </c>
      <c r="N20" s="103">
        <v>194799.10631711321</v>
      </c>
      <c r="O20" s="103">
        <v>333976.73871000001</v>
      </c>
      <c r="P20" s="103">
        <v>0</v>
      </c>
      <c r="Q20" s="103">
        <v>-80811.006720000005</v>
      </c>
      <c r="R20" s="103">
        <v>1198907.04501</v>
      </c>
      <c r="S20" s="103"/>
      <c r="T20" s="10">
        <f t="shared" si="1"/>
        <v>14683400.496953271</v>
      </c>
      <c r="U20" s="99">
        <f>'Sch. 141PFG'!H18</f>
        <v>5050.6879200000003</v>
      </c>
      <c r="V20" s="102">
        <f t="shared" si="3"/>
        <v>3.4397263229644877E-4</v>
      </c>
    </row>
    <row r="21" spans="1:22" x14ac:dyDescent="0.25">
      <c r="A21" s="91">
        <f t="shared" si="4"/>
        <v>11</v>
      </c>
      <c r="B21" t="s">
        <v>146</v>
      </c>
      <c r="C21" s="91" t="s">
        <v>147</v>
      </c>
      <c r="D21" s="178">
        <v>1718484.3400000003</v>
      </c>
      <c r="E21" s="103">
        <v>367155.5</v>
      </c>
      <c r="F21" s="100">
        <f t="shared" si="5"/>
        <v>0.21365076856039314</v>
      </c>
      <c r="G21" s="178">
        <v>1188598</v>
      </c>
      <c r="H21" s="101">
        <f t="shared" si="2"/>
        <v>253944.87620934617</v>
      </c>
      <c r="I21" s="103"/>
      <c r="J21" s="103"/>
      <c r="K21" s="103">
        <v>126937.93491999997</v>
      </c>
      <c r="L21" s="103"/>
      <c r="M21" s="103">
        <v>2032.5025799999999</v>
      </c>
      <c r="N21" s="103">
        <v>5919.2180399999997</v>
      </c>
      <c r="O21" s="103">
        <v>7999.2645400000001</v>
      </c>
      <c r="P21" s="103">
        <v>0</v>
      </c>
      <c r="Q21" s="103">
        <v>-1259.9138800000001</v>
      </c>
      <c r="R21" s="103">
        <v>18684.760559999999</v>
      </c>
      <c r="S21" s="103">
        <v>-28660.660000000003</v>
      </c>
      <c r="T21" s="10">
        <f t="shared" si="1"/>
        <v>385597.98296934611</v>
      </c>
      <c r="U21" s="99">
        <f>'Sch. 141PFG'!H19</f>
        <v>71.315880000000007</v>
      </c>
      <c r="V21" s="102">
        <f t="shared" si="3"/>
        <v>1.8494878902328027E-4</v>
      </c>
    </row>
    <row r="22" spans="1:22" x14ac:dyDescent="0.25">
      <c r="A22" s="91">
        <f t="shared" si="4"/>
        <v>12</v>
      </c>
      <c r="B22" t="s">
        <v>148</v>
      </c>
      <c r="C22" s="91" t="s">
        <v>149</v>
      </c>
      <c r="D22" s="178">
        <v>97500425.645479575</v>
      </c>
      <c r="E22" s="103">
        <v>4790056.76</v>
      </c>
      <c r="F22" s="100">
        <f>(E22)/D22</f>
        <v>4.9128572806616068E-2</v>
      </c>
      <c r="G22" s="178">
        <v>123922533</v>
      </c>
      <c r="H22" s="101">
        <f t="shared" si="2"/>
        <v>6088137.1848707823</v>
      </c>
      <c r="I22" s="103"/>
      <c r="J22" s="103"/>
      <c r="K22" s="103">
        <v>807997.83197867917</v>
      </c>
      <c r="L22" s="103"/>
      <c r="M22" s="103">
        <v>44837.204339898628</v>
      </c>
      <c r="N22" s="103">
        <v>129291.70038115259</v>
      </c>
      <c r="O22" s="103">
        <v>467187.94941</v>
      </c>
      <c r="P22" s="103">
        <v>0</v>
      </c>
      <c r="Q22" s="103">
        <v>-52271.763308378795</v>
      </c>
      <c r="R22" s="103">
        <v>1590609.8798937034</v>
      </c>
      <c r="S22" s="103"/>
      <c r="T22" s="10">
        <f t="shared" si="1"/>
        <v>9075789.9875658378</v>
      </c>
      <c r="U22" s="99">
        <f>'Sch. 141PFG'!H20</f>
        <v>11153.027970000001</v>
      </c>
      <c r="V22" s="102">
        <f t="shared" si="3"/>
        <v>1.2288768234258456E-3</v>
      </c>
    </row>
    <row r="23" spans="1:22" x14ac:dyDescent="0.25">
      <c r="A23" s="91">
        <f t="shared" si="4"/>
        <v>13</v>
      </c>
      <c r="B23" t="s">
        <v>20</v>
      </c>
      <c r="D23" s="178">
        <v>32154478.538398605</v>
      </c>
      <c r="E23" s="103">
        <v>1699064.4523564125</v>
      </c>
      <c r="F23" s="104">
        <f t="shared" si="5"/>
        <v>5.2840678175744761E-2</v>
      </c>
      <c r="G23" s="178">
        <v>32071144</v>
      </c>
      <c r="H23" s="101">
        <f t="shared" si="2"/>
        <v>1694660.9988319676</v>
      </c>
      <c r="I23" s="103"/>
      <c r="J23" s="103"/>
      <c r="K23" s="103">
        <v>1401276.6008886266</v>
      </c>
      <c r="L23" s="103"/>
      <c r="M23" s="103"/>
      <c r="N23" s="103"/>
      <c r="O23" s="103">
        <v>30146.875359999998</v>
      </c>
      <c r="P23" s="103">
        <v>0</v>
      </c>
      <c r="Q23" s="103">
        <v>0</v>
      </c>
      <c r="R23" s="103">
        <v>0</v>
      </c>
      <c r="S23" s="103"/>
      <c r="T23" s="10">
        <f t="shared" si="1"/>
        <v>3126084.4750805944</v>
      </c>
      <c r="U23" s="99">
        <f>'Sch. 141PFG'!H21</f>
        <v>3207.1143999999999</v>
      </c>
      <c r="V23" s="102">
        <f t="shared" si="3"/>
        <v>1.0259205807025789E-3</v>
      </c>
    </row>
    <row r="24" spans="1:22" x14ac:dyDescent="0.25">
      <c r="A24" s="91">
        <f t="shared" si="4"/>
        <v>14</v>
      </c>
      <c r="B24" t="s">
        <v>21</v>
      </c>
      <c r="D24" s="105">
        <f>SUM(D11:D23)</f>
        <v>1172906987.060853</v>
      </c>
      <c r="E24" s="106">
        <f>SUM(E11:E23)</f>
        <v>567196461.71043551</v>
      </c>
      <c r="F24" s="100">
        <f t="shared" si="5"/>
        <v>0.48358179119706113</v>
      </c>
      <c r="G24" s="105">
        <f>SUM(G11:G23)</f>
        <v>1118826055</v>
      </c>
      <c r="H24" s="106">
        <f>SUM(H11:H23)</f>
        <v>521541875.5295769</v>
      </c>
      <c r="I24" s="106">
        <f t="shared" ref="I24:L24" si="6">SUM(I11:I23)</f>
        <v>482345350.5</v>
      </c>
      <c r="J24" s="106">
        <f t="shared" si="6"/>
        <v>-175642724.59999996</v>
      </c>
      <c r="K24" s="106">
        <f t="shared" si="6"/>
        <v>79444118.974699914</v>
      </c>
      <c r="L24" s="106">
        <f t="shared" si="6"/>
        <v>25090865.275649998</v>
      </c>
      <c r="M24" s="106">
        <f>SUM(M11:M23)</f>
        <v>4418694.3122057524</v>
      </c>
      <c r="N24" s="106">
        <f>SUM(N11:N23)</f>
        <v>12824796.627286011</v>
      </c>
      <c r="O24" s="106">
        <f>SUM(O11:O23)</f>
        <v>20071429.18321</v>
      </c>
      <c r="P24" s="106">
        <f>SUM(P11:P23)</f>
        <v>2562006.3699804042</v>
      </c>
      <c r="Q24" s="106">
        <f t="shared" ref="Q24:T24" si="7">SUM(Q11:Q23)</f>
        <v>-3969668.5446324656</v>
      </c>
      <c r="R24" s="106">
        <f t="shared" si="7"/>
        <v>59698047.895840809</v>
      </c>
      <c r="S24" s="106">
        <f t="shared" si="7"/>
        <v>-4537985.5100000007</v>
      </c>
      <c r="T24" s="107">
        <f t="shared" si="7"/>
        <v>1023846806.0138173</v>
      </c>
      <c r="U24" s="106">
        <f>SUM(U11:U23)</f>
        <v>91526.706479999993</v>
      </c>
      <c r="V24" s="34">
        <f t="shared" si="3"/>
        <v>8.9394923090442102E-5</v>
      </c>
    </row>
    <row r="25" spans="1:22" x14ac:dyDescent="0.25">
      <c r="A25" s="91"/>
      <c r="D25" s="108"/>
      <c r="E25" s="101"/>
      <c r="G25" s="108"/>
      <c r="M25" s="101"/>
      <c r="N25" s="101"/>
      <c r="S25" s="101"/>
      <c r="T25" s="101"/>
      <c r="V25" s="109"/>
    </row>
    <row r="26" spans="1:22" s="114" customFormat="1" x14ac:dyDescent="0.25">
      <c r="A26" s="91"/>
      <c r="B26" s="110" t="s">
        <v>150</v>
      </c>
      <c r="C26" s="111"/>
      <c r="D26" s="112"/>
      <c r="E26" s="113"/>
      <c r="U26" s="115"/>
      <c r="V26" s="116"/>
    </row>
    <row r="27" spans="1:22" s="114" customFormat="1" x14ac:dyDescent="0.25">
      <c r="A27" s="91">
        <f>A24+1</f>
        <v>15</v>
      </c>
      <c r="B27" s="117" t="s">
        <v>9</v>
      </c>
      <c r="C27" s="118" t="s">
        <v>151</v>
      </c>
      <c r="D27" s="119">
        <f>D11+D12</f>
        <v>620844874.32387137</v>
      </c>
      <c r="E27" s="120">
        <f>E11+E12</f>
        <v>403618690.2447409</v>
      </c>
      <c r="F27" s="100">
        <f t="shared" ref="F27:F34" si="8">(E27)/D27</f>
        <v>0.65011197955737365</v>
      </c>
      <c r="G27" s="119">
        <f>G11+G12</f>
        <v>545275773</v>
      </c>
      <c r="H27" s="120">
        <f>H11+H12</f>
        <v>354490314.39305574</v>
      </c>
      <c r="I27" s="120">
        <f t="shared" ref="I27:S27" si="9">I11+I12</f>
        <v>303233310.13</v>
      </c>
      <c r="J27" s="120">
        <f t="shared" si="9"/>
        <v>-109998481.67999999</v>
      </c>
      <c r="K27" s="120">
        <f t="shared" si="9"/>
        <v>36109874.261390097</v>
      </c>
      <c r="L27" s="120">
        <f t="shared" si="9"/>
        <v>15676678.473750001</v>
      </c>
      <c r="M27" s="120">
        <f t="shared" si="9"/>
        <v>2998978.2734999997</v>
      </c>
      <c r="N27" s="120">
        <f t="shared" si="9"/>
        <v>8702489.6809199993</v>
      </c>
      <c r="O27" s="120">
        <f t="shared" si="9"/>
        <v>12459551.41305</v>
      </c>
      <c r="P27" s="120">
        <f t="shared" si="9"/>
        <v>1717618.6849500001</v>
      </c>
      <c r="Q27" s="120">
        <f t="shared" si="9"/>
        <v>-2617323.7103999997</v>
      </c>
      <c r="R27" s="120">
        <f t="shared" si="9"/>
        <v>38812729.522139996</v>
      </c>
      <c r="S27" s="120">
        <f t="shared" si="9"/>
        <v>2530047.13</v>
      </c>
      <c r="T27" s="120">
        <f>T11+T12</f>
        <v>664115786.57235575</v>
      </c>
      <c r="U27" s="101">
        <f>SUM(U11:U12)</f>
        <v>49074.81957</v>
      </c>
      <c r="V27" s="102">
        <f>U27/T27</f>
        <v>7.3894975186910832E-5</v>
      </c>
    </row>
    <row r="28" spans="1:22" s="114" customFormat="1" x14ac:dyDescent="0.25">
      <c r="A28" s="91">
        <f t="shared" si="4"/>
        <v>16</v>
      </c>
      <c r="B28" s="121" t="s">
        <v>152</v>
      </c>
      <c r="C28" s="118" t="s">
        <v>153</v>
      </c>
      <c r="D28" s="119">
        <f>D13+D18</f>
        <v>222203870.67539161</v>
      </c>
      <c r="E28" s="120">
        <f>E13+E18</f>
        <v>122144982.04000001</v>
      </c>
      <c r="F28" s="100">
        <f t="shared" si="8"/>
        <v>0.54969781430331843</v>
      </c>
      <c r="G28" s="119">
        <f t="shared" ref="G28:S32" si="10">G13+G18</f>
        <v>228642219</v>
      </c>
      <c r="H28" s="120">
        <f t="shared" si="10"/>
        <v>125680355.23644792</v>
      </c>
      <c r="I28" s="120">
        <f t="shared" si="10"/>
        <v>125657190.72</v>
      </c>
      <c r="J28" s="120">
        <f t="shared" si="10"/>
        <v>-45774172.240000002</v>
      </c>
      <c r="K28" s="120">
        <f t="shared" si="10"/>
        <v>23819948.612333745</v>
      </c>
      <c r="L28" s="120">
        <f t="shared" si="10"/>
        <v>6573463.7962500006</v>
      </c>
      <c r="M28" s="120">
        <f t="shared" si="10"/>
        <v>1079191.2736800001</v>
      </c>
      <c r="N28" s="120">
        <f t="shared" si="10"/>
        <v>3132398.4002999999</v>
      </c>
      <c r="O28" s="120">
        <f t="shared" si="10"/>
        <v>5745778.9634699998</v>
      </c>
      <c r="P28" s="120">
        <f t="shared" si="10"/>
        <v>660776.01291000005</v>
      </c>
      <c r="Q28" s="120">
        <f t="shared" si="10"/>
        <v>-1006025.7636000001</v>
      </c>
      <c r="R28" s="120">
        <f t="shared" si="10"/>
        <v>14928050.47851</v>
      </c>
      <c r="S28" s="120">
        <f t="shared" si="10"/>
        <v>-4072117.92</v>
      </c>
      <c r="T28" s="120">
        <f>T13+T18</f>
        <v>256424837.57030168</v>
      </c>
      <c r="U28" s="101">
        <f>SUM(U13,U18)</f>
        <v>13718.53314</v>
      </c>
      <c r="V28" s="102">
        <f t="shared" ref="V28:V34" si="11">U28/T28</f>
        <v>5.3499236930349672E-5</v>
      </c>
    </row>
    <row r="29" spans="1:22" s="114" customFormat="1" x14ac:dyDescent="0.25">
      <c r="A29" s="91">
        <f t="shared" si="4"/>
        <v>17</v>
      </c>
      <c r="B29" s="117" t="s">
        <v>154</v>
      </c>
      <c r="C29" s="118" t="s">
        <v>155</v>
      </c>
      <c r="D29" s="119">
        <f t="shared" ref="D29:E32" si="12">D14+D19</f>
        <v>82012496.764967203</v>
      </c>
      <c r="E29" s="120">
        <f t="shared" si="12"/>
        <v>22261797.053338237</v>
      </c>
      <c r="F29" s="100">
        <f t="shared" si="8"/>
        <v>0.27144396197492282</v>
      </c>
      <c r="G29" s="119">
        <f t="shared" si="10"/>
        <v>82494154</v>
      </c>
      <c r="H29" s="120">
        <f t="shared" si="10"/>
        <v>22287386.478381157</v>
      </c>
      <c r="I29" s="120">
        <f t="shared" si="10"/>
        <v>32561973.370000001</v>
      </c>
      <c r="J29" s="120">
        <f t="shared" si="10"/>
        <v>-11963685.470000001</v>
      </c>
      <c r="K29" s="120">
        <f t="shared" si="10"/>
        <v>8760136.4990428798</v>
      </c>
      <c r="L29" s="120">
        <f t="shared" si="10"/>
        <v>1752909.78125</v>
      </c>
      <c r="M29" s="120">
        <f t="shared" si="10"/>
        <v>190561.49574000001</v>
      </c>
      <c r="N29" s="120">
        <f t="shared" si="10"/>
        <v>554360.71487999998</v>
      </c>
      <c r="O29" s="120">
        <f t="shared" si="10"/>
        <v>828241.30616000004</v>
      </c>
      <c r="P29" s="120">
        <f t="shared" si="10"/>
        <v>134135.70500000002</v>
      </c>
      <c r="Q29" s="120">
        <f t="shared" si="10"/>
        <v>-173237.72339999999</v>
      </c>
      <c r="R29" s="120">
        <f t="shared" si="10"/>
        <v>2574642.5463399999</v>
      </c>
      <c r="S29" s="120">
        <f t="shared" si="10"/>
        <v>-2840622.71</v>
      </c>
      <c r="T29" s="120">
        <f>T14+T19</f>
        <v>54666801.993394032</v>
      </c>
      <c r="U29" s="101">
        <f>SUM(U14,U19)</f>
        <v>5774.5907799999995</v>
      </c>
      <c r="V29" s="102">
        <f t="shared" si="11"/>
        <v>1.0563249667865709E-4</v>
      </c>
    </row>
    <row r="30" spans="1:22" s="114" customFormat="1" x14ac:dyDescent="0.25">
      <c r="A30" s="91">
        <f t="shared" si="4"/>
        <v>18</v>
      </c>
      <c r="B30" s="117" t="s">
        <v>15</v>
      </c>
      <c r="C30" s="118" t="s">
        <v>156</v>
      </c>
      <c r="D30" s="119">
        <f t="shared" si="12"/>
        <v>88879730.522699013</v>
      </c>
      <c r="E30" s="120">
        <f t="shared" si="12"/>
        <v>9611990.370000001</v>
      </c>
      <c r="F30" s="100">
        <f t="shared" si="8"/>
        <v>0.10814603412355298</v>
      </c>
      <c r="G30" s="119">
        <f t="shared" si="10"/>
        <v>80069954</v>
      </c>
      <c r="H30" s="120">
        <f t="shared" si="10"/>
        <v>8651606.8370476812</v>
      </c>
      <c r="I30" s="120">
        <f t="shared" si="10"/>
        <v>8439822.8399999999</v>
      </c>
      <c r="J30" s="120">
        <f t="shared" si="10"/>
        <v>-3188607.56</v>
      </c>
      <c r="K30" s="120">
        <f t="shared" si="10"/>
        <v>7741739.79876142</v>
      </c>
      <c r="L30" s="120">
        <f t="shared" si="10"/>
        <v>437635.41319999995</v>
      </c>
      <c r="M30" s="120">
        <f t="shared" si="10"/>
        <v>85580.580143119892</v>
      </c>
      <c r="N30" s="120">
        <f t="shared" si="10"/>
        <v>249531.43757496151</v>
      </c>
      <c r="O30" s="120">
        <f t="shared" si="10"/>
        <v>423570.05666</v>
      </c>
      <c r="P30" s="120">
        <f t="shared" si="10"/>
        <v>31332.25675</v>
      </c>
      <c r="Q30" s="120">
        <f t="shared" si="10"/>
        <v>-102489.54112000001</v>
      </c>
      <c r="R30" s="120">
        <f t="shared" si="10"/>
        <v>1520528.42646</v>
      </c>
      <c r="S30" s="120">
        <f t="shared" si="10"/>
        <v>0</v>
      </c>
      <c r="T30" s="120">
        <f>T15+T20</f>
        <v>24290250.545477182</v>
      </c>
      <c r="U30" s="101">
        <f>SUM(U15,U20)</f>
        <v>6405.5963200000006</v>
      </c>
      <c r="V30" s="102">
        <f t="shared" si="11"/>
        <v>2.6371059071651754E-4</v>
      </c>
    </row>
    <row r="31" spans="1:22" s="114" customFormat="1" x14ac:dyDescent="0.25">
      <c r="A31" s="91">
        <f t="shared" si="4"/>
        <v>19</v>
      </c>
      <c r="B31" s="117" t="s">
        <v>157</v>
      </c>
      <c r="C31" s="118" t="s">
        <v>158</v>
      </c>
      <c r="D31" s="119">
        <f t="shared" si="12"/>
        <v>7491654.8276905455</v>
      </c>
      <c r="E31" s="120">
        <f t="shared" si="12"/>
        <v>1560031.02</v>
      </c>
      <c r="F31" s="100">
        <f t="shared" si="8"/>
        <v>0.20823583785972574</v>
      </c>
      <c r="G31" s="119">
        <f t="shared" si="10"/>
        <v>5950024</v>
      </c>
      <c r="H31" s="120">
        <f t="shared" si="10"/>
        <v>1237769.7134979498</v>
      </c>
      <c r="I31" s="120">
        <f t="shared" si="10"/>
        <v>2409192.39</v>
      </c>
      <c r="J31" s="120">
        <f t="shared" si="10"/>
        <v>-904766.17</v>
      </c>
      <c r="K31" s="120">
        <f t="shared" si="10"/>
        <v>640679.77019999991</v>
      </c>
      <c r="L31" s="120">
        <f t="shared" si="10"/>
        <v>123035.24784</v>
      </c>
      <c r="M31" s="120">
        <f t="shared" si="10"/>
        <v>10174.54104</v>
      </c>
      <c r="N31" s="120">
        <f t="shared" si="10"/>
        <v>29631.11952</v>
      </c>
      <c r="O31" s="120">
        <f t="shared" si="10"/>
        <v>40043.661519999994</v>
      </c>
      <c r="P31" s="120">
        <f t="shared" si="10"/>
        <v>2333.0987399999999</v>
      </c>
      <c r="Q31" s="120">
        <f t="shared" si="10"/>
        <v>-6307.0254399999994</v>
      </c>
      <c r="R31" s="120">
        <f t="shared" si="10"/>
        <v>93534.377279999986</v>
      </c>
      <c r="S31" s="120">
        <f t="shared" si="10"/>
        <v>-155292.01</v>
      </c>
      <c r="T31" s="120">
        <f>T16+T21</f>
        <v>3520028.7141979495</v>
      </c>
      <c r="U31" s="101">
        <f>SUM(U16,U21)</f>
        <v>357.00144</v>
      </c>
      <c r="V31" s="102">
        <f t="shared" si="11"/>
        <v>1.0142003630823904E-4</v>
      </c>
    </row>
    <row r="32" spans="1:22" s="114" customFormat="1" x14ac:dyDescent="0.25">
      <c r="A32" s="91">
        <f t="shared" si="4"/>
        <v>20</v>
      </c>
      <c r="B32" s="122" t="s">
        <v>159</v>
      </c>
      <c r="C32" s="118" t="s">
        <v>160</v>
      </c>
      <c r="D32" s="119">
        <f t="shared" si="12"/>
        <v>119319881.40783478</v>
      </c>
      <c r="E32" s="120">
        <f t="shared" si="12"/>
        <v>6299906.5299999993</v>
      </c>
      <c r="F32" s="100">
        <f t="shared" si="8"/>
        <v>5.2798464561550719E-2</v>
      </c>
      <c r="G32" s="119">
        <f t="shared" si="10"/>
        <v>144322787</v>
      </c>
      <c r="H32" s="120">
        <f t="shared" si="10"/>
        <v>7499781.8723144829</v>
      </c>
      <c r="I32" s="120">
        <f t="shared" si="10"/>
        <v>10043861.050000001</v>
      </c>
      <c r="J32" s="120">
        <f t="shared" si="10"/>
        <v>-3813011.48</v>
      </c>
      <c r="K32" s="120">
        <f t="shared" si="10"/>
        <v>970463.43208314781</v>
      </c>
      <c r="L32" s="120">
        <f t="shared" si="10"/>
        <v>527142.56335999991</v>
      </c>
      <c r="M32" s="120">
        <f t="shared" si="10"/>
        <v>54208.148102632214</v>
      </c>
      <c r="N32" s="120">
        <f t="shared" si="10"/>
        <v>156385.27409104936</v>
      </c>
      <c r="O32" s="120">
        <f t="shared" si="10"/>
        <v>544096.90699000005</v>
      </c>
      <c r="P32" s="120">
        <f t="shared" si="10"/>
        <v>15810.611630403841</v>
      </c>
      <c r="Q32" s="120">
        <f t="shared" si="10"/>
        <v>-64284.780672465611</v>
      </c>
      <c r="R32" s="120">
        <f t="shared" si="10"/>
        <v>1768562.5451108217</v>
      </c>
      <c r="S32" s="120">
        <f t="shared" si="10"/>
        <v>0</v>
      </c>
      <c r="T32" s="120">
        <f>T17+T22</f>
        <v>17703016.143010072</v>
      </c>
      <c r="U32" s="101">
        <f>SUM(U17,U22)</f>
        <v>12989.05083</v>
      </c>
      <c r="V32" s="102">
        <f t="shared" si="11"/>
        <v>7.3371965122048691E-4</v>
      </c>
    </row>
    <row r="33" spans="1:22" s="114" customFormat="1" x14ac:dyDescent="0.25">
      <c r="A33" s="91">
        <f t="shared" si="4"/>
        <v>21</v>
      </c>
      <c r="B33" s="122" t="s">
        <v>20</v>
      </c>
      <c r="C33" s="117"/>
      <c r="D33" s="119">
        <f>D23</f>
        <v>32154478.538398605</v>
      </c>
      <c r="E33" s="120">
        <f>E23</f>
        <v>1699064.4523564125</v>
      </c>
      <c r="F33" s="100">
        <f t="shared" si="8"/>
        <v>5.2840678175744761E-2</v>
      </c>
      <c r="G33" s="119">
        <f>G23</f>
        <v>32071144</v>
      </c>
      <c r="H33" s="120">
        <f>H23</f>
        <v>1694660.9988319676</v>
      </c>
      <c r="I33" s="120">
        <f t="shared" ref="I33:S33" si="13">I23</f>
        <v>0</v>
      </c>
      <c r="J33" s="120">
        <f t="shared" si="13"/>
        <v>0</v>
      </c>
      <c r="K33" s="120">
        <f t="shared" si="13"/>
        <v>1401276.6008886266</v>
      </c>
      <c r="L33" s="120">
        <f t="shared" si="13"/>
        <v>0</v>
      </c>
      <c r="M33" s="120">
        <f t="shared" si="13"/>
        <v>0</v>
      </c>
      <c r="N33" s="120">
        <f t="shared" si="13"/>
        <v>0</v>
      </c>
      <c r="O33" s="120">
        <f t="shared" si="13"/>
        <v>30146.875359999998</v>
      </c>
      <c r="P33" s="120">
        <f t="shared" si="13"/>
        <v>0</v>
      </c>
      <c r="Q33" s="120">
        <f t="shared" si="13"/>
        <v>0</v>
      </c>
      <c r="R33" s="120">
        <f t="shared" si="13"/>
        <v>0</v>
      </c>
      <c r="S33" s="120">
        <f t="shared" si="13"/>
        <v>0</v>
      </c>
      <c r="T33" s="120">
        <f>T23</f>
        <v>3126084.4750805944</v>
      </c>
      <c r="U33" s="101">
        <f>U23</f>
        <v>3207.1143999999999</v>
      </c>
      <c r="V33" s="102">
        <f t="shared" si="11"/>
        <v>1.0259205807025789E-3</v>
      </c>
    </row>
    <row r="34" spans="1:22" s="114" customFormat="1" x14ac:dyDescent="0.25">
      <c r="A34" s="91">
        <f t="shared" si="4"/>
        <v>22</v>
      </c>
      <c r="B34" s="122" t="s">
        <v>21</v>
      </c>
      <c r="C34" s="122"/>
      <c r="D34" s="123">
        <f>SUM(D27:D33)</f>
        <v>1172906987.0608532</v>
      </c>
      <c r="E34" s="124">
        <f>SUM(E27:E33)</f>
        <v>567196461.71043563</v>
      </c>
      <c r="F34" s="125">
        <f t="shared" si="8"/>
        <v>0.48358179119706113</v>
      </c>
      <c r="G34" s="123">
        <f>SUM(G27:G33)</f>
        <v>1118826055</v>
      </c>
      <c r="H34" s="124">
        <f>SUM(H27:H33)</f>
        <v>521541875.5295769</v>
      </c>
      <c r="I34" s="124">
        <f t="shared" ref="I34:S34" si="14">SUM(I27:I33)</f>
        <v>482345350.5</v>
      </c>
      <c r="J34" s="124">
        <f t="shared" si="14"/>
        <v>-175642724.59999996</v>
      </c>
      <c r="K34" s="124">
        <f t="shared" si="14"/>
        <v>79444118.9746999</v>
      </c>
      <c r="L34" s="124">
        <f t="shared" si="14"/>
        <v>25090865.275649998</v>
      </c>
      <c r="M34" s="124">
        <f t="shared" si="14"/>
        <v>4418694.3122057514</v>
      </c>
      <c r="N34" s="124">
        <f t="shared" si="14"/>
        <v>12824796.627286011</v>
      </c>
      <c r="O34" s="124">
        <f t="shared" si="14"/>
        <v>20071429.18321</v>
      </c>
      <c r="P34" s="124">
        <f t="shared" si="14"/>
        <v>2562006.3699804042</v>
      </c>
      <c r="Q34" s="124">
        <f t="shared" si="14"/>
        <v>-3969668.5446324656</v>
      </c>
      <c r="R34" s="124">
        <f t="shared" si="14"/>
        <v>59698047.895840809</v>
      </c>
      <c r="S34" s="124">
        <f t="shared" si="14"/>
        <v>-4537985.51</v>
      </c>
      <c r="T34" s="124">
        <f>SUM(T27:T33)</f>
        <v>1023846806.0138172</v>
      </c>
      <c r="U34" s="106">
        <f>SUM(U27:U33)</f>
        <v>91526.706480000008</v>
      </c>
      <c r="V34" s="34">
        <f t="shared" si="11"/>
        <v>8.9394923090442129E-5</v>
      </c>
    </row>
    <row r="35" spans="1:22" s="114" customFormat="1" x14ac:dyDescent="0.25">
      <c r="B35" s="126"/>
      <c r="C35" s="126"/>
      <c r="D35" s="126"/>
      <c r="E35" s="126"/>
      <c r="F35" s="126"/>
      <c r="I35" s="127"/>
      <c r="M35" s="126"/>
      <c r="N35" s="126"/>
      <c r="P35" s="126"/>
      <c r="Q35" s="126"/>
      <c r="R35" s="126"/>
      <c r="S35" s="126"/>
      <c r="T35" s="126"/>
      <c r="U35" s="128"/>
    </row>
    <row r="36" spans="1:22" ht="17.25" x14ac:dyDescent="0.25">
      <c r="B36" t="s">
        <v>161</v>
      </c>
    </row>
    <row r="37" spans="1:22" ht="17.25" x14ac:dyDescent="0.25">
      <c r="B37" t="s">
        <v>162</v>
      </c>
    </row>
  </sheetData>
  <printOptions horizontalCentered="1"/>
  <pageMargins left="0.45" right="0.45" top="0.75" bottom="0.75" header="0.3" footer="0.3"/>
  <pageSetup paperSize="5" scale="56" orientation="landscape" blackAndWhite="1" r:id="rId1"/>
  <headerFooter>
    <oddFooter>&amp;L&amp;F 
&amp;A&amp;C&amp;P&amp;R&amp;D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48"/>
  <sheetViews>
    <sheetView zoomScale="90" zoomScaleNormal="90" workbookViewId="0">
      <selection activeCell="J29" sqref="J29"/>
    </sheetView>
  </sheetViews>
  <sheetFormatPr defaultColWidth="9.140625" defaultRowHeight="15" x14ac:dyDescent="0.25"/>
  <cols>
    <col min="1" max="1" width="2.140625" style="130" customWidth="1"/>
    <col min="2" max="2" width="2.42578125" style="130" customWidth="1"/>
    <col min="3" max="3" width="34.85546875" style="130" customWidth="1"/>
    <col min="4" max="5" width="11.85546875" style="130" customWidth="1"/>
    <col min="6" max="6" width="2.7109375" style="131" customWidth="1"/>
    <col min="7" max="8" width="11.85546875" style="130" customWidth="1"/>
    <col min="9" max="16384" width="9.140625" style="130"/>
  </cols>
  <sheetData>
    <row r="1" spans="2:8" x14ac:dyDescent="0.25">
      <c r="B1" s="129" t="s">
        <v>0</v>
      </c>
      <c r="C1" s="129"/>
      <c r="D1" s="129"/>
      <c r="E1" s="129"/>
      <c r="F1" s="129"/>
      <c r="G1" s="129"/>
      <c r="H1" s="129"/>
    </row>
    <row r="2" spans="2:8" x14ac:dyDescent="0.25">
      <c r="B2" s="129" t="str">
        <f>'Rate Impacts Sch 141PFG'!A2</f>
        <v>2024 Gas Schedule 141PFG Participant Funding Grant Filing</v>
      </c>
      <c r="C2" s="129"/>
      <c r="D2" s="129"/>
      <c r="E2" s="129"/>
      <c r="F2" s="129"/>
      <c r="G2" s="129"/>
      <c r="H2" s="129"/>
    </row>
    <row r="3" spans="2:8" x14ac:dyDescent="0.25">
      <c r="B3" s="89" t="s">
        <v>163</v>
      </c>
      <c r="C3" s="89"/>
      <c r="D3" s="89"/>
      <c r="E3" s="89"/>
      <c r="F3" s="89"/>
      <c r="G3" s="89"/>
      <c r="H3" s="89"/>
    </row>
    <row r="4" spans="2:8" x14ac:dyDescent="0.25">
      <c r="B4" s="89" t="s">
        <v>97</v>
      </c>
      <c r="C4" s="89"/>
      <c r="D4" s="89"/>
      <c r="E4" s="89"/>
      <c r="F4" s="89"/>
      <c r="G4" s="89"/>
      <c r="H4" s="89"/>
    </row>
    <row r="6" spans="2:8" x14ac:dyDescent="0.25">
      <c r="G6" s="132" t="s">
        <v>164</v>
      </c>
      <c r="H6" s="132"/>
    </row>
    <row r="7" spans="2:8" x14ac:dyDescent="0.25">
      <c r="D7" s="133" t="s">
        <v>165</v>
      </c>
      <c r="E7" s="133"/>
      <c r="F7" s="134"/>
      <c r="G7" s="133" t="s">
        <v>166</v>
      </c>
      <c r="H7" s="133"/>
    </row>
    <row r="8" spans="2:8" ht="17.25" x14ac:dyDescent="0.25">
      <c r="D8" s="135" t="s">
        <v>167</v>
      </c>
      <c r="E8" s="135" t="s">
        <v>168</v>
      </c>
      <c r="F8" s="136"/>
      <c r="G8" s="135" t="s">
        <v>169</v>
      </c>
      <c r="H8" s="135" t="s">
        <v>168</v>
      </c>
    </row>
    <row r="9" spans="2:8" x14ac:dyDescent="0.25">
      <c r="B9" s="130" t="s">
        <v>170</v>
      </c>
      <c r="D9" s="137">
        <v>64</v>
      </c>
      <c r="E9" s="138"/>
      <c r="F9" s="139"/>
      <c r="G9" s="137">
        <v>64</v>
      </c>
      <c r="H9" s="138"/>
    </row>
    <row r="10" spans="2:8" x14ac:dyDescent="0.25">
      <c r="D10" s="137"/>
      <c r="E10" s="138"/>
      <c r="F10" s="139"/>
      <c r="G10" s="137"/>
      <c r="H10" s="138"/>
    </row>
    <row r="11" spans="2:8" x14ac:dyDescent="0.25">
      <c r="B11" s="130" t="s">
        <v>171</v>
      </c>
      <c r="D11" s="137"/>
      <c r="E11" s="138"/>
      <c r="F11" s="139"/>
      <c r="G11" s="137"/>
      <c r="H11" s="138"/>
    </row>
    <row r="12" spans="2:8" x14ac:dyDescent="0.25">
      <c r="C12" s="130" t="s">
        <v>172</v>
      </c>
      <c r="D12" s="179">
        <v>12.5</v>
      </c>
      <c r="E12" s="138">
        <f>D12</f>
        <v>12.5</v>
      </c>
      <c r="F12" s="140"/>
      <c r="G12" s="141">
        <f>$D$12</f>
        <v>12.5</v>
      </c>
      <c r="H12" s="138">
        <f>G12</f>
        <v>12.5</v>
      </c>
    </row>
    <row r="13" spans="2:8" x14ac:dyDescent="0.25">
      <c r="C13" s="130" t="s">
        <v>173</v>
      </c>
      <c r="D13" s="142">
        <f>SUM(D12:D12)</f>
        <v>12.5</v>
      </c>
      <c r="E13" s="143">
        <f>SUM(E12:E12)</f>
        <v>12.5</v>
      </c>
      <c r="F13" s="140"/>
      <c r="G13" s="143">
        <f>SUM(G12:G12)</f>
        <v>12.5</v>
      </c>
      <c r="H13" s="143">
        <f>SUM(H12:H12)</f>
        <v>12.5</v>
      </c>
    </row>
    <row r="14" spans="2:8" x14ac:dyDescent="0.25">
      <c r="D14" s="144"/>
      <c r="E14" s="145"/>
      <c r="F14" s="140"/>
      <c r="G14" s="145"/>
      <c r="H14" s="145"/>
    </row>
    <row r="15" spans="2:8" x14ac:dyDescent="0.25">
      <c r="C15" s="130" t="s">
        <v>174</v>
      </c>
      <c r="D15" s="179">
        <v>-18.47</v>
      </c>
      <c r="E15" s="138">
        <f>D15</f>
        <v>-18.47</v>
      </c>
      <c r="F15" s="140"/>
      <c r="G15" s="146">
        <f>$D$15</f>
        <v>-18.47</v>
      </c>
      <c r="H15" s="138">
        <f>G15</f>
        <v>-18.47</v>
      </c>
    </row>
    <row r="16" spans="2:8" x14ac:dyDescent="0.25">
      <c r="D16" s="179"/>
      <c r="E16" s="138"/>
      <c r="F16" s="140"/>
      <c r="G16" s="141"/>
      <c r="H16" s="138"/>
    </row>
    <row r="17" spans="2:8" x14ac:dyDescent="0.25">
      <c r="B17" s="130" t="s">
        <v>175</v>
      </c>
      <c r="D17" s="180"/>
      <c r="E17" s="138"/>
      <c r="H17" s="138"/>
    </row>
    <row r="18" spans="2:8" x14ac:dyDescent="0.25">
      <c r="C18" s="130" t="s">
        <v>176</v>
      </c>
      <c r="D18" s="181">
        <v>0.45612999999999998</v>
      </c>
      <c r="E18" s="138"/>
      <c r="F18" s="148"/>
      <c r="G18" s="149">
        <f>$D$18</f>
        <v>0.45612999999999998</v>
      </c>
      <c r="H18" s="138"/>
    </row>
    <row r="19" spans="2:8" x14ac:dyDescent="0.25">
      <c r="C19" s="130" t="s">
        <v>177</v>
      </c>
      <c r="D19" s="181">
        <v>2.8750000000000001E-2</v>
      </c>
      <c r="E19" s="138"/>
      <c r="F19" s="148"/>
      <c r="G19" s="150">
        <f>$D$19</f>
        <v>2.8750000000000001E-2</v>
      </c>
      <c r="H19" s="138"/>
    </row>
    <row r="20" spans="2:8" x14ac:dyDescent="0.25">
      <c r="C20" s="130" t="s">
        <v>178</v>
      </c>
      <c r="D20" s="181">
        <v>5.4999999999999997E-3</v>
      </c>
      <c r="E20" s="138"/>
      <c r="F20" s="148"/>
      <c r="G20" s="151">
        <f>$D$20</f>
        <v>5.4999999999999997E-3</v>
      </c>
      <c r="H20" s="138"/>
    </row>
    <row r="21" spans="2:8" x14ac:dyDescent="0.25">
      <c r="C21" s="130" t="s">
        <v>179</v>
      </c>
      <c r="D21" s="181">
        <v>1.5959999999999998E-2</v>
      </c>
      <c r="E21" s="138"/>
      <c r="F21" s="148"/>
      <c r="G21" s="151">
        <f>$D$21</f>
        <v>1.5959999999999998E-2</v>
      </c>
      <c r="H21" s="138"/>
    </row>
    <row r="22" spans="2:8" x14ac:dyDescent="0.25">
      <c r="C22" s="130" t="s">
        <v>180</v>
      </c>
      <c r="D22" s="181">
        <v>2.2849999999999999E-2</v>
      </c>
      <c r="E22" s="138"/>
      <c r="F22" s="148"/>
      <c r="G22" s="151">
        <f>$D$22</f>
        <v>2.2849999999999999E-2</v>
      </c>
      <c r="H22" s="138"/>
    </row>
    <row r="23" spans="2:8" x14ac:dyDescent="0.25">
      <c r="C23" s="130" t="s">
        <v>181</v>
      </c>
      <c r="D23" s="181">
        <v>3.15E-3</v>
      </c>
      <c r="E23" s="138"/>
      <c r="F23" s="148"/>
      <c r="G23" s="151">
        <f>$D$23</f>
        <v>3.15E-3</v>
      </c>
      <c r="H23" s="138"/>
    </row>
    <row r="24" spans="2:8" x14ac:dyDescent="0.25">
      <c r="C24" s="130" t="s">
        <v>182</v>
      </c>
      <c r="D24" s="181">
        <v>-4.7999999999999996E-3</v>
      </c>
      <c r="E24" s="138"/>
      <c r="F24" s="148"/>
      <c r="G24" s="151">
        <f>$D$24</f>
        <v>-4.7999999999999996E-3</v>
      </c>
      <c r="H24" s="138"/>
    </row>
    <row r="25" spans="2:8" x14ac:dyDescent="0.25">
      <c r="C25" s="130" t="s">
        <v>183</v>
      </c>
      <c r="D25" s="147">
        <f>'Sch. 141PFG'!$D$9</f>
        <v>0</v>
      </c>
      <c r="E25" s="138"/>
      <c r="F25" s="148"/>
      <c r="G25" s="152">
        <f>'Sch. 141PFG'!$E$9</f>
        <v>9.0000000000000006E-5</v>
      </c>
      <c r="H25" s="138"/>
    </row>
    <row r="26" spans="2:8" x14ac:dyDescent="0.25">
      <c r="C26" s="130" t="s">
        <v>184</v>
      </c>
      <c r="D26" s="181">
        <v>7.1179999999999993E-2</v>
      </c>
      <c r="E26" s="138"/>
      <c r="F26" s="148"/>
      <c r="G26" s="151">
        <f>$D$26</f>
        <v>7.1179999999999993E-2</v>
      </c>
      <c r="H26" s="138"/>
    </row>
    <row r="27" spans="2:8" x14ac:dyDescent="0.25">
      <c r="C27" s="130" t="s">
        <v>185</v>
      </c>
      <c r="D27" s="181">
        <v>4.64E-3</v>
      </c>
      <c r="E27" s="138"/>
      <c r="F27" s="148"/>
      <c r="G27" s="151">
        <f>$D$27</f>
        <v>4.64E-3</v>
      </c>
      <c r="H27" s="138"/>
    </row>
    <row r="28" spans="2:8" x14ac:dyDescent="0.25">
      <c r="C28" s="130" t="s">
        <v>173</v>
      </c>
      <c r="D28" s="153">
        <f>SUM(D18:D27)</f>
        <v>0.60336000000000001</v>
      </c>
      <c r="E28" s="138">
        <f>ROUND(D28*D$9,2)</f>
        <v>38.619999999999997</v>
      </c>
      <c r="F28" s="148"/>
      <c r="G28" s="154">
        <f>SUM(G18:G27)</f>
        <v>0.60345000000000004</v>
      </c>
      <c r="H28" s="138">
        <f>ROUND(SUM(G18:G24,G26:G27)*G$9,2)+ROUND(G25*G9,2)</f>
        <v>38.629999999999995</v>
      </c>
    </row>
    <row r="29" spans="2:8" x14ac:dyDescent="0.25">
      <c r="D29" s="14"/>
    </row>
    <row r="30" spans="2:8" x14ac:dyDescent="0.25">
      <c r="C30" s="130" t="s">
        <v>186</v>
      </c>
      <c r="D30" s="181">
        <v>0.39673999999999998</v>
      </c>
      <c r="E30" s="138">
        <f>ROUND(D30*D$9,2)</f>
        <v>25.39</v>
      </c>
      <c r="F30" s="148"/>
      <c r="G30" s="150">
        <f>$D$30</f>
        <v>0.39673999999999998</v>
      </c>
      <c r="H30" s="138">
        <f>ROUND(G30*G$9,2)</f>
        <v>25.39</v>
      </c>
    </row>
    <row r="31" spans="2:8" x14ac:dyDescent="0.25">
      <c r="D31" s="181"/>
      <c r="E31" s="138"/>
      <c r="F31" s="148"/>
      <c r="G31" s="149"/>
      <c r="H31" s="138"/>
    </row>
    <row r="32" spans="2:8" x14ac:dyDescent="0.25">
      <c r="C32" s="130" t="s">
        <v>187</v>
      </c>
      <c r="D32" s="181">
        <v>0.55610999999999999</v>
      </c>
      <c r="E32" s="138"/>
      <c r="F32" s="148"/>
      <c r="G32" s="151">
        <f>$D$32</f>
        <v>0.55610999999999999</v>
      </c>
      <c r="H32" s="138"/>
    </row>
    <row r="33" spans="2:8" x14ac:dyDescent="0.25">
      <c r="C33" s="130" t="s">
        <v>188</v>
      </c>
      <c r="D33" s="181">
        <v>-0.20172999999999999</v>
      </c>
      <c r="E33" s="138"/>
      <c r="F33" s="148"/>
      <c r="G33" s="151">
        <f>$D$33</f>
        <v>-0.20172999999999999</v>
      </c>
      <c r="H33" s="138"/>
    </row>
    <row r="34" spans="2:8" x14ac:dyDescent="0.25">
      <c r="C34" s="130" t="s">
        <v>173</v>
      </c>
      <c r="D34" s="153">
        <f>SUM(D32:D33)</f>
        <v>0.35438000000000003</v>
      </c>
      <c r="E34" s="138">
        <f>ROUND(D34*D$9,2)</f>
        <v>22.68</v>
      </c>
      <c r="F34" s="148"/>
      <c r="G34" s="154">
        <f>SUM(G32:G33)</f>
        <v>0.35438000000000003</v>
      </c>
      <c r="H34" s="138">
        <f>ROUND(G34*G$9,2)</f>
        <v>22.68</v>
      </c>
    </row>
    <row r="35" spans="2:8" x14ac:dyDescent="0.25">
      <c r="C35" s="130" t="s">
        <v>189</v>
      </c>
      <c r="D35" s="153">
        <f>D28+D30+D34</f>
        <v>1.3544800000000001</v>
      </c>
      <c r="E35" s="155">
        <f>SUM(E28,E30,E34)</f>
        <v>86.69</v>
      </c>
      <c r="F35" s="156"/>
      <c r="G35" s="154">
        <f>G28+G30+G34</f>
        <v>1.3545699999999998</v>
      </c>
      <c r="H35" s="155">
        <f>SUM(H28,H30,H34)</f>
        <v>86.699999999999989</v>
      </c>
    </row>
    <row r="36" spans="2:8" x14ac:dyDescent="0.25">
      <c r="E36" s="138"/>
      <c r="H36" s="138"/>
    </row>
    <row r="37" spans="2:8" x14ac:dyDescent="0.25">
      <c r="B37" s="130" t="s">
        <v>190</v>
      </c>
      <c r="D37" s="141"/>
      <c r="E37" s="138">
        <f>E13+E15+E35</f>
        <v>80.72</v>
      </c>
      <c r="F37" s="145"/>
      <c r="G37" s="141"/>
      <c r="H37" s="138">
        <f>H13+H15+H35</f>
        <v>80.72999999999999</v>
      </c>
    </row>
    <row r="38" spans="2:8" x14ac:dyDescent="0.25">
      <c r="B38" s="130" t="s">
        <v>191</v>
      </c>
      <c r="D38" s="141"/>
      <c r="E38" s="138"/>
      <c r="F38" s="145"/>
      <c r="G38" s="141"/>
      <c r="H38" s="138">
        <f>H37-$E37</f>
        <v>9.9999999999909051E-3</v>
      </c>
    </row>
    <row r="39" spans="2:8" x14ac:dyDescent="0.25">
      <c r="B39" s="130" t="s">
        <v>192</v>
      </c>
      <c r="D39" s="157"/>
      <c r="E39" s="157"/>
      <c r="F39" s="158"/>
      <c r="G39" s="157"/>
      <c r="H39" s="159">
        <f>H38/$E37</f>
        <v>1.2388503468769703E-4</v>
      </c>
    </row>
    <row r="40" spans="2:8" x14ac:dyDescent="0.25">
      <c r="E40" s="138"/>
    </row>
    <row r="41" spans="2:8" x14ac:dyDescent="0.25">
      <c r="B41" s="130" t="s">
        <v>193</v>
      </c>
      <c r="D41" s="149">
        <f>D28+D30</f>
        <v>1.0001</v>
      </c>
      <c r="E41" s="138"/>
      <c r="F41" s="156"/>
      <c r="G41" s="149">
        <f>G28+G30</f>
        <v>1.0001899999999999</v>
      </c>
    </row>
    <row r="43" spans="2:8" ht="17.25" x14ac:dyDescent="0.25">
      <c r="B43" s="160" t="s">
        <v>194</v>
      </c>
      <c r="D43" s="160"/>
      <c r="E43" s="160"/>
      <c r="F43" s="161"/>
      <c r="G43" s="161"/>
      <c r="H43" s="161"/>
    </row>
    <row r="48" spans="2:8" ht="14.25" customHeight="1" x14ac:dyDescent="0.25"/>
  </sheetData>
  <printOptions horizontalCentered="1"/>
  <pageMargins left="0.5" right="0.5" top="1" bottom="1" header="0.5" footer="0.5"/>
  <pageSetup scale="78" orientation="landscape" blackAndWhite="1" r:id="rId1"/>
  <headerFooter alignWithMargins="0">
    <oddFooter>&amp;L&amp;F  
&amp;A&amp;C&amp;P&amp;R&amp;D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1"/>
  <sheetViews>
    <sheetView zoomScale="90" zoomScaleNormal="90" workbookViewId="0">
      <selection activeCell="D26" sqref="D26"/>
    </sheetView>
  </sheetViews>
  <sheetFormatPr defaultColWidth="8.7109375" defaultRowHeight="15" x14ac:dyDescent="0.25"/>
  <cols>
    <col min="1" max="1" width="37.7109375" style="1" customWidth="1"/>
    <col min="2" max="2" width="9.140625" style="1" bestFit="1" customWidth="1"/>
    <col min="3" max="3" width="18.5703125" style="1" bestFit="1" customWidth="1"/>
    <col min="4" max="5" width="13.7109375" style="1" customWidth="1"/>
    <col min="6" max="8" width="14.42578125" style="1" customWidth="1"/>
    <col min="9" max="9" width="7.85546875" style="1" bestFit="1" customWidth="1"/>
    <col min="10" max="16384" width="8.7109375" style="1"/>
  </cols>
  <sheetData>
    <row r="1" spans="1:21" s="130" customFormat="1" x14ac:dyDescent="0.25">
      <c r="A1" s="186" t="s">
        <v>0</v>
      </c>
      <c r="B1" s="186"/>
      <c r="C1" s="186"/>
      <c r="D1" s="186"/>
      <c r="E1" s="186"/>
      <c r="F1" s="186"/>
      <c r="G1" s="186"/>
      <c r="H1" s="186"/>
      <c r="I1" s="186"/>
      <c r="J1" s="89"/>
    </row>
    <row r="2" spans="1:21" s="130" customFormat="1" x14ac:dyDescent="0.25">
      <c r="A2" s="186" t="s">
        <v>195</v>
      </c>
      <c r="B2" s="187"/>
      <c r="C2" s="187"/>
      <c r="D2" s="187"/>
      <c r="E2" s="187"/>
      <c r="F2" s="187"/>
      <c r="G2" s="187"/>
      <c r="H2" s="187"/>
      <c r="I2" s="187"/>
      <c r="J2" s="162"/>
      <c r="K2" s="163"/>
      <c r="L2" s="163"/>
      <c r="M2" s="163"/>
      <c r="N2" s="163"/>
      <c r="O2" s="163"/>
      <c r="P2" s="163"/>
      <c r="Q2" s="163"/>
      <c r="R2" s="163"/>
      <c r="S2" s="163"/>
      <c r="T2" s="163"/>
      <c r="U2" s="163"/>
    </row>
    <row r="3" spans="1:21" s="130" customFormat="1" x14ac:dyDescent="0.25">
      <c r="A3" s="186" t="s">
        <v>196</v>
      </c>
      <c r="B3" s="186"/>
      <c r="C3" s="186"/>
      <c r="D3" s="186"/>
      <c r="E3" s="186"/>
      <c r="F3" s="186"/>
      <c r="G3" s="186"/>
      <c r="H3" s="186"/>
      <c r="I3" s="186"/>
      <c r="J3" s="89"/>
    </row>
    <row r="4" spans="1:21" s="130" customFormat="1" x14ac:dyDescent="0.25">
      <c r="A4" s="186" t="s">
        <v>97</v>
      </c>
      <c r="B4" s="186"/>
      <c r="C4" s="186"/>
      <c r="D4" s="186"/>
      <c r="E4" s="186"/>
      <c r="F4" s="186"/>
      <c r="G4" s="186"/>
      <c r="H4" s="186"/>
      <c r="I4" s="186"/>
      <c r="J4" s="89"/>
    </row>
    <row r="5" spans="1:21" x14ac:dyDescent="0.25">
      <c r="D5" s="17"/>
      <c r="E5" s="17"/>
    </row>
    <row r="6" spans="1:21" x14ac:dyDescent="0.25">
      <c r="A6" s="4"/>
      <c r="B6" s="4"/>
      <c r="C6" s="4" t="s">
        <v>98</v>
      </c>
      <c r="D6" s="4" t="s">
        <v>197</v>
      </c>
      <c r="E6" s="4" t="s">
        <v>1</v>
      </c>
      <c r="F6" s="164" t="s">
        <v>98</v>
      </c>
      <c r="G6" s="164" t="s">
        <v>98</v>
      </c>
      <c r="H6" s="4" t="s">
        <v>198</v>
      </c>
      <c r="I6" s="4"/>
      <c r="R6" s="165"/>
      <c r="S6" s="165"/>
      <c r="T6" s="165"/>
    </row>
    <row r="7" spans="1:21" x14ac:dyDescent="0.25">
      <c r="A7" s="4"/>
      <c r="B7" s="4" t="s">
        <v>104</v>
      </c>
      <c r="C7" s="4" t="s">
        <v>199</v>
      </c>
      <c r="D7" s="4" t="s">
        <v>198</v>
      </c>
      <c r="E7" s="4" t="s">
        <v>198</v>
      </c>
      <c r="F7" s="164" t="s">
        <v>2</v>
      </c>
      <c r="G7" s="164" t="s">
        <v>2</v>
      </c>
      <c r="H7" s="4" t="s">
        <v>2</v>
      </c>
      <c r="I7" s="4" t="s">
        <v>29</v>
      </c>
      <c r="R7" s="165"/>
      <c r="S7" s="165"/>
      <c r="T7" s="165"/>
    </row>
    <row r="8" spans="1:21" x14ac:dyDescent="0.25">
      <c r="A8" s="6" t="s">
        <v>4</v>
      </c>
      <c r="B8" s="6" t="s">
        <v>120</v>
      </c>
      <c r="C8" s="182" t="s">
        <v>102</v>
      </c>
      <c r="D8" s="6" t="s">
        <v>169</v>
      </c>
      <c r="E8" s="6" t="s">
        <v>169</v>
      </c>
      <c r="F8" s="135" t="s">
        <v>165</v>
      </c>
      <c r="G8" s="135" t="s">
        <v>200</v>
      </c>
      <c r="H8" s="6" t="s">
        <v>126</v>
      </c>
      <c r="I8" s="6" t="s">
        <v>126</v>
      </c>
      <c r="R8" s="165"/>
      <c r="S8" s="166"/>
      <c r="T8" s="165"/>
    </row>
    <row r="9" spans="1:21" x14ac:dyDescent="0.25">
      <c r="A9" s="1" t="s">
        <v>9</v>
      </c>
      <c r="B9" s="17" t="s">
        <v>138</v>
      </c>
      <c r="C9" s="178">
        <v>545268777</v>
      </c>
      <c r="D9" s="167">
        <v>0</v>
      </c>
      <c r="E9" s="168">
        <f>'Sch. 141PFG Rates'!$M$10</f>
        <v>9.0000000000000006E-5</v>
      </c>
      <c r="F9" s="10">
        <f>C9*D9</f>
        <v>0</v>
      </c>
      <c r="G9" s="10">
        <f>C9*E9</f>
        <v>49074.18993</v>
      </c>
      <c r="H9" s="169">
        <f>G9-F9</f>
        <v>49074.18993</v>
      </c>
      <c r="I9" s="170">
        <v>1</v>
      </c>
      <c r="R9" s="165"/>
      <c r="S9" s="171"/>
      <c r="T9" s="165"/>
    </row>
    <row r="10" spans="1:21" x14ac:dyDescent="0.25">
      <c r="A10" s="1" t="s">
        <v>139</v>
      </c>
      <c r="B10" s="17">
        <v>16</v>
      </c>
      <c r="C10" s="183">
        <v>6996</v>
      </c>
      <c r="D10" s="167">
        <v>0</v>
      </c>
      <c r="E10" s="168">
        <f>'Sch. 141PFG Rates'!$M$10</f>
        <v>9.0000000000000006E-5</v>
      </c>
      <c r="F10" s="10">
        <f t="shared" ref="F10:F20" si="0">C10*D10</f>
        <v>0</v>
      </c>
      <c r="G10" s="10">
        <f t="shared" ref="G10:G21" si="1">C10*E10</f>
        <v>0.62964000000000009</v>
      </c>
      <c r="H10" s="169">
        <f t="shared" ref="H10:H21" si="2">G10-F10</f>
        <v>0.62964000000000009</v>
      </c>
      <c r="I10" s="170">
        <v>1</v>
      </c>
      <c r="R10" s="165"/>
      <c r="S10" s="165"/>
      <c r="T10" s="165"/>
    </row>
    <row r="11" spans="1:21" x14ac:dyDescent="0.25">
      <c r="A11" s="1" t="s">
        <v>11</v>
      </c>
      <c r="B11" s="17">
        <v>31</v>
      </c>
      <c r="C11" s="178">
        <v>228642219</v>
      </c>
      <c r="D11" s="167">
        <v>0</v>
      </c>
      <c r="E11" s="168">
        <f>'Sch. 141PFG Rates'!M11</f>
        <v>6.0000000000000002E-5</v>
      </c>
      <c r="F11" s="10">
        <f t="shared" si="0"/>
        <v>0</v>
      </c>
      <c r="G11" s="10">
        <f t="shared" si="1"/>
        <v>13718.53314</v>
      </c>
      <c r="H11" s="169">
        <f t="shared" si="2"/>
        <v>13718.53314</v>
      </c>
      <c r="I11" s="170">
        <v>1</v>
      </c>
      <c r="R11" s="165"/>
      <c r="S11" s="165"/>
      <c r="T11" s="165"/>
    </row>
    <row r="12" spans="1:21" x14ac:dyDescent="0.25">
      <c r="A12" s="1" t="s">
        <v>13</v>
      </c>
      <c r="B12" s="17">
        <v>41</v>
      </c>
      <c r="C12" s="178">
        <v>60970775</v>
      </c>
      <c r="D12" s="167">
        <v>0</v>
      </c>
      <c r="E12" s="168">
        <f>'Sch. 141PFG Rates'!M12</f>
        <v>6.9999999999999994E-5</v>
      </c>
      <c r="F12" s="10">
        <f t="shared" si="0"/>
        <v>0</v>
      </c>
      <c r="G12" s="10">
        <f t="shared" si="1"/>
        <v>4267.9542499999998</v>
      </c>
      <c r="H12" s="169">
        <f t="shared" si="2"/>
        <v>4267.9542499999998</v>
      </c>
      <c r="I12" s="170">
        <v>1</v>
      </c>
    </row>
    <row r="13" spans="1:21" x14ac:dyDescent="0.25">
      <c r="A13" s="1" t="s">
        <v>15</v>
      </c>
      <c r="B13" s="17">
        <v>85</v>
      </c>
      <c r="C13" s="178">
        <v>16936355</v>
      </c>
      <c r="D13" s="167">
        <v>0</v>
      </c>
      <c r="E13" s="168">
        <f>'Sch. 141PFG Rates'!M13</f>
        <v>8.0000000000000007E-5</v>
      </c>
      <c r="F13" s="10">
        <f t="shared" si="0"/>
        <v>0</v>
      </c>
      <c r="G13" s="10">
        <f t="shared" si="1"/>
        <v>1354.9084</v>
      </c>
      <c r="H13" s="169">
        <f t="shared" si="2"/>
        <v>1354.9084</v>
      </c>
      <c r="I13" s="170">
        <v>1</v>
      </c>
    </row>
    <row r="14" spans="1:21" x14ac:dyDescent="0.25">
      <c r="A14" s="1" t="s">
        <v>17</v>
      </c>
      <c r="B14" s="17">
        <v>86</v>
      </c>
      <c r="C14" s="178">
        <v>4761426</v>
      </c>
      <c r="D14" s="167">
        <v>0</v>
      </c>
      <c r="E14" s="168">
        <f>'Sch. 141PFG Rates'!M14</f>
        <v>6.0000000000000002E-5</v>
      </c>
      <c r="F14" s="10">
        <f t="shared" si="0"/>
        <v>0</v>
      </c>
      <c r="G14" s="10">
        <f t="shared" si="1"/>
        <v>285.68556000000001</v>
      </c>
      <c r="H14" s="169">
        <f t="shared" si="2"/>
        <v>285.68556000000001</v>
      </c>
      <c r="I14" s="170">
        <v>1</v>
      </c>
    </row>
    <row r="15" spans="1:21" x14ac:dyDescent="0.25">
      <c r="A15" s="1" t="s">
        <v>19</v>
      </c>
      <c r="B15" s="17">
        <v>87</v>
      </c>
      <c r="C15" s="178">
        <v>20400254</v>
      </c>
      <c r="D15" s="167">
        <v>0</v>
      </c>
      <c r="E15" s="168">
        <f>'Sch. 141PFG Rates'!M15</f>
        <v>9.0000000000000006E-5</v>
      </c>
      <c r="F15" s="10">
        <f t="shared" si="0"/>
        <v>0</v>
      </c>
      <c r="G15" s="10">
        <f t="shared" si="1"/>
        <v>1836.02286</v>
      </c>
      <c r="H15" s="169">
        <f t="shared" si="2"/>
        <v>1836.02286</v>
      </c>
      <c r="I15" s="170">
        <v>1</v>
      </c>
    </row>
    <row r="16" spans="1:21" x14ac:dyDescent="0.25">
      <c r="A16" s="1" t="s">
        <v>140</v>
      </c>
      <c r="B16" s="17" t="s">
        <v>141</v>
      </c>
      <c r="C16" s="178">
        <v>0</v>
      </c>
      <c r="D16" s="167">
        <v>0</v>
      </c>
      <c r="E16" s="168">
        <f>'Sch. 141PFG Rates'!M11</f>
        <v>6.0000000000000002E-5</v>
      </c>
      <c r="F16" s="10">
        <f t="shared" si="0"/>
        <v>0</v>
      </c>
      <c r="G16" s="10">
        <f t="shared" si="1"/>
        <v>0</v>
      </c>
      <c r="H16" s="169">
        <f t="shared" si="2"/>
        <v>0</v>
      </c>
      <c r="I16" s="170">
        <v>1</v>
      </c>
    </row>
    <row r="17" spans="1:9" x14ac:dyDescent="0.25">
      <c r="A17" s="1" t="s">
        <v>142</v>
      </c>
      <c r="B17" s="17" t="s">
        <v>143</v>
      </c>
      <c r="C17" s="178">
        <v>21523379</v>
      </c>
      <c r="D17" s="167">
        <v>0</v>
      </c>
      <c r="E17" s="168">
        <f>'Sch. 141PFG Rates'!M12</f>
        <v>6.9999999999999994E-5</v>
      </c>
      <c r="F17" s="10">
        <f t="shared" si="0"/>
        <v>0</v>
      </c>
      <c r="G17" s="10">
        <f t="shared" si="1"/>
        <v>1506.6365299999998</v>
      </c>
      <c r="H17" s="169">
        <f t="shared" si="2"/>
        <v>1506.6365299999998</v>
      </c>
      <c r="I17" s="170">
        <v>1</v>
      </c>
    </row>
    <row r="18" spans="1:9" x14ac:dyDescent="0.25">
      <c r="A18" s="1" t="s">
        <v>144</v>
      </c>
      <c r="B18" s="17" t="s">
        <v>145</v>
      </c>
      <c r="C18" s="178">
        <v>63133599</v>
      </c>
      <c r="D18" s="167">
        <v>0</v>
      </c>
      <c r="E18" s="168">
        <f>'Sch. 141PFG Rates'!M13</f>
        <v>8.0000000000000007E-5</v>
      </c>
      <c r="F18" s="10">
        <f t="shared" si="0"/>
        <v>0</v>
      </c>
      <c r="G18" s="10">
        <f t="shared" si="1"/>
        <v>5050.6879200000003</v>
      </c>
      <c r="H18" s="169">
        <f t="shared" si="2"/>
        <v>5050.6879200000003</v>
      </c>
      <c r="I18" s="170">
        <v>1</v>
      </c>
    </row>
    <row r="19" spans="1:9" x14ac:dyDescent="0.25">
      <c r="A19" s="1" t="s">
        <v>146</v>
      </c>
      <c r="B19" s="17" t="s">
        <v>147</v>
      </c>
      <c r="C19" s="178">
        <v>1188598</v>
      </c>
      <c r="D19" s="167">
        <v>0</v>
      </c>
      <c r="E19" s="168">
        <f>'Sch. 141PFG Rates'!M14</f>
        <v>6.0000000000000002E-5</v>
      </c>
      <c r="F19" s="10">
        <f t="shared" si="0"/>
        <v>0</v>
      </c>
      <c r="G19" s="10">
        <f t="shared" si="1"/>
        <v>71.315880000000007</v>
      </c>
      <c r="H19" s="169">
        <f t="shared" si="2"/>
        <v>71.315880000000007</v>
      </c>
      <c r="I19" s="170">
        <v>1</v>
      </c>
    </row>
    <row r="20" spans="1:9" x14ac:dyDescent="0.25">
      <c r="A20" s="1" t="s">
        <v>148</v>
      </c>
      <c r="B20" s="17" t="s">
        <v>149</v>
      </c>
      <c r="C20" s="178">
        <v>123922533</v>
      </c>
      <c r="D20" s="167">
        <v>0</v>
      </c>
      <c r="E20" s="168">
        <f>'Sch. 141PFG Rates'!M15</f>
        <v>9.0000000000000006E-5</v>
      </c>
      <c r="F20" s="10">
        <f t="shared" si="0"/>
        <v>0</v>
      </c>
      <c r="G20" s="10">
        <f t="shared" si="1"/>
        <v>11153.027970000001</v>
      </c>
      <c r="H20" s="169">
        <f t="shared" si="2"/>
        <v>11153.027970000001</v>
      </c>
      <c r="I20" s="170">
        <v>1</v>
      </c>
    </row>
    <row r="21" spans="1:9" x14ac:dyDescent="0.25">
      <c r="A21" s="1" t="s">
        <v>20</v>
      </c>
      <c r="B21" s="17"/>
      <c r="C21" s="178">
        <v>32071144</v>
      </c>
      <c r="D21" s="167">
        <v>0</v>
      </c>
      <c r="E21" s="168">
        <f>'Sch. 141PFG Rates'!M16</f>
        <v>1E-4</v>
      </c>
      <c r="F21" s="10">
        <f>C21*D21</f>
        <v>0</v>
      </c>
      <c r="G21" s="10">
        <f t="shared" si="1"/>
        <v>3207.1143999999999</v>
      </c>
      <c r="H21" s="169">
        <f t="shared" si="2"/>
        <v>3207.1143999999999</v>
      </c>
      <c r="I21" s="170">
        <v>1</v>
      </c>
    </row>
    <row r="22" spans="1:9" x14ac:dyDescent="0.25">
      <c r="A22" s="1" t="s">
        <v>21</v>
      </c>
      <c r="C22" s="172">
        <f>SUM(C9:C21)</f>
        <v>1118826055</v>
      </c>
      <c r="D22" s="173"/>
      <c r="E22" s="173"/>
      <c r="F22" s="107">
        <f t="shared" ref="F22:H22" si="3">SUM(F9:F21)</f>
        <v>0</v>
      </c>
      <c r="G22" s="107">
        <f t="shared" si="3"/>
        <v>91526.706479999993</v>
      </c>
      <c r="H22" s="174">
        <f t="shared" si="3"/>
        <v>91526.706479999993</v>
      </c>
      <c r="I22" s="175">
        <v>1</v>
      </c>
    </row>
    <row r="23" spans="1:9" x14ac:dyDescent="0.25">
      <c r="F23" s="169"/>
      <c r="G23" s="169"/>
    </row>
    <row r="24" spans="1:9" x14ac:dyDescent="0.25">
      <c r="C24" s="9"/>
      <c r="F24" s="169"/>
      <c r="G24" s="169"/>
    </row>
    <row r="25" spans="1:9" x14ac:dyDescent="0.25">
      <c r="A25" s="176"/>
      <c r="B25" s="165"/>
      <c r="C25" s="165"/>
      <c r="D25" s="165"/>
      <c r="E25" s="165"/>
      <c r="F25" s="165"/>
      <c r="G25" s="165"/>
      <c r="H25" s="165"/>
    </row>
    <row r="26" spans="1:9" x14ac:dyDescent="0.25">
      <c r="B26" s="165"/>
      <c r="C26" s="165"/>
      <c r="D26" s="165"/>
      <c r="E26" s="165"/>
      <c r="F26" s="165"/>
      <c r="G26" s="165"/>
      <c r="H26" s="165"/>
    </row>
    <row r="41" spans="2:2" ht="17.25" x14ac:dyDescent="0.25">
      <c r="B41" s="177"/>
    </row>
  </sheetData>
  <mergeCells count="4">
    <mergeCell ref="A1:I1"/>
    <mergeCell ref="A2:I2"/>
    <mergeCell ref="A3:I3"/>
    <mergeCell ref="A4:I4"/>
  </mergeCells>
  <printOptions horizontalCentered="1"/>
  <pageMargins left="0.7" right="0.7" top="0.75" bottom="0.75" header="0.3" footer="0.3"/>
  <pageSetup scale="84" orientation="landscape" blackAndWhite="1" r:id="rId1"/>
  <headerFooter>
    <oddFooter>&amp;L&amp;F 
&amp;A&amp;C&amp;P&amp;R&amp;D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"/>
  <sheetViews>
    <sheetView workbookViewId="0">
      <selection activeCell="F35" sqref="F35"/>
    </sheetView>
  </sheetViews>
  <sheetFormatPr defaultRowHeight="15" x14ac:dyDescent="0.25"/>
  <sheetData/>
  <pageMargins left="0.7" right="0.7" top="0.75" bottom="0.75" header="0.3" footer="0.3"/>
  <customProperties>
    <customPr name="EpmWorksheetKeyString_GUID" r:id="rId1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9"/>
  <sheetViews>
    <sheetView zoomScale="90" zoomScaleNormal="90" workbookViewId="0">
      <pane ySplit="4" topLeftCell="A5" activePane="bottomLeft" state="frozen"/>
      <selection pane="bottomLeft" activeCell="P45" sqref="P45"/>
    </sheetView>
  </sheetViews>
  <sheetFormatPr defaultRowHeight="15" x14ac:dyDescent="0.25"/>
  <cols>
    <col min="1" max="1" width="4.7109375" style="14" bestFit="1" customWidth="1"/>
    <col min="2" max="2" width="30" style="14" bestFit="1" customWidth="1"/>
    <col min="3" max="3" width="20.85546875" style="14" bestFit="1" customWidth="1"/>
    <col min="4" max="4" width="9.140625" style="14"/>
    <col min="5" max="6" width="12.28515625" style="14" bestFit="1" customWidth="1"/>
    <col min="7" max="8" width="13.85546875" style="14" bestFit="1" customWidth="1"/>
    <col min="9" max="9" width="1.7109375" style="14" customWidth="1"/>
    <col min="10" max="10" width="12.28515625" style="14" bestFit="1" customWidth="1"/>
    <col min="11" max="11" width="10.85546875" style="14" bestFit="1" customWidth="1"/>
    <col min="12" max="13" width="12.28515625" style="14" bestFit="1" customWidth="1"/>
    <col min="14" max="14" width="1.7109375" style="14" customWidth="1"/>
    <col min="15" max="15" width="10.5703125" style="14" bestFit="1" customWidth="1"/>
    <col min="16" max="16" width="8.7109375" style="14" bestFit="1" customWidth="1"/>
    <col min="17" max="17" width="10.5703125" style="14" bestFit="1" customWidth="1"/>
    <col min="18" max="18" width="1.7109375" style="14" customWidth="1"/>
    <col min="19" max="19" width="9.140625" style="14"/>
    <col min="20" max="20" width="10.42578125" style="14" bestFit="1" customWidth="1"/>
    <col min="21" max="21" width="9.140625" style="14"/>
    <col min="22" max="22" width="22.28515625" style="14" bestFit="1" customWidth="1"/>
    <col min="23" max="16384" width="9.140625" style="14"/>
  </cols>
  <sheetData>
    <row r="1" spans="1:19" ht="15.75" x14ac:dyDescent="0.25">
      <c r="A1" s="14" t="s">
        <v>25</v>
      </c>
      <c r="E1" s="39" t="s">
        <v>23</v>
      </c>
      <c r="F1" s="39" t="s">
        <v>23</v>
      </c>
      <c r="G1" s="39" t="s">
        <v>23</v>
      </c>
      <c r="H1" s="40"/>
      <c r="J1" s="39" t="s">
        <v>24</v>
      </c>
      <c r="K1" s="39" t="s">
        <v>24</v>
      </c>
      <c r="L1" s="39" t="s">
        <v>24</v>
      </c>
      <c r="M1" s="40"/>
    </row>
    <row r="2" spans="1:19" ht="15.75" x14ac:dyDescent="0.25">
      <c r="A2" s="41">
        <f>ROW()</f>
        <v>2</v>
      </c>
      <c r="B2" s="42" t="s">
        <v>68</v>
      </c>
      <c r="C2" s="43" t="s">
        <v>69</v>
      </c>
      <c r="D2" s="44"/>
      <c r="E2" s="45">
        <v>0.95034799999999997</v>
      </c>
      <c r="F2" s="45">
        <v>0.95034799999999997</v>
      </c>
      <c r="G2" s="45">
        <v>0.95034799999999997</v>
      </c>
      <c r="H2" s="46"/>
      <c r="I2" s="45"/>
      <c r="J2" s="45">
        <v>0.95344399999999996</v>
      </c>
      <c r="K2" s="45">
        <v>0.95344399999999996</v>
      </c>
      <c r="L2" s="45">
        <v>0.95344399999999996</v>
      </c>
      <c r="M2" s="46"/>
      <c r="N2" s="44"/>
      <c r="O2" s="44"/>
      <c r="P2" s="44"/>
      <c r="Q2" s="44"/>
      <c r="R2" s="44"/>
      <c r="S2" s="44"/>
    </row>
    <row r="3" spans="1:19" ht="15.75" x14ac:dyDescent="0.25">
      <c r="A3" s="41">
        <f>ROW()</f>
        <v>3</v>
      </c>
      <c r="B3" s="42" t="s">
        <v>85</v>
      </c>
      <c r="C3" s="47">
        <v>2.1916666666666664E-3</v>
      </c>
      <c r="D3" s="44"/>
      <c r="E3" s="48" t="s">
        <v>9</v>
      </c>
      <c r="F3" s="48" t="s">
        <v>70</v>
      </c>
      <c r="G3" s="48"/>
      <c r="H3" s="49" t="s">
        <v>21</v>
      </c>
      <c r="I3" s="45"/>
      <c r="J3" s="48" t="s">
        <v>9</v>
      </c>
      <c r="K3" s="48" t="s">
        <v>70</v>
      </c>
      <c r="L3" s="48"/>
      <c r="M3" s="49" t="s">
        <v>21</v>
      </c>
      <c r="N3" s="44"/>
      <c r="O3" s="48" t="s">
        <v>21</v>
      </c>
      <c r="P3" s="48" t="s">
        <v>21</v>
      </c>
      <c r="Q3" s="48" t="s">
        <v>21</v>
      </c>
      <c r="R3" s="44"/>
      <c r="S3" s="44"/>
    </row>
    <row r="4" spans="1:19" ht="15.75" x14ac:dyDescent="0.25">
      <c r="A4" s="41">
        <f>ROW()</f>
        <v>4</v>
      </c>
      <c r="B4" s="42" t="s">
        <v>86</v>
      </c>
      <c r="C4" s="47">
        <v>2.1916666666666664E-3</v>
      </c>
      <c r="D4" s="44" t="s">
        <v>71</v>
      </c>
      <c r="E4" s="48" t="s">
        <v>72</v>
      </c>
      <c r="F4" s="48" t="s">
        <v>72</v>
      </c>
      <c r="G4" s="48" t="s">
        <v>73</v>
      </c>
      <c r="H4" s="49" t="s">
        <v>23</v>
      </c>
      <c r="I4" s="45"/>
      <c r="J4" s="48" t="s">
        <v>72</v>
      </c>
      <c r="K4" s="48" t="s">
        <v>72</v>
      </c>
      <c r="L4" s="48" t="s">
        <v>73</v>
      </c>
      <c r="M4" s="49" t="s">
        <v>24</v>
      </c>
      <c r="N4" s="44"/>
      <c r="O4" s="48" t="s">
        <v>74</v>
      </c>
      <c r="P4" s="48" t="s">
        <v>75</v>
      </c>
      <c r="Q4" s="48" t="s">
        <v>21</v>
      </c>
      <c r="R4" s="44"/>
      <c r="S4" s="48" t="s">
        <v>76</v>
      </c>
    </row>
    <row r="5" spans="1:19" ht="15.75" x14ac:dyDescent="0.25">
      <c r="A5" s="14">
        <f>ROW()</f>
        <v>5</v>
      </c>
      <c r="B5" s="50" t="s">
        <v>74</v>
      </c>
      <c r="D5" s="51">
        <v>44986</v>
      </c>
      <c r="E5" s="52">
        <v>32316</v>
      </c>
      <c r="F5" s="52">
        <v>42027</v>
      </c>
      <c r="G5" s="52">
        <v>43031</v>
      </c>
      <c r="H5" s="53">
        <f t="shared" ref="H5:H15" si="0">SUM(E5:G5)</f>
        <v>117374</v>
      </c>
      <c r="I5" s="52"/>
      <c r="J5" s="52">
        <v>17684</v>
      </c>
      <c r="K5" s="52">
        <v>7973</v>
      </c>
      <c r="L5" s="52">
        <v>57300</v>
      </c>
      <c r="M5" s="53">
        <f t="shared" ref="M5:M15" si="1">SUM(J5:L5)</f>
        <v>82957</v>
      </c>
      <c r="N5" s="52"/>
      <c r="O5" s="54">
        <f>SUM(H5,M5)</f>
        <v>200331</v>
      </c>
      <c r="Q5" s="54">
        <f>SUM(O5:P5)</f>
        <v>200331</v>
      </c>
      <c r="R5" s="52"/>
      <c r="S5" s="55">
        <f>SUM(E5:G5,J5:L5)-Q5</f>
        <v>0</v>
      </c>
    </row>
    <row r="6" spans="1:19" ht="15.75" x14ac:dyDescent="0.25">
      <c r="A6" s="14">
        <f>ROW()</f>
        <v>6</v>
      </c>
      <c r="B6" s="56"/>
      <c r="C6" s="56" t="s">
        <v>75</v>
      </c>
      <c r="D6" s="57">
        <v>44986</v>
      </c>
      <c r="E6" s="58">
        <f>E$5*$C$3/2</f>
        <v>35.412949999999995</v>
      </c>
      <c r="F6" s="58">
        <f t="shared" ref="F6:G6" si="2">F$5*$C$3/2</f>
        <v>46.054587499999997</v>
      </c>
      <c r="G6" s="58">
        <f t="shared" si="2"/>
        <v>47.154804166666658</v>
      </c>
      <c r="H6" s="59">
        <f t="shared" ref="H6" si="3">SUM(E6:G6)</f>
        <v>128.62234166666664</v>
      </c>
      <c r="J6" s="58">
        <f>J$5*$C$3/2</f>
        <v>19.378716666666666</v>
      </c>
      <c r="K6" s="58">
        <f t="shared" ref="K6:L6" si="4">K$5*$C$3/2</f>
        <v>8.7370791666666658</v>
      </c>
      <c r="L6" s="58">
        <f t="shared" si="4"/>
        <v>62.791249999999991</v>
      </c>
      <c r="M6" s="59">
        <f t="shared" ref="M6" si="5">SUM(J6:L6)</f>
        <v>90.907045833333314</v>
      </c>
      <c r="P6" s="60">
        <f t="shared" ref="P6:P15" si="6">SUM(H6,M6)</f>
        <v>219.52938749999996</v>
      </c>
      <c r="Q6" s="60">
        <f t="shared" ref="Q6:Q25" si="7">SUM(O6:P6)</f>
        <v>219.52938749999996</v>
      </c>
      <c r="S6" s="55">
        <f t="shared" ref="S6:S26" si="8">SUM(E6:G6,J6:L6)-Q6</f>
        <v>0</v>
      </c>
    </row>
    <row r="7" spans="1:19" ht="15.75" x14ac:dyDescent="0.25">
      <c r="A7" s="14">
        <f>ROW()</f>
        <v>7</v>
      </c>
      <c r="C7" s="56" t="s">
        <v>75</v>
      </c>
      <c r="D7" s="57">
        <v>45017</v>
      </c>
      <c r="E7" s="58">
        <f>E$5*$C$3/2+E$5*$C$3</f>
        <v>106.23884999999999</v>
      </c>
      <c r="F7" s="58">
        <f t="shared" ref="F7:G9" si="9">F$5*$C$3/2+F$5*$C$3</f>
        <v>138.16376249999999</v>
      </c>
      <c r="G7" s="58">
        <f t="shared" si="9"/>
        <v>141.46441249999998</v>
      </c>
      <c r="H7" s="59">
        <f t="shared" si="0"/>
        <v>385.86702499999996</v>
      </c>
      <c r="J7" s="58">
        <f>J$5*$C$3/2+J$5*$C$3</f>
        <v>58.136150000000001</v>
      </c>
      <c r="K7" s="58">
        <f t="shared" ref="K7:L9" si="10">K$5*$C$3/2+K$5*$C$3</f>
        <v>26.211237499999996</v>
      </c>
      <c r="L7" s="58">
        <f t="shared" si="10"/>
        <v>188.37374999999997</v>
      </c>
      <c r="M7" s="59">
        <f t="shared" si="1"/>
        <v>272.72113749999994</v>
      </c>
      <c r="P7" s="60">
        <f t="shared" si="6"/>
        <v>658.58816249999995</v>
      </c>
      <c r="Q7" s="60">
        <f t="shared" si="7"/>
        <v>658.58816249999995</v>
      </c>
      <c r="S7" s="55">
        <f t="shared" si="8"/>
        <v>0</v>
      </c>
    </row>
    <row r="8" spans="1:19" ht="15.75" x14ac:dyDescent="0.25">
      <c r="A8" s="14">
        <f>ROW()</f>
        <v>8</v>
      </c>
      <c r="C8" s="56" t="s">
        <v>75</v>
      </c>
      <c r="D8" s="57">
        <v>45047</v>
      </c>
      <c r="E8" s="58">
        <f t="shared" ref="E8:E9" si="11">E$5*$C$3/2+E$5*$C$3</f>
        <v>106.23884999999999</v>
      </c>
      <c r="F8" s="58">
        <f t="shared" si="9"/>
        <v>138.16376249999999</v>
      </c>
      <c r="G8" s="58">
        <f t="shared" si="9"/>
        <v>141.46441249999998</v>
      </c>
      <c r="H8" s="59">
        <f t="shared" si="0"/>
        <v>385.86702499999996</v>
      </c>
      <c r="J8" s="58">
        <f t="shared" ref="J8:J9" si="12">J$5*$C$3/2+J$5*$C$3</f>
        <v>58.136150000000001</v>
      </c>
      <c r="K8" s="58">
        <f t="shared" si="10"/>
        <v>26.211237499999996</v>
      </c>
      <c r="L8" s="58">
        <f t="shared" si="10"/>
        <v>188.37374999999997</v>
      </c>
      <c r="M8" s="59">
        <f t="shared" si="1"/>
        <v>272.72113749999994</v>
      </c>
      <c r="P8" s="60">
        <f t="shared" si="6"/>
        <v>658.58816249999995</v>
      </c>
      <c r="Q8" s="60">
        <f t="shared" si="7"/>
        <v>658.58816249999995</v>
      </c>
      <c r="S8" s="55">
        <f t="shared" si="8"/>
        <v>0</v>
      </c>
    </row>
    <row r="9" spans="1:19" ht="15.75" x14ac:dyDescent="0.25">
      <c r="A9" s="14">
        <f>ROW()</f>
        <v>9</v>
      </c>
      <c r="C9" s="56" t="s">
        <v>75</v>
      </c>
      <c r="D9" s="57">
        <v>45078</v>
      </c>
      <c r="E9" s="58">
        <f t="shared" si="11"/>
        <v>106.23884999999999</v>
      </c>
      <c r="F9" s="58">
        <f t="shared" si="9"/>
        <v>138.16376249999999</v>
      </c>
      <c r="G9" s="58">
        <f t="shared" si="9"/>
        <v>141.46441249999998</v>
      </c>
      <c r="H9" s="59">
        <f t="shared" si="0"/>
        <v>385.86702499999996</v>
      </c>
      <c r="J9" s="58">
        <f t="shared" si="12"/>
        <v>58.136150000000001</v>
      </c>
      <c r="K9" s="58">
        <f t="shared" si="10"/>
        <v>26.211237499999996</v>
      </c>
      <c r="L9" s="58">
        <f t="shared" si="10"/>
        <v>188.37374999999997</v>
      </c>
      <c r="M9" s="59">
        <f t="shared" si="1"/>
        <v>272.72113749999994</v>
      </c>
      <c r="P9" s="60">
        <f t="shared" si="6"/>
        <v>658.58816249999995</v>
      </c>
      <c r="Q9" s="60">
        <f t="shared" si="7"/>
        <v>658.58816249999995</v>
      </c>
      <c r="S9" s="55">
        <f t="shared" si="8"/>
        <v>0</v>
      </c>
    </row>
    <row r="10" spans="1:19" ht="15.75" x14ac:dyDescent="0.25">
      <c r="A10" s="14">
        <f>ROW()</f>
        <v>10</v>
      </c>
      <c r="C10" s="56" t="s">
        <v>75</v>
      </c>
      <c r="D10" s="57">
        <v>45108</v>
      </c>
      <c r="E10" s="58">
        <f>E$5*$C$4/2+E$5*$C$3</f>
        <v>106.23884999999999</v>
      </c>
      <c r="F10" s="58">
        <f t="shared" ref="F10:G10" si="13">F$5*$C$4/2+F$5*$C$3</f>
        <v>138.16376249999999</v>
      </c>
      <c r="G10" s="58">
        <f t="shared" si="13"/>
        <v>141.46441249999998</v>
      </c>
      <c r="H10" s="59">
        <f t="shared" si="0"/>
        <v>385.86702499999996</v>
      </c>
      <c r="J10" s="58">
        <f>J$5*$C$4/2+J$5*$C$3</f>
        <v>58.136150000000001</v>
      </c>
      <c r="K10" s="58">
        <f t="shared" ref="K10:L10" si="14">K$5*$C$4/2+K$5*$C$3</f>
        <v>26.211237499999996</v>
      </c>
      <c r="L10" s="58">
        <f t="shared" si="14"/>
        <v>188.37374999999997</v>
      </c>
      <c r="M10" s="59">
        <f t="shared" si="1"/>
        <v>272.72113749999994</v>
      </c>
      <c r="P10" s="60">
        <f t="shared" si="6"/>
        <v>658.58816249999995</v>
      </c>
      <c r="Q10" s="60">
        <f t="shared" si="7"/>
        <v>658.58816249999995</v>
      </c>
      <c r="S10" s="55">
        <f t="shared" si="8"/>
        <v>0</v>
      </c>
    </row>
    <row r="11" spans="1:19" ht="15.75" x14ac:dyDescent="0.25">
      <c r="A11" s="14">
        <f>ROW()</f>
        <v>11</v>
      </c>
      <c r="C11" s="56" t="s">
        <v>75</v>
      </c>
      <c r="D11" s="57">
        <v>45139</v>
      </c>
      <c r="E11" s="58">
        <f t="shared" ref="E11:G15" si="15">E$5*$C$4/2+E$5*$C$4</f>
        <v>106.23884999999999</v>
      </c>
      <c r="F11" s="58">
        <f t="shared" si="15"/>
        <v>138.16376249999999</v>
      </c>
      <c r="G11" s="58">
        <f t="shared" si="15"/>
        <v>141.46441249999998</v>
      </c>
      <c r="H11" s="59">
        <f t="shared" si="0"/>
        <v>385.86702499999996</v>
      </c>
      <c r="J11" s="58">
        <f t="shared" ref="J11:L15" si="16">J$5*$C$4/2+J$5*$C$4</f>
        <v>58.136150000000001</v>
      </c>
      <c r="K11" s="58">
        <f t="shared" si="16"/>
        <v>26.211237499999996</v>
      </c>
      <c r="L11" s="58">
        <f t="shared" si="16"/>
        <v>188.37374999999997</v>
      </c>
      <c r="M11" s="59">
        <f t="shared" si="1"/>
        <v>272.72113749999994</v>
      </c>
      <c r="P11" s="60">
        <f t="shared" si="6"/>
        <v>658.58816249999995</v>
      </c>
      <c r="Q11" s="60">
        <f t="shared" si="7"/>
        <v>658.58816249999995</v>
      </c>
      <c r="S11" s="55">
        <f t="shared" si="8"/>
        <v>0</v>
      </c>
    </row>
    <row r="12" spans="1:19" ht="15.75" x14ac:dyDescent="0.25">
      <c r="A12" s="14">
        <f>ROW()</f>
        <v>12</v>
      </c>
      <c r="C12" s="56" t="s">
        <v>75</v>
      </c>
      <c r="D12" s="57">
        <v>45170</v>
      </c>
      <c r="E12" s="58">
        <f t="shared" si="15"/>
        <v>106.23884999999999</v>
      </c>
      <c r="F12" s="58">
        <f t="shared" si="15"/>
        <v>138.16376249999999</v>
      </c>
      <c r="G12" s="58">
        <f t="shared" si="15"/>
        <v>141.46441249999998</v>
      </c>
      <c r="H12" s="59">
        <f t="shared" si="0"/>
        <v>385.86702499999996</v>
      </c>
      <c r="J12" s="58">
        <f t="shared" si="16"/>
        <v>58.136150000000001</v>
      </c>
      <c r="K12" s="58">
        <f t="shared" si="16"/>
        <v>26.211237499999996</v>
      </c>
      <c r="L12" s="58">
        <f t="shared" si="16"/>
        <v>188.37374999999997</v>
      </c>
      <c r="M12" s="59">
        <f t="shared" si="1"/>
        <v>272.72113749999994</v>
      </c>
      <c r="P12" s="60">
        <f t="shared" si="6"/>
        <v>658.58816249999995</v>
      </c>
      <c r="Q12" s="60">
        <f t="shared" si="7"/>
        <v>658.58816249999995</v>
      </c>
      <c r="S12" s="55">
        <f t="shared" si="8"/>
        <v>0</v>
      </c>
    </row>
    <row r="13" spans="1:19" ht="15.75" x14ac:dyDescent="0.25">
      <c r="A13" s="14">
        <f>ROW()</f>
        <v>13</v>
      </c>
      <c r="C13" s="56" t="s">
        <v>75</v>
      </c>
      <c r="D13" s="57">
        <v>45200</v>
      </c>
      <c r="E13" s="58">
        <f t="shared" si="15"/>
        <v>106.23884999999999</v>
      </c>
      <c r="F13" s="58">
        <f t="shared" si="15"/>
        <v>138.16376249999999</v>
      </c>
      <c r="G13" s="58">
        <f t="shared" si="15"/>
        <v>141.46441249999998</v>
      </c>
      <c r="H13" s="59">
        <f t="shared" si="0"/>
        <v>385.86702499999996</v>
      </c>
      <c r="J13" s="58">
        <f t="shared" si="16"/>
        <v>58.136150000000001</v>
      </c>
      <c r="K13" s="58">
        <f t="shared" si="16"/>
        <v>26.211237499999996</v>
      </c>
      <c r="L13" s="58">
        <f t="shared" si="16"/>
        <v>188.37374999999997</v>
      </c>
      <c r="M13" s="59">
        <f t="shared" si="1"/>
        <v>272.72113749999994</v>
      </c>
      <c r="P13" s="60">
        <f t="shared" si="6"/>
        <v>658.58816249999995</v>
      </c>
      <c r="Q13" s="60">
        <f t="shared" si="7"/>
        <v>658.58816249999995</v>
      </c>
      <c r="S13" s="55">
        <f t="shared" si="8"/>
        <v>0</v>
      </c>
    </row>
    <row r="14" spans="1:19" ht="15.75" x14ac:dyDescent="0.25">
      <c r="A14" s="14">
        <f>ROW()</f>
        <v>14</v>
      </c>
      <c r="C14" s="56" t="s">
        <v>75</v>
      </c>
      <c r="D14" s="57">
        <v>45231</v>
      </c>
      <c r="E14" s="58">
        <f t="shared" si="15"/>
        <v>106.23884999999999</v>
      </c>
      <c r="F14" s="58">
        <f t="shared" si="15"/>
        <v>138.16376249999999</v>
      </c>
      <c r="G14" s="58">
        <f t="shared" si="15"/>
        <v>141.46441249999998</v>
      </c>
      <c r="H14" s="59">
        <f t="shared" si="0"/>
        <v>385.86702499999996</v>
      </c>
      <c r="J14" s="58">
        <f t="shared" si="16"/>
        <v>58.136150000000001</v>
      </c>
      <c r="K14" s="58">
        <f t="shared" si="16"/>
        <v>26.211237499999996</v>
      </c>
      <c r="L14" s="58">
        <f t="shared" si="16"/>
        <v>188.37374999999997</v>
      </c>
      <c r="M14" s="59">
        <f t="shared" si="1"/>
        <v>272.72113749999994</v>
      </c>
      <c r="P14" s="60">
        <f t="shared" si="6"/>
        <v>658.58816249999995</v>
      </c>
      <c r="Q14" s="60">
        <f t="shared" si="7"/>
        <v>658.58816249999995</v>
      </c>
      <c r="S14" s="55">
        <f t="shared" si="8"/>
        <v>0</v>
      </c>
    </row>
    <row r="15" spans="1:19" ht="15.75" x14ac:dyDescent="0.25">
      <c r="A15" s="14">
        <f>ROW()</f>
        <v>15</v>
      </c>
      <c r="C15" s="56" t="s">
        <v>75</v>
      </c>
      <c r="D15" s="57">
        <v>45261</v>
      </c>
      <c r="E15" s="58">
        <f t="shared" si="15"/>
        <v>106.23884999999999</v>
      </c>
      <c r="F15" s="58">
        <f t="shared" si="15"/>
        <v>138.16376249999999</v>
      </c>
      <c r="G15" s="58">
        <f t="shared" si="15"/>
        <v>141.46441249999998</v>
      </c>
      <c r="H15" s="59">
        <f t="shared" si="0"/>
        <v>385.86702499999996</v>
      </c>
      <c r="J15" s="58">
        <f t="shared" si="16"/>
        <v>58.136150000000001</v>
      </c>
      <c r="K15" s="58">
        <f t="shared" si="16"/>
        <v>26.211237499999996</v>
      </c>
      <c r="L15" s="58">
        <f t="shared" si="16"/>
        <v>188.37374999999997</v>
      </c>
      <c r="M15" s="59">
        <f t="shared" si="1"/>
        <v>272.72113749999994</v>
      </c>
      <c r="P15" s="60">
        <f t="shared" si="6"/>
        <v>658.58816249999995</v>
      </c>
      <c r="Q15" s="60">
        <f t="shared" si="7"/>
        <v>658.58816249999995</v>
      </c>
      <c r="S15" s="55">
        <f t="shared" si="8"/>
        <v>0</v>
      </c>
    </row>
    <row r="16" spans="1:19" ht="15.75" x14ac:dyDescent="0.25">
      <c r="A16" s="14">
        <f>ROW()</f>
        <v>16</v>
      </c>
      <c r="H16" s="40"/>
      <c r="M16" s="40"/>
      <c r="Q16" s="60"/>
    </row>
    <row r="17" spans="1:19" ht="15.75" x14ac:dyDescent="0.25">
      <c r="A17" s="14">
        <f>ROW()</f>
        <v>17</v>
      </c>
      <c r="B17" s="50" t="s">
        <v>77</v>
      </c>
      <c r="D17" s="51">
        <v>45047</v>
      </c>
      <c r="E17" s="61"/>
      <c r="F17" s="61"/>
      <c r="G17" s="52">
        <v>10500</v>
      </c>
      <c r="H17" s="53">
        <f t="shared" ref="H17:H26" si="17">SUM(E17:G17)</f>
        <v>10500</v>
      </c>
      <c r="I17" s="61"/>
      <c r="J17" s="61"/>
      <c r="K17" s="61"/>
      <c r="L17" s="52">
        <v>4500</v>
      </c>
      <c r="M17" s="53">
        <f t="shared" ref="M17:M26" si="18">SUM(J17:L17)</f>
        <v>4500</v>
      </c>
      <c r="N17" s="61"/>
      <c r="O17" s="54">
        <f>SUM(H17,M17)</f>
        <v>15000</v>
      </c>
      <c r="Q17" s="62">
        <f t="shared" si="7"/>
        <v>15000</v>
      </c>
      <c r="R17" s="61"/>
      <c r="S17" s="55">
        <f t="shared" si="8"/>
        <v>0</v>
      </c>
    </row>
    <row r="18" spans="1:19" ht="15.75" x14ac:dyDescent="0.25">
      <c r="A18" s="14">
        <f>ROW()</f>
        <v>18</v>
      </c>
      <c r="C18" s="56" t="s">
        <v>75</v>
      </c>
      <c r="D18" s="57">
        <v>45047</v>
      </c>
      <c r="E18" s="58">
        <f>E$17*$C$3/2</f>
        <v>0</v>
      </c>
      <c r="F18" s="58">
        <f>F$17*$C$3/2</f>
        <v>0</v>
      </c>
      <c r="G18" s="58">
        <f>G$17*$C$3/2</f>
        <v>11.506249999999998</v>
      </c>
      <c r="H18" s="59">
        <f t="shared" si="17"/>
        <v>11.506249999999998</v>
      </c>
      <c r="J18" s="58">
        <f>J$17*$C$3/2</f>
        <v>0</v>
      </c>
      <c r="K18" s="58">
        <f>K$17*$C$3/2</f>
        <v>0</v>
      </c>
      <c r="L18" s="58">
        <f>L$17*$C$3/2</f>
        <v>4.9312499999999995</v>
      </c>
      <c r="M18" s="59">
        <f t="shared" ref="M18" si="19">SUM(J18:L18)</f>
        <v>4.9312499999999995</v>
      </c>
      <c r="P18" s="60">
        <f t="shared" ref="P18:P25" si="20">SUM(H18,M18)</f>
        <v>16.437499999999996</v>
      </c>
      <c r="Q18" s="60">
        <f t="shared" si="7"/>
        <v>16.437499999999996</v>
      </c>
      <c r="S18" s="55">
        <f t="shared" si="8"/>
        <v>0</v>
      </c>
    </row>
    <row r="19" spans="1:19" ht="15.75" x14ac:dyDescent="0.25">
      <c r="A19" s="14">
        <f>ROW()</f>
        <v>19</v>
      </c>
      <c r="C19" s="56" t="s">
        <v>75</v>
      </c>
      <c r="D19" s="57">
        <v>45078</v>
      </c>
      <c r="E19" s="58">
        <f>E$17*$C$3/2+E$17*$C$3</f>
        <v>0</v>
      </c>
      <c r="F19" s="58">
        <f t="shared" ref="F19:G19" si="21">F$17*$C$3/2+F$17*$C$3</f>
        <v>0</v>
      </c>
      <c r="G19" s="58">
        <f t="shared" si="21"/>
        <v>34.518749999999997</v>
      </c>
      <c r="H19" s="59">
        <f t="shared" si="17"/>
        <v>34.518749999999997</v>
      </c>
      <c r="J19" s="58">
        <f>J$17*$C$3/2+J$17*$C$3</f>
        <v>0</v>
      </c>
      <c r="K19" s="58">
        <f t="shared" ref="K19:L19" si="22">K$17*$C$3/2+K$17*$C$3</f>
        <v>0</v>
      </c>
      <c r="L19" s="58">
        <f t="shared" si="22"/>
        <v>14.793749999999999</v>
      </c>
      <c r="M19" s="59">
        <f t="shared" si="18"/>
        <v>14.793749999999999</v>
      </c>
      <c r="P19" s="60">
        <f t="shared" si="20"/>
        <v>49.3125</v>
      </c>
      <c r="Q19" s="60">
        <f t="shared" si="7"/>
        <v>49.3125</v>
      </c>
      <c r="S19" s="55">
        <f t="shared" si="8"/>
        <v>0</v>
      </c>
    </row>
    <row r="20" spans="1:19" ht="15.75" x14ac:dyDescent="0.25">
      <c r="A20" s="14">
        <f>ROW()</f>
        <v>20</v>
      </c>
      <c r="C20" s="56" t="s">
        <v>75</v>
      </c>
      <c r="D20" s="57">
        <v>45108</v>
      </c>
      <c r="E20" s="58">
        <f>E$17*$C$4/2+E$17*$C$3</f>
        <v>0</v>
      </c>
      <c r="F20" s="58">
        <f t="shared" ref="F20:G20" si="23">F$17*$C$4/2+F$17*$C$3</f>
        <v>0</v>
      </c>
      <c r="G20" s="58">
        <f t="shared" si="23"/>
        <v>34.518749999999997</v>
      </c>
      <c r="H20" s="59">
        <f t="shared" si="17"/>
        <v>34.518749999999997</v>
      </c>
      <c r="J20" s="58">
        <f>J$17*$C$4/2+J$17*$C$3</f>
        <v>0</v>
      </c>
      <c r="K20" s="58">
        <f t="shared" ref="K20:L20" si="24">K$17*$C$4/2+K$17*$C$3</f>
        <v>0</v>
      </c>
      <c r="L20" s="58">
        <f t="shared" si="24"/>
        <v>14.793749999999999</v>
      </c>
      <c r="M20" s="59">
        <f t="shared" si="18"/>
        <v>14.793749999999999</v>
      </c>
      <c r="P20" s="60">
        <f t="shared" si="20"/>
        <v>49.3125</v>
      </c>
      <c r="Q20" s="60">
        <f t="shared" si="7"/>
        <v>49.3125</v>
      </c>
      <c r="S20" s="55">
        <f t="shared" si="8"/>
        <v>0</v>
      </c>
    </row>
    <row r="21" spans="1:19" ht="15.75" x14ac:dyDescent="0.25">
      <c r="A21" s="14">
        <f>ROW()</f>
        <v>21</v>
      </c>
      <c r="C21" s="56" t="s">
        <v>75</v>
      </c>
      <c r="D21" s="57">
        <v>45139</v>
      </c>
      <c r="E21" s="58">
        <f>E$17*$C$4/2+E$17*$C$4</f>
        <v>0</v>
      </c>
      <c r="F21" s="58">
        <f t="shared" ref="F21:G25" si="25">F$17*$C$4/2+F$17*$C$4</f>
        <v>0</v>
      </c>
      <c r="G21" s="58">
        <f t="shared" si="25"/>
        <v>34.518749999999997</v>
      </c>
      <c r="H21" s="59">
        <f t="shared" si="17"/>
        <v>34.518749999999997</v>
      </c>
      <c r="J21" s="58">
        <f>J$17*$C$4/2+J$17*$C$4</f>
        <v>0</v>
      </c>
      <c r="K21" s="58">
        <f t="shared" ref="K21:L25" si="26">K$17*$C$4/2+K$17*$C$4</f>
        <v>0</v>
      </c>
      <c r="L21" s="58">
        <f t="shared" si="26"/>
        <v>14.793749999999999</v>
      </c>
      <c r="M21" s="59">
        <f t="shared" si="18"/>
        <v>14.793749999999999</v>
      </c>
      <c r="P21" s="60">
        <f t="shared" si="20"/>
        <v>49.3125</v>
      </c>
      <c r="Q21" s="60">
        <f t="shared" si="7"/>
        <v>49.3125</v>
      </c>
      <c r="S21" s="55">
        <f t="shared" si="8"/>
        <v>0</v>
      </c>
    </row>
    <row r="22" spans="1:19" ht="15.75" x14ac:dyDescent="0.25">
      <c r="A22" s="14">
        <f>ROW()</f>
        <v>22</v>
      </c>
      <c r="C22" s="56" t="s">
        <v>75</v>
      </c>
      <c r="D22" s="57">
        <v>45170</v>
      </c>
      <c r="E22" s="58">
        <f t="shared" ref="E22:E25" si="27">E$17*$C$4/2+E$17*$C$4</f>
        <v>0</v>
      </c>
      <c r="F22" s="58">
        <f t="shared" si="25"/>
        <v>0</v>
      </c>
      <c r="G22" s="58">
        <f t="shared" si="25"/>
        <v>34.518749999999997</v>
      </c>
      <c r="H22" s="59">
        <f t="shared" si="17"/>
        <v>34.518749999999997</v>
      </c>
      <c r="J22" s="58">
        <f t="shared" ref="J22:J25" si="28">J$17*$C$4/2+J$17*$C$4</f>
        <v>0</v>
      </c>
      <c r="K22" s="58">
        <f t="shared" si="26"/>
        <v>0</v>
      </c>
      <c r="L22" s="58">
        <f t="shared" si="26"/>
        <v>14.793749999999999</v>
      </c>
      <c r="M22" s="59">
        <f t="shared" si="18"/>
        <v>14.793749999999999</v>
      </c>
      <c r="P22" s="60">
        <f t="shared" si="20"/>
        <v>49.3125</v>
      </c>
      <c r="Q22" s="60">
        <f t="shared" si="7"/>
        <v>49.3125</v>
      </c>
      <c r="S22" s="55">
        <f t="shared" si="8"/>
        <v>0</v>
      </c>
    </row>
    <row r="23" spans="1:19" ht="15.75" x14ac:dyDescent="0.25">
      <c r="A23" s="14">
        <f>ROW()</f>
        <v>23</v>
      </c>
      <c r="C23" s="56" t="s">
        <v>75</v>
      </c>
      <c r="D23" s="57">
        <v>45200</v>
      </c>
      <c r="E23" s="58">
        <f t="shared" si="27"/>
        <v>0</v>
      </c>
      <c r="F23" s="58">
        <f t="shared" si="25"/>
        <v>0</v>
      </c>
      <c r="G23" s="58">
        <f t="shared" si="25"/>
        <v>34.518749999999997</v>
      </c>
      <c r="H23" s="59">
        <f t="shared" si="17"/>
        <v>34.518749999999997</v>
      </c>
      <c r="J23" s="58">
        <f t="shared" si="28"/>
        <v>0</v>
      </c>
      <c r="K23" s="58">
        <f t="shared" si="26"/>
        <v>0</v>
      </c>
      <c r="L23" s="58">
        <f t="shared" si="26"/>
        <v>14.793749999999999</v>
      </c>
      <c r="M23" s="59">
        <f t="shared" si="18"/>
        <v>14.793749999999999</v>
      </c>
      <c r="P23" s="60">
        <f t="shared" si="20"/>
        <v>49.3125</v>
      </c>
      <c r="Q23" s="60">
        <f t="shared" si="7"/>
        <v>49.3125</v>
      </c>
      <c r="S23" s="55">
        <f t="shared" si="8"/>
        <v>0</v>
      </c>
    </row>
    <row r="24" spans="1:19" ht="15.75" x14ac:dyDescent="0.25">
      <c r="A24" s="14">
        <f>ROW()</f>
        <v>24</v>
      </c>
      <c r="C24" s="56" t="s">
        <v>75</v>
      </c>
      <c r="D24" s="57">
        <v>45231</v>
      </c>
      <c r="E24" s="58">
        <f t="shared" si="27"/>
        <v>0</v>
      </c>
      <c r="F24" s="58">
        <f t="shared" si="25"/>
        <v>0</v>
      </c>
      <c r="G24" s="58">
        <f t="shared" si="25"/>
        <v>34.518749999999997</v>
      </c>
      <c r="H24" s="59">
        <f t="shared" si="17"/>
        <v>34.518749999999997</v>
      </c>
      <c r="J24" s="58">
        <f t="shared" si="28"/>
        <v>0</v>
      </c>
      <c r="K24" s="58">
        <f t="shared" si="26"/>
        <v>0</v>
      </c>
      <c r="L24" s="58">
        <f t="shared" si="26"/>
        <v>14.793749999999999</v>
      </c>
      <c r="M24" s="59">
        <f t="shared" si="18"/>
        <v>14.793749999999999</v>
      </c>
      <c r="P24" s="60">
        <f t="shared" si="20"/>
        <v>49.3125</v>
      </c>
      <c r="Q24" s="60">
        <f t="shared" si="7"/>
        <v>49.3125</v>
      </c>
      <c r="S24" s="55">
        <f t="shared" si="8"/>
        <v>0</v>
      </c>
    </row>
    <row r="25" spans="1:19" ht="15.75" x14ac:dyDescent="0.25">
      <c r="A25" s="14">
        <f>ROW()</f>
        <v>25</v>
      </c>
      <c r="C25" s="63" t="s">
        <v>75</v>
      </c>
      <c r="D25" s="64">
        <v>45261</v>
      </c>
      <c r="E25" s="65">
        <f t="shared" si="27"/>
        <v>0</v>
      </c>
      <c r="F25" s="65">
        <f t="shared" si="25"/>
        <v>0</v>
      </c>
      <c r="G25" s="65">
        <f t="shared" si="25"/>
        <v>34.518749999999997</v>
      </c>
      <c r="H25" s="66">
        <f t="shared" si="17"/>
        <v>34.518749999999997</v>
      </c>
      <c r="J25" s="65">
        <f t="shared" si="28"/>
        <v>0</v>
      </c>
      <c r="K25" s="65">
        <f t="shared" si="26"/>
        <v>0</v>
      </c>
      <c r="L25" s="65">
        <f t="shared" si="26"/>
        <v>14.793749999999999</v>
      </c>
      <c r="M25" s="66">
        <f t="shared" si="18"/>
        <v>14.793749999999999</v>
      </c>
      <c r="O25" s="41"/>
      <c r="P25" s="60">
        <f t="shared" si="20"/>
        <v>49.3125</v>
      </c>
      <c r="Q25" s="60">
        <f t="shared" si="7"/>
        <v>49.3125</v>
      </c>
      <c r="S25" s="55">
        <f t="shared" si="8"/>
        <v>0</v>
      </c>
    </row>
    <row r="26" spans="1:19" ht="15.75" x14ac:dyDescent="0.25">
      <c r="A26" s="14">
        <f>ROW()</f>
        <v>26</v>
      </c>
      <c r="C26" s="67" t="s">
        <v>78</v>
      </c>
      <c r="E26" s="54">
        <f>SUM(E5:E25)</f>
        <v>33307.562600000012</v>
      </c>
      <c r="F26" s="54">
        <f t="shared" ref="F26:G26" si="29">SUM(F5:F25)</f>
        <v>43316.528450000005</v>
      </c>
      <c r="G26" s="54">
        <f t="shared" si="29"/>
        <v>55104.472016666667</v>
      </c>
      <c r="H26" s="68">
        <f t="shared" si="17"/>
        <v>131728.56306666668</v>
      </c>
      <c r="J26" s="54">
        <f>SUM(J5:J25)</f>
        <v>18226.604066666652</v>
      </c>
      <c r="K26" s="54">
        <f t="shared" ref="K26:L26" si="30">SUM(K5:K25)</f>
        <v>8217.6382166666644</v>
      </c>
      <c r="L26" s="54">
        <f t="shared" si="30"/>
        <v>63666.642499999973</v>
      </c>
      <c r="M26" s="68">
        <f t="shared" si="18"/>
        <v>90110.884783333284</v>
      </c>
      <c r="O26" s="54">
        <f>SUM(O5:O25)</f>
        <v>215331</v>
      </c>
      <c r="P26" s="69">
        <f>SUM(P5:P25)</f>
        <v>6508.4478500000005</v>
      </c>
      <c r="Q26" s="69">
        <f>SUM(O26:P26)</f>
        <v>221839.44785</v>
      </c>
      <c r="S26" s="55">
        <f t="shared" si="8"/>
        <v>0</v>
      </c>
    </row>
    <row r="27" spans="1:19" ht="15.75" x14ac:dyDescent="0.25">
      <c r="A27" s="14">
        <f>ROW()</f>
        <v>27</v>
      </c>
      <c r="H27" s="40"/>
      <c r="I27" s="61"/>
      <c r="M27" s="40"/>
      <c r="S27" s="55"/>
    </row>
    <row r="28" spans="1:19" ht="15.75" x14ac:dyDescent="0.25">
      <c r="A28" s="14">
        <f>ROW()</f>
        <v>28</v>
      </c>
      <c r="H28" s="40"/>
      <c r="I28" s="61"/>
      <c r="M28" s="40"/>
    </row>
    <row r="29" spans="1:19" ht="15.75" x14ac:dyDescent="0.25">
      <c r="A29" s="14">
        <f>ROW()</f>
        <v>29</v>
      </c>
      <c r="E29" s="70"/>
      <c r="F29" s="39" t="s">
        <v>23</v>
      </c>
      <c r="G29" s="39"/>
      <c r="H29" s="40"/>
      <c r="I29" s="61"/>
      <c r="J29" s="70"/>
      <c r="K29" s="39" t="s">
        <v>24</v>
      </c>
      <c r="L29" s="39"/>
      <c r="M29" s="71"/>
    </row>
    <row r="30" spans="1:19" ht="15.75" x14ac:dyDescent="0.25">
      <c r="A30" s="14">
        <f>ROW()</f>
        <v>30</v>
      </c>
      <c r="E30" s="39" t="s">
        <v>9</v>
      </c>
      <c r="F30" s="39" t="s">
        <v>70</v>
      </c>
      <c r="G30" s="39" t="s">
        <v>73</v>
      </c>
      <c r="H30" s="40"/>
      <c r="I30" s="70"/>
      <c r="J30" s="39" t="s">
        <v>9</v>
      </c>
      <c r="K30" s="39" t="s">
        <v>70</v>
      </c>
      <c r="L30" s="39" t="s">
        <v>73</v>
      </c>
      <c r="M30" s="71"/>
    </row>
    <row r="31" spans="1:19" ht="15.75" x14ac:dyDescent="0.25">
      <c r="A31" s="14">
        <f>ROW()</f>
        <v>31</v>
      </c>
      <c r="B31" s="50" t="s">
        <v>74</v>
      </c>
      <c r="D31" s="51">
        <v>45170</v>
      </c>
      <c r="E31" s="52">
        <v>8000</v>
      </c>
      <c r="F31" s="52"/>
      <c r="G31" s="52">
        <v>57000</v>
      </c>
      <c r="H31" s="53">
        <f t="shared" ref="H31:H36" si="31">SUM(E31:G31)</f>
        <v>65000</v>
      </c>
      <c r="I31" s="52"/>
      <c r="J31" s="52">
        <v>0</v>
      </c>
      <c r="K31" s="52"/>
      <c r="L31" s="52">
        <v>0</v>
      </c>
      <c r="M31" s="53">
        <f t="shared" ref="M31:M36" si="32">SUM(J31:L31)</f>
        <v>0</v>
      </c>
      <c r="N31" s="52"/>
      <c r="O31" s="54">
        <f>SUM(H31,M31)</f>
        <v>65000</v>
      </c>
      <c r="Q31" s="62">
        <f t="shared" ref="Q31:Q35" si="33">SUM(O31:P31)</f>
        <v>65000</v>
      </c>
      <c r="R31" s="52"/>
      <c r="S31" s="55">
        <f t="shared" ref="S31:S36" si="34">SUM(E31:G31,J31:L31)-Q31</f>
        <v>0</v>
      </c>
    </row>
    <row r="32" spans="1:19" ht="15.75" x14ac:dyDescent="0.25">
      <c r="A32" s="14">
        <f>ROW()</f>
        <v>32</v>
      </c>
      <c r="C32" s="56" t="s">
        <v>75</v>
      </c>
      <c r="D32" s="57">
        <v>45170</v>
      </c>
      <c r="E32" s="58">
        <f>E$31*$C$4/2</f>
        <v>8.7666666666666657</v>
      </c>
      <c r="F32" s="58">
        <f>F$31*$C$4/2</f>
        <v>0</v>
      </c>
      <c r="G32" s="58">
        <f>G$31*$C$4/2</f>
        <v>62.462499999999991</v>
      </c>
      <c r="H32" s="59">
        <f t="shared" ref="H32" si="35">SUM(E32:G32)</f>
        <v>71.229166666666657</v>
      </c>
      <c r="I32" s="52"/>
      <c r="J32" s="58">
        <f>J$31*$C$4/2</f>
        <v>0</v>
      </c>
      <c r="K32" s="58">
        <f>K$31*$C$4/2</f>
        <v>0</v>
      </c>
      <c r="L32" s="58">
        <f>L$31*$C$4/2</f>
        <v>0</v>
      </c>
      <c r="M32" s="59">
        <f t="shared" ref="M32" si="36">SUM(J32:L32)</f>
        <v>0</v>
      </c>
      <c r="P32" s="60">
        <f t="shared" ref="P32:P35" si="37">SUM(H32,M32)</f>
        <v>71.229166666666657</v>
      </c>
      <c r="Q32" s="60">
        <f t="shared" si="33"/>
        <v>71.229166666666657</v>
      </c>
      <c r="S32" s="55">
        <f t="shared" si="34"/>
        <v>0</v>
      </c>
    </row>
    <row r="33" spans="1:21" ht="15.75" x14ac:dyDescent="0.25">
      <c r="A33" s="14">
        <f>ROW()</f>
        <v>33</v>
      </c>
      <c r="C33" s="56" t="s">
        <v>75</v>
      </c>
      <c r="D33" s="57">
        <v>45200</v>
      </c>
      <c r="E33" s="58">
        <f>E$31*$C$4/2+E$31*$C$4</f>
        <v>26.299999999999997</v>
      </c>
      <c r="F33" s="58">
        <f t="shared" ref="F33:G35" si="38">F$31*$C$4/2+F$31*$C$4</f>
        <v>0</v>
      </c>
      <c r="G33" s="58">
        <f t="shared" si="38"/>
        <v>187.38749999999999</v>
      </c>
      <c r="H33" s="59">
        <f t="shared" si="31"/>
        <v>213.6875</v>
      </c>
      <c r="I33" s="52"/>
      <c r="J33" s="58">
        <f>J$31*$C$4/2+J$31*$C$4</f>
        <v>0</v>
      </c>
      <c r="K33" s="58">
        <f t="shared" ref="K33:L35" si="39">K$31*$C$4/2+K$31*$C$4</f>
        <v>0</v>
      </c>
      <c r="L33" s="58">
        <f t="shared" si="39"/>
        <v>0</v>
      </c>
      <c r="M33" s="59">
        <f t="shared" si="32"/>
        <v>0</v>
      </c>
      <c r="P33" s="60">
        <f t="shared" si="37"/>
        <v>213.6875</v>
      </c>
      <c r="Q33" s="60">
        <f t="shared" si="33"/>
        <v>213.6875</v>
      </c>
      <c r="S33" s="55">
        <f t="shared" si="34"/>
        <v>0</v>
      </c>
    </row>
    <row r="34" spans="1:21" ht="15.75" x14ac:dyDescent="0.25">
      <c r="A34" s="14">
        <f>ROW()</f>
        <v>34</v>
      </c>
      <c r="C34" s="56" t="s">
        <v>75</v>
      </c>
      <c r="D34" s="57">
        <v>45231</v>
      </c>
      <c r="E34" s="58">
        <f t="shared" ref="E34:E35" si="40">E$31*$C$4/2+E$31*$C$4</f>
        <v>26.299999999999997</v>
      </c>
      <c r="F34" s="58">
        <f t="shared" si="38"/>
        <v>0</v>
      </c>
      <c r="G34" s="58">
        <f t="shared" si="38"/>
        <v>187.38749999999999</v>
      </c>
      <c r="H34" s="59">
        <f t="shared" si="31"/>
        <v>213.6875</v>
      </c>
      <c r="I34" s="52"/>
      <c r="J34" s="58">
        <f t="shared" ref="J34:J35" si="41">J$31*$C$4/2+J$31*$C$4</f>
        <v>0</v>
      </c>
      <c r="K34" s="58">
        <f t="shared" si="39"/>
        <v>0</v>
      </c>
      <c r="L34" s="58">
        <f t="shared" si="39"/>
        <v>0</v>
      </c>
      <c r="M34" s="59">
        <f t="shared" si="32"/>
        <v>0</v>
      </c>
      <c r="P34" s="60">
        <f t="shared" si="37"/>
        <v>213.6875</v>
      </c>
      <c r="Q34" s="60">
        <f t="shared" si="33"/>
        <v>213.6875</v>
      </c>
      <c r="S34" s="55">
        <f t="shared" si="34"/>
        <v>0</v>
      </c>
    </row>
    <row r="35" spans="1:21" ht="15.75" x14ac:dyDescent="0.25">
      <c r="A35" s="14">
        <f>ROW()</f>
        <v>35</v>
      </c>
      <c r="C35" s="63" t="s">
        <v>75</v>
      </c>
      <c r="D35" s="64">
        <v>45261</v>
      </c>
      <c r="E35" s="65">
        <f t="shared" si="40"/>
        <v>26.299999999999997</v>
      </c>
      <c r="F35" s="65">
        <f t="shared" si="38"/>
        <v>0</v>
      </c>
      <c r="G35" s="65">
        <f t="shared" si="38"/>
        <v>187.38749999999999</v>
      </c>
      <c r="H35" s="66">
        <f t="shared" si="31"/>
        <v>213.6875</v>
      </c>
      <c r="I35" s="52"/>
      <c r="J35" s="65">
        <f t="shared" si="41"/>
        <v>0</v>
      </c>
      <c r="K35" s="65">
        <f t="shared" si="39"/>
        <v>0</v>
      </c>
      <c r="L35" s="65">
        <f t="shared" si="39"/>
        <v>0</v>
      </c>
      <c r="M35" s="66">
        <f t="shared" si="32"/>
        <v>0</v>
      </c>
      <c r="O35" s="41"/>
      <c r="P35" s="60">
        <f t="shared" si="37"/>
        <v>213.6875</v>
      </c>
      <c r="Q35" s="60">
        <f t="shared" si="33"/>
        <v>213.6875</v>
      </c>
      <c r="S35" s="55">
        <f t="shared" si="34"/>
        <v>0</v>
      </c>
    </row>
    <row r="36" spans="1:21" ht="15.75" x14ac:dyDescent="0.25">
      <c r="A36" s="14">
        <f>ROW()</f>
        <v>36</v>
      </c>
      <c r="C36" s="67" t="s">
        <v>79</v>
      </c>
      <c r="E36" s="54">
        <f>SUM(E31:E35)</f>
        <v>8087.666666666667</v>
      </c>
      <c r="F36" s="54">
        <f>SUM(F31:F35)</f>
        <v>0</v>
      </c>
      <c r="G36" s="54">
        <f>SUM(G31:G35)</f>
        <v>57624.624999999993</v>
      </c>
      <c r="H36" s="68">
        <f t="shared" si="31"/>
        <v>65712.291666666657</v>
      </c>
      <c r="I36" s="52"/>
      <c r="J36" s="54">
        <f>SUM(J31:J35)</f>
        <v>0</v>
      </c>
      <c r="K36" s="54">
        <f>SUM(K31:K35)</f>
        <v>0</v>
      </c>
      <c r="L36" s="54">
        <f>SUM(L31:L35)</f>
        <v>0</v>
      </c>
      <c r="M36" s="68">
        <f t="shared" si="32"/>
        <v>0</v>
      </c>
      <c r="O36" s="54">
        <f>SUM(O31:O35)</f>
        <v>65000</v>
      </c>
      <c r="P36" s="69">
        <f>SUM(P31:P35)</f>
        <v>712.29166666666663</v>
      </c>
      <c r="Q36" s="69">
        <f>SUM(Q31:Q35)</f>
        <v>65712.291666666657</v>
      </c>
      <c r="S36" s="55">
        <f t="shared" si="34"/>
        <v>0</v>
      </c>
    </row>
    <row r="37" spans="1:21" ht="15.75" x14ac:dyDescent="0.25">
      <c r="A37" s="14">
        <f>ROW()</f>
        <v>37</v>
      </c>
      <c r="H37" s="40"/>
      <c r="I37" s="52"/>
      <c r="M37" s="40"/>
    </row>
    <row r="38" spans="1:21" ht="16.5" thickBot="1" x14ac:dyDescent="0.3">
      <c r="A38" s="14">
        <f>ROW()</f>
        <v>38</v>
      </c>
      <c r="B38" s="61" t="s">
        <v>27</v>
      </c>
      <c r="E38" s="54">
        <f>SUM(E26,E36)</f>
        <v>41395.229266666676</v>
      </c>
      <c r="F38" s="54">
        <f t="shared" ref="F38:G38" si="42">SUM(F26,F36)</f>
        <v>43316.528450000005</v>
      </c>
      <c r="G38" s="54">
        <f t="shared" si="42"/>
        <v>112729.09701666667</v>
      </c>
      <c r="H38" s="68">
        <f>SUM(E38:G38)</f>
        <v>197440.85473333334</v>
      </c>
      <c r="I38" s="52"/>
      <c r="J38" s="54">
        <f>SUM(J26,J36)</f>
        <v>18226.604066666652</v>
      </c>
      <c r="K38" s="54">
        <f t="shared" ref="K38:L38" si="43">SUM(K26,K36)</f>
        <v>8217.6382166666644</v>
      </c>
      <c r="L38" s="54">
        <f t="shared" si="43"/>
        <v>63666.642499999973</v>
      </c>
      <c r="M38" s="68">
        <f>SUM(J38:L38)</f>
        <v>90110.884783333284</v>
      </c>
      <c r="O38" s="54">
        <f>SUM(O26,O36)</f>
        <v>280331</v>
      </c>
      <c r="P38" s="54">
        <f>SUM(P26,P36)</f>
        <v>7220.7395166666674</v>
      </c>
      <c r="Q38" s="54">
        <f>SUM(Q26,Q36)</f>
        <v>287551.73951666662</v>
      </c>
      <c r="S38" s="55">
        <f t="shared" ref="S38" si="44">SUM(E38:G38,J38:L38)-Q38</f>
        <v>0</v>
      </c>
      <c r="T38" s="72"/>
      <c r="U38" s="55"/>
    </row>
    <row r="39" spans="1:21" ht="19.5" thickBot="1" x14ac:dyDescent="0.35">
      <c r="A39" s="14">
        <f>ROW()</f>
        <v>39</v>
      </c>
      <c r="B39" s="13" t="s">
        <v>80</v>
      </c>
      <c r="E39" s="73">
        <f>E38/E$2</f>
        <v>43557.96957184808</v>
      </c>
      <c r="F39" s="73">
        <f t="shared" ref="F39:G39" si="45">F38/F$2</f>
        <v>45579.649191664532</v>
      </c>
      <c r="G39" s="73">
        <f t="shared" si="45"/>
        <v>118618.75546291114</v>
      </c>
      <c r="H39" s="73">
        <f>H38/$E$2</f>
        <v>207756.37422642374</v>
      </c>
      <c r="I39" s="74"/>
      <c r="J39" s="75">
        <f>J38/J$2</f>
        <v>19116.596325181818</v>
      </c>
      <c r="K39" s="75">
        <f t="shared" ref="K39:L39" si="46">K38/K$2</f>
        <v>8618.8997116418632</v>
      </c>
      <c r="L39" s="75">
        <f t="shared" si="46"/>
        <v>66775.439879007026</v>
      </c>
      <c r="M39" s="75">
        <f>M38/$J$2</f>
        <v>94510.935915830705</v>
      </c>
      <c r="N39" s="76"/>
      <c r="R39" s="76"/>
      <c r="S39" s="55"/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zoomScale="90" zoomScaleNormal="90" workbookViewId="0">
      <pane xSplit="1" ySplit="6" topLeftCell="B7" activePane="bottomRight" state="frozen"/>
      <selection activeCell="D4" sqref="D4"/>
      <selection pane="topRight" activeCell="D4" sqref="D4"/>
      <selection pane="bottomLeft" activeCell="D4" sqref="D4"/>
      <selection pane="bottomRight" activeCell="G34" sqref="G34"/>
    </sheetView>
  </sheetViews>
  <sheetFormatPr defaultRowHeight="12.75" x14ac:dyDescent="0.2"/>
  <cols>
    <col min="1" max="1" width="19" style="19" customWidth="1"/>
    <col min="2" max="7" width="12.140625" style="19" bestFit="1" customWidth="1"/>
    <col min="8" max="12" width="13.28515625" style="19" bestFit="1" customWidth="1"/>
    <col min="13" max="13" width="12.140625" style="19" customWidth="1"/>
    <col min="14" max="14" width="15" style="19" bestFit="1" customWidth="1"/>
    <col min="15" max="185" width="9.140625" style="19"/>
    <col min="186" max="186" width="12.140625" style="19" customWidth="1"/>
    <col min="187" max="187" width="14.7109375" style="19" bestFit="1" customWidth="1"/>
    <col min="188" max="188" width="12.7109375" style="19" bestFit="1" customWidth="1"/>
    <col min="189" max="189" width="13.7109375" style="19" bestFit="1" customWidth="1"/>
    <col min="190" max="190" width="12.7109375" style="19" bestFit="1" customWidth="1"/>
    <col min="191" max="191" width="12.28515625" style="19" bestFit="1" customWidth="1"/>
    <col min="192" max="192" width="12.7109375" style="19" bestFit="1" customWidth="1"/>
    <col min="193" max="193" width="12.42578125" style="19" bestFit="1" customWidth="1"/>
    <col min="194" max="194" width="12.5703125" style="19" bestFit="1" customWidth="1"/>
    <col min="195" max="195" width="13.7109375" style="19" bestFit="1" customWidth="1"/>
    <col min="196" max="200" width="13.7109375" style="19" customWidth="1"/>
    <col min="201" max="201" width="16" style="19" customWidth="1"/>
    <col min="202" max="203" width="14" style="19" bestFit="1" customWidth="1"/>
    <col min="204" max="204" width="4.7109375" style="19" bestFit="1" customWidth="1"/>
    <col min="205" max="441" width="9.140625" style="19"/>
    <col min="442" max="442" width="12.140625" style="19" customWidth="1"/>
    <col min="443" max="443" width="14.7109375" style="19" bestFit="1" customWidth="1"/>
    <col min="444" max="444" width="12.7109375" style="19" bestFit="1" customWidth="1"/>
    <col min="445" max="445" width="13.7109375" style="19" bestFit="1" customWidth="1"/>
    <col min="446" max="446" width="12.7109375" style="19" bestFit="1" customWidth="1"/>
    <col min="447" max="447" width="12.28515625" style="19" bestFit="1" customWidth="1"/>
    <col min="448" max="448" width="12.7109375" style="19" bestFit="1" customWidth="1"/>
    <col min="449" max="449" width="12.42578125" style="19" bestFit="1" customWidth="1"/>
    <col min="450" max="450" width="12.5703125" style="19" bestFit="1" customWidth="1"/>
    <col min="451" max="451" width="13.7109375" style="19" bestFit="1" customWidth="1"/>
    <col min="452" max="456" width="13.7109375" style="19" customWidth="1"/>
    <col min="457" max="457" width="16" style="19" customWidth="1"/>
    <col min="458" max="459" width="14" style="19" bestFit="1" customWidth="1"/>
    <col min="460" max="460" width="4.7109375" style="19" bestFit="1" customWidth="1"/>
    <col min="461" max="697" width="9.140625" style="19"/>
    <col min="698" max="698" width="12.140625" style="19" customWidth="1"/>
    <col min="699" max="699" width="14.7109375" style="19" bestFit="1" customWidth="1"/>
    <col min="700" max="700" width="12.7109375" style="19" bestFit="1" customWidth="1"/>
    <col min="701" max="701" width="13.7109375" style="19" bestFit="1" customWidth="1"/>
    <col min="702" max="702" width="12.7109375" style="19" bestFit="1" customWidth="1"/>
    <col min="703" max="703" width="12.28515625" style="19" bestFit="1" customWidth="1"/>
    <col min="704" max="704" width="12.7109375" style="19" bestFit="1" customWidth="1"/>
    <col min="705" max="705" width="12.42578125" style="19" bestFit="1" customWidth="1"/>
    <col min="706" max="706" width="12.5703125" style="19" bestFit="1" customWidth="1"/>
    <col min="707" max="707" width="13.7109375" style="19" bestFit="1" customWidth="1"/>
    <col min="708" max="712" width="13.7109375" style="19" customWidth="1"/>
    <col min="713" max="713" width="16" style="19" customWidth="1"/>
    <col min="714" max="715" width="14" style="19" bestFit="1" customWidth="1"/>
    <col min="716" max="716" width="4.7109375" style="19" bestFit="1" customWidth="1"/>
    <col min="717" max="953" width="9.140625" style="19"/>
    <col min="954" max="954" width="12.140625" style="19" customWidth="1"/>
    <col min="955" max="955" width="14.7109375" style="19" bestFit="1" customWidth="1"/>
    <col min="956" max="956" width="12.7109375" style="19" bestFit="1" customWidth="1"/>
    <col min="957" max="957" width="13.7109375" style="19" bestFit="1" customWidth="1"/>
    <col min="958" max="958" width="12.7109375" style="19" bestFit="1" customWidth="1"/>
    <col min="959" max="959" width="12.28515625" style="19" bestFit="1" customWidth="1"/>
    <col min="960" max="960" width="12.7109375" style="19" bestFit="1" customWidth="1"/>
    <col min="961" max="961" width="12.42578125" style="19" bestFit="1" customWidth="1"/>
    <col min="962" max="962" width="12.5703125" style="19" bestFit="1" customWidth="1"/>
    <col min="963" max="963" width="13.7109375" style="19" bestFit="1" customWidth="1"/>
    <col min="964" max="968" width="13.7109375" style="19" customWidth="1"/>
    <col min="969" max="969" width="16" style="19" customWidth="1"/>
    <col min="970" max="971" width="14" style="19" bestFit="1" customWidth="1"/>
    <col min="972" max="972" width="4.7109375" style="19" bestFit="1" customWidth="1"/>
    <col min="973" max="1209" width="9.140625" style="19"/>
    <col min="1210" max="1210" width="12.140625" style="19" customWidth="1"/>
    <col min="1211" max="1211" width="14.7109375" style="19" bestFit="1" customWidth="1"/>
    <col min="1212" max="1212" width="12.7109375" style="19" bestFit="1" customWidth="1"/>
    <col min="1213" max="1213" width="13.7109375" style="19" bestFit="1" customWidth="1"/>
    <col min="1214" max="1214" width="12.7109375" style="19" bestFit="1" customWidth="1"/>
    <col min="1215" max="1215" width="12.28515625" style="19" bestFit="1" customWidth="1"/>
    <col min="1216" max="1216" width="12.7109375" style="19" bestFit="1" customWidth="1"/>
    <col min="1217" max="1217" width="12.42578125" style="19" bestFit="1" customWidth="1"/>
    <col min="1218" max="1218" width="12.5703125" style="19" bestFit="1" customWidth="1"/>
    <col min="1219" max="1219" width="13.7109375" style="19" bestFit="1" customWidth="1"/>
    <col min="1220" max="1224" width="13.7109375" style="19" customWidth="1"/>
    <col min="1225" max="1225" width="16" style="19" customWidth="1"/>
    <col min="1226" max="1227" width="14" style="19" bestFit="1" customWidth="1"/>
    <col min="1228" max="1228" width="4.7109375" style="19" bestFit="1" customWidth="1"/>
    <col min="1229" max="1465" width="9.140625" style="19"/>
    <col min="1466" max="1466" width="12.140625" style="19" customWidth="1"/>
    <col min="1467" max="1467" width="14.7109375" style="19" bestFit="1" customWidth="1"/>
    <col min="1468" max="1468" width="12.7109375" style="19" bestFit="1" customWidth="1"/>
    <col min="1469" max="1469" width="13.7109375" style="19" bestFit="1" customWidth="1"/>
    <col min="1470" max="1470" width="12.7109375" style="19" bestFit="1" customWidth="1"/>
    <col min="1471" max="1471" width="12.28515625" style="19" bestFit="1" customWidth="1"/>
    <col min="1472" max="1472" width="12.7109375" style="19" bestFit="1" customWidth="1"/>
    <col min="1473" max="1473" width="12.42578125" style="19" bestFit="1" customWidth="1"/>
    <col min="1474" max="1474" width="12.5703125" style="19" bestFit="1" customWidth="1"/>
    <col min="1475" max="1475" width="13.7109375" style="19" bestFit="1" customWidth="1"/>
    <col min="1476" max="1480" width="13.7109375" style="19" customWidth="1"/>
    <col min="1481" max="1481" width="16" style="19" customWidth="1"/>
    <col min="1482" max="1483" width="14" style="19" bestFit="1" customWidth="1"/>
    <col min="1484" max="1484" width="4.7109375" style="19" bestFit="1" customWidth="1"/>
    <col min="1485" max="1721" width="9.140625" style="19"/>
    <col min="1722" max="1722" width="12.140625" style="19" customWidth="1"/>
    <col min="1723" max="1723" width="14.7109375" style="19" bestFit="1" customWidth="1"/>
    <col min="1724" max="1724" width="12.7109375" style="19" bestFit="1" customWidth="1"/>
    <col min="1725" max="1725" width="13.7109375" style="19" bestFit="1" customWidth="1"/>
    <col min="1726" max="1726" width="12.7109375" style="19" bestFit="1" customWidth="1"/>
    <col min="1727" max="1727" width="12.28515625" style="19" bestFit="1" customWidth="1"/>
    <col min="1728" max="1728" width="12.7109375" style="19" bestFit="1" customWidth="1"/>
    <col min="1729" max="1729" width="12.42578125" style="19" bestFit="1" customWidth="1"/>
    <col min="1730" max="1730" width="12.5703125" style="19" bestFit="1" customWidth="1"/>
    <col min="1731" max="1731" width="13.7109375" style="19" bestFit="1" customWidth="1"/>
    <col min="1732" max="1736" width="13.7109375" style="19" customWidth="1"/>
    <col min="1737" max="1737" width="16" style="19" customWidth="1"/>
    <col min="1738" max="1739" width="14" style="19" bestFit="1" customWidth="1"/>
    <col min="1740" max="1740" width="4.7109375" style="19" bestFit="1" customWidth="1"/>
    <col min="1741" max="1977" width="9.140625" style="19"/>
    <col min="1978" max="1978" width="12.140625" style="19" customWidth="1"/>
    <col min="1979" max="1979" width="14.7109375" style="19" bestFit="1" customWidth="1"/>
    <col min="1980" max="1980" width="12.7109375" style="19" bestFit="1" customWidth="1"/>
    <col min="1981" max="1981" width="13.7109375" style="19" bestFit="1" customWidth="1"/>
    <col min="1982" max="1982" width="12.7109375" style="19" bestFit="1" customWidth="1"/>
    <col min="1983" max="1983" width="12.28515625" style="19" bestFit="1" customWidth="1"/>
    <col min="1984" max="1984" width="12.7109375" style="19" bestFit="1" customWidth="1"/>
    <col min="1985" max="1985" width="12.42578125" style="19" bestFit="1" customWidth="1"/>
    <col min="1986" max="1986" width="12.5703125" style="19" bestFit="1" customWidth="1"/>
    <col min="1987" max="1987" width="13.7109375" style="19" bestFit="1" customWidth="1"/>
    <col min="1988" max="1992" width="13.7109375" style="19" customWidth="1"/>
    <col min="1993" max="1993" width="16" style="19" customWidth="1"/>
    <col min="1994" max="1995" width="14" style="19" bestFit="1" customWidth="1"/>
    <col min="1996" max="1996" width="4.7109375" style="19" bestFit="1" customWidth="1"/>
    <col min="1997" max="2233" width="9.140625" style="19"/>
    <col min="2234" max="2234" width="12.140625" style="19" customWidth="1"/>
    <col min="2235" max="2235" width="14.7109375" style="19" bestFit="1" customWidth="1"/>
    <col min="2236" max="2236" width="12.7109375" style="19" bestFit="1" customWidth="1"/>
    <col min="2237" max="2237" width="13.7109375" style="19" bestFit="1" customWidth="1"/>
    <col min="2238" max="2238" width="12.7109375" style="19" bestFit="1" customWidth="1"/>
    <col min="2239" max="2239" width="12.28515625" style="19" bestFit="1" customWidth="1"/>
    <col min="2240" max="2240" width="12.7109375" style="19" bestFit="1" customWidth="1"/>
    <col min="2241" max="2241" width="12.42578125" style="19" bestFit="1" customWidth="1"/>
    <col min="2242" max="2242" width="12.5703125" style="19" bestFit="1" customWidth="1"/>
    <col min="2243" max="2243" width="13.7109375" style="19" bestFit="1" customWidth="1"/>
    <col min="2244" max="2248" width="13.7109375" style="19" customWidth="1"/>
    <col min="2249" max="2249" width="16" style="19" customWidth="1"/>
    <col min="2250" max="2251" width="14" style="19" bestFit="1" customWidth="1"/>
    <col min="2252" max="2252" width="4.7109375" style="19" bestFit="1" customWidth="1"/>
    <col min="2253" max="2489" width="9.140625" style="19"/>
    <col min="2490" max="2490" width="12.140625" style="19" customWidth="1"/>
    <col min="2491" max="2491" width="14.7109375" style="19" bestFit="1" customWidth="1"/>
    <col min="2492" max="2492" width="12.7109375" style="19" bestFit="1" customWidth="1"/>
    <col min="2493" max="2493" width="13.7109375" style="19" bestFit="1" customWidth="1"/>
    <col min="2494" max="2494" width="12.7109375" style="19" bestFit="1" customWidth="1"/>
    <col min="2495" max="2495" width="12.28515625" style="19" bestFit="1" customWidth="1"/>
    <col min="2496" max="2496" width="12.7109375" style="19" bestFit="1" customWidth="1"/>
    <col min="2497" max="2497" width="12.42578125" style="19" bestFit="1" customWidth="1"/>
    <col min="2498" max="2498" width="12.5703125" style="19" bestFit="1" customWidth="1"/>
    <col min="2499" max="2499" width="13.7109375" style="19" bestFit="1" customWidth="1"/>
    <col min="2500" max="2504" width="13.7109375" style="19" customWidth="1"/>
    <col min="2505" max="2505" width="16" style="19" customWidth="1"/>
    <col min="2506" max="2507" width="14" style="19" bestFit="1" customWidth="1"/>
    <col min="2508" max="2508" width="4.7109375" style="19" bestFit="1" customWidth="1"/>
    <col min="2509" max="2745" width="9.140625" style="19"/>
    <col min="2746" max="2746" width="12.140625" style="19" customWidth="1"/>
    <col min="2747" max="2747" width="14.7109375" style="19" bestFit="1" customWidth="1"/>
    <col min="2748" max="2748" width="12.7109375" style="19" bestFit="1" customWidth="1"/>
    <col min="2749" max="2749" width="13.7109375" style="19" bestFit="1" customWidth="1"/>
    <col min="2750" max="2750" width="12.7109375" style="19" bestFit="1" customWidth="1"/>
    <col min="2751" max="2751" width="12.28515625" style="19" bestFit="1" customWidth="1"/>
    <col min="2752" max="2752" width="12.7109375" style="19" bestFit="1" customWidth="1"/>
    <col min="2753" max="2753" width="12.42578125" style="19" bestFit="1" customWidth="1"/>
    <col min="2754" max="2754" width="12.5703125" style="19" bestFit="1" customWidth="1"/>
    <col min="2755" max="2755" width="13.7109375" style="19" bestFit="1" customWidth="1"/>
    <col min="2756" max="2760" width="13.7109375" style="19" customWidth="1"/>
    <col min="2761" max="2761" width="16" style="19" customWidth="1"/>
    <col min="2762" max="2763" width="14" style="19" bestFit="1" customWidth="1"/>
    <col min="2764" max="2764" width="4.7109375" style="19" bestFit="1" customWidth="1"/>
    <col min="2765" max="3001" width="9.140625" style="19"/>
    <col min="3002" max="3002" width="12.140625" style="19" customWidth="1"/>
    <col min="3003" max="3003" width="14.7109375" style="19" bestFit="1" customWidth="1"/>
    <col min="3004" max="3004" width="12.7109375" style="19" bestFit="1" customWidth="1"/>
    <col min="3005" max="3005" width="13.7109375" style="19" bestFit="1" customWidth="1"/>
    <col min="3006" max="3006" width="12.7109375" style="19" bestFit="1" customWidth="1"/>
    <col min="3007" max="3007" width="12.28515625" style="19" bestFit="1" customWidth="1"/>
    <col min="3008" max="3008" width="12.7109375" style="19" bestFit="1" customWidth="1"/>
    <col min="3009" max="3009" width="12.42578125" style="19" bestFit="1" customWidth="1"/>
    <col min="3010" max="3010" width="12.5703125" style="19" bestFit="1" customWidth="1"/>
    <col min="3011" max="3011" width="13.7109375" style="19" bestFit="1" customWidth="1"/>
    <col min="3012" max="3016" width="13.7109375" style="19" customWidth="1"/>
    <col min="3017" max="3017" width="16" style="19" customWidth="1"/>
    <col min="3018" max="3019" width="14" style="19" bestFit="1" customWidth="1"/>
    <col min="3020" max="3020" width="4.7109375" style="19" bestFit="1" customWidth="1"/>
    <col min="3021" max="3257" width="9.140625" style="19"/>
    <col min="3258" max="3258" width="12.140625" style="19" customWidth="1"/>
    <col min="3259" max="3259" width="14.7109375" style="19" bestFit="1" customWidth="1"/>
    <col min="3260" max="3260" width="12.7109375" style="19" bestFit="1" customWidth="1"/>
    <col min="3261" max="3261" width="13.7109375" style="19" bestFit="1" customWidth="1"/>
    <col min="3262" max="3262" width="12.7109375" style="19" bestFit="1" customWidth="1"/>
    <col min="3263" max="3263" width="12.28515625" style="19" bestFit="1" customWidth="1"/>
    <col min="3264" max="3264" width="12.7109375" style="19" bestFit="1" customWidth="1"/>
    <col min="3265" max="3265" width="12.42578125" style="19" bestFit="1" customWidth="1"/>
    <col min="3266" max="3266" width="12.5703125" style="19" bestFit="1" customWidth="1"/>
    <col min="3267" max="3267" width="13.7109375" style="19" bestFit="1" customWidth="1"/>
    <col min="3268" max="3272" width="13.7109375" style="19" customWidth="1"/>
    <col min="3273" max="3273" width="16" style="19" customWidth="1"/>
    <col min="3274" max="3275" width="14" style="19" bestFit="1" customWidth="1"/>
    <col min="3276" max="3276" width="4.7109375" style="19" bestFit="1" customWidth="1"/>
    <col min="3277" max="3513" width="9.140625" style="19"/>
    <col min="3514" max="3514" width="12.140625" style="19" customWidth="1"/>
    <col min="3515" max="3515" width="14.7109375" style="19" bestFit="1" customWidth="1"/>
    <col min="3516" max="3516" width="12.7109375" style="19" bestFit="1" customWidth="1"/>
    <col min="3517" max="3517" width="13.7109375" style="19" bestFit="1" customWidth="1"/>
    <col min="3518" max="3518" width="12.7109375" style="19" bestFit="1" customWidth="1"/>
    <col min="3519" max="3519" width="12.28515625" style="19" bestFit="1" customWidth="1"/>
    <col min="3520" max="3520" width="12.7109375" style="19" bestFit="1" customWidth="1"/>
    <col min="3521" max="3521" width="12.42578125" style="19" bestFit="1" customWidth="1"/>
    <col min="3522" max="3522" width="12.5703125" style="19" bestFit="1" customWidth="1"/>
    <col min="3523" max="3523" width="13.7109375" style="19" bestFit="1" customWidth="1"/>
    <col min="3524" max="3528" width="13.7109375" style="19" customWidth="1"/>
    <col min="3529" max="3529" width="16" style="19" customWidth="1"/>
    <col min="3530" max="3531" width="14" style="19" bestFit="1" customWidth="1"/>
    <col min="3532" max="3532" width="4.7109375" style="19" bestFit="1" customWidth="1"/>
    <col min="3533" max="3769" width="9.140625" style="19"/>
    <col min="3770" max="3770" width="12.140625" style="19" customWidth="1"/>
    <col min="3771" max="3771" width="14.7109375" style="19" bestFit="1" customWidth="1"/>
    <col min="3772" max="3772" width="12.7109375" style="19" bestFit="1" customWidth="1"/>
    <col min="3773" max="3773" width="13.7109375" style="19" bestFit="1" customWidth="1"/>
    <col min="3774" max="3774" width="12.7109375" style="19" bestFit="1" customWidth="1"/>
    <col min="3775" max="3775" width="12.28515625" style="19" bestFit="1" customWidth="1"/>
    <col min="3776" max="3776" width="12.7109375" style="19" bestFit="1" customWidth="1"/>
    <col min="3777" max="3777" width="12.42578125" style="19" bestFit="1" customWidth="1"/>
    <col min="3778" max="3778" width="12.5703125" style="19" bestFit="1" customWidth="1"/>
    <col min="3779" max="3779" width="13.7109375" style="19" bestFit="1" customWidth="1"/>
    <col min="3780" max="3784" width="13.7109375" style="19" customWidth="1"/>
    <col min="3785" max="3785" width="16" style="19" customWidth="1"/>
    <col min="3786" max="3787" width="14" style="19" bestFit="1" customWidth="1"/>
    <col min="3788" max="3788" width="4.7109375" style="19" bestFit="1" customWidth="1"/>
    <col min="3789" max="4025" width="9.140625" style="19"/>
    <col min="4026" max="4026" width="12.140625" style="19" customWidth="1"/>
    <col min="4027" max="4027" width="14.7109375" style="19" bestFit="1" customWidth="1"/>
    <col min="4028" max="4028" width="12.7109375" style="19" bestFit="1" customWidth="1"/>
    <col min="4029" max="4029" width="13.7109375" style="19" bestFit="1" customWidth="1"/>
    <col min="4030" max="4030" width="12.7109375" style="19" bestFit="1" customWidth="1"/>
    <col min="4031" max="4031" width="12.28515625" style="19" bestFit="1" customWidth="1"/>
    <col min="4032" max="4032" width="12.7109375" style="19" bestFit="1" customWidth="1"/>
    <col min="4033" max="4033" width="12.42578125" style="19" bestFit="1" customWidth="1"/>
    <col min="4034" max="4034" width="12.5703125" style="19" bestFit="1" customWidth="1"/>
    <col min="4035" max="4035" width="13.7109375" style="19" bestFit="1" customWidth="1"/>
    <col min="4036" max="4040" width="13.7109375" style="19" customWidth="1"/>
    <col min="4041" max="4041" width="16" style="19" customWidth="1"/>
    <col min="4042" max="4043" width="14" style="19" bestFit="1" customWidth="1"/>
    <col min="4044" max="4044" width="4.7109375" style="19" bestFit="1" customWidth="1"/>
    <col min="4045" max="4281" width="9.140625" style="19"/>
    <col min="4282" max="4282" width="12.140625" style="19" customWidth="1"/>
    <col min="4283" max="4283" width="14.7109375" style="19" bestFit="1" customWidth="1"/>
    <col min="4284" max="4284" width="12.7109375" style="19" bestFit="1" customWidth="1"/>
    <col min="4285" max="4285" width="13.7109375" style="19" bestFit="1" customWidth="1"/>
    <col min="4286" max="4286" width="12.7109375" style="19" bestFit="1" customWidth="1"/>
    <col min="4287" max="4287" width="12.28515625" style="19" bestFit="1" customWidth="1"/>
    <col min="4288" max="4288" width="12.7109375" style="19" bestFit="1" customWidth="1"/>
    <col min="4289" max="4289" width="12.42578125" style="19" bestFit="1" customWidth="1"/>
    <col min="4290" max="4290" width="12.5703125" style="19" bestFit="1" customWidth="1"/>
    <col min="4291" max="4291" width="13.7109375" style="19" bestFit="1" customWidth="1"/>
    <col min="4292" max="4296" width="13.7109375" style="19" customWidth="1"/>
    <col min="4297" max="4297" width="16" style="19" customWidth="1"/>
    <col min="4298" max="4299" width="14" style="19" bestFit="1" customWidth="1"/>
    <col min="4300" max="4300" width="4.7109375" style="19" bestFit="1" customWidth="1"/>
    <col min="4301" max="4537" width="9.140625" style="19"/>
    <col min="4538" max="4538" width="12.140625" style="19" customWidth="1"/>
    <col min="4539" max="4539" width="14.7109375" style="19" bestFit="1" customWidth="1"/>
    <col min="4540" max="4540" width="12.7109375" style="19" bestFit="1" customWidth="1"/>
    <col min="4541" max="4541" width="13.7109375" style="19" bestFit="1" customWidth="1"/>
    <col min="4542" max="4542" width="12.7109375" style="19" bestFit="1" customWidth="1"/>
    <col min="4543" max="4543" width="12.28515625" style="19" bestFit="1" customWidth="1"/>
    <col min="4544" max="4544" width="12.7109375" style="19" bestFit="1" customWidth="1"/>
    <col min="4545" max="4545" width="12.42578125" style="19" bestFit="1" customWidth="1"/>
    <col min="4546" max="4546" width="12.5703125" style="19" bestFit="1" customWidth="1"/>
    <col min="4547" max="4547" width="13.7109375" style="19" bestFit="1" customWidth="1"/>
    <col min="4548" max="4552" width="13.7109375" style="19" customWidth="1"/>
    <col min="4553" max="4553" width="16" style="19" customWidth="1"/>
    <col min="4554" max="4555" width="14" style="19" bestFit="1" customWidth="1"/>
    <col min="4556" max="4556" width="4.7109375" style="19" bestFit="1" customWidth="1"/>
    <col min="4557" max="4793" width="9.140625" style="19"/>
    <col min="4794" max="4794" width="12.140625" style="19" customWidth="1"/>
    <col min="4795" max="4795" width="14.7109375" style="19" bestFit="1" customWidth="1"/>
    <col min="4796" max="4796" width="12.7109375" style="19" bestFit="1" customWidth="1"/>
    <col min="4797" max="4797" width="13.7109375" style="19" bestFit="1" customWidth="1"/>
    <col min="4798" max="4798" width="12.7109375" style="19" bestFit="1" customWidth="1"/>
    <col min="4799" max="4799" width="12.28515625" style="19" bestFit="1" customWidth="1"/>
    <col min="4800" max="4800" width="12.7109375" style="19" bestFit="1" customWidth="1"/>
    <col min="4801" max="4801" width="12.42578125" style="19" bestFit="1" customWidth="1"/>
    <col min="4802" max="4802" width="12.5703125" style="19" bestFit="1" customWidth="1"/>
    <col min="4803" max="4803" width="13.7109375" style="19" bestFit="1" customWidth="1"/>
    <col min="4804" max="4808" width="13.7109375" style="19" customWidth="1"/>
    <col min="4809" max="4809" width="16" style="19" customWidth="1"/>
    <col min="4810" max="4811" width="14" style="19" bestFit="1" customWidth="1"/>
    <col min="4812" max="4812" width="4.7109375" style="19" bestFit="1" customWidth="1"/>
    <col min="4813" max="5049" width="9.140625" style="19"/>
    <col min="5050" max="5050" width="12.140625" style="19" customWidth="1"/>
    <col min="5051" max="5051" width="14.7109375" style="19" bestFit="1" customWidth="1"/>
    <col min="5052" max="5052" width="12.7109375" style="19" bestFit="1" customWidth="1"/>
    <col min="5053" max="5053" width="13.7109375" style="19" bestFit="1" customWidth="1"/>
    <col min="5054" max="5054" width="12.7109375" style="19" bestFit="1" customWidth="1"/>
    <col min="5055" max="5055" width="12.28515625" style="19" bestFit="1" customWidth="1"/>
    <col min="5056" max="5056" width="12.7109375" style="19" bestFit="1" customWidth="1"/>
    <col min="5057" max="5057" width="12.42578125" style="19" bestFit="1" customWidth="1"/>
    <col min="5058" max="5058" width="12.5703125" style="19" bestFit="1" customWidth="1"/>
    <col min="5059" max="5059" width="13.7109375" style="19" bestFit="1" customWidth="1"/>
    <col min="5060" max="5064" width="13.7109375" style="19" customWidth="1"/>
    <col min="5065" max="5065" width="16" style="19" customWidth="1"/>
    <col min="5066" max="5067" width="14" style="19" bestFit="1" customWidth="1"/>
    <col min="5068" max="5068" width="4.7109375" style="19" bestFit="1" customWidth="1"/>
    <col min="5069" max="5305" width="9.140625" style="19"/>
    <col min="5306" max="5306" width="12.140625" style="19" customWidth="1"/>
    <col min="5307" max="5307" width="14.7109375" style="19" bestFit="1" customWidth="1"/>
    <col min="5308" max="5308" width="12.7109375" style="19" bestFit="1" customWidth="1"/>
    <col min="5309" max="5309" width="13.7109375" style="19" bestFit="1" customWidth="1"/>
    <col min="5310" max="5310" width="12.7109375" style="19" bestFit="1" customWidth="1"/>
    <col min="5311" max="5311" width="12.28515625" style="19" bestFit="1" customWidth="1"/>
    <col min="5312" max="5312" width="12.7109375" style="19" bestFit="1" customWidth="1"/>
    <col min="5313" max="5313" width="12.42578125" style="19" bestFit="1" customWidth="1"/>
    <col min="5314" max="5314" width="12.5703125" style="19" bestFit="1" customWidth="1"/>
    <col min="5315" max="5315" width="13.7109375" style="19" bestFit="1" customWidth="1"/>
    <col min="5316" max="5320" width="13.7109375" style="19" customWidth="1"/>
    <col min="5321" max="5321" width="16" style="19" customWidth="1"/>
    <col min="5322" max="5323" width="14" style="19" bestFit="1" customWidth="1"/>
    <col min="5324" max="5324" width="4.7109375" style="19" bestFit="1" customWidth="1"/>
    <col min="5325" max="5561" width="9.140625" style="19"/>
    <col min="5562" max="5562" width="12.140625" style="19" customWidth="1"/>
    <col min="5563" max="5563" width="14.7109375" style="19" bestFit="1" customWidth="1"/>
    <col min="5564" max="5564" width="12.7109375" style="19" bestFit="1" customWidth="1"/>
    <col min="5565" max="5565" width="13.7109375" style="19" bestFit="1" customWidth="1"/>
    <col min="5566" max="5566" width="12.7109375" style="19" bestFit="1" customWidth="1"/>
    <col min="5567" max="5567" width="12.28515625" style="19" bestFit="1" customWidth="1"/>
    <col min="5568" max="5568" width="12.7109375" style="19" bestFit="1" customWidth="1"/>
    <col min="5569" max="5569" width="12.42578125" style="19" bestFit="1" customWidth="1"/>
    <col min="5570" max="5570" width="12.5703125" style="19" bestFit="1" customWidth="1"/>
    <col min="5571" max="5571" width="13.7109375" style="19" bestFit="1" customWidth="1"/>
    <col min="5572" max="5576" width="13.7109375" style="19" customWidth="1"/>
    <col min="5577" max="5577" width="16" style="19" customWidth="1"/>
    <col min="5578" max="5579" width="14" style="19" bestFit="1" customWidth="1"/>
    <col min="5580" max="5580" width="4.7109375" style="19" bestFit="1" customWidth="1"/>
    <col min="5581" max="5817" width="9.140625" style="19"/>
    <col min="5818" max="5818" width="12.140625" style="19" customWidth="1"/>
    <col min="5819" max="5819" width="14.7109375" style="19" bestFit="1" customWidth="1"/>
    <col min="5820" max="5820" width="12.7109375" style="19" bestFit="1" customWidth="1"/>
    <col min="5821" max="5821" width="13.7109375" style="19" bestFit="1" customWidth="1"/>
    <col min="5822" max="5822" width="12.7109375" style="19" bestFit="1" customWidth="1"/>
    <col min="5823" max="5823" width="12.28515625" style="19" bestFit="1" customWidth="1"/>
    <col min="5824" max="5824" width="12.7109375" style="19" bestFit="1" customWidth="1"/>
    <col min="5825" max="5825" width="12.42578125" style="19" bestFit="1" customWidth="1"/>
    <col min="5826" max="5826" width="12.5703125" style="19" bestFit="1" customWidth="1"/>
    <col min="5827" max="5827" width="13.7109375" style="19" bestFit="1" customWidth="1"/>
    <col min="5828" max="5832" width="13.7109375" style="19" customWidth="1"/>
    <col min="5833" max="5833" width="16" style="19" customWidth="1"/>
    <col min="5834" max="5835" width="14" style="19" bestFit="1" customWidth="1"/>
    <col min="5836" max="5836" width="4.7109375" style="19" bestFit="1" customWidth="1"/>
    <col min="5837" max="6073" width="9.140625" style="19"/>
    <col min="6074" max="6074" width="12.140625" style="19" customWidth="1"/>
    <col min="6075" max="6075" width="14.7109375" style="19" bestFit="1" customWidth="1"/>
    <col min="6076" max="6076" width="12.7109375" style="19" bestFit="1" customWidth="1"/>
    <col min="6077" max="6077" width="13.7109375" style="19" bestFit="1" customWidth="1"/>
    <col min="6078" max="6078" width="12.7109375" style="19" bestFit="1" customWidth="1"/>
    <col min="6079" max="6079" width="12.28515625" style="19" bestFit="1" customWidth="1"/>
    <col min="6080" max="6080" width="12.7109375" style="19" bestFit="1" customWidth="1"/>
    <col min="6081" max="6081" width="12.42578125" style="19" bestFit="1" customWidth="1"/>
    <col min="6082" max="6082" width="12.5703125" style="19" bestFit="1" customWidth="1"/>
    <col min="6083" max="6083" width="13.7109375" style="19" bestFit="1" customWidth="1"/>
    <col min="6084" max="6088" width="13.7109375" style="19" customWidth="1"/>
    <col min="6089" max="6089" width="16" style="19" customWidth="1"/>
    <col min="6090" max="6091" width="14" style="19" bestFit="1" customWidth="1"/>
    <col min="6092" max="6092" width="4.7109375" style="19" bestFit="1" customWidth="1"/>
    <col min="6093" max="6329" width="9.140625" style="19"/>
    <col min="6330" max="6330" width="12.140625" style="19" customWidth="1"/>
    <col min="6331" max="6331" width="14.7109375" style="19" bestFit="1" customWidth="1"/>
    <col min="6332" max="6332" width="12.7109375" style="19" bestFit="1" customWidth="1"/>
    <col min="6333" max="6333" width="13.7109375" style="19" bestFit="1" customWidth="1"/>
    <col min="6334" max="6334" width="12.7109375" style="19" bestFit="1" customWidth="1"/>
    <col min="6335" max="6335" width="12.28515625" style="19" bestFit="1" customWidth="1"/>
    <col min="6336" max="6336" width="12.7109375" style="19" bestFit="1" customWidth="1"/>
    <col min="6337" max="6337" width="12.42578125" style="19" bestFit="1" customWidth="1"/>
    <col min="6338" max="6338" width="12.5703125" style="19" bestFit="1" customWidth="1"/>
    <col min="6339" max="6339" width="13.7109375" style="19" bestFit="1" customWidth="1"/>
    <col min="6340" max="6344" width="13.7109375" style="19" customWidth="1"/>
    <col min="6345" max="6345" width="16" style="19" customWidth="1"/>
    <col min="6346" max="6347" width="14" style="19" bestFit="1" customWidth="1"/>
    <col min="6348" max="6348" width="4.7109375" style="19" bestFit="1" customWidth="1"/>
    <col min="6349" max="6585" width="9.140625" style="19"/>
    <col min="6586" max="6586" width="12.140625" style="19" customWidth="1"/>
    <col min="6587" max="6587" width="14.7109375" style="19" bestFit="1" customWidth="1"/>
    <col min="6588" max="6588" width="12.7109375" style="19" bestFit="1" customWidth="1"/>
    <col min="6589" max="6589" width="13.7109375" style="19" bestFit="1" customWidth="1"/>
    <col min="6590" max="6590" width="12.7109375" style="19" bestFit="1" customWidth="1"/>
    <col min="6591" max="6591" width="12.28515625" style="19" bestFit="1" customWidth="1"/>
    <col min="6592" max="6592" width="12.7109375" style="19" bestFit="1" customWidth="1"/>
    <col min="6593" max="6593" width="12.42578125" style="19" bestFit="1" customWidth="1"/>
    <col min="6594" max="6594" width="12.5703125" style="19" bestFit="1" customWidth="1"/>
    <col min="6595" max="6595" width="13.7109375" style="19" bestFit="1" customWidth="1"/>
    <col min="6596" max="6600" width="13.7109375" style="19" customWidth="1"/>
    <col min="6601" max="6601" width="16" style="19" customWidth="1"/>
    <col min="6602" max="6603" width="14" style="19" bestFit="1" customWidth="1"/>
    <col min="6604" max="6604" width="4.7109375" style="19" bestFit="1" customWidth="1"/>
    <col min="6605" max="6841" width="9.140625" style="19"/>
    <col min="6842" max="6842" width="12.140625" style="19" customWidth="1"/>
    <col min="6843" max="6843" width="14.7109375" style="19" bestFit="1" customWidth="1"/>
    <col min="6844" max="6844" width="12.7109375" style="19" bestFit="1" customWidth="1"/>
    <col min="6845" max="6845" width="13.7109375" style="19" bestFit="1" customWidth="1"/>
    <col min="6846" max="6846" width="12.7109375" style="19" bestFit="1" customWidth="1"/>
    <col min="6847" max="6847" width="12.28515625" style="19" bestFit="1" customWidth="1"/>
    <col min="6848" max="6848" width="12.7109375" style="19" bestFit="1" customWidth="1"/>
    <col min="6849" max="6849" width="12.42578125" style="19" bestFit="1" customWidth="1"/>
    <col min="6850" max="6850" width="12.5703125" style="19" bestFit="1" customWidth="1"/>
    <col min="6851" max="6851" width="13.7109375" style="19" bestFit="1" customWidth="1"/>
    <col min="6852" max="6856" width="13.7109375" style="19" customWidth="1"/>
    <col min="6857" max="6857" width="16" style="19" customWidth="1"/>
    <col min="6858" max="6859" width="14" style="19" bestFit="1" customWidth="1"/>
    <col min="6860" max="6860" width="4.7109375" style="19" bestFit="1" customWidth="1"/>
    <col min="6861" max="7097" width="9.140625" style="19"/>
    <col min="7098" max="7098" width="12.140625" style="19" customWidth="1"/>
    <col min="7099" max="7099" width="14.7109375" style="19" bestFit="1" customWidth="1"/>
    <col min="7100" max="7100" width="12.7109375" style="19" bestFit="1" customWidth="1"/>
    <col min="7101" max="7101" width="13.7109375" style="19" bestFit="1" customWidth="1"/>
    <col min="7102" max="7102" width="12.7109375" style="19" bestFit="1" customWidth="1"/>
    <col min="7103" max="7103" width="12.28515625" style="19" bestFit="1" customWidth="1"/>
    <col min="7104" max="7104" width="12.7109375" style="19" bestFit="1" customWidth="1"/>
    <col min="7105" max="7105" width="12.42578125" style="19" bestFit="1" customWidth="1"/>
    <col min="7106" max="7106" width="12.5703125" style="19" bestFit="1" customWidth="1"/>
    <col min="7107" max="7107" width="13.7109375" style="19" bestFit="1" customWidth="1"/>
    <col min="7108" max="7112" width="13.7109375" style="19" customWidth="1"/>
    <col min="7113" max="7113" width="16" style="19" customWidth="1"/>
    <col min="7114" max="7115" width="14" style="19" bestFit="1" customWidth="1"/>
    <col min="7116" max="7116" width="4.7109375" style="19" bestFit="1" customWidth="1"/>
    <col min="7117" max="7353" width="9.140625" style="19"/>
    <col min="7354" max="7354" width="12.140625" style="19" customWidth="1"/>
    <col min="7355" max="7355" width="14.7109375" style="19" bestFit="1" customWidth="1"/>
    <col min="7356" max="7356" width="12.7109375" style="19" bestFit="1" customWidth="1"/>
    <col min="7357" max="7357" width="13.7109375" style="19" bestFit="1" customWidth="1"/>
    <col min="7358" max="7358" width="12.7109375" style="19" bestFit="1" customWidth="1"/>
    <col min="7359" max="7359" width="12.28515625" style="19" bestFit="1" customWidth="1"/>
    <col min="7360" max="7360" width="12.7109375" style="19" bestFit="1" customWidth="1"/>
    <col min="7361" max="7361" width="12.42578125" style="19" bestFit="1" customWidth="1"/>
    <col min="7362" max="7362" width="12.5703125" style="19" bestFit="1" customWidth="1"/>
    <col min="7363" max="7363" width="13.7109375" style="19" bestFit="1" customWidth="1"/>
    <col min="7364" max="7368" width="13.7109375" style="19" customWidth="1"/>
    <col min="7369" max="7369" width="16" style="19" customWidth="1"/>
    <col min="7370" max="7371" width="14" style="19" bestFit="1" customWidth="1"/>
    <col min="7372" max="7372" width="4.7109375" style="19" bestFit="1" customWidth="1"/>
    <col min="7373" max="7609" width="9.140625" style="19"/>
    <col min="7610" max="7610" width="12.140625" style="19" customWidth="1"/>
    <col min="7611" max="7611" width="14.7109375" style="19" bestFit="1" customWidth="1"/>
    <col min="7612" max="7612" width="12.7109375" style="19" bestFit="1" customWidth="1"/>
    <col min="7613" max="7613" width="13.7109375" style="19" bestFit="1" customWidth="1"/>
    <col min="7614" max="7614" width="12.7109375" style="19" bestFit="1" customWidth="1"/>
    <col min="7615" max="7615" width="12.28515625" style="19" bestFit="1" customWidth="1"/>
    <col min="7616" max="7616" width="12.7109375" style="19" bestFit="1" customWidth="1"/>
    <col min="7617" max="7617" width="12.42578125" style="19" bestFit="1" customWidth="1"/>
    <col min="7618" max="7618" width="12.5703125" style="19" bestFit="1" customWidth="1"/>
    <col min="7619" max="7619" width="13.7109375" style="19" bestFit="1" customWidth="1"/>
    <col min="7620" max="7624" width="13.7109375" style="19" customWidth="1"/>
    <col min="7625" max="7625" width="16" style="19" customWidth="1"/>
    <col min="7626" max="7627" width="14" style="19" bestFit="1" customWidth="1"/>
    <col min="7628" max="7628" width="4.7109375" style="19" bestFit="1" customWidth="1"/>
    <col min="7629" max="7865" width="9.140625" style="19"/>
    <col min="7866" max="7866" width="12.140625" style="19" customWidth="1"/>
    <col min="7867" max="7867" width="14.7109375" style="19" bestFit="1" customWidth="1"/>
    <col min="7868" max="7868" width="12.7109375" style="19" bestFit="1" customWidth="1"/>
    <col min="7869" max="7869" width="13.7109375" style="19" bestFit="1" customWidth="1"/>
    <col min="7870" max="7870" width="12.7109375" style="19" bestFit="1" customWidth="1"/>
    <col min="7871" max="7871" width="12.28515625" style="19" bestFit="1" customWidth="1"/>
    <col min="7872" max="7872" width="12.7109375" style="19" bestFit="1" customWidth="1"/>
    <col min="7873" max="7873" width="12.42578125" style="19" bestFit="1" customWidth="1"/>
    <col min="7874" max="7874" width="12.5703125" style="19" bestFit="1" customWidth="1"/>
    <col min="7875" max="7875" width="13.7109375" style="19" bestFit="1" customWidth="1"/>
    <col min="7876" max="7880" width="13.7109375" style="19" customWidth="1"/>
    <col min="7881" max="7881" width="16" style="19" customWidth="1"/>
    <col min="7882" max="7883" width="14" style="19" bestFit="1" customWidth="1"/>
    <col min="7884" max="7884" width="4.7109375" style="19" bestFit="1" customWidth="1"/>
    <col min="7885" max="8121" width="9.140625" style="19"/>
    <col min="8122" max="8122" width="12.140625" style="19" customWidth="1"/>
    <col min="8123" max="8123" width="14.7109375" style="19" bestFit="1" customWidth="1"/>
    <col min="8124" max="8124" width="12.7109375" style="19" bestFit="1" customWidth="1"/>
    <col min="8125" max="8125" width="13.7109375" style="19" bestFit="1" customWidth="1"/>
    <col min="8126" max="8126" width="12.7109375" style="19" bestFit="1" customWidth="1"/>
    <col min="8127" max="8127" width="12.28515625" style="19" bestFit="1" customWidth="1"/>
    <col min="8128" max="8128" width="12.7109375" style="19" bestFit="1" customWidth="1"/>
    <col min="8129" max="8129" width="12.42578125" style="19" bestFit="1" customWidth="1"/>
    <col min="8130" max="8130" width="12.5703125" style="19" bestFit="1" customWidth="1"/>
    <col min="8131" max="8131" width="13.7109375" style="19" bestFit="1" customWidth="1"/>
    <col min="8132" max="8136" width="13.7109375" style="19" customWidth="1"/>
    <col min="8137" max="8137" width="16" style="19" customWidth="1"/>
    <col min="8138" max="8139" width="14" style="19" bestFit="1" customWidth="1"/>
    <col min="8140" max="8140" width="4.7109375" style="19" bestFit="1" customWidth="1"/>
    <col min="8141" max="8377" width="9.140625" style="19"/>
    <col min="8378" max="8378" width="12.140625" style="19" customWidth="1"/>
    <col min="8379" max="8379" width="14.7109375" style="19" bestFit="1" customWidth="1"/>
    <col min="8380" max="8380" width="12.7109375" style="19" bestFit="1" customWidth="1"/>
    <col min="8381" max="8381" width="13.7109375" style="19" bestFit="1" customWidth="1"/>
    <col min="8382" max="8382" width="12.7109375" style="19" bestFit="1" customWidth="1"/>
    <col min="8383" max="8383" width="12.28515625" style="19" bestFit="1" customWidth="1"/>
    <col min="8384" max="8384" width="12.7109375" style="19" bestFit="1" customWidth="1"/>
    <col min="8385" max="8385" width="12.42578125" style="19" bestFit="1" customWidth="1"/>
    <col min="8386" max="8386" width="12.5703125" style="19" bestFit="1" customWidth="1"/>
    <col min="8387" max="8387" width="13.7109375" style="19" bestFit="1" customWidth="1"/>
    <col min="8388" max="8392" width="13.7109375" style="19" customWidth="1"/>
    <col min="8393" max="8393" width="16" style="19" customWidth="1"/>
    <col min="8394" max="8395" width="14" style="19" bestFit="1" customWidth="1"/>
    <col min="8396" max="8396" width="4.7109375" style="19" bestFit="1" customWidth="1"/>
    <col min="8397" max="8633" width="9.140625" style="19"/>
    <col min="8634" max="8634" width="12.140625" style="19" customWidth="1"/>
    <col min="8635" max="8635" width="14.7109375" style="19" bestFit="1" customWidth="1"/>
    <col min="8636" max="8636" width="12.7109375" style="19" bestFit="1" customWidth="1"/>
    <col min="8637" max="8637" width="13.7109375" style="19" bestFit="1" customWidth="1"/>
    <col min="8638" max="8638" width="12.7109375" style="19" bestFit="1" customWidth="1"/>
    <col min="8639" max="8639" width="12.28515625" style="19" bestFit="1" customWidth="1"/>
    <col min="8640" max="8640" width="12.7109375" style="19" bestFit="1" customWidth="1"/>
    <col min="8641" max="8641" width="12.42578125" style="19" bestFit="1" customWidth="1"/>
    <col min="8642" max="8642" width="12.5703125" style="19" bestFit="1" customWidth="1"/>
    <col min="8643" max="8643" width="13.7109375" style="19" bestFit="1" customWidth="1"/>
    <col min="8644" max="8648" width="13.7109375" style="19" customWidth="1"/>
    <col min="8649" max="8649" width="16" style="19" customWidth="1"/>
    <col min="8650" max="8651" width="14" style="19" bestFit="1" customWidth="1"/>
    <col min="8652" max="8652" width="4.7109375" style="19" bestFit="1" customWidth="1"/>
    <col min="8653" max="8889" width="9.140625" style="19"/>
    <col min="8890" max="8890" width="12.140625" style="19" customWidth="1"/>
    <col min="8891" max="8891" width="14.7109375" style="19" bestFit="1" customWidth="1"/>
    <col min="8892" max="8892" width="12.7109375" style="19" bestFit="1" customWidth="1"/>
    <col min="8893" max="8893" width="13.7109375" style="19" bestFit="1" customWidth="1"/>
    <col min="8894" max="8894" width="12.7109375" style="19" bestFit="1" customWidth="1"/>
    <col min="8895" max="8895" width="12.28515625" style="19" bestFit="1" customWidth="1"/>
    <col min="8896" max="8896" width="12.7109375" style="19" bestFit="1" customWidth="1"/>
    <col min="8897" max="8897" width="12.42578125" style="19" bestFit="1" customWidth="1"/>
    <col min="8898" max="8898" width="12.5703125" style="19" bestFit="1" customWidth="1"/>
    <col min="8899" max="8899" width="13.7109375" style="19" bestFit="1" customWidth="1"/>
    <col min="8900" max="8904" width="13.7109375" style="19" customWidth="1"/>
    <col min="8905" max="8905" width="16" style="19" customWidth="1"/>
    <col min="8906" max="8907" width="14" style="19" bestFit="1" customWidth="1"/>
    <col min="8908" max="8908" width="4.7109375" style="19" bestFit="1" customWidth="1"/>
    <col min="8909" max="9145" width="9.140625" style="19"/>
    <col min="9146" max="9146" width="12.140625" style="19" customWidth="1"/>
    <col min="9147" max="9147" width="14.7109375" style="19" bestFit="1" customWidth="1"/>
    <col min="9148" max="9148" width="12.7109375" style="19" bestFit="1" customWidth="1"/>
    <col min="9149" max="9149" width="13.7109375" style="19" bestFit="1" customWidth="1"/>
    <col min="9150" max="9150" width="12.7109375" style="19" bestFit="1" customWidth="1"/>
    <col min="9151" max="9151" width="12.28515625" style="19" bestFit="1" customWidth="1"/>
    <col min="9152" max="9152" width="12.7109375" style="19" bestFit="1" customWidth="1"/>
    <col min="9153" max="9153" width="12.42578125" style="19" bestFit="1" customWidth="1"/>
    <col min="9154" max="9154" width="12.5703125" style="19" bestFit="1" customWidth="1"/>
    <col min="9155" max="9155" width="13.7109375" style="19" bestFit="1" customWidth="1"/>
    <col min="9156" max="9160" width="13.7109375" style="19" customWidth="1"/>
    <col min="9161" max="9161" width="16" style="19" customWidth="1"/>
    <col min="9162" max="9163" width="14" style="19" bestFit="1" customWidth="1"/>
    <col min="9164" max="9164" width="4.7109375" style="19" bestFit="1" customWidth="1"/>
    <col min="9165" max="9401" width="9.140625" style="19"/>
    <col min="9402" max="9402" width="12.140625" style="19" customWidth="1"/>
    <col min="9403" max="9403" width="14.7109375" style="19" bestFit="1" customWidth="1"/>
    <col min="9404" max="9404" width="12.7109375" style="19" bestFit="1" customWidth="1"/>
    <col min="9405" max="9405" width="13.7109375" style="19" bestFit="1" customWidth="1"/>
    <col min="9406" max="9406" width="12.7109375" style="19" bestFit="1" customWidth="1"/>
    <col min="9407" max="9407" width="12.28515625" style="19" bestFit="1" customWidth="1"/>
    <col min="9408" max="9408" width="12.7109375" style="19" bestFit="1" customWidth="1"/>
    <col min="9409" max="9409" width="12.42578125" style="19" bestFit="1" customWidth="1"/>
    <col min="9410" max="9410" width="12.5703125" style="19" bestFit="1" customWidth="1"/>
    <col min="9411" max="9411" width="13.7109375" style="19" bestFit="1" customWidth="1"/>
    <col min="9412" max="9416" width="13.7109375" style="19" customWidth="1"/>
    <col min="9417" max="9417" width="16" style="19" customWidth="1"/>
    <col min="9418" max="9419" width="14" style="19" bestFit="1" customWidth="1"/>
    <col min="9420" max="9420" width="4.7109375" style="19" bestFit="1" customWidth="1"/>
    <col min="9421" max="9657" width="9.140625" style="19"/>
    <col min="9658" max="9658" width="12.140625" style="19" customWidth="1"/>
    <col min="9659" max="9659" width="14.7109375" style="19" bestFit="1" customWidth="1"/>
    <col min="9660" max="9660" width="12.7109375" style="19" bestFit="1" customWidth="1"/>
    <col min="9661" max="9661" width="13.7109375" style="19" bestFit="1" customWidth="1"/>
    <col min="9662" max="9662" width="12.7109375" style="19" bestFit="1" customWidth="1"/>
    <col min="9663" max="9663" width="12.28515625" style="19" bestFit="1" customWidth="1"/>
    <col min="9664" max="9664" width="12.7109375" style="19" bestFit="1" customWidth="1"/>
    <col min="9665" max="9665" width="12.42578125" style="19" bestFit="1" customWidth="1"/>
    <col min="9666" max="9666" width="12.5703125" style="19" bestFit="1" customWidth="1"/>
    <col min="9667" max="9667" width="13.7109375" style="19" bestFit="1" customWidth="1"/>
    <col min="9668" max="9672" width="13.7109375" style="19" customWidth="1"/>
    <col min="9673" max="9673" width="16" style="19" customWidth="1"/>
    <col min="9674" max="9675" width="14" style="19" bestFit="1" customWidth="1"/>
    <col min="9676" max="9676" width="4.7109375" style="19" bestFit="1" customWidth="1"/>
    <col min="9677" max="9913" width="9.140625" style="19"/>
    <col min="9914" max="9914" width="12.140625" style="19" customWidth="1"/>
    <col min="9915" max="9915" width="14.7109375" style="19" bestFit="1" customWidth="1"/>
    <col min="9916" max="9916" width="12.7109375" style="19" bestFit="1" customWidth="1"/>
    <col min="9917" max="9917" width="13.7109375" style="19" bestFit="1" customWidth="1"/>
    <col min="9918" max="9918" width="12.7109375" style="19" bestFit="1" customWidth="1"/>
    <col min="9919" max="9919" width="12.28515625" style="19" bestFit="1" customWidth="1"/>
    <col min="9920" max="9920" width="12.7109375" style="19" bestFit="1" customWidth="1"/>
    <col min="9921" max="9921" width="12.42578125" style="19" bestFit="1" customWidth="1"/>
    <col min="9922" max="9922" width="12.5703125" style="19" bestFit="1" customWidth="1"/>
    <col min="9923" max="9923" width="13.7109375" style="19" bestFit="1" customWidth="1"/>
    <col min="9924" max="9928" width="13.7109375" style="19" customWidth="1"/>
    <col min="9929" max="9929" width="16" style="19" customWidth="1"/>
    <col min="9930" max="9931" width="14" style="19" bestFit="1" customWidth="1"/>
    <col min="9932" max="9932" width="4.7109375" style="19" bestFit="1" customWidth="1"/>
    <col min="9933" max="10169" width="9.140625" style="19"/>
    <col min="10170" max="10170" width="12.140625" style="19" customWidth="1"/>
    <col min="10171" max="10171" width="14.7109375" style="19" bestFit="1" customWidth="1"/>
    <col min="10172" max="10172" width="12.7109375" style="19" bestFit="1" customWidth="1"/>
    <col min="10173" max="10173" width="13.7109375" style="19" bestFit="1" customWidth="1"/>
    <col min="10174" max="10174" width="12.7109375" style="19" bestFit="1" customWidth="1"/>
    <col min="10175" max="10175" width="12.28515625" style="19" bestFit="1" customWidth="1"/>
    <col min="10176" max="10176" width="12.7109375" style="19" bestFit="1" customWidth="1"/>
    <col min="10177" max="10177" width="12.42578125" style="19" bestFit="1" customWidth="1"/>
    <col min="10178" max="10178" width="12.5703125" style="19" bestFit="1" customWidth="1"/>
    <col min="10179" max="10179" width="13.7109375" style="19" bestFit="1" customWidth="1"/>
    <col min="10180" max="10184" width="13.7109375" style="19" customWidth="1"/>
    <col min="10185" max="10185" width="16" style="19" customWidth="1"/>
    <col min="10186" max="10187" width="14" style="19" bestFit="1" customWidth="1"/>
    <col min="10188" max="10188" width="4.7109375" style="19" bestFit="1" customWidth="1"/>
    <col min="10189" max="10425" width="9.140625" style="19"/>
    <col min="10426" max="10426" width="12.140625" style="19" customWidth="1"/>
    <col min="10427" max="10427" width="14.7109375" style="19" bestFit="1" customWidth="1"/>
    <col min="10428" max="10428" width="12.7109375" style="19" bestFit="1" customWidth="1"/>
    <col min="10429" max="10429" width="13.7109375" style="19" bestFit="1" customWidth="1"/>
    <col min="10430" max="10430" width="12.7109375" style="19" bestFit="1" customWidth="1"/>
    <col min="10431" max="10431" width="12.28515625" style="19" bestFit="1" customWidth="1"/>
    <col min="10432" max="10432" width="12.7109375" style="19" bestFit="1" customWidth="1"/>
    <col min="10433" max="10433" width="12.42578125" style="19" bestFit="1" customWidth="1"/>
    <col min="10434" max="10434" width="12.5703125" style="19" bestFit="1" customWidth="1"/>
    <col min="10435" max="10435" width="13.7109375" style="19" bestFit="1" customWidth="1"/>
    <col min="10436" max="10440" width="13.7109375" style="19" customWidth="1"/>
    <col min="10441" max="10441" width="16" style="19" customWidth="1"/>
    <col min="10442" max="10443" width="14" style="19" bestFit="1" customWidth="1"/>
    <col min="10444" max="10444" width="4.7109375" style="19" bestFit="1" customWidth="1"/>
    <col min="10445" max="10681" width="9.140625" style="19"/>
    <col min="10682" max="10682" width="12.140625" style="19" customWidth="1"/>
    <col min="10683" max="10683" width="14.7109375" style="19" bestFit="1" customWidth="1"/>
    <col min="10684" max="10684" width="12.7109375" style="19" bestFit="1" customWidth="1"/>
    <col min="10685" max="10685" width="13.7109375" style="19" bestFit="1" customWidth="1"/>
    <col min="10686" max="10686" width="12.7109375" style="19" bestFit="1" customWidth="1"/>
    <col min="10687" max="10687" width="12.28515625" style="19" bestFit="1" customWidth="1"/>
    <col min="10688" max="10688" width="12.7109375" style="19" bestFit="1" customWidth="1"/>
    <col min="10689" max="10689" width="12.42578125" style="19" bestFit="1" customWidth="1"/>
    <col min="10690" max="10690" width="12.5703125" style="19" bestFit="1" customWidth="1"/>
    <col min="10691" max="10691" width="13.7109375" style="19" bestFit="1" customWidth="1"/>
    <col min="10692" max="10696" width="13.7109375" style="19" customWidth="1"/>
    <col min="10697" max="10697" width="16" style="19" customWidth="1"/>
    <col min="10698" max="10699" width="14" style="19" bestFit="1" customWidth="1"/>
    <col min="10700" max="10700" width="4.7109375" style="19" bestFit="1" customWidth="1"/>
    <col min="10701" max="10937" width="9.140625" style="19"/>
    <col min="10938" max="10938" width="12.140625" style="19" customWidth="1"/>
    <col min="10939" max="10939" width="14.7109375" style="19" bestFit="1" customWidth="1"/>
    <col min="10940" max="10940" width="12.7109375" style="19" bestFit="1" customWidth="1"/>
    <col min="10941" max="10941" width="13.7109375" style="19" bestFit="1" customWidth="1"/>
    <col min="10942" max="10942" width="12.7109375" style="19" bestFit="1" customWidth="1"/>
    <col min="10943" max="10943" width="12.28515625" style="19" bestFit="1" customWidth="1"/>
    <col min="10944" max="10944" width="12.7109375" style="19" bestFit="1" customWidth="1"/>
    <col min="10945" max="10945" width="12.42578125" style="19" bestFit="1" customWidth="1"/>
    <col min="10946" max="10946" width="12.5703125" style="19" bestFit="1" customWidth="1"/>
    <col min="10947" max="10947" width="13.7109375" style="19" bestFit="1" customWidth="1"/>
    <col min="10948" max="10952" width="13.7109375" style="19" customWidth="1"/>
    <col min="10953" max="10953" width="16" style="19" customWidth="1"/>
    <col min="10954" max="10955" width="14" style="19" bestFit="1" customWidth="1"/>
    <col min="10956" max="10956" width="4.7109375" style="19" bestFit="1" customWidth="1"/>
    <col min="10957" max="11193" width="9.140625" style="19"/>
    <col min="11194" max="11194" width="12.140625" style="19" customWidth="1"/>
    <col min="11195" max="11195" width="14.7109375" style="19" bestFit="1" customWidth="1"/>
    <col min="11196" max="11196" width="12.7109375" style="19" bestFit="1" customWidth="1"/>
    <col min="11197" max="11197" width="13.7109375" style="19" bestFit="1" customWidth="1"/>
    <col min="11198" max="11198" width="12.7109375" style="19" bestFit="1" customWidth="1"/>
    <col min="11199" max="11199" width="12.28515625" style="19" bestFit="1" customWidth="1"/>
    <col min="11200" max="11200" width="12.7109375" style="19" bestFit="1" customWidth="1"/>
    <col min="11201" max="11201" width="12.42578125" style="19" bestFit="1" customWidth="1"/>
    <col min="11202" max="11202" width="12.5703125" style="19" bestFit="1" customWidth="1"/>
    <col min="11203" max="11203" width="13.7109375" style="19" bestFit="1" customWidth="1"/>
    <col min="11204" max="11208" width="13.7109375" style="19" customWidth="1"/>
    <col min="11209" max="11209" width="16" style="19" customWidth="1"/>
    <col min="11210" max="11211" width="14" style="19" bestFit="1" customWidth="1"/>
    <col min="11212" max="11212" width="4.7109375" style="19" bestFit="1" customWidth="1"/>
    <col min="11213" max="11449" width="9.140625" style="19"/>
    <col min="11450" max="11450" width="12.140625" style="19" customWidth="1"/>
    <col min="11451" max="11451" width="14.7109375" style="19" bestFit="1" customWidth="1"/>
    <col min="11452" max="11452" width="12.7109375" style="19" bestFit="1" customWidth="1"/>
    <col min="11453" max="11453" width="13.7109375" style="19" bestFit="1" customWidth="1"/>
    <col min="11454" max="11454" width="12.7109375" style="19" bestFit="1" customWidth="1"/>
    <col min="11455" max="11455" width="12.28515625" style="19" bestFit="1" customWidth="1"/>
    <col min="11456" max="11456" width="12.7109375" style="19" bestFit="1" customWidth="1"/>
    <col min="11457" max="11457" width="12.42578125" style="19" bestFit="1" customWidth="1"/>
    <col min="11458" max="11458" width="12.5703125" style="19" bestFit="1" customWidth="1"/>
    <col min="11459" max="11459" width="13.7109375" style="19" bestFit="1" customWidth="1"/>
    <col min="11460" max="11464" width="13.7109375" style="19" customWidth="1"/>
    <col min="11465" max="11465" width="16" style="19" customWidth="1"/>
    <col min="11466" max="11467" width="14" style="19" bestFit="1" customWidth="1"/>
    <col min="11468" max="11468" width="4.7109375" style="19" bestFit="1" customWidth="1"/>
    <col min="11469" max="11705" width="9.140625" style="19"/>
    <col min="11706" max="11706" width="12.140625" style="19" customWidth="1"/>
    <col min="11707" max="11707" width="14.7109375" style="19" bestFit="1" customWidth="1"/>
    <col min="11708" max="11708" width="12.7109375" style="19" bestFit="1" customWidth="1"/>
    <col min="11709" max="11709" width="13.7109375" style="19" bestFit="1" customWidth="1"/>
    <col min="11710" max="11710" width="12.7109375" style="19" bestFit="1" customWidth="1"/>
    <col min="11711" max="11711" width="12.28515625" style="19" bestFit="1" customWidth="1"/>
    <col min="11712" max="11712" width="12.7109375" style="19" bestFit="1" customWidth="1"/>
    <col min="11713" max="11713" width="12.42578125" style="19" bestFit="1" customWidth="1"/>
    <col min="11714" max="11714" width="12.5703125" style="19" bestFit="1" customWidth="1"/>
    <col min="11715" max="11715" width="13.7109375" style="19" bestFit="1" customWidth="1"/>
    <col min="11716" max="11720" width="13.7109375" style="19" customWidth="1"/>
    <col min="11721" max="11721" width="16" style="19" customWidth="1"/>
    <col min="11722" max="11723" width="14" style="19" bestFit="1" customWidth="1"/>
    <col min="11724" max="11724" width="4.7109375" style="19" bestFit="1" customWidth="1"/>
    <col min="11725" max="11961" width="9.140625" style="19"/>
    <col min="11962" max="11962" width="12.140625" style="19" customWidth="1"/>
    <col min="11963" max="11963" width="14.7109375" style="19" bestFit="1" customWidth="1"/>
    <col min="11964" max="11964" width="12.7109375" style="19" bestFit="1" customWidth="1"/>
    <col min="11965" max="11965" width="13.7109375" style="19" bestFit="1" customWidth="1"/>
    <col min="11966" max="11966" width="12.7109375" style="19" bestFit="1" customWidth="1"/>
    <col min="11967" max="11967" width="12.28515625" style="19" bestFit="1" customWidth="1"/>
    <col min="11968" max="11968" width="12.7109375" style="19" bestFit="1" customWidth="1"/>
    <col min="11969" max="11969" width="12.42578125" style="19" bestFit="1" customWidth="1"/>
    <col min="11970" max="11970" width="12.5703125" style="19" bestFit="1" customWidth="1"/>
    <col min="11971" max="11971" width="13.7109375" style="19" bestFit="1" customWidth="1"/>
    <col min="11972" max="11976" width="13.7109375" style="19" customWidth="1"/>
    <col min="11977" max="11977" width="16" style="19" customWidth="1"/>
    <col min="11978" max="11979" width="14" style="19" bestFit="1" customWidth="1"/>
    <col min="11980" max="11980" width="4.7109375" style="19" bestFit="1" customWidth="1"/>
    <col min="11981" max="12217" width="9.140625" style="19"/>
    <col min="12218" max="12218" width="12.140625" style="19" customWidth="1"/>
    <col min="12219" max="12219" width="14.7109375" style="19" bestFit="1" customWidth="1"/>
    <col min="12220" max="12220" width="12.7109375" style="19" bestFit="1" customWidth="1"/>
    <col min="12221" max="12221" width="13.7109375" style="19" bestFit="1" customWidth="1"/>
    <col min="12222" max="12222" width="12.7109375" style="19" bestFit="1" customWidth="1"/>
    <col min="12223" max="12223" width="12.28515625" style="19" bestFit="1" customWidth="1"/>
    <col min="12224" max="12224" width="12.7109375" style="19" bestFit="1" customWidth="1"/>
    <col min="12225" max="12225" width="12.42578125" style="19" bestFit="1" customWidth="1"/>
    <col min="12226" max="12226" width="12.5703125" style="19" bestFit="1" customWidth="1"/>
    <col min="12227" max="12227" width="13.7109375" style="19" bestFit="1" customWidth="1"/>
    <col min="12228" max="12232" width="13.7109375" style="19" customWidth="1"/>
    <col min="12233" max="12233" width="16" style="19" customWidth="1"/>
    <col min="12234" max="12235" width="14" style="19" bestFit="1" customWidth="1"/>
    <col min="12236" max="12236" width="4.7109375" style="19" bestFit="1" customWidth="1"/>
    <col min="12237" max="12473" width="9.140625" style="19"/>
    <col min="12474" max="12474" width="12.140625" style="19" customWidth="1"/>
    <col min="12475" max="12475" width="14.7109375" style="19" bestFit="1" customWidth="1"/>
    <col min="12476" max="12476" width="12.7109375" style="19" bestFit="1" customWidth="1"/>
    <col min="12477" max="12477" width="13.7109375" style="19" bestFit="1" customWidth="1"/>
    <col min="12478" max="12478" width="12.7109375" style="19" bestFit="1" customWidth="1"/>
    <col min="12479" max="12479" width="12.28515625" style="19" bestFit="1" customWidth="1"/>
    <col min="12480" max="12480" width="12.7109375" style="19" bestFit="1" customWidth="1"/>
    <col min="12481" max="12481" width="12.42578125" style="19" bestFit="1" customWidth="1"/>
    <col min="12482" max="12482" width="12.5703125" style="19" bestFit="1" customWidth="1"/>
    <col min="12483" max="12483" width="13.7109375" style="19" bestFit="1" customWidth="1"/>
    <col min="12484" max="12488" width="13.7109375" style="19" customWidth="1"/>
    <col min="12489" max="12489" width="16" style="19" customWidth="1"/>
    <col min="12490" max="12491" width="14" style="19" bestFit="1" customWidth="1"/>
    <col min="12492" max="12492" width="4.7109375" style="19" bestFit="1" customWidth="1"/>
    <col min="12493" max="12729" width="9.140625" style="19"/>
    <col min="12730" max="12730" width="12.140625" style="19" customWidth="1"/>
    <col min="12731" max="12731" width="14.7109375" style="19" bestFit="1" customWidth="1"/>
    <col min="12732" max="12732" width="12.7109375" style="19" bestFit="1" customWidth="1"/>
    <col min="12733" max="12733" width="13.7109375" style="19" bestFit="1" customWidth="1"/>
    <col min="12734" max="12734" width="12.7109375" style="19" bestFit="1" customWidth="1"/>
    <col min="12735" max="12735" width="12.28515625" style="19" bestFit="1" customWidth="1"/>
    <col min="12736" max="12736" width="12.7109375" style="19" bestFit="1" customWidth="1"/>
    <col min="12737" max="12737" width="12.42578125" style="19" bestFit="1" customWidth="1"/>
    <col min="12738" max="12738" width="12.5703125" style="19" bestFit="1" customWidth="1"/>
    <col min="12739" max="12739" width="13.7109375" style="19" bestFit="1" customWidth="1"/>
    <col min="12740" max="12744" width="13.7109375" style="19" customWidth="1"/>
    <col min="12745" max="12745" width="16" style="19" customWidth="1"/>
    <col min="12746" max="12747" width="14" style="19" bestFit="1" customWidth="1"/>
    <col min="12748" max="12748" width="4.7109375" style="19" bestFit="1" customWidth="1"/>
    <col min="12749" max="16384" width="9.140625" style="19"/>
  </cols>
  <sheetData>
    <row r="1" spans="1:14" ht="15.75" customHeight="1" x14ac:dyDescent="0.2">
      <c r="A1" s="18" t="s">
        <v>0</v>
      </c>
    </row>
    <row r="2" spans="1:14" x14ac:dyDescent="0.2">
      <c r="A2" s="18" t="s">
        <v>89</v>
      </c>
    </row>
    <row r="3" spans="1:14" x14ac:dyDescent="0.2">
      <c r="A3" s="18" t="s">
        <v>62</v>
      </c>
    </row>
    <row r="4" spans="1:14" x14ac:dyDescent="0.2">
      <c r="A4" s="20"/>
    </row>
    <row r="5" spans="1:14" s="21" customFormat="1" x14ac:dyDescent="0.2">
      <c r="A5" s="21" t="s">
        <v>40</v>
      </c>
    </row>
    <row r="6" spans="1:14" s="21" customFormat="1" ht="12" customHeight="1" x14ac:dyDescent="0.2">
      <c r="A6" s="22" t="s">
        <v>41</v>
      </c>
      <c r="B6" s="23">
        <v>45413</v>
      </c>
      <c r="C6" s="23">
        <f t="shared" ref="C6:M6" si="0">EDATE(B6,1)</f>
        <v>45444</v>
      </c>
      <c r="D6" s="23">
        <f t="shared" si="0"/>
        <v>45474</v>
      </c>
      <c r="E6" s="23">
        <f t="shared" si="0"/>
        <v>45505</v>
      </c>
      <c r="F6" s="23">
        <f t="shared" si="0"/>
        <v>45536</v>
      </c>
      <c r="G6" s="23">
        <f t="shared" si="0"/>
        <v>45566</v>
      </c>
      <c r="H6" s="23">
        <f t="shared" si="0"/>
        <v>45597</v>
      </c>
      <c r="I6" s="23">
        <f t="shared" si="0"/>
        <v>45627</v>
      </c>
      <c r="J6" s="23">
        <f t="shared" si="0"/>
        <v>45658</v>
      </c>
      <c r="K6" s="23">
        <f t="shared" si="0"/>
        <v>45689</v>
      </c>
      <c r="L6" s="23">
        <f t="shared" si="0"/>
        <v>45717</v>
      </c>
      <c r="M6" s="23">
        <f t="shared" si="0"/>
        <v>45748</v>
      </c>
      <c r="N6" s="23" t="s">
        <v>21</v>
      </c>
    </row>
    <row r="7" spans="1:14" x14ac:dyDescent="0.2">
      <c r="A7" s="85">
        <v>16</v>
      </c>
      <c r="B7" s="25">
        <v>583</v>
      </c>
      <c r="C7" s="25">
        <v>583</v>
      </c>
      <c r="D7" s="25">
        <v>583</v>
      </c>
      <c r="E7" s="25">
        <v>583</v>
      </c>
      <c r="F7" s="25">
        <v>583</v>
      </c>
      <c r="G7" s="25">
        <v>583</v>
      </c>
      <c r="H7" s="25">
        <v>583</v>
      </c>
      <c r="I7" s="25">
        <v>583</v>
      </c>
      <c r="J7" s="25">
        <v>583</v>
      </c>
      <c r="K7" s="25">
        <v>583</v>
      </c>
      <c r="L7" s="25">
        <v>583</v>
      </c>
      <c r="M7" s="25">
        <v>583</v>
      </c>
      <c r="N7" s="28">
        <f>SUM(B7:M7)</f>
        <v>6996</v>
      </c>
    </row>
    <row r="8" spans="1:14" x14ac:dyDescent="0.2">
      <c r="A8" s="27">
        <v>23</v>
      </c>
      <c r="B8" s="25">
        <v>27300857</v>
      </c>
      <c r="C8" s="25">
        <v>18661784</v>
      </c>
      <c r="D8" s="25">
        <v>14141387</v>
      </c>
      <c r="E8" s="25">
        <v>13556472</v>
      </c>
      <c r="F8" s="25">
        <v>17856721</v>
      </c>
      <c r="G8" s="25">
        <v>38270559</v>
      </c>
      <c r="H8" s="25">
        <v>64417242</v>
      </c>
      <c r="I8" s="25">
        <v>85858146</v>
      </c>
      <c r="J8" s="25">
        <v>82737764</v>
      </c>
      <c r="K8" s="25">
        <v>71461185</v>
      </c>
      <c r="L8" s="25">
        <v>65421149</v>
      </c>
      <c r="M8" s="25">
        <v>45585511</v>
      </c>
      <c r="N8" s="28">
        <f t="shared" ref="N8:N30" si="1">SUM(B8:M8)</f>
        <v>545268777</v>
      </c>
    </row>
    <row r="9" spans="1:14" x14ac:dyDescent="0.2">
      <c r="A9" s="27" t="s">
        <v>42</v>
      </c>
      <c r="B9" s="25">
        <v>11832246</v>
      </c>
      <c r="C9" s="25">
        <v>9549061</v>
      </c>
      <c r="D9" s="25">
        <v>8175692</v>
      </c>
      <c r="E9" s="25">
        <v>8990256</v>
      </c>
      <c r="F9" s="25">
        <v>10996264</v>
      </c>
      <c r="G9" s="25">
        <v>18882704</v>
      </c>
      <c r="H9" s="25">
        <v>26573785</v>
      </c>
      <c r="I9" s="25">
        <v>31812202</v>
      </c>
      <c r="J9" s="25">
        <v>27415006</v>
      </c>
      <c r="K9" s="25">
        <v>24547336</v>
      </c>
      <c r="L9" s="25">
        <v>21990963</v>
      </c>
      <c r="M9" s="25">
        <v>15949082</v>
      </c>
      <c r="N9" s="28">
        <f t="shared" si="1"/>
        <v>216714597</v>
      </c>
    </row>
    <row r="10" spans="1:14" x14ac:dyDescent="0.2">
      <c r="A10" s="27" t="s">
        <v>43</v>
      </c>
      <c r="B10" s="25">
        <v>646927</v>
      </c>
      <c r="C10" s="25">
        <v>458271</v>
      </c>
      <c r="D10" s="25">
        <v>366228</v>
      </c>
      <c r="E10" s="25">
        <v>395603</v>
      </c>
      <c r="F10" s="25">
        <v>558133</v>
      </c>
      <c r="G10" s="25">
        <v>686255</v>
      </c>
      <c r="H10" s="25">
        <v>1340565</v>
      </c>
      <c r="I10" s="25">
        <v>1893220</v>
      </c>
      <c r="J10" s="25">
        <v>1665219</v>
      </c>
      <c r="K10" s="25">
        <v>1508917</v>
      </c>
      <c r="L10" s="25">
        <v>1387603</v>
      </c>
      <c r="M10" s="25">
        <v>1020681</v>
      </c>
      <c r="N10" s="28">
        <f t="shared" si="1"/>
        <v>11927622</v>
      </c>
    </row>
    <row r="11" spans="1:14" x14ac:dyDescent="0.2">
      <c r="A11" s="27" t="s">
        <v>44</v>
      </c>
      <c r="B11" s="25">
        <v>0</v>
      </c>
      <c r="C11" s="25">
        <v>0</v>
      </c>
      <c r="D11" s="25">
        <v>0</v>
      </c>
      <c r="E11" s="25">
        <v>0</v>
      </c>
      <c r="F11" s="25">
        <v>0</v>
      </c>
      <c r="G11" s="25">
        <v>0</v>
      </c>
      <c r="H11" s="25">
        <v>0</v>
      </c>
      <c r="I11" s="25">
        <v>0</v>
      </c>
      <c r="J11" s="25">
        <v>0</v>
      </c>
      <c r="K11" s="25">
        <v>0</v>
      </c>
      <c r="L11" s="25">
        <v>0</v>
      </c>
      <c r="M11" s="25">
        <v>0</v>
      </c>
      <c r="N11" s="28">
        <f t="shared" si="1"/>
        <v>0</v>
      </c>
    </row>
    <row r="12" spans="1:14" x14ac:dyDescent="0.2">
      <c r="A12" s="27" t="s">
        <v>45</v>
      </c>
      <c r="B12" s="25">
        <v>0</v>
      </c>
      <c r="C12" s="25">
        <v>0</v>
      </c>
      <c r="D12" s="25">
        <v>0</v>
      </c>
      <c r="E12" s="25">
        <v>0</v>
      </c>
      <c r="F12" s="25">
        <v>0</v>
      </c>
      <c r="G12" s="25">
        <v>0</v>
      </c>
      <c r="H12" s="25">
        <v>0</v>
      </c>
      <c r="I12" s="25">
        <v>0</v>
      </c>
      <c r="J12" s="25">
        <v>0</v>
      </c>
      <c r="K12" s="25">
        <v>0</v>
      </c>
      <c r="L12" s="25">
        <v>0</v>
      </c>
      <c r="M12" s="25">
        <v>0</v>
      </c>
      <c r="N12" s="28">
        <f t="shared" si="1"/>
        <v>0</v>
      </c>
    </row>
    <row r="13" spans="1:14" x14ac:dyDescent="0.2">
      <c r="A13" s="27" t="s">
        <v>46</v>
      </c>
      <c r="B13" s="25">
        <v>3177758</v>
      </c>
      <c r="C13" s="25">
        <v>2619117</v>
      </c>
      <c r="D13" s="25">
        <v>2096345</v>
      </c>
      <c r="E13" s="25">
        <v>2264287</v>
      </c>
      <c r="F13" s="25">
        <v>2801639</v>
      </c>
      <c r="G13" s="25">
        <v>4970096</v>
      </c>
      <c r="H13" s="25">
        <v>6425714</v>
      </c>
      <c r="I13" s="25">
        <v>6998733</v>
      </c>
      <c r="J13" s="25">
        <v>6052045</v>
      </c>
      <c r="K13" s="25">
        <v>5704294</v>
      </c>
      <c r="L13" s="25">
        <v>5238100</v>
      </c>
      <c r="M13" s="25">
        <v>3938055</v>
      </c>
      <c r="N13" s="28">
        <f t="shared" si="1"/>
        <v>52286183</v>
      </c>
    </row>
    <row r="14" spans="1:14" x14ac:dyDescent="0.2">
      <c r="A14" s="27" t="s">
        <v>47</v>
      </c>
      <c r="B14" s="25">
        <v>617134</v>
      </c>
      <c r="C14" s="25">
        <v>600927</v>
      </c>
      <c r="D14" s="25">
        <v>537038</v>
      </c>
      <c r="E14" s="25">
        <v>616674</v>
      </c>
      <c r="F14" s="25">
        <v>792167</v>
      </c>
      <c r="G14" s="25">
        <v>712187</v>
      </c>
      <c r="H14" s="25">
        <v>913295</v>
      </c>
      <c r="I14" s="25">
        <v>928195</v>
      </c>
      <c r="J14" s="25">
        <v>750936</v>
      </c>
      <c r="K14" s="25">
        <v>752718</v>
      </c>
      <c r="L14" s="25">
        <v>752784</v>
      </c>
      <c r="M14" s="25">
        <v>710537</v>
      </c>
      <c r="N14" s="28">
        <f t="shared" si="1"/>
        <v>8684592</v>
      </c>
    </row>
    <row r="15" spans="1:14" x14ac:dyDescent="0.2">
      <c r="A15" s="27" t="s">
        <v>48</v>
      </c>
      <c r="B15" s="25">
        <v>1278597</v>
      </c>
      <c r="C15" s="25">
        <v>1374946</v>
      </c>
      <c r="D15" s="25">
        <v>1204569</v>
      </c>
      <c r="E15" s="25">
        <v>1243739</v>
      </c>
      <c r="F15" s="25">
        <v>1271471</v>
      </c>
      <c r="G15" s="25">
        <v>1128725</v>
      </c>
      <c r="H15" s="25">
        <v>1356697</v>
      </c>
      <c r="I15" s="25">
        <v>1358031</v>
      </c>
      <c r="J15" s="25">
        <v>1286264</v>
      </c>
      <c r="K15" s="25">
        <v>1524650</v>
      </c>
      <c r="L15" s="25">
        <v>1372394</v>
      </c>
      <c r="M15" s="25">
        <v>1439843</v>
      </c>
      <c r="N15" s="28">
        <f t="shared" si="1"/>
        <v>15839926</v>
      </c>
    </row>
    <row r="16" spans="1:14" x14ac:dyDescent="0.2">
      <c r="A16" s="27" t="s">
        <v>49</v>
      </c>
      <c r="B16" s="25">
        <v>560987</v>
      </c>
      <c r="C16" s="25">
        <v>508373</v>
      </c>
      <c r="D16" s="25">
        <v>474113</v>
      </c>
      <c r="E16" s="25">
        <v>448141</v>
      </c>
      <c r="F16" s="25">
        <v>466617</v>
      </c>
      <c r="G16" s="25">
        <v>382321</v>
      </c>
      <c r="H16" s="25">
        <v>476679</v>
      </c>
      <c r="I16" s="25">
        <v>449021</v>
      </c>
      <c r="J16" s="25">
        <v>458535</v>
      </c>
      <c r="K16" s="25">
        <v>525913</v>
      </c>
      <c r="L16" s="25">
        <v>433693</v>
      </c>
      <c r="M16" s="25">
        <v>499060</v>
      </c>
      <c r="N16" s="28">
        <f t="shared" si="1"/>
        <v>5683453</v>
      </c>
    </row>
    <row r="17" spans="1:14" x14ac:dyDescent="0.2">
      <c r="A17" s="27">
        <v>53</v>
      </c>
      <c r="B17" s="25">
        <v>0</v>
      </c>
      <c r="C17" s="25">
        <v>0</v>
      </c>
      <c r="D17" s="25">
        <v>0</v>
      </c>
      <c r="E17" s="25">
        <v>0</v>
      </c>
      <c r="F17" s="25">
        <v>0</v>
      </c>
      <c r="G17" s="25">
        <v>0</v>
      </c>
      <c r="H17" s="25">
        <v>0</v>
      </c>
      <c r="I17" s="25">
        <v>0</v>
      </c>
      <c r="J17" s="25">
        <v>0</v>
      </c>
      <c r="K17" s="25">
        <v>0</v>
      </c>
      <c r="L17" s="25">
        <v>0</v>
      </c>
      <c r="M17" s="25">
        <v>0</v>
      </c>
      <c r="N17" s="28">
        <f t="shared" si="1"/>
        <v>0</v>
      </c>
    </row>
    <row r="18" spans="1:14" x14ac:dyDescent="0.2">
      <c r="A18" s="27" t="s">
        <v>50</v>
      </c>
      <c r="B18" s="25">
        <v>1050200</v>
      </c>
      <c r="C18" s="25">
        <v>903156</v>
      </c>
      <c r="D18" s="25">
        <v>908364</v>
      </c>
      <c r="E18" s="25">
        <v>1005344</v>
      </c>
      <c r="F18" s="25">
        <v>912481</v>
      </c>
      <c r="G18" s="25">
        <v>1163959</v>
      </c>
      <c r="H18" s="25">
        <v>1228602</v>
      </c>
      <c r="I18" s="25">
        <v>1465831</v>
      </c>
      <c r="J18" s="25">
        <v>1237639</v>
      </c>
      <c r="K18" s="25">
        <v>1226554</v>
      </c>
      <c r="L18" s="25">
        <v>1175319</v>
      </c>
      <c r="M18" s="25">
        <v>994317</v>
      </c>
      <c r="N18" s="28">
        <f t="shared" si="1"/>
        <v>13271766</v>
      </c>
    </row>
    <row r="19" spans="1:14" x14ac:dyDescent="0.2">
      <c r="A19" s="27" t="s">
        <v>51</v>
      </c>
      <c r="B19" s="25">
        <v>283343</v>
      </c>
      <c r="C19" s="25">
        <v>325759</v>
      </c>
      <c r="D19" s="25">
        <v>333061</v>
      </c>
      <c r="E19" s="25">
        <v>341234</v>
      </c>
      <c r="F19" s="25">
        <v>268396</v>
      </c>
      <c r="G19" s="25">
        <v>280754</v>
      </c>
      <c r="H19" s="25">
        <v>297206</v>
      </c>
      <c r="I19" s="25">
        <v>330130</v>
      </c>
      <c r="J19" s="25">
        <v>302106</v>
      </c>
      <c r="K19" s="25">
        <v>290912</v>
      </c>
      <c r="L19" s="25">
        <v>311692</v>
      </c>
      <c r="M19" s="25">
        <v>299996</v>
      </c>
      <c r="N19" s="28">
        <f t="shared" si="1"/>
        <v>3664589</v>
      </c>
    </row>
    <row r="20" spans="1:14" x14ac:dyDescent="0.2">
      <c r="A20" s="27" t="s">
        <v>52</v>
      </c>
      <c r="B20" s="25">
        <v>1379528</v>
      </c>
      <c r="C20" s="25">
        <v>1412915</v>
      </c>
      <c r="D20" s="25">
        <v>1214741</v>
      </c>
      <c r="E20" s="25">
        <v>1227012</v>
      </c>
      <c r="F20" s="25">
        <v>1266596</v>
      </c>
      <c r="G20" s="25">
        <v>1146868</v>
      </c>
      <c r="H20" s="25">
        <v>1383196</v>
      </c>
      <c r="I20" s="25">
        <v>1480058</v>
      </c>
      <c r="J20" s="25">
        <v>1438851</v>
      </c>
      <c r="K20" s="25">
        <v>1567665</v>
      </c>
      <c r="L20" s="25">
        <v>1437214</v>
      </c>
      <c r="M20" s="25">
        <v>1485833</v>
      </c>
      <c r="N20" s="28">
        <f t="shared" si="1"/>
        <v>16440477</v>
      </c>
    </row>
    <row r="21" spans="1:14" x14ac:dyDescent="0.2">
      <c r="A21" s="27" t="s">
        <v>53</v>
      </c>
      <c r="B21" s="25">
        <v>4452814</v>
      </c>
      <c r="C21" s="25">
        <v>4007232</v>
      </c>
      <c r="D21" s="25">
        <v>3766027</v>
      </c>
      <c r="E21" s="25">
        <v>3658839</v>
      </c>
      <c r="F21" s="25">
        <v>4157853</v>
      </c>
      <c r="G21" s="25">
        <v>3379605</v>
      </c>
      <c r="H21" s="25">
        <v>4107033</v>
      </c>
      <c r="I21" s="25">
        <v>3902238</v>
      </c>
      <c r="J21" s="25">
        <v>3378022</v>
      </c>
      <c r="K21" s="25">
        <v>4241111</v>
      </c>
      <c r="L21" s="25">
        <v>3536294</v>
      </c>
      <c r="M21" s="25">
        <v>4106054</v>
      </c>
      <c r="N21" s="28">
        <f t="shared" si="1"/>
        <v>46693122</v>
      </c>
    </row>
    <row r="22" spans="1:14" x14ac:dyDescent="0.2">
      <c r="A22" s="27" t="s">
        <v>54</v>
      </c>
      <c r="B22" s="25">
        <v>373197</v>
      </c>
      <c r="C22" s="25">
        <v>204784</v>
      </c>
      <c r="D22" s="25">
        <v>85131</v>
      </c>
      <c r="E22" s="25">
        <v>5707</v>
      </c>
      <c r="F22" s="25">
        <v>37792</v>
      </c>
      <c r="G22" s="25">
        <v>258985</v>
      </c>
      <c r="H22" s="25">
        <v>484184</v>
      </c>
      <c r="I22" s="25">
        <v>771195</v>
      </c>
      <c r="J22" s="25">
        <v>652372</v>
      </c>
      <c r="K22" s="25">
        <v>635034</v>
      </c>
      <c r="L22" s="25">
        <v>614266</v>
      </c>
      <c r="M22" s="25">
        <v>435658</v>
      </c>
      <c r="N22" s="28">
        <f t="shared" si="1"/>
        <v>4558305</v>
      </c>
    </row>
    <row r="23" spans="1:14" x14ac:dyDescent="0.2">
      <c r="A23" s="27" t="s">
        <v>55</v>
      </c>
      <c r="B23" s="25">
        <v>15408</v>
      </c>
      <c r="C23" s="25">
        <v>17840</v>
      </c>
      <c r="D23" s="25">
        <v>14356</v>
      </c>
      <c r="E23" s="25">
        <v>11988</v>
      </c>
      <c r="F23" s="25">
        <v>9396</v>
      </c>
      <c r="G23" s="25">
        <v>15548</v>
      </c>
      <c r="H23" s="25">
        <v>19811</v>
      </c>
      <c r="I23" s="25">
        <v>17055</v>
      </c>
      <c r="J23" s="25">
        <v>19980</v>
      </c>
      <c r="K23" s="25">
        <v>21591</v>
      </c>
      <c r="L23" s="25">
        <v>22592</v>
      </c>
      <c r="M23" s="25">
        <v>17556</v>
      </c>
      <c r="N23" s="28">
        <f t="shared" si="1"/>
        <v>203121</v>
      </c>
    </row>
    <row r="24" spans="1:14" x14ac:dyDescent="0.2">
      <c r="A24" s="27" t="s">
        <v>56</v>
      </c>
      <c r="B24" s="25">
        <v>55382</v>
      </c>
      <c r="C24" s="25">
        <v>61097</v>
      </c>
      <c r="D24" s="25">
        <v>54491</v>
      </c>
      <c r="E24" s="25">
        <v>54652</v>
      </c>
      <c r="F24" s="25">
        <v>56537</v>
      </c>
      <c r="G24" s="25">
        <v>45458</v>
      </c>
      <c r="H24" s="25">
        <v>51424</v>
      </c>
      <c r="I24" s="25">
        <v>48259</v>
      </c>
      <c r="J24" s="25">
        <v>45278</v>
      </c>
      <c r="K24" s="25">
        <v>55788</v>
      </c>
      <c r="L24" s="25">
        <v>49180</v>
      </c>
      <c r="M24" s="25">
        <v>56725</v>
      </c>
      <c r="N24" s="28">
        <f t="shared" si="1"/>
        <v>634271</v>
      </c>
    </row>
    <row r="25" spans="1:14" x14ac:dyDescent="0.2">
      <c r="A25" s="27" t="s">
        <v>57</v>
      </c>
      <c r="B25" s="25">
        <v>49498</v>
      </c>
      <c r="C25" s="25">
        <v>43107</v>
      </c>
      <c r="D25" s="25">
        <v>35734</v>
      </c>
      <c r="E25" s="25">
        <v>28718</v>
      </c>
      <c r="F25" s="25">
        <v>40300</v>
      </c>
      <c r="G25" s="25">
        <v>38281</v>
      </c>
      <c r="H25" s="25">
        <v>53621</v>
      </c>
      <c r="I25" s="25">
        <v>52625</v>
      </c>
      <c r="J25" s="25">
        <v>47925</v>
      </c>
      <c r="K25" s="25">
        <v>61242</v>
      </c>
      <c r="L25" s="25">
        <v>50668</v>
      </c>
      <c r="M25" s="25">
        <v>52608</v>
      </c>
      <c r="N25" s="28">
        <f t="shared" si="1"/>
        <v>554327</v>
      </c>
    </row>
    <row r="26" spans="1:14" x14ac:dyDescent="0.2">
      <c r="A26" s="27" t="s">
        <v>58</v>
      </c>
      <c r="B26" s="25">
        <v>1509483</v>
      </c>
      <c r="C26" s="25">
        <v>1358291</v>
      </c>
      <c r="D26" s="25">
        <v>1475182</v>
      </c>
      <c r="E26" s="25">
        <v>1610634</v>
      </c>
      <c r="F26" s="25">
        <v>1501333</v>
      </c>
      <c r="G26" s="25">
        <v>2068873</v>
      </c>
      <c r="H26" s="25">
        <v>1993956</v>
      </c>
      <c r="I26" s="25">
        <v>2365281</v>
      </c>
      <c r="J26" s="25">
        <v>1756978</v>
      </c>
      <c r="K26" s="25">
        <v>1729058</v>
      </c>
      <c r="L26" s="25">
        <v>1673461</v>
      </c>
      <c r="M26" s="25">
        <v>1357724</v>
      </c>
      <c r="N26" s="28">
        <f t="shared" si="1"/>
        <v>20400254</v>
      </c>
    </row>
    <row r="27" spans="1:14" x14ac:dyDescent="0.2">
      <c r="A27" s="27" t="s">
        <v>59</v>
      </c>
      <c r="B27" s="25">
        <v>0</v>
      </c>
      <c r="C27" s="25">
        <v>0</v>
      </c>
      <c r="D27" s="25">
        <v>0</v>
      </c>
      <c r="E27" s="25">
        <v>0</v>
      </c>
      <c r="F27" s="25">
        <v>0</v>
      </c>
      <c r="G27" s="25">
        <v>0</v>
      </c>
      <c r="H27" s="25">
        <v>0</v>
      </c>
      <c r="I27" s="25">
        <v>0</v>
      </c>
      <c r="J27" s="25">
        <v>0</v>
      </c>
      <c r="K27" s="25">
        <v>0</v>
      </c>
      <c r="L27" s="25">
        <v>0</v>
      </c>
      <c r="M27" s="25">
        <v>0</v>
      </c>
      <c r="N27" s="28">
        <f t="shared" si="1"/>
        <v>0</v>
      </c>
    </row>
    <row r="28" spans="1:14" x14ac:dyDescent="0.2">
      <c r="A28" s="27" t="s">
        <v>60</v>
      </c>
      <c r="B28" s="25">
        <v>1175812</v>
      </c>
      <c r="C28" s="25">
        <v>1138946</v>
      </c>
      <c r="D28" s="25">
        <v>958423</v>
      </c>
      <c r="E28" s="25">
        <v>950039</v>
      </c>
      <c r="F28" s="25">
        <v>1016386</v>
      </c>
      <c r="G28" s="25">
        <v>1057753</v>
      </c>
      <c r="H28" s="25">
        <v>1404217</v>
      </c>
      <c r="I28" s="25">
        <v>1606720</v>
      </c>
      <c r="J28" s="25">
        <v>1497796</v>
      </c>
      <c r="K28" s="25">
        <v>1741653</v>
      </c>
      <c r="L28" s="25">
        <v>1459118</v>
      </c>
      <c r="M28" s="25">
        <v>1382113</v>
      </c>
      <c r="N28" s="28">
        <f t="shared" si="1"/>
        <v>15388976</v>
      </c>
    </row>
    <row r="29" spans="1:14" x14ac:dyDescent="0.2">
      <c r="A29" s="27" t="s">
        <v>61</v>
      </c>
      <c r="B29" s="25">
        <v>9082016</v>
      </c>
      <c r="C29" s="25">
        <v>10260549</v>
      </c>
      <c r="D29" s="25">
        <v>10820923</v>
      </c>
      <c r="E29" s="25">
        <v>10386149</v>
      </c>
      <c r="F29" s="25">
        <v>10872074</v>
      </c>
      <c r="G29" s="25">
        <v>9150742</v>
      </c>
      <c r="H29" s="25">
        <v>7788705</v>
      </c>
      <c r="I29" s="25">
        <v>8227985</v>
      </c>
      <c r="J29" s="25">
        <v>7277378</v>
      </c>
      <c r="K29" s="25">
        <v>8697243</v>
      </c>
      <c r="L29" s="25">
        <v>7678135</v>
      </c>
      <c r="M29" s="25">
        <v>8291658</v>
      </c>
      <c r="N29" s="28">
        <f t="shared" si="1"/>
        <v>108533557</v>
      </c>
    </row>
    <row r="30" spans="1:14" x14ac:dyDescent="0.2">
      <c r="A30" s="27" t="s">
        <v>20</v>
      </c>
      <c r="B30" s="25">
        <v>2518324</v>
      </c>
      <c r="C30" s="25">
        <v>1983662</v>
      </c>
      <c r="D30" s="25">
        <v>1748321</v>
      </c>
      <c r="E30" s="25">
        <v>1594116</v>
      </c>
      <c r="F30" s="25">
        <v>1962548</v>
      </c>
      <c r="G30" s="25">
        <v>2065335</v>
      </c>
      <c r="H30" s="25">
        <v>3420878</v>
      </c>
      <c r="I30" s="25">
        <v>3800407</v>
      </c>
      <c r="J30" s="25">
        <v>3272269</v>
      </c>
      <c r="K30" s="25">
        <v>4075429</v>
      </c>
      <c r="L30" s="25">
        <v>2843106</v>
      </c>
      <c r="M30" s="25">
        <v>2786749</v>
      </c>
      <c r="N30" s="28">
        <f t="shared" si="1"/>
        <v>32071144</v>
      </c>
    </row>
    <row r="31" spans="1:14" x14ac:dyDescent="0.2">
      <c r="A31" s="27" t="s">
        <v>21</v>
      </c>
      <c r="B31" s="26">
        <f t="shared" ref="B31:N31" si="2">SUM(B7:B30)</f>
        <v>67360094</v>
      </c>
      <c r="C31" s="26">
        <f t="shared" si="2"/>
        <v>55490400</v>
      </c>
      <c r="D31" s="26">
        <f t="shared" si="2"/>
        <v>48410709</v>
      </c>
      <c r="E31" s="26">
        <f t="shared" si="2"/>
        <v>48390187</v>
      </c>
      <c r="F31" s="26">
        <f t="shared" si="2"/>
        <v>56845287</v>
      </c>
      <c r="G31" s="26">
        <f t="shared" si="2"/>
        <v>85705591</v>
      </c>
      <c r="H31" s="26">
        <f t="shared" si="2"/>
        <v>123737393</v>
      </c>
      <c r="I31" s="26">
        <f t="shared" si="2"/>
        <v>153365915</v>
      </c>
      <c r="J31" s="26">
        <f t="shared" si="2"/>
        <v>141292946</v>
      </c>
      <c r="K31" s="26">
        <f t="shared" si="2"/>
        <v>130368876</v>
      </c>
      <c r="L31" s="26">
        <f t="shared" si="2"/>
        <v>117448314</v>
      </c>
      <c r="M31" s="26">
        <f t="shared" si="2"/>
        <v>90410343</v>
      </c>
      <c r="N31" s="26">
        <f t="shared" si="2"/>
        <v>1118826055</v>
      </c>
    </row>
    <row r="32" spans="1:14" x14ac:dyDescent="0.2">
      <c r="A32" s="24"/>
    </row>
    <row r="34" spans="1:1" x14ac:dyDescent="0.2">
      <c r="A34" s="24"/>
    </row>
    <row r="35" spans="1:1" x14ac:dyDescent="0.2">
      <c r="A35" s="24"/>
    </row>
    <row r="36" spans="1:1" x14ac:dyDescent="0.2">
      <c r="A36" s="24"/>
    </row>
    <row r="37" spans="1:1" x14ac:dyDescent="0.2">
      <c r="A37" s="24"/>
    </row>
    <row r="38" spans="1:1" x14ac:dyDescent="0.2">
      <c r="A38" s="24"/>
    </row>
    <row r="39" spans="1:1" x14ac:dyDescent="0.2">
      <c r="A39" s="24"/>
    </row>
    <row r="40" spans="1:1" x14ac:dyDescent="0.2">
      <c r="A40" s="24"/>
    </row>
  </sheetData>
  <pageMargins left="0.7" right="0.7" top="0.75" bottom="0.75" header="0.3" footer="0.3"/>
  <pageSetup scale="65" orientation="landscape" blackAndWhite="1" r:id="rId1"/>
  <headerFooter>
    <oddFooter>&amp;L&amp;F
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47F30AF17F78BB48A5F746227B7D5DDA" ma:contentTypeVersion="16" ma:contentTypeDescription="" ma:contentTypeScope="" ma:versionID="ecd1c32bba6ba235e875f748396311fe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2024-03-26T07:00:00+00:00</OpenedDate>
    <SignificantOrder xmlns="dc463f71-b30c-4ab2-9473-d307f9d35888">false</SignificantOrder>
    <Date1 xmlns="dc463f71-b30c-4ab2-9473-d307f9d35888">2024-03-26T07:00:00+00:00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240206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19560708-16A4-43D3-89F2-5EE802C42DF8}">
  <ds:schemaRefs>
    <ds:schemaRef ds:uri="http://schemas.microsoft.com/PowerBIAddIn"/>
  </ds:schemaRefs>
</ds:datastoreItem>
</file>

<file path=customXml/itemProps2.xml><?xml version="1.0" encoding="utf-8"?>
<ds:datastoreItem xmlns:ds="http://schemas.openxmlformats.org/officeDocument/2006/customXml" ds:itemID="{57EC43FF-EC1D-45F5-B730-7F2099D84210}"/>
</file>

<file path=customXml/itemProps3.xml><?xml version="1.0" encoding="utf-8"?>
<ds:datastoreItem xmlns:ds="http://schemas.openxmlformats.org/officeDocument/2006/customXml" ds:itemID="{A61914C0-9FBE-4739-8AE6-128C04D2FB29}"/>
</file>

<file path=customXml/itemProps4.xml><?xml version="1.0" encoding="utf-8"?>
<ds:datastoreItem xmlns:ds="http://schemas.openxmlformats.org/officeDocument/2006/customXml" ds:itemID="{9ED804BC-1424-4873-B314-CACD6A96EAB2}"/>
</file>

<file path=customXml/itemProps5.xml><?xml version="1.0" encoding="utf-8"?>
<ds:datastoreItem xmlns:ds="http://schemas.openxmlformats.org/officeDocument/2006/customXml" ds:itemID="{A7B0BDAF-7AEB-42F4-B691-429484A0145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5</vt:i4>
      </vt:variant>
    </vt:vector>
  </HeadingPairs>
  <TitlesOfParts>
    <vt:vector size="13" baseType="lpstr">
      <vt:lpstr>Sch. 141PFG Rates</vt:lpstr>
      <vt:lpstr>Rate Impacts--&gt;</vt:lpstr>
      <vt:lpstr>Rate Impacts Sch 141PFG</vt:lpstr>
      <vt:lpstr>Typical Res Bill Sch 141PFG</vt:lpstr>
      <vt:lpstr>Sch. 141PFG</vt:lpstr>
      <vt:lpstr>Workpapers--&gt;</vt:lpstr>
      <vt:lpstr>Revenue Requirement</vt:lpstr>
      <vt:lpstr>Therm Forecast</vt:lpstr>
      <vt:lpstr>'Rate Impacts Sch 141PFG'!Print_Area</vt:lpstr>
      <vt:lpstr>'Sch. 141PFG'!Print_Area</vt:lpstr>
      <vt:lpstr>'Sch. 141PFG Rates'!Print_Area</vt:lpstr>
      <vt:lpstr>'Typical Res Bill Sch 141PFG'!Print_Area</vt:lpstr>
      <vt:lpstr>'Therm Forecast'!Print_Titles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Paul.Schmidt@pse.com;Kelima.Yakupova@pse.com</dc:creator>
  <cp:lastModifiedBy>Schmidt, Paul</cp:lastModifiedBy>
  <cp:lastPrinted>2024-03-22T18:56:05Z</cp:lastPrinted>
  <dcterms:created xsi:type="dcterms:W3CDTF">2012-11-20T18:48:04Z</dcterms:created>
  <dcterms:modified xsi:type="dcterms:W3CDTF">2024-03-22T18:57:44Z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0x0101006E56B4D1795A2E4DB2F0B01679ED314A0047F30AF17F78BB48A5F746227B7D5DDA</vt:lpwstr>
  </property>
  <property fmtid="{D5CDD505-2E9C-101B-9397-08002B2CF9AE}" pid="3" name="_docset_NoMedatataSyncRequired">
    <vt:lpwstr>False</vt:lpwstr>
  </property>
</Properties>
</file>