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Property Tax Tracker\2024\FILED\"/>
    </mc:Choice>
  </mc:AlternateContent>
  <bookViews>
    <workbookView xWindow="0" yWindow="0" windowWidth="22815" windowHeight="10470" tabRatio="850"/>
  </bookViews>
  <sheets>
    <sheet name="Sch. 140 Rates" sheetId="1" r:id="rId1"/>
    <sheet name="Allocation Factors" sheetId="34" r:id="rId2"/>
    <sheet name="Rate Impacts--&gt;" sheetId="19" r:id="rId3"/>
    <sheet name="Rate Impacts Sch 140" sheetId="65" r:id="rId4"/>
    <sheet name="Typical Res Bill Sch 140" sheetId="66" r:id="rId5"/>
    <sheet name="Sch. 140" sheetId="67" r:id="rId6"/>
    <sheet name="Workpapers--&gt;" sheetId="33" r:id="rId7"/>
    <sheet name="2024 FINAL Rev Req FINAL" sheetId="69" r:id="rId8"/>
    <sheet name="Therm Forecast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____________________six6" localSheetId="7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7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7" hidden="1">{#N/A,#N/A,FALSE,"schA"}</definedName>
    <definedName name="____________________www1" hidden="1">{#N/A,#N/A,FALSE,"schA"}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7" hidden="1">{#N/A,#N/A,FALSE,"schA"}</definedName>
    <definedName name="__________________www1" hidden="1">{#N/A,#N/A,FALSE,"schA"}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7" hidden="1">{#N/A,#N/A,FALSE,"schA"}</definedName>
    <definedName name="_______________www1" hidden="1">{#N/A,#N/A,FALSE,"schA"}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7" hidden="1">{#N/A,#N/A,FALSE,"schA"}</definedName>
    <definedName name="______________www1" hidden="1">{#N/A,#N/A,FALSE,"schA"}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7" hidden="1">{#N/A,#N/A,FALSE,"schA"}</definedName>
    <definedName name="_____________www1" hidden="1">{#N/A,#N/A,FALSE,"schA"}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7" hidden="1">{#N/A,#N/A,FALSE,"schA"}</definedName>
    <definedName name="____________www1" hidden="1">{#N/A,#N/A,FALSE,"schA"}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7" hidden="1">{#N/A,#N/A,FALSE,"schA"}</definedName>
    <definedName name="___________www1" hidden="1">{#N/A,#N/A,FALSE,"schA"}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7" hidden="1">{#N/A,#N/A,FALSE,"schA"}</definedName>
    <definedName name="__________www1" hidden="1">{#N/A,#N/A,FALSE,"schA"}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7" hidden="1">{#N/A,#N/A,FALSE,"schA"}</definedName>
    <definedName name="_________www1" hidden="1">{#N/A,#N/A,FALSE,"schA"}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7" hidden="1">{#N/A,#N/A,FALSE,"schA"}</definedName>
    <definedName name="________www1" hidden="1">{#N/A,#N/A,FALSE,"schA"}</definedName>
    <definedName name="_______ex1" localSheetId="7" hidden="1">{#N/A,#N/A,FALSE,"Summ";#N/A,#N/A,FALSE,"General"}</definedName>
    <definedName name="_______ex1" hidden="1">{#N/A,#N/A,FALSE,"Summ";#N/A,#N/A,FALSE,"General"}</definedName>
    <definedName name="_______new1" localSheetId="7" hidden="1">{#N/A,#N/A,FALSE,"Summ";#N/A,#N/A,FALSE,"General"}</definedName>
    <definedName name="_______new1" hidden="1">{#N/A,#N/A,FALSE,"Summ";#N/A,#N/A,FALSE,"General"}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7" hidden="1">{#N/A,#N/A,FALSE,"schA"}</definedName>
    <definedName name="_______www1" hidden="1">{#N/A,#N/A,FALSE,"schA"}</definedName>
    <definedName name="______ex1" localSheetId="7" hidden="1">{#N/A,#N/A,FALSE,"Summ";#N/A,#N/A,FALSE,"General"}</definedName>
    <definedName name="______ex1" hidden="1">{#N/A,#N/A,FALSE,"Summ";#N/A,#N/A,FALSE,"General"}</definedName>
    <definedName name="______Jun09">" BS!$AI$7:$AI$1643"</definedName>
    <definedName name="______new1" localSheetId="7" hidden="1">{#N/A,#N/A,FALSE,"Summ";#N/A,#N/A,FALSE,"General"}</definedName>
    <definedName name="______new1" hidden="1">{#N/A,#N/A,FALSE,"Summ";#N/A,#N/A,FALSE,"General"}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7" hidden="1">{#N/A,#N/A,FALSE,"schA"}</definedName>
    <definedName name="______www1" hidden="1">{#N/A,#N/A,FALSE,"schA"}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ex1" localSheetId="7" hidden="1">{#N/A,#N/A,FALSE,"Summ";#N/A,#N/A,FALSE,"General"}</definedName>
    <definedName name="_____ex1" hidden="1">{#N/A,#N/A,FALSE,"Summ";#N/A,#N/A,FALSE,"General"}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ew1" localSheetId="7" hidden="1">{#N/A,#N/A,FALSE,"Summ";#N/A,#N/A,FALSE,"General"}</definedName>
    <definedName name="_____new1" hidden="1">{#N/A,#N/A,FALSE,"Summ";#N/A,#N/A,FALSE,"General"}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7" hidden="1">{#N/A,#N/A,FALSE,"schA"}</definedName>
    <definedName name="_____www1" hidden="1">{#N/A,#N/A,FALSE,"schA"}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ex1" localSheetId="7" hidden="1">{#N/A,#N/A,FALSE,"Summ";#N/A,#N/A,FALSE,"General"}</definedName>
    <definedName name="____ex1" hidden="1">{#N/A,#N/A,FALSE,"Summ";#N/A,#N/A,FALSE,"General"}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ew1" localSheetId="7" hidden="1">{#N/A,#N/A,FALSE,"Summ";#N/A,#N/A,FALSE,"General"}</definedName>
    <definedName name="____new1" hidden="1">{#N/A,#N/A,FALSE,"Summ";#N/A,#N/A,FALSE,"General"}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7" hidden="1">{#N/A,#N/A,FALSE,"schA"}</definedName>
    <definedName name="____www1" hidden="1">{#N/A,#N/A,FALSE,"schA"}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ex1" localSheetId="7" hidden="1">{#N/A,#N/A,FALSE,"Summ";#N/A,#N/A,FALSE,"General"}</definedName>
    <definedName name="___ex1" hidden="1">{#N/A,#N/A,FALSE,"Summ";#N/A,#N/A,FALSE,"General"}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ew1" localSheetId="7" hidden="1">{#N/A,#N/A,FALSE,"Summ";#N/A,#N/A,FALSE,"General"}</definedName>
    <definedName name="___new1" hidden="1">{#N/A,#N/A,FALSE,"Summ";#N/A,#N/A,FALSE,"General"}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7" hidden="1">{#N/A,#N/A,FALSE,"schA"}</definedName>
    <definedName name="___www1" hidden="1">{#N/A,#N/A,FALSE,"schA"}</definedName>
    <definedName name="__123Graph_A" hidden="1">[5]Quant!$D$71:$O$71</definedName>
    <definedName name="__123Graph_ABUDG6_DSCRPR">[5]Quant!$D$71:$O$71</definedName>
    <definedName name="__123Graph_ABUDG6_ESCRPR1">[5]Quant!$D$100:$O$100</definedName>
    <definedName name="__123Graph_B" hidden="1">[5]Quant!$D$72:$O$72</definedName>
    <definedName name="__123Graph_BBUDG6_DSCRPR">[5]Quant!$D$72:$O$72</definedName>
    <definedName name="__123Graph_BBUDG6_ESCRPR1">[5]Quant!$D$88:$O$88</definedName>
    <definedName name="__123Graph_D" localSheetId="7" hidden="1">#REF!</definedName>
    <definedName name="__123Graph_D" hidden="1">#REF!</definedName>
    <definedName name="__123Graph_ECURRENT" localSheetId="7" hidden="1">[6]ConsolidatingPL!#REF!</definedName>
    <definedName name="__123Graph_ECURRENT" hidden="1">[6]ConsolidatingPL!#REF!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ex1" localSheetId="7" hidden="1">{#N/A,#N/A,FALSE,"Summ";#N/A,#N/A,FALSE,"General"}</definedName>
    <definedName name="__ex1" hidden="1">{#N/A,#N/A,FALSE,"Summ";#N/A,#N/A,FALSE,"General"}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ew1" localSheetId="7" hidden="1">{#N/A,#N/A,FALSE,"Summ";#N/A,#N/A,FALSE,"General"}</definedName>
    <definedName name="__new1" hidden="1">{#N/A,#N/A,FALSE,"Summ";#N/A,#N/A,FALSE,"General"}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7" hidden="1">{#N/A,#N/A,FALSE,"schA"}</definedName>
    <definedName name="__www1" hidden="1">{#N/A,#N/A,FALSE,"schA"}</definedName>
    <definedName name="_1__123Graph_ABUDG6_D_ESCRPR">[5]Quant!$D$71:$O$71</definedName>
    <definedName name="_2__123Graph_ABUDG6_Dtons_inv" hidden="1">[7]Quant!#REF!</definedName>
    <definedName name="_3__123Graph_ABUDG6_Dtons_inv" hidden="1">[8]Quant!#REF!</definedName>
    <definedName name="_3__123Graph_BBUDG6_D_ESCRPR">[5]Quant!$D$72:$O$72</definedName>
    <definedName name="_4__123Graph_ABUDG6_Dtons_inv" hidden="1">'[9]Area D 2011'!#REF!</definedName>
    <definedName name="_4__123Graph_BBUDG6_Dtons_inv">[5]Quant!$D$9:$O$9</definedName>
    <definedName name="_5__123Graph_CBUDG6_D_ESCRPR">[5]Quant!$D$100:$O$100</definedName>
    <definedName name="_6__123Graph_CBUDG6_D_ESCRPR" hidden="1">'[10]2012 Area AB BudgetSummary'!#REF!</definedName>
    <definedName name="_6__123Graph_DBUDG6_D_ESCRPR">[5]Quant!$D$88:$O$88</definedName>
    <definedName name="_7__123Graph_CBUDG6_D_ESCRPR" hidden="1">'[9]Area D 2011'!#REF!</definedName>
    <definedName name="_7__123Graph_DBUDG6_D_ESCRPR" hidden="1">'[10]2012 Area AB BudgetSummary'!#REF!</definedName>
    <definedName name="_7__123Graph_XBUDG6_D_ESCRPR">[5]Quant!$D$5:$O$5</definedName>
    <definedName name="_8__123Graph_DBUDG6_D_ESCRPR" hidden="1">'[9]Area D 2011'!#REF!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ex1" localSheetId="7" hidden="1">{#N/A,#N/A,FALSE,"Summ";#N/A,#N/A,FALSE,"General"}</definedName>
    <definedName name="_ex1" hidden="1">{#N/A,#N/A,FALSE,"Summ";#N/A,#N/A,FALSE,"General"}</definedName>
    <definedName name="_Feb04">[1]BS!$S$7:$S$3582</definedName>
    <definedName name="_FEB09" xml:space="preserve"> [2]BS!$S$7:$S$1726</definedName>
    <definedName name="_FEDERAL_INCOME_TAX">'[11]MJS-7'!$N$21</definedName>
    <definedName name="_Fill" localSheetId="7" hidden="1">#REF!</definedName>
    <definedName name="_Fill" hidden="1">#REF!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Key1" localSheetId="7" hidden="1">#REF!</definedName>
    <definedName name="_Key1" hidden="1">#REF!</definedName>
    <definedName name="_Key2" localSheetId="7" hidden="1">#REF!</definedName>
    <definedName name="_Key2" hidden="1">#REF!</definedName>
    <definedName name="_Mar04">[1]BS!$T$7:$T$3582</definedName>
    <definedName name="_May04">[1]BS!$V$7:$V$3582</definedName>
    <definedName name="_May09" xml:space="preserve"> [2]BS!$V$7:$V$1726</definedName>
    <definedName name="_new1" localSheetId="7" hidden="1">{#N/A,#N/A,FALSE,"Summ";#N/A,#N/A,FALSE,"General"}</definedName>
    <definedName name="_new1" hidden="1">{#N/A,#N/A,FALSE,"Summ";#N/A,#N/A,FALSE,"General"}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arse_In" localSheetId="7" hidden="1">#REF!</definedName>
    <definedName name="_Parse_In" hidden="1">#REF!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Regression_Out" hidden="1">[12]FIA!#REF!</definedName>
    <definedName name="_SEC24">[4]EXTERNAL!$A$112:$IV$114</definedName>
    <definedName name="_Sep03">[3]BS!$Q$7:$Q$3582</definedName>
    <definedName name="_Sep04">[1]BS!$Z$7:$Z$3582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7" hidden="1">#REF!</definedName>
    <definedName name="_Sort" hidden="1">#REF!</definedName>
    <definedName name="_www1" localSheetId="7" hidden="1">{#N/A,#N/A,FALSE,"schA"}</definedName>
    <definedName name="_www1" hidden="1">{#N/A,#N/A,FALSE,"schA"}</definedName>
    <definedName name="a" localSheetId="7" hidden="1">{#N/A,#N/A,FALSE,"Coversheet";#N/A,#N/A,FALSE,"QA"}</definedName>
    <definedName name="a" hidden="1">{#N/A,#N/A,FALSE,"Coversheet";#N/A,#N/A,FALSE,"QA"}</definedName>
    <definedName name="aaa" localSheetId="7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7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cct2281SO">'[13]Func Study'!$H$2190</definedName>
    <definedName name="Acct2283SO">'[13]Func Study'!$H$2198</definedName>
    <definedName name="Acct228SO">'[13]Func Study'!$H$2194</definedName>
    <definedName name="Acct350">'[13]Func Study'!$H$1628</definedName>
    <definedName name="Acct352">'[13]Func Study'!$H$1635</definedName>
    <definedName name="Acct353">'[13]Func Study'!$H$1641</definedName>
    <definedName name="Acct354">'[13]Func Study'!$H$1647</definedName>
    <definedName name="Acct355">'[13]Func Study'!$H$1654</definedName>
    <definedName name="Acct356">'[13]Func Study'!$H$1660</definedName>
    <definedName name="Acct357">'[13]Func Study'!$H$1666</definedName>
    <definedName name="Acct358">'[13]Func Study'!$H$1672</definedName>
    <definedName name="Acct359">'[13]Func Study'!$H$1678</definedName>
    <definedName name="Acct360">'[13]Func Study'!$H$1698</definedName>
    <definedName name="Acct361">'[13]Func Study'!$H$1704</definedName>
    <definedName name="Acct362">'[13]Func Study'!$H$1710</definedName>
    <definedName name="Acct364">'[13]Func Study'!$H$1717</definedName>
    <definedName name="Acct365">'[13]Func Study'!$H$1724</definedName>
    <definedName name="Acct366">'[13]Func Study'!$H$1731</definedName>
    <definedName name="Acct367">'[13]Func Study'!$H$1738</definedName>
    <definedName name="Acct368">'[13]Func Study'!$H$1744</definedName>
    <definedName name="Acct369">'[13]Func Study'!$H$1751</definedName>
    <definedName name="Acct370">'[13]Func Study'!$H$1762</definedName>
    <definedName name="Acct371">'[13]Func Study'!$H$1769</definedName>
    <definedName name="Acct372">'[13]Func Study'!$H$1776</definedName>
    <definedName name="Acct372A">'[13]Func Study'!$H$1775</definedName>
    <definedName name="Acct372DP">'[13]Func Study'!$H$1773</definedName>
    <definedName name="Acct372DS">'[13]Func Study'!$H$1774</definedName>
    <definedName name="Acct373">'[13]Func Study'!$H$1782</definedName>
    <definedName name="Acct448S">'[13]Func Study'!$H$274</definedName>
    <definedName name="Acct450S">'[13]Func Study'!$H$302</definedName>
    <definedName name="Acct451S">'[13]Func Study'!$H$307</definedName>
    <definedName name="Acct454S">'[13]Func Study'!$H$318</definedName>
    <definedName name="Acct456S">'[13]Func Study'!$H$325</definedName>
    <definedName name="ACCT557CAGE">'[13]Func Study'!$H$683</definedName>
    <definedName name="Acct557CT">'[13]Func Study'!$H$681</definedName>
    <definedName name="Acct580">'[13]Func Study'!$H$791</definedName>
    <definedName name="Acct581">'[13]Func Study'!$H$796</definedName>
    <definedName name="Acct582">'[13]Func Study'!$H$801</definedName>
    <definedName name="Acct583">'[13]Func Study'!$H$806</definedName>
    <definedName name="Acct584">'[13]Func Study'!$H$811</definedName>
    <definedName name="Acct585">'[13]Func Study'!$H$816</definedName>
    <definedName name="Acct586">'[13]Func Study'!$H$821</definedName>
    <definedName name="Acct587">'[13]Func Study'!$H$826</definedName>
    <definedName name="Acct588">'[13]Func Study'!$H$831</definedName>
    <definedName name="Acct589">'[13]Func Study'!$H$836</definedName>
    <definedName name="Acct590">'[13]Func Study'!$H$841</definedName>
    <definedName name="Acct591">'[13]Func Study'!$H$846</definedName>
    <definedName name="Acct592">'[13]Func Study'!$H$851</definedName>
    <definedName name="Acct593">'[13]Func Study'!$H$856</definedName>
    <definedName name="Acct594">'[13]Func Study'!$H$861</definedName>
    <definedName name="Acct595">'[13]Func Study'!$H$866</definedName>
    <definedName name="Acct596">'[13]Func Study'!$H$876</definedName>
    <definedName name="Acct597">'[13]Func Study'!$H$881</definedName>
    <definedName name="Acct598">'[13]Func Study'!$H$886</definedName>
    <definedName name="AcctAGA">'[13]Func Study'!$H$296</definedName>
    <definedName name="AcctTable">[14]Variables!$AK$42:$AK$396</definedName>
    <definedName name="AcctTS0">'[13]Func Study'!$H$1686</definedName>
    <definedName name="Acq1Plant">'[15]Acquisition Inputs'!$C$8</definedName>
    <definedName name="Acq2Plant">'[15]Acquisition Inputs'!$C$70</definedName>
    <definedName name="ActualROR">'[16]G+T+D+R+M'!$H$61</definedName>
    <definedName name="ADJPTDCE.T">[4]INTERNAL!$A$31:$IV$33</definedName>
    <definedName name="Adjs2avg">[17]Inputs!$L$255:'[17]Inputs'!$T$505</definedName>
    <definedName name="After_Tax_Cash_Discount">'[18]Assumptions (Input)'!$D$37</definedName>
    <definedName name="afudc_flag">'[18]Assumptions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'[19]Cabot Gas Replacement'!$B$8:$F$16</definedName>
    <definedName name="AS2DocOpenMode">"AS2DocumentEdit"</definedName>
    <definedName name="Assessment_Rate">'[18]Assumptions (Input)'!$B$7</definedName>
    <definedName name="Asset_Class_Switch">[20]Assumptions!$D$5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[14]Factors!$B$3:$P$99</definedName>
    <definedName name="b" localSheetId="7" hidden="1">{#N/A,#N/A,FALSE,"Coversheet";#N/A,#N/A,FALSE,"QA"}</definedName>
    <definedName name="b" hidden="1">{#N/A,#N/A,FALSE,"Coversheet";#N/A,#N/A,FALSE,"QA"}</definedName>
    <definedName name="Beg_Unb_KWHs">[21]LeadSht!$L$10</definedName>
    <definedName name="BEm" localSheetId="7" hidden="1">#REF!</definedName>
    <definedName name="BEm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7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7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7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7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OOK_LIFE">'[22]Lvl FCR'!$G$10</definedName>
    <definedName name="BPAX">[4]EXTERNAL!$A$121:$IV$123</definedName>
    <definedName name="Bum" localSheetId="7" hidden="1">#REF!</definedName>
    <definedName name="Bum" hidden="1">#REF!</definedName>
    <definedName name="Button_1">"TradeSummary_Ken_Finicle_List"</definedName>
    <definedName name="CAE.T">[4]INTERNAL!$A$34:$IV$36</definedName>
    <definedName name="CAES1.T">[4]INTERNAL!$A$37:$IV$39</definedName>
    <definedName name="cap">[23]Readings!$B$2</definedName>
    <definedName name="Capital_Inflation">'[18]Assumptions (Input)'!$B$11</definedName>
    <definedName name="CASE">[24]INPUTS!$C$11</definedName>
    <definedName name="CASE_GAS">'[25]Named Ranges G'!$C$4</definedName>
    <definedName name="Case_Name">'[26]KJB-6,13 Cmn Adj'!$B$8</definedName>
    <definedName name="CaseDescription">'[15]Dispatch Cases'!$C$11</definedName>
    <definedName name="CBWorkbookPriority">-2060790043</definedName>
    <definedName name="CCGT_HeatRate">[15]Assumptions!$H$23</definedName>
    <definedName name="CCGTPrice">[15]Assumptions!$H$22</definedName>
    <definedName name="CL_RT2">'[27]Transp Data'!$A$6:$C$81</definedName>
    <definedName name="Close_Date">'[18]Capital Projects(Input)'!$D$7:$D$53</definedName>
    <definedName name="Comp_GAS">'[25]Named Ranges G'!$C$8</definedName>
    <definedName name="Construction_OH">'[28]Virtual 49 Back-Up'!$E$54</definedName>
    <definedName name="ConversionFactor">[15]Assumptions!$I$65</definedName>
    <definedName name="COSFacVal">[13]Inputs!$R$5</definedName>
    <definedName name="CurrQtr">'[29]Inc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'[30]Mix Variance'!$B$1:$N$31</definedName>
    <definedName name="Data.Avg">'[29]Avg Amts'!$A$5:$BP$34</definedName>
    <definedName name="Data.Qtrs.Avg">'[29]Avg Amts'!$A$5:$IV$5</definedName>
    <definedName name="data1">'[31]Mix Variance'!$O$5:$T$25</definedName>
    <definedName name="DebtPerc">[15]Assumptions!$I$58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hidden="1">{#N/A,#N/A,FALSE,"Coversheet";#N/A,#N/A,FALSE,"QA"}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[32]Inputs!$D$11</definedName>
    <definedName name="DES1.T">[4]INTERNAL!$A$40:$IV$42</definedName>
    <definedName name="DES2.T">[4]INTERNAL!$A$43:$IV$45</definedName>
    <definedName name="df" localSheetId="7" hidden="1">{#N/A,#N/A,FALSE,"CESTSUM";#N/A,#N/A,FALSE,"est sum A";#N/A,#N/A,FALSE,"est detail A"}</definedName>
    <definedName name="df" hidden="1">{#N/A,#N/A,FALSE,"CESTSUM";#N/A,#N/A,FALSE,"est sum A";#N/A,#N/A,FALSE,"est detail A"}</definedName>
    <definedName name="DF_HeatRate">[15]Assumptions!$L$23</definedName>
    <definedName name="DFIT" localSheetId="7" hidden="1">{#N/A,#N/A,FALSE,"Coversheet";#N/A,#N/A,FALSE,"QA"}</definedName>
    <definedName name="DFIT" hidden="1">{#N/A,#N/A,FALSE,"Coversheet";#N/A,#N/A,FALSE,"QA"}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'[13]Func Study'!$AB$250</definedName>
    <definedName name="Discount_for_Revenue_Reqmt">'[33]Assumptions of Purchase'!$B$45</definedName>
    <definedName name="DisFac">'[13]Func Dist Factor Table'!$A$11:$G$25</definedName>
    <definedName name="DocketNumber">'[34]JHS-4'!$AP$2</definedName>
    <definedName name="DP.T">[4]INTERNAL!$A$46:$IV$48</definedName>
    <definedName name="DUDE" localSheetId="7" hidden="1">#REF!</definedName>
    <definedName name="DUDE" hidden="1">#REF!</definedName>
    <definedName name="EBFIT.T">[4]INTERNAL!$A$88:$IV$90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ffTax">[24]INPUTS!$F$36</definedName>
    <definedName name="Electric_Prices">'[35]Monthly Price Summary'!$B$4:$E$27</definedName>
    <definedName name="ElRBLine">[1]BS!$AQ$7:$AQ$3303</definedName>
    <definedName name="EndDate">[15]Assumptions!$C$11</definedName>
    <definedName name="ENERGY_1">[4]EXTERNAL!$A$4:$IV$6</definedName>
    <definedName name="ENERGY_2">[4]EXTERNAL!$A$145:$IV$147</definedName>
    <definedName name="Engy">[16]Inputs!$D$9</definedName>
    <definedName name="Engy2">[32]Inputs!$D$12</definedName>
    <definedName name="EPIS.T">[4]INTERNAL!$A$49:$IV$51</definedName>
    <definedName name="error" localSheetId="7" hidden="1">{#N/A,#N/A,FALSE,"Coversheet";#N/A,#N/A,FALSE,"QA"}</definedName>
    <definedName name="error" hidden="1">{#N/A,#N/A,FALSE,"Coversheet";#N/A,#N/A,FALSE,"QA"}</definedName>
    <definedName name="Escalator">1.025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Exhibit_No.______MJS_4">'[11]MJS-4'!$O$3</definedName>
    <definedName name="Exhibit_No.______MJS_5">'[11]MJS-5'!$E$3</definedName>
    <definedName name="Exhibit_No.______MJS_6">'[11]MJS-6'!$F$3</definedName>
    <definedName name="F" localSheetId="7" hidden="1">#REF!</definedName>
    <definedName name="F" hidden="1">#REF!</definedName>
    <definedName name="Factorck">'[13]COS Factor Table'!$O$15:$O$113</definedName>
    <definedName name="FactorType">[14]Variables!$AK$2:$AL$12</definedName>
    <definedName name="FactSum">'[13]COS Factor Table'!$A$14:$O$113</definedName>
    <definedName name="FCR">'[28]Virtual 49 Back-Up'!$B$20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[36]Inputs!$E$112</definedName>
    <definedName name="FedTaxRate">[15]Assumptions!$C$33</definedName>
    <definedName name="FERC_Lookup">'[37]Map Table'!$E$2:$F$58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IT">'[38]ROR &amp; CONV FACTOR'!$J$20</definedName>
    <definedName name="FIT_GAS">'[25]Named Ranges G'!$C$3</definedName>
    <definedName name="FIT_Tax_Rate">'[18]Assumptions (Input)'!$B$5</definedName>
    <definedName name="FranchiseTax">[17]Variables!$D$26</definedName>
    <definedName name="FTAX">[24]INPUTS!$F$35</definedName>
    <definedName name="Func">'[13]Func Factor Table'!$A$10:$H$77</definedName>
    <definedName name="Function">'[13]Func Study'!$AB$250</definedName>
    <definedName name="gary" localSheetId="7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asRBLine">[1]BS!$AS$7:$AS$3631</definedName>
    <definedName name="GasWC_LineItem">[1]BS!$AR$7:$AR$3631</definedName>
    <definedName name="GP.T">[4]INTERNAL!$A$52:$IV$54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7" hidden="1">{#N/A,#N/A,FALSE,"Coversheet";#N/A,#N/A,FALSE,"QA"}</definedName>
    <definedName name="HELP" hidden="1">{#N/A,#N/A,FALSE,"Coversheet";#N/A,#N/A,FALSE,"QA"}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nsurance_Rate">'[18]Assumptions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 hidden="1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 hidden="1">130000</definedName>
    <definedName name="IQ_Z_SCORE">"c1339"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4AMA">[1]BS!$AD$7:$AD$3582</definedName>
    <definedName name="Jan09AMA">[2]BS!$AK$7:$AK$1743</definedName>
    <definedName name="Jan10AMA">[2]BS!$AW$7:$AW$1726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jj">[39]Inputs!$N$18</definedName>
    <definedName name="JP_Bal">[40]ACCOUNTS!$AG$31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[14]Variables!$AK$15</definedName>
    <definedName name="JurisNumber">[14]Variables!$AL$15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'[26]KJB-12 Sum'!$AS$2</definedName>
    <definedName name="k_FITrate">'[26]KJB-3,11 Def'!$L$20</definedName>
    <definedName name="keep_Docket_Number">'[41]KJB-3 Sum'!$AQ$2</definedName>
    <definedName name="keep_FIT">'[41]KJB-7 Def'!$L$20</definedName>
    <definedName name="keep_KJB_3_Rate_Increase">'[41]KJB-7 Def'!$C$3</definedName>
    <definedName name="keep_KJB_4_Electric_Summary">'[41]KJB-3 Sum'!$AQ$3</definedName>
    <definedName name="keep_KJB_8_Common_Adjs">'[41]KJB-5 Cmn Adj'!$L$3</definedName>
    <definedName name="keep_KJB_9_Electric_Only">'[41]KJB-5 El Adj'!$E$3</definedName>
    <definedName name="keep_PSE">'[42]Gas Summary'!$I$5</definedName>
    <definedName name="keep_TESTYEAR">'[42]Gas Detail Pages'!$A$8</definedName>
    <definedName name="kp_DOCKET">'[42]Gas Detail Pages'!$A$9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7">IF([43]!Values_Entered,Header_Row+[43]!Number_of_Payments,Header_Row)</definedName>
    <definedName name="Last_Row">IF([43]!Values_Entered,Header_Row+[43]!Number_of_Payments,Header_Row)</definedName>
    <definedName name="Levy_Rate">'[18]Assumptions (Input)'!$B$6</definedName>
    <definedName name="limcount">1</definedName>
    <definedName name="LINE.T">[4]INTERNAL!$A$55:$IV$57</definedName>
    <definedName name="LinkCos">'[13]JAM Download'!$K$4</definedName>
    <definedName name="Load_Factor">[40]ACCOUNTS!$AG$167</definedName>
    <definedName name="LoadArray">'[44]Load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localSheetId="7" hidden="1">{#N/A,#N/A,FALSE,"Coversheet";#N/A,#N/A,FALSE,"QA"}</definedName>
    <definedName name="lookup" hidden="1">{#N/A,#N/A,FALSE,"Coversheet";#N/A,#N/A,FALSE,"QA"}</definedName>
    <definedName name="M9100F4_v4">[45]M9100F4!$A$1:$V$99</definedName>
    <definedName name="MACRS">'[18]MACRS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[46]!menu1_Button5_Click</definedName>
    <definedName name="menu1_Button6_Click">[46]!menu1_Button6_Click</definedName>
    <definedName name="MERGER_COST">[47]Sheet1!$AF$3:$AJ$28</definedName>
    <definedName name="METER">[4]EXTERNAL!$A$34:$IV$36</definedName>
    <definedName name="Method">[16]Inputs!$C$6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list">[48]Table!$R$2:$S$13</definedName>
    <definedName name="monthtotals">'[48]WA SBC'!$D$40:$O$40</definedName>
    <definedName name="MTD_Format">[49]Mthly!$B$11:$D$11,[49]Mthly!$B$32:$D$32</definedName>
    <definedName name="MTR_YR3">[50]Variables!$E$14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[13]Inputs!$G$8</definedName>
    <definedName name="NetToGross">[17]Variables!$D$23</definedName>
    <definedName name="new" localSheetId="7" hidden="1">{#N/A,#N/A,FALSE,"Summ";#N/A,#N/A,FALSE,"General"}</definedName>
    <definedName name="new" hidden="1">{#N/A,#N/A,FALSE,"Summ";#N/A,#N/A,FALSE,"General"}</definedName>
    <definedName name="Nov03AMA">[3]BS!$AI$7:$AI$3582</definedName>
    <definedName name="Nov04AMA">[1]BS!$AN$7:$AN$3582</definedName>
    <definedName name="Nov09AMA">[2]BS!$AU$7:$AU$1726</definedName>
    <definedName name="NOYT" localSheetId="7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PC">[51]Inputs!$N$18</definedName>
    <definedName name="NRG">[4]CLASSIFIERS!$A$5:$IV$5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'[18]MiscItems(Input)'!$B$5:$AO$8,'[18]MiscItems(Input)'!$B$13:$AO$13,'[18]MiscItems(Input)'!$B$15:$B$17,'[18]MiscItems(Input)'!$B$17:$AO$17,'[18]MiscItems(Input)'!$B$15:$AO$15</definedName>
    <definedName name="O_M_Rate">'[28]Virtual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'[52]Dist Misc'!$F$120</definedName>
    <definedName name="OthRCF">[53]INPUTS!$F$41</definedName>
    <definedName name="OthUnc">[4]INPUTS!$F$36</definedName>
    <definedName name="outlookdata">'[54]pivoted data'!$D$3:$Q$90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'[55]2008 Extreme Peaks - 080403'!$E$5:$AD$8</definedName>
    <definedName name="peak_table">'[55]Peaks-F01'!$C$5:$E$243</definedName>
    <definedName name="PeakMethod">[16]Inputs!$T$5</definedName>
    <definedName name="Percent_debt">[36]Inputs!$E$129</definedName>
    <definedName name="Plant_Input">'[18]Plant(Input)'!$B$7:$AP$9,'[18]Plant(Input)'!$B$11,'[18]Plant(Input)'!$B$15:$AP$15,'[18]Plant(Input)'!$B$18,'[18]Plant(Input)'!$B$20:$AP$20</definedName>
    <definedName name="POWER.T">[4]INTERNAL!$A$58:$IV$60</definedName>
    <definedName name="PP.T">[4]INTERNAL!$A$61:$IV$63</definedName>
    <definedName name="PreTaxDebtCost">[15]Assumptions!$I$56</definedName>
    <definedName name="PreTaxWACC">[15]Assumptions!$I$62</definedName>
    <definedName name="Prices_Aurora">'[35]Monthly Price Summary'!$C$4:$H$63</definedName>
    <definedName name="_xlnm.Print_Area" localSheetId="1">'Allocation Factors'!$A$1:$E$19</definedName>
    <definedName name="_xlnm.Print_Area" localSheetId="3">'Rate Impacts Sch 140'!$A$1:$V$37</definedName>
    <definedName name="_xlnm.Print_Area" localSheetId="5">'Sch. 140'!$A$1:$I$22</definedName>
    <definedName name="_xlnm.Print_Area" localSheetId="0">'Sch. 140 Rates'!$A$1:$N$25</definedName>
    <definedName name="_xlnm.Print_Area" localSheetId="8">'Therm Forecast'!$A$1:$N$25</definedName>
    <definedName name="_xlnm.Print_Area" localSheetId="4">'Typical Res Bill Sch 140'!$B$1:$H$42</definedName>
    <definedName name="Prior_Month">[56]Sch_120!$I$21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[57]Sheet1!$A$1147:$B$1887</definedName>
    <definedName name="Prov_Cap_Tax">[36]Inputs!$E$111</definedName>
    <definedName name="PSE">'[58]4.04'!$A$6</definedName>
    <definedName name="PSE_Pre_Tax_Equity_Rate">'[33]Assumptions of Purchase'!$B$42</definedName>
    <definedName name="PTDGP.T">[4]INTERNAL!$A$64:$IV$66</definedName>
    <definedName name="PTDP.T">[4]INTERNAL!$A$67:$IV$69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7" hidden="1">{#N/A,#N/A,FALSE,"schA"}</definedName>
    <definedName name="qqq" hidden="1">{#N/A,#N/A,FALSE,"schA"}</definedName>
    <definedName name="QTD_Format">[59]QTD!$B$11:$D$11,[59]QTD!$B$35:$D$35</definedName>
    <definedName name="RATE2">'[27]Transp Data'!$A$8:$I$112</definedName>
    <definedName name="Rates">[60]Codes!$A$1:$C$500</definedName>
    <definedName name="RB.T">[4]INTERNAL!$A$70:$IV$72</definedName>
    <definedName name="RCF">[40]INPUTS!$F$48</definedName>
    <definedName name="rec_weco_gl_contract_aug99" localSheetId="7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qulated_scenario">'[18]Assumptions (Input)'!$B$12</definedName>
    <definedName name="ResExchCrRate">[61]Sch_194!$M$31</definedName>
    <definedName name="RESID">[4]EXTERNAL!$A$88:$IV$90</definedName>
    <definedName name="resource_lookup">'[62]#REF'!$B$3:$C$112</definedName>
    <definedName name="ResourceSupplier">[17]Variables!$D$28</definedName>
    <definedName name="ResRCF">[24]INPUTS!$F$44</definedName>
    <definedName name="ResUnc">[24]INPUTS!$F$39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Class">[60]Codes!$F$2:$G$10</definedName>
    <definedName name="revenue_flag">'[18]Assumptions (Input)'!$C$12</definedName>
    <definedName name="Revenue_Taxes">'[18]Assumptions (Input)'!$B$8</definedName>
    <definedName name="REVFAC1.T">[4]INTERNAL!$A$73:$IV$75</definedName>
    <definedName name="ROD">[24]INPUTS!$F$30</definedName>
    <definedName name="ROR">[24]INPUTS!$F$29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[53]INPUTS!$F$40</definedName>
    <definedName name="SbUnc">[4]INPUTS!$F$35</definedName>
    <definedName name="Sch194Rlfwd">'[63]Sch94 Rlfwd'!$B$11</definedName>
    <definedName name="Schedule">[51]Inputs!$N$14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p03AMA">[3]BS!$AG$7:$AG$3582</definedName>
    <definedName name="Sep04AMA">[1]BS!$AL$7:$AL$3582</definedName>
    <definedName name="Sep09AMA">[2]BS!$AS$7:$AS$1726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tartDate">[15]Assumptions!$C$9</definedName>
    <definedName name="STATE_UTILITY_TAX">'[11]MJS-7'!$N$16</definedName>
    <definedName name="STAX">[24]INPUTS!$F$34</definedName>
    <definedName name="sue" localSheetId="7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7" hidden="1">{"Plat Summary",#N/A,FALSE,"PLAT DESIGN"}</definedName>
    <definedName name="summary" hidden="1">{"Plat Summary",#N/A,FALSE,"PLAT DESIGN"}</definedName>
    <definedName name="susan" localSheetId="7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SW.T">[4]INTERNAL!$A$76:$IV$78</definedName>
    <definedName name="SWPTD.T">[4]INTERNAL!$A$79:$IV$81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argetROR">[16]Inputs!$G$29</definedName>
    <definedName name="TDP.T">[4]INTERNAL!$A$82:$IV$84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Period">[13]Inputs!$C$5</definedName>
    <definedName name="TESTYEAR">'[34]JHS-6'!$A$7</definedName>
    <definedName name="TESTYEAR_GAS">'[25]Named Ranges G'!$C$5</definedName>
    <definedName name="TFR">[4]CLASSIFIERS!$A$11:$IV$11</definedName>
    <definedName name="ThermalBookLife">[15]Assumptions!$C$25</definedName>
    <definedName name="Title">[15]Assumptions!$A$1</definedName>
    <definedName name="Total_Payment" localSheetId="7">Scheduled_Payment+Extra_Payment</definedName>
    <definedName name="Total_Payment">Scheduled_Payment+Extra_Payment</definedName>
    <definedName name="TotalRateBase">'[13]G+T+D+R+M'!$H$58</definedName>
    <definedName name="TP.T">[4]INTERNAL!$A$91:$IV$93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db">'[64]Transp Unbilled'!$A$8:$E$174</definedName>
    <definedName name="Transfer" localSheetId="7" hidden="1">#REF!</definedName>
    <definedName name="Transfer" hidden="1">#REF!</definedName>
    <definedName name="Transfers" localSheetId="7" hidden="1">#REF!</definedName>
    <definedName name="Transfers" hidden="1">#REF!</definedName>
    <definedName name="TRANSM_2">[65]Transm2!$A$1:$M$461:'[65]10 Yr FC'!$M$47</definedName>
    <definedName name="u" localSheetId="7" hidden="1">{#N/A,#N/A,FALSE,"Summ";#N/A,#N/A,FALSE,"General"}</definedName>
    <definedName name="u" hidden="1">{#N/A,#N/A,FALSE,"Summ";#N/A,#N/A,FALSE,"General"}</definedName>
    <definedName name="UAcct103">'[13]Func Study'!$AB$1613</definedName>
    <definedName name="UAcct105Dnpg">'[13]Func Study'!$AB$2010</definedName>
    <definedName name="UAcct105S">'[13]Func Study'!$AB$2005</definedName>
    <definedName name="UAcct105Seu">'[13]Func Study'!$AB$2009</definedName>
    <definedName name="UAcct105Snppo">'[13]Func Study'!$AB$2008</definedName>
    <definedName name="UAcct105Snpps">'[13]Func Study'!$AB$2006</definedName>
    <definedName name="UAcct105Snpt">'[13]Func Study'!$AB$2007</definedName>
    <definedName name="UAcct1081390">'[13]Func Study'!$AB$2451</definedName>
    <definedName name="UAcct1081390Rcl">'[13]Func Study'!$AB$2450</definedName>
    <definedName name="UAcct1081399">'[13]Func Study'!$AB$2459</definedName>
    <definedName name="UAcct1081399Rcl">'[13]Func Study'!$AB$2458</definedName>
    <definedName name="UAcct108360">'[13]Func Study'!$AB$2355</definedName>
    <definedName name="UAcct108361">'[13]Func Study'!$AB$2359</definedName>
    <definedName name="UAcct108362">'[13]Func Study'!$AB$2363</definedName>
    <definedName name="UAcct108364">'[13]Func Study'!$AB$2367</definedName>
    <definedName name="UAcct108365">'[13]Func Study'!$AB$2371</definedName>
    <definedName name="UAcct108366">'[13]Func Study'!$AB$2375</definedName>
    <definedName name="UAcct108367">'[13]Func Study'!$AB$2379</definedName>
    <definedName name="UAcct108368">'[13]Func Study'!$AB$2383</definedName>
    <definedName name="UAcct108369">'[13]Func Study'!$AB$2387</definedName>
    <definedName name="UAcct108370">'[13]Func Study'!$AB$2391</definedName>
    <definedName name="UAcct108371">'[13]Func Study'!$AB$2395</definedName>
    <definedName name="UAcct108372">'[13]Func Study'!$AB$2399</definedName>
    <definedName name="UAcct108373">'[13]Func Study'!$AB$2403</definedName>
    <definedName name="UAcct108D">'[13]Func Study'!$AB$2415</definedName>
    <definedName name="UAcct108D00">'[13]Func Study'!$AB$2407</definedName>
    <definedName name="UAcct108Ds">'[13]Func Study'!$AB$2411</definedName>
    <definedName name="UAcct108Ep">'[13]Func Study'!$AB$2327</definedName>
    <definedName name="UAcct108Gpcn">'[13]Func Study'!$AB$2429</definedName>
    <definedName name="UAcct108Gps">'[13]Func Study'!$AB$2425</definedName>
    <definedName name="UAcct108Gpse">'[13]Func Study'!$AB$2431</definedName>
    <definedName name="UAcct108Gpsg">'[13]Func Study'!$AB$2428</definedName>
    <definedName name="UAcct108Gpsgp">'[13]Func Study'!$AB$2426</definedName>
    <definedName name="UAcct108Gpsgu">'[13]Func Study'!$AB$2427</definedName>
    <definedName name="UAcct108Gpso">'[13]Func Study'!$AB$2430</definedName>
    <definedName name="UACCT108GPSSGCH">'[13]Func Study'!$AB$2434</definedName>
    <definedName name="UACCT108GPSSGCT">'[13]Func Study'!$AB$2433</definedName>
    <definedName name="UAcct108Hp">'[13]Func Study'!$AB$2313</definedName>
    <definedName name="UAcct108Mp">'[13]Func Study'!$AB$2444</definedName>
    <definedName name="UAcct108Np">'[13]Func Study'!$AB$2305</definedName>
    <definedName name="UAcct108Op">'[13]Func Study'!$AB$2322</definedName>
    <definedName name="UACCT108OPSSCCT">'[13]Func Study'!$AB$2321</definedName>
    <definedName name="UAcct108Sp">'[13]Func Study'!$AB$2299</definedName>
    <definedName name="UACCT108SPSSGCH">'[13]Func Study'!$AB$2298</definedName>
    <definedName name="UAcct108Tp">'[13]Func Study'!$AB$2346</definedName>
    <definedName name="UAcct111Clg">'[13]Func Study'!$AB$2487</definedName>
    <definedName name="UAcct111Clgsou">'[13]Func Study'!$AB$2485</definedName>
    <definedName name="UAcct111Clh">'[13]Func Study'!$AB$2493</definedName>
    <definedName name="UAcct111Cls">'[13]Func Study'!$AB$2478</definedName>
    <definedName name="UAcct111Ipcn">'[13]Func Study'!$AB$2502</definedName>
    <definedName name="UAcct111Ips">'[13]Func Study'!$AB$2497</definedName>
    <definedName name="UAcct111Ipse">'[13]Func Study'!$AB$2500</definedName>
    <definedName name="UAcct111Ipsg">'[13]Func Study'!$AB$2501</definedName>
    <definedName name="UAcct111Ipsgp">'[13]Func Study'!$AB$2498</definedName>
    <definedName name="UAcct111Ipsgu">'[13]Func Study'!$AB$2499</definedName>
    <definedName name="UAcct111Ipso">'[13]Func Study'!$AB$2506</definedName>
    <definedName name="UACCT111IPSSGCH">'[13]Func Study'!$AB$2505</definedName>
    <definedName name="UACCT111IPSSGCT">'[13]Func Study'!$AB$2504</definedName>
    <definedName name="UAcct114">'[13]Func Study'!$AB$2017</definedName>
    <definedName name="UAcct120">'[13]Func Study'!$AB$2021</definedName>
    <definedName name="UAcct124">'[13]Func Study'!$AB$2026</definedName>
    <definedName name="UAcct141">'[13]Func Study'!$AB$2173</definedName>
    <definedName name="UAcct151">'[13]Func Study'!$AB$2049</definedName>
    <definedName name="Uacct151SSECT">'[13]Func Study'!$AB$2047</definedName>
    <definedName name="UAcct154">'[13]Func Study'!$AB$2083</definedName>
    <definedName name="Uacct154SSGCT">'[13]Func Study'!$AB$2080</definedName>
    <definedName name="UAcct163">'[13]Func Study'!$AB$2093</definedName>
    <definedName name="UAcct165">'[13]Func Study'!$AB$2108</definedName>
    <definedName name="UAcct165Gps">'[13]Func Study'!$AB$2104</definedName>
    <definedName name="UAcct182">'[13]Func Study'!$AB$2033</definedName>
    <definedName name="UAcct18222">'[13]Func Study'!$AB$2163</definedName>
    <definedName name="UAcct182M">'[13]Func Study'!$AB$2118</definedName>
    <definedName name="UAcct182MSSGCH">'[13]Func Study'!$AB$2113</definedName>
    <definedName name="UAcct186">'[13]Func Study'!$AB$2041</definedName>
    <definedName name="UAcct1869">'[13]Func Study'!$AB$2168</definedName>
    <definedName name="UAcct186M">'[13]Func Study'!$AB$2129</definedName>
    <definedName name="UAcct190">'[13]Func Study'!$AB$2243</definedName>
    <definedName name="UAcct190Baddebt">'[13]Func Study'!$AB$2237</definedName>
    <definedName name="UAcct190Dop">'[13]Func Study'!$AB$2235</definedName>
    <definedName name="UAcct2281">'[13]Func Study'!$AB$2191</definedName>
    <definedName name="UAcct2282">'[13]Func Study'!$AB$2195</definedName>
    <definedName name="UAcct2283">'[13]Func Study'!$AB$2200</definedName>
    <definedName name="UACCT22841SG">'[13]Func Study'!$AB$2205</definedName>
    <definedName name="UAcct22842">'[13]Func Study'!$AB$2211</definedName>
    <definedName name="UAcct235">'[13]Func Study'!$AB$2187</definedName>
    <definedName name="UACCT235CN">'[13]Func Study'!$AB$2186</definedName>
    <definedName name="UAcct252">'[13]Func Study'!$AB$2219</definedName>
    <definedName name="UAcct25316">'[13]Func Study'!$AB$2057</definedName>
    <definedName name="UAcct25317">'[13]Func Study'!$AB$2061</definedName>
    <definedName name="UAcct25318">'[13]Func Study'!$AB$2098</definedName>
    <definedName name="UAcct25319">'[13]Func Study'!$AB$2065</definedName>
    <definedName name="uacct25398">'[13]Func Study'!$AB$2222</definedName>
    <definedName name="UAcct25399">'[13]Func Study'!$AB$2230</definedName>
    <definedName name="UACCT254SO">'[13]Func Study'!$AB$2202</definedName>
    <definedName name="UAcct255">'[13]Func Study'!$AB$2284</definedName>
    <definedName name="UAcct281">'[13]Func Study'!$AB$2249</definedName>
    <definedName name="UAcct282">'[13]Func Study'!$AB$2259</definedName>
    <definedName name="UAcct282Cn">'[13]Func Study'!$AB$2256</definedName>
    <definedName name="UAcct282So">'[13]Func Study'!$AB$2255</definedName>
    <definedName name="UAcct283">'[13]Func Study'!$AB$2271</definedName>
    <definedName name="UAcct283So">'[13]Func Study'!$AB$2265</definedName>
    <definedName name="UAcct301S">'[13]Func Study'!$AB$1964</definedName>
    <definedName name="UAcct301Sg">'[13]Func Study'!$AB$1966</definedName>
    <definedName name="UAcct301So">'[13]Func Study'!$AB$1965</definedName>
    <definedName name="UAcct302S">'[13]Func Study'!$AB$1969</definedName>
    <definedName name="UAcct302Sg">'[13]Func Study'!$AB$1970</definedName>
    <definedName name="UAcct302Sgp">'[13]Func Study'!$AB$1971</definedName>
    <definedName name="UAcct302Sgu">'[13]Func Study'!$AB$1972</definedName>
    <definedName name="UAcct303Cn">'[13]Func Study'!$AB$1980</definedName>
    <definedName name="UAcct303S">'[13]Func Study'!$AB$1976</definedName>
    <definedName name="UAcct303Se">'[13]Func Study'!$AB$1979</definedName>
    <definedName name="UAcct303Sg">'[13]Func Study'!$AB$1977</definedName>
    <definedName name="UAcct303Sgu">'[13]Func Study'!$AB$1981</definedName>
    <definedName name="UAcct303So">'[13]Func Study'!$AB$1978</definedName>
    <definedName name="UACCT303SSGCH">'[13]Func Study'!$AB$1983</definedName>
    <definedName name="UAcct310">'[13]Func Study'!$AB$1414</definedName>
    <definedName name="UAcct310JBG">'[13]Func Study'!$AB$1413</definedName>
    <definedName name="UAcct311">'[13]Func Study'!$AB$1421</definedName>
    <definedName name="UAcct311JBG">'[13]Func Study'!$AB$1420</definedName>
    <definedName name="UAcct312">'[13]Func Study'!$AB$1428</definedName>
    <definedName name="UAcct312JBG">'[13]Func Study'!$AB$1427</definedName>
    <definedName name="UAcct314">'[13]Func Study'!$AB$1435</definedName>
    <definedName name="UAcct314JBG">'[13]Func Study'!$AB$1434</definedName>
    <definedName name="UAcct315">'[13]Func Study'!$AB$1442</definedName>
    <definedName name="UAcct315JBG">'[13]Func Study'!$AB$1441</definedName>
    <definedName name="UAcct316">'[13]Func Study'!$AB$1450</definedName>
    <definedName name="UAcct316JBG">'[13]Func Study'!$AB$1449</definedName>
    <definedName name="UAcct320">'[13]Func Study'!$AB$1466</definedName>
    <definedName name="UAcct321">'[13]Func Study'!$AB$1471</definedName>
    <definedName name="UAcct322">'[13]Func Study'!$AB$1476</definedName>
    <definedName name="UAcct323">'[13]Func Study'!$AB$1481</definedName>
    <definedName name="UAcct324">'[13]Func Study'!$AB$1486</definedName>
    <definedName name="UAcct325">'[13]Func Study'!$AB$1491</definedName>
    <definedName name="UAcct33">'[13]Func Study'!$AB$295</definedName>
    <definedName name="UAcct330">'[13]Func Study'!$AB$1508</definedName>
    <definedName name="UAcct331">'[13]Func Study'!$AB$1513</definedName>
    <definedName name="UAcct332">'[13]Func Study'!$AB$1518</definedName>
    <definedName name="UAcct333">'[13]Func Study'!$AB$1523</definedName>
    <definedName name="UAcct334">'[13]Func Study'!$AB$1528</definedName>
    <definedName name="UAcct335">'[13]Func Study'!$AB$1533</definedName>
    <definedName name="UAcct336">'[13]Func Study'!$AB$1539</definedName>
    <definedName name="UAcct340Dgu">'[13]Func Study'!$AB$1564</definedName>
    <definedName name="UAcct340Sgu">'[13]Func Study'!$AB$1565</definedName>
    <definedName name="UAcct341Dgu">'[13]Func Study'!$AB$1569</definedName>
    <definedName name="UAcct341Sgu">'[13]Func Study'!$AB$1570</definedName>
    <definedName name="UAcct342Dgu">'[13]Func Study'!$AB$1574</definedName>
    <definedName name="UAcct342Sgu">'[13]Func Study'!$AB$1575</definedName>
    <definedName name="UAcct343">'[13]Func Study'!$AB$1584</definedName>
    <definedName name="UAcct344S">'[13]Func Study'!$AB$1587</definedName>
    <definedName name="UAcct344Sgp">'[13]Func Study'!$AB$1588</definedName>
    <definedName name="UAcct345Dgu">'[13]Func Study'!$AB$1594</definedName>
    <definedName name="UAcct345Sgu">'[13]Func Study'!$AB$1595</definedName>
    <definedName name="UAcct346">'[13]Func Study'!$AB$1601</definedName>
    <definedName name="UAcct350">'[13]Func Study'!$AB$1628</definedName>
    <definedName name="UAcct352">'[13]Func Study'!$AB$1635</definedName>
    <definedName name="UAcct353">'[13]Func Study'!$AB$1641</definedName>
    <definedName name="UAcct354">'[13]Func Study'!$AB$1647</definedName>
    <definedName name="UAcct355">'[13]Func Study'!$AB$1654</definedName>
    <definedName name="UAcct356">'[13]Func Study'!$AB$1660</definedName>
    <definedName name="UAcct357">'[13]Func Study'!$AB$1666</definedName>
    <definedName name="UAcct358">'[13]Func Study'!$AB$1672</definedName>
    <definedName name="UAcct359">'[13]Func Study'!$AB$1678</definedName>
    <definedName name="UAcct360">'[13]Func Study'!$AB$1698</definedName>
    <definedName name="UAcct361">'[13]Func Study'!$AB$1704</definedName>
    <definedName name="UAcct362">'[13]Func Study'!$AB$1710</definedName>
    <definedName name="UAcct368">'[13]Func Study'!$AB$1744</definedName>
    <definedName name="UAcct369">'[13]Func Study'!$AB$1751</definedName>
    <definedName name="UAcct370">'[13]Func Study'!$AB$1762</definedName>
    <definedName name="UAcct372A">'[13]Func Study'!$AB$1775</definedName>
    <definedName name="UAcct372Dp">'[13]Func Study'!$AB$1773</definedName>
    <definedName name="UAcct372Ds">'[13]Func Study'!$AB$1774</definedName>
    <definedName name="UAcct373">'[13]Func Study'!$AB$1782</definedName>
    <definedName name="UAcct389Cn">'[13]Func Study'!$AB$1800</definedName>
    <definedName name="UAcct389S">'[13]Func Study'!$AB$1799</definedName>
    <definedName name="UAcct389Sg">'[13]Func Study'!$AB$1802</definedName>
    <definedName name="UAcct389Sgu">'[13]Func Study'!$AB$1801</definedName>
    <definedName name="UAcct389So">'[13]Func Study'!$AB$1803</definedName>
    <definedName name="UAcct390Cn">'[13]Func Study'!$AB$1810</definedName>
    <definedName name="UAcct390JBG">'[13]Func Study'!$AB$1812</definedName>
    <definedName name="UAcct390L">'[13]Func Study'!$AB$1927</definedName>
    <definedName name="UACCT390LRCL">'[13]Func Study'!$AB$1929</definedName>
    <definedName name="UAcct390S">'[13]Func Study'!$AB$1807</definedName>
    <definedName name="UAcct390Sgp">'[13]Func Study'!$AB$1808</definedName>
    <definedName name="UAcct390Sgu">'[13]Func Study'!$AB$1809</definedName>
    <definedName name="UAcct390Sop">'[13]Func Study'!$AB$1811</definedName>
    <definedName name="UAcct390Sou">'[13]Func Study'!$AB$1813</definedName>
    <definedName name="UAcct391Cn">'[13]Func Study'!$AB$1820</definedName>
    <definedName name="UACCT391JBE">'[13]Func Study'!$AB$1825</definedName>
    <definedName name="UAcct391S">'[13]Func Study'!$AB$1817</definedName>
    <definedName name="UAcct391Sg">'[13]Func Study'!$AB$1821</definedName>
    <definedName name="UAcct391Sgp">'[13]Func Study'!$AB$1818</definedName>
    <definedName name="UAcct391Sgu">'[13]Func Study'!$AB$1819</definedName>
    <definedName name="UAcct391So">'[13]Func Study'!$AB$1823</definedName>
    <definedName name="UACCT391SSGCH">'[13]Func Study'!$AB$1824</definedName>
    <definedName name="UAcct392Cn">'[13]Func Study'!$AB$1832</definedName>
    <definedName name="UAcct392L">'[13]Func Study'!$AB$1935</definedName>
    <definedName name="UAcct392Lrcl">'[13]Func Study'!$AB$1937</definedName>
    <definedName name="UAcct392S">'[13]Func Study'!$AB$1829</definedName>
    <definedName name="UAcct392Se">'[13]Func Study'!$AB$1834</definedName>
    <definedName name="UAcct392Sg">'[13]Func Study'!$AB$1831</definedName>
    <definedName name="UAcct392Sgp">'[13]Func Study'!$AB$1835</definedName>
    <definedName name="UAcct392Sgu">'[13]Func Study'!$AB$1833</definedName>
    <definedName name="UAcct392So">'[13]Func Study'!$AB$1830</definedName>
    <definedName name="UACCT392SSGCH">'[13]Func Study'!$AB$1836</definedName>
    <definedName name="UAcct393S">'[13]Func Study'!$AB$1841</definedName>
    <definedName name="UAcct393Sg">'[13]Func Study'!$AB$1845</definedName>
    <definedName name="UAcct393Sgp">'[13]Func Study'!$AB$1842</definedName>
    <definedName name="UAcct393Sgu">'[13]Func Study'!$AB$1843</definedName>
    <definedName name="UAcct393So">'[13]Func Study'!$AB$1844</definedName>
    <definedName name="UACCT393SSGCT">'[13]Func Study'!$AB$1846</definedName>
    <definedName name="UAcct394S">'[13]Func Study'!$AB$1850</definedName>
    <definedName name="UAcct394Se">'[13]Func Study'!$AB$1854</definedName>
    <definedName name="UAcct394Sg">'[13]Func Study'!$AB$1855</definedName>
    <definedName name="UAcct394Sgp">'[13]Func Study'!$AB$1851</definedName>
    <definedName name="UAcct394Sgu">'[13]Func Study'!$AB$1852</definedName>
    <definedName name="UAcct394So">'[13]Func Study'!$AB$1853</definedName>
    <definedName name="UACCT394SSGCH">'[13]Func Study'!$AB$1856</definedName>
    <definedName name="UAcct395S">'[13]Func Study'!$AB$1861</definedName>
    <definedName name="UAcct395Se">'[13]Func Study'!$AB$1865</definedName>
    <definedName name="UAcct395Sg">'[13]Func Study'!$AB$1866</definedName>
    <definedName name="UAcct395Sgp">'[13]Func Study'!$AB$1862</definedName>
    <definedName name="UAcct395Sgu">'[13]Func Study'!$AB$1863</definedName>
    <definedName name="UAcct395So">'[13]Func Study'!$AB$1864</definedName>
    <definedName name="UACCT395SSGCH">'[13]Func Study'!$AB$1867</definedName>
    <definedName name="UAcct396S">'[13]Func Study'!$AB$1872</definedName>
    <definedName name="UAcct396Se">'[13]Func Study'!$AB$1877</definedName>
    <definedName name="UAcct396Sg">'[13]Func Study'!$AB$1874</definedName>
    <definedName name="UAcct396Sgp">'[13]Func Study'!$AB$1873</definedName>
    <definedName name="UAcct396Sgu">'[13]Func Study'!$AB$1876</definedName>
    <definedName name="UAcct396So">'[13]Func Study'!$AB$1875</definedName>
    <definedName name="UACCT396SSGCH">'[13]Func Study'!$AB$1879</definedName>
    <definedName name="UACCT396SSGCT">'[13]Func Study'!$AB$1878</definedName>
    <definedName name="UAcct397Cn">'[13]Func Study'!$AB$1890</definedName>
    <definedName name="UAcct397JBG">'[13]Func Study'!$AB$1893</definedName>
    <definedName name="UAcct397S">'[13]Func Study'!$AB$1886</definedName>
    <definedName name="UAcct397Se">'[13]Func Study'!$AB$1892</definedName>
    <definedName name="UAcct397Sg">'[13]Func Study'!$AB$1891</definedName>
    <definedName name="UAcct397Sgp">'[13]Func Study'!$AB$1887</definedName>
    <definedName name="UAcct397Sgu">'[13]Func Study'!$AB$1888</definedName>
    <definedName name="UAcct397So">'[13]Func Study'!$AB$1889</definedName>
    <definedName name="UAcct398Cn">'[13]Func Study'!$AB$1902</definedName>
    <definedName name="UAcct398S">'[13]Func Study'!$AB$1899</definedName>
    <definedName name="UAcct398Se">'[13]Func Study'!$AB$1904</definedName>
    <definedName name="UAcct398Sg">'[13]Func Study'!$AB$1905</definedName>
    <definedName name="UAcct398Sgp">'[13]Func Study'!$AB$1900</definedName>
    <definedName name="UAcct398Sgu">'[13]Func Study'!$AB$1901</definedName>
    <definedName name="UAcct398So">'[13]Func Study'!$AB$1903</definedName>
    <definedName name="UACCT398SSGCT">'[13]Func Study'!$AB$1906</definedName>
    <definedName name="UAcct399">'[13]Func Study'!$AB$1913</definedName>
    <definedName name="UAcct399G">'[13]Func Study'!$AB$1955</definedName>
    <definedName name="UAcct399L">'[13]Func Study'!$AB$1917</definedName>
    <definedName name="UAcct399Lrcl">'[13]Func Study'!$AB$1919</definedName>
    <definedName name="UAcct403360">'[13]Func Study'!$AB$1090</definedName>
    <definedName name="UAcct403361">'[13]Func Study'!$AB$1091</definedName>
    <definedName name="UAcct403362">'[13]Func Study'!$AB$1092</definedName>
    <definedName name="UAcct403364">'[13]Func Study'!$AB$1094</definedName>
    <definedName name="UAcct403365">'[13]Func Study'!$AB$1095</definedName>
    <definedName name="UAcct403366">'[13]Func Study'!$AB$1096</definedName>
    <definedName name="UAcct403367">'[13]Func Study'!$AB$1097</definedName>
    <definedName name="UAcct403368">'[13]Func Study'!$AB$1098</definedName>
    <definedName name="UAcct403369">'[13]Func Study'!$AB$1099</definedName>
    <definedName name="UAcct403370">'[13]Func Study'!$AB$1100</definedName>
    <definedName name="UAcct403371">'[13]Func Study'!$AB$1101</definedName>
    <definedName name="UAcct403372">'[13]Func Study'!$AB$1102</definedName>
    <definedName name="UAcct403373">'[13]Func Study'!$AB$1103</definedName>
    <definedName name="UAcct403Ep">'[13]Func Study'!$AB$1130</definedName>
    <definedName name="UAcct403Gpcn">'[13]Func Study'!$AB$1111</definedName>
    <definedName name="UAcct403GPDGP">'[13]Func Study'!$AB$1108</definedName>
    <definedName name="UAcct403GPDGU">'[13]Func Study'!$AB$1109</definedName>
    <definedName name="UAcct403GPJBG">'[13]Func Study'!$AB$1115</definedName>
    <definedName name="UAcct403Gps">'[13]Func Study'!$AB$1107</definedName>
    <definedName name="UAcct403Gpsg">'[13]Func Study'!$AB$1112</definedName>
    <definedName name="UAcct403Gpso">'[13]Func Study'!$AB$1113</definedName>
    <definedName name="UAcct403Gv0">'[13]Func Study'!$AB$1121</definedName>
    <definedName name="UAcct403Hp">'[13]Func Study'!$AB$1072</definedName>
    <definedName name="UACCT403JBE">'[13]Func Study'!$AB$1116</definedName>
    <definedName name="UAcct403Mp">'[13]Func Study'!$AB$1125</definedName>
    <definedName name="UAcct403Np">'[13]Func Study'!$AB$1065</definedName>
    <definedName name="UAcct403Op">'[13]Func Study'!$AB$1080</definedName>
    <definedName name="UAcct403OPCAGE">'[13]Func Study'!$AB$1078</definedName>
    <definedName name="UAcct403Sp">'[13]Func Study'!$AB$1061</definedName>
    <definedName name="UAcct403SPJBG">'[13]Func Study'!$AB$1058</definedName>
    <definedName name="UAcct403Tp">'[13]Func Study'!$AB$1087</definedName>
    <definedName name="UAcct404330">'[13]Func Study'!$AB$1177</definedName>
    <definedName name="UACCT404GP">'[13]Func Study'!$AB$1146</definedName>
    <definedName name="UACCT404GPCN">'[13]Func Study'!$AB$1143</definedName>
    <definedName name="UACCT404GPSO">'[13]Func Study'!$AB$1141</definedName>
    <definedName name="UAcct404Ipcn">'[13]Func Study'!$AB$1158</definedName>
    <definedName name="UAcct404IPJBG">'[13]Func Study'!$AB$1163</definedName>
    <definedName name="UAcct404Ips">'[13]Func Study'!$AB$1154</definedName>
    <definedName name="UAcct404Ipse">'[13]Func Study'!$AB$1155</definedName>
    <definedName name="UAcct404Ipsg">'[13]Func Study'!$AB$1156</definedName>
    <definedName name="UAcct404Ipsg1">'[13]Func Study'!$AB$1159</definedName>
    <definedName name="UAcct404Ipsg2">'[13]Func Study'!$AB$1160</definedName>
    <definedName name="UAcct404Ipso">'[13]Func Study'!$AB$1157</definedName>
    <definedName name="UAcct404M">'[13]Func Study'!$AB$1168</definedName>
    <definedName name="UACCT404OP">'[13]Func Study'!$AB$1172</definedName>
    <definedName name="UACCT404SP">'[13]Func Study'!$AB$1151</definedName>
    <definedName name="UAcct405">'[13]Func Study'!$AB$1185</definedName>
    <definedName name="UAcct406">'[13]Func Study'!$AB$1193</definedName>
    <definedName name="UAcct407">'[13]Func Study'!$AB$1202</definedName>
    <definedName name="UAcct408">'[13]Func Study'!$AB$1221</definedName>
    <definedName name="UAcct408S">'[13]Func Study'!$AB$1213</definedName>
    <definedName name="UAcct41010">'[13]Func Study'!$AB$1294</definedName>
    <definedName name="UAcct41011">'[13]Func Study'!$AB$1309</definedName>
    <definedName name="UAcct41110">'[13]Func Study'!$AB$1325</definedName>
    <definedName name="UAcct41140">'[13]Func Study'!$AB$1232</definedName>
    <definedName name="UAcct41141">'[13]Func Study'!$AB$1237</definedName>
    <definedName name="UAcct41160">'[13]Func Study'!$AB$369</definedName>
    <definedName name="UAcct41170">'[13]Func Study'!$AB$374</definedName>
    <definedName name="UAcct4118">'[13]Func Study'!$AB$378</definedName>
    <definedName name="UAcct41181">'[13]Func Study'!$AB$381</definedName>
    <definedName name="UAcct4194">'[13]Func Study'!$AB$385</definedName>
    <definedName name="UAcct421">'[13]Func Study'!$AB$394</definedName>
    <definedName name="UAcct4311">'[13]Func Study'!$AB$401</definedName>
    <definedName name="UAcct442Se">'[13]Func Study'!$AB$259</definedName>
    <definedName name="UAcct442Sg">'[13]Func Study'!$AB$260</definedName>
    <definedName name="UAcct447">'[13]Func Study'!$AB$281</definedName>
    <definedName name="UACCT447NPC">'[13]Func Study'!$AB$289</definedName>
    <definedName name="UACCT447NPCCAEW">'[13]Func Study'!$AB$286</definedName>
    <definedName name="UACCT447NPCCAGW">'[13]Func Study'!$AB$287</definedName>
    <definedName name="UACCT447NPCDGP">'[13]Func Study'!$AB$288</definedName>
    <definedName name="UAcct447S">'[13]Func Study'!$AB$280</definedName>
    <definedName name="UAcct448S">'[13]Func Study'!$AB$274</definedName>
    <definedName name="UAcct448So">'[13]Func Study'!$AB$275</definedName>
    <definedName name="UAcct449">'[13]Func Study'!$AB$294</definedName>
    <definedName name="UAcct450">'[13]Func Study'!$AB$304</definedName>
    <definedName name="UAcct450S">'[13]Func Study'!$AB$302</definedName>
    <definedName name="UAcct450So">'[13]Func Study'!$AB$303</definedName>
    <definedName name="UAcct451S">'[13]Func Study'!$AB$307</definedName>
    <definedName name="UAcct451Sg">'[13]Func Study'!$AB$308</definedName>
    <definedName name="UAcct451So">'[13]Func Study'!$AB$309</definedName>
    <definedName name="UAcct453">'[13]Func Study'!$AB$315</definedName>
    <definedName name="UAcct454">'[13]Func Study'!$AB$322</definedName>
    <definedName name="UAcct454JBG">'[13]Func Study'!$AB$319</definedName>
    <definedName name="UAcct454S">'[13]Func Study'!$AB$318</definedName>
    <definedName name="UAcct454Sg">'[13]Func Study'!$AB$320</definedName>
    <definedName name="UAcct454So">'[13]Func Study'!$AB$321</definedName>
    <definedName name="UAcct456">'[13]Func Study'!$AB$332</definedName>
    <definedName name="UAcct456CAEW">'[13]Func Study'!$AB$331</definedName>
    <definedName name="UAcct456S">'[13]Func Study'!$AB$325</definedName>
    <definedName name="UAcct456So">'[13]Func Study'!$AB$329</definedName>
    <definedName name="UAcct500">'[13]Func Study'!$AB$416</definedName>
    <definedName name="UAcct500JBG">'[13]Func Study'!$AB$414</definedName>
    <definedName name="UAcct501">'[13]Func Study'!$AB$423</definedName>
    <definedName name="UAcct501CAEW">'[13]Func Study'!$AB$420</definedName>
    <definedName name="UAcct501JBE">'[13]Func Study'!$AB$421</definedName>
    <definedName name="UACCT501NPCCAEW">'[13]Func Study'!$AB$426</definedName>
    <definedName name="UAcct502">'[13]Func Study'!$AB$433</definedName>
    <definedName name="UAcct502CAGE">'[13]Func Study'!$AB$431</definedName>
    <definedName name="UAcct503">'[13]Func Study'!$AB$437</definedName>
    <definedName name="UACCT503NPC">'[13]Func Study'!$AB$443</definedName>
    <definedName name="UAcct505">'[13]Func Study'!$AB$449</definedName>
    <definedName name="UAcct505CAGE">'[13]Func Study'!$AB$447</definedName>
    <definedName name="UAcct506">'[13]Func Study'!$AB$455</definedName>
    <definedName name="UAcct506CAGE">'[13]Func Study'!$AB$452</definedName>
    <definedName name="UAcct507">'[13]Func Study'!$AB$464</definedName>
    <definedName name="UAcct507CAGE">'[13]Func Study'!$AB$462</definedName>
    <definedName name="UAcct510">'[13]Func Study'!$AB$469</definedName>
    <definedName name="UAcct510CAGE">'[13]Func Study'!$AB$467</definedName>
    <definedName name="UAcct511">'[13]Func Study'!$AB$474</definedName>
    <definedName name="UAcct511CAGE">'[13]Func Study'!$AB$472</definedName>
    <definedName name="UAcct512">'[13]Func Study'!$AB$479</definedName>
    <definedName name="UAcct512CAGE">'[13]Func Study'!$AB$477</definedName>
    <definedName name="UAcct513">'[13]Func Study'!$AB$484</definedName>
    <definedName name="UAcct513CAGE">'[13]Func Study'!$AB$482</definedName>
    <definedName name="UAcct514">'[13]Func Study'!$AB$489</definedName>
    <definedName name="UAcct514CAGE">'[13]Func Study'!$AB$487</definedName>
    <definedName name="UAcct517">'[13]Func Study'!$AB$498</definedName>
    <definedName name="UAcct518">'[13]Func Study'!$AB$502</definedName>
    <definedName name="UAcct519">'[13]Func Study'!$AB$507</definedName>
    <definedName name="UAcct520">'[13]Func Study'!$AB$511</definedName>
    <definedName name="UAcct523">'[13]Func Study'!$AB$515</definedName>
    <definedName name="UAcct524">'[13]Func Study'!$AB$519</definedName>
    <definedName name="UAcct528">'[13]Func Study'!$AB$523</definedName>
    <definedName name="UAcct529">'[13]Func Study'!$AB$527</definedName>
    <definedName name="UAcct530">'[13]Func Study'!$AB$531</definedName>
    <definedName name="UAcct531">'[13]Func Study'!$AB$535</definedName>
    <definedName name="UAcct532">'[13]Func Study'!$AB$539</definedName>
    <definedName name="UAcct535">'[13]Func Study'!$AB$551</definedName>
    <definedName name="UAcct536">'[13]Func Study'!$AB$555</definedName>
    <definedName name="UAcct537">'[13]Func Study'!$AB$559</definedName>
    <definedName name="UAcct538">'[13]Func Study'!$AB$563</definedName>
    <definedName name="UAcct539">'[13]Func Study'!$AB$568</definedName>
    <definedName name="UAcct540">'[13]Func Study'!$AB$572</definedName>
    <definedName name="UAcct541">'[13]Func Study'!$AB$576</definedName>
    <definedName name="UAcct542">'[13]Func Study'!$AB$580</definedName>
    <definedName name="UAcct543">'[13]Func Study'!$AB$584</definedName>
    <definedName name="UAcct544">'[13]Func Study'!$AB$588</definedName>
    <definedName name="UAcct545">'[13]Func Study'!$AB$592</definedName>
    <definedName name="UAcct546">'[13]Func Study'!$AB$606</definedName>
    <definedName name="UAcct546CAGE">'[13]Func Study'!$AB$605</definedName>
    <definedName name="UAcct547CAEW">'[13]Func Study'!$AB$610</definedName>
    <definedName name="UACCT547NPCCAEW">'[13]Func Study'!$AB$613</definedName>
    <definedName name="UAcct547Se">'[13]Func Study'!$AB$609</definedName>
    <definedName name="UAcct548">'[13]Func Study'!$AB$621</definedName>
    <definedName name="UACCT548CAGE">'[13]Func Study'!$AB$620</definedName>
    <definedName name="UAcct549">'[13]Func Study'!$AB$626</definedName>
    <definedName name="Uacct549CAGE">'[13]Func Study'!$AB$625</definedName>
    <definedName name="UAcct551CAGE">'[13]Func Study'!$AB$634</definedName>
    <definedName name="UACCT551SG">'[13]Func Study'!$AB$635</definedName>
    <definedName name="UACCT552CAGE">'[13]Func Study'!$AB$640</definedName>
    <definedName name="UAcct552SG">'[13]Func Study'!$AB$639</definedName>
    <definedName name="UACCT553CAGE">'[13]Func Study'!$AB$646</definedName>
    <definedName name="UAcct553SG">'[13]Func Study'!$AB$645</definedName>
    <definedName name="UACCT554CAGE">'[13]Func Study'!$AB$651</definedName>
    <definedName name="UAcct554SG">'[13]Func Study'!$AB$650</definedName>
    <definedName name="UAcct555CAEW">'[13]Func Study'!$AB$665</definedName>
    <definedName name="UAcct555CAGW">'[13]Func Study'!$AB$664</definedName>
    <definedName name="UACCT555DGP">'[13]Func Study'!$AB$670</definedName>
    <definedName name="UACCT555NPCCAEW">'[13]Func Study'!$AB$669</definedName>
    <definedName name="UACCT555NPCCAGW">'[13]Func Study'!$AB$668</definedName>
    <definedName name="UAcct555S">'[13]Func Study'!$AB$663</definedName>
    <definedName name="UAcct555Se">'[13]Func Study'!$AB$665</definedName>
    <definedName name="UACCT555SG">'[13]Func Study'!$AB$664</definedName>
    <definedName name="UAcct556">'[13]Func Study'!$AB$676</definedName>
    <definedName name="UAcct557">'[13]Func Study'!$AB$685</definedName>
    <definedName name="UAcct560">'[13]Func Study'!$AB$715</definedName>
    <definedName name="UAcct561">'[13]Func Study'!$AB$720</definedName>
    <definedName name="UAcct562">'[13]Func Study'!$AB$726</definedName>
    <definedName name="UAcct563">'[13]Func Study'!$AB$731</definedName>
    <definedName name="UAcct564">'[13]Func Study'!$AB$735</definedName>
    <definedName name="UAcct565">'[13]Func Study'!$AB$739</definedName>
    <definedName name="UACCT565NPC">'[13]Func Study'!$AB$744</definedName>
    <definedName name="UACCT565NPCCAGW">'[13]Func Study'!$AB$742</definedName>
    <definedName name="UAcct566">'[13]Func Study'!$AB$748</definedName>
    <definedName name="UAcct567">'[13]Func Study'!$AB$752</definedName>
    <definedName name="UAcct568">'[13]Func Study'!$AB$756</definedName>
    <definedName name="UAcct569">'[13]Func Study'!$AB$760</definedName>
    <definedName name="UAcct570">'[13]Func Study'!$AB$765</definedName>
    <definedName name="UAcct571">'[13]Func Study'!$AB$770</definedName>
    <definedName name="UAcct572">'[13]Func Study'!$AB$774</definedName>
    <definedName name="UAcct573">'[13]Func Study'!$AB$778</definedName>
    <definedName name="UAcct580">'[13]Func Study'!$AB$791</definedName>
    <definedName name="UAcct581">'[13]Func Study'!$AB$796</definedName>
    <definedName name="UAcct582">'[13]Func Study'!$AB$801</definedName>
    <definedName name="UAcct583">'[13]Func Study'!$AB$806</definedName>
    <definedName name="UAcct584">'[13]Func Study'!$AB$811</definedName>
    <definedName name="UAcct585">'[13]Func Study'!$AB$816</definedName>
    <definedName name="UAcct586">'[13]Func Study'!$AB$821</definedName>
    <definedName name="UAcct587">'[13]Func Study'!$AB$826</definedName>
    <definedName name="UAcct588">'[13]Func Study'!$AB$831</definedName>
    <definedName name="UAcct589">'[13]Func Study'!$AB$836</definedName>
    <definedName name="UAcct590">'[13]Func Study'!$AB$841</definedName>
    <definedName name="UAcct591">'[13]Func Study'!$AB$846</definedName>
    <definedName name="UAcct592">'[13]Func Study'!$AB$851</definedName>
    <definedName name="UAcct593">'[13]Func Study'!$AB$856</definedName>
    <definedName name="UAcct594">'[13]Func Study'!$AB$861</definedName>
    <definedName name="UAcct595">'[13]Func Study'!$AB$866</definedName>
    <definedName name="UAcct596">'[13]Func Study'!$AB$876</definedName>
    <definedName name="UAcct597">'[13]Func Study'!$AB$881</definedName>
    <definedName name="UAcct598">'[13]Func Study'!$AB$886</definedName>
    <definedName name="UAcct901">'[13]Func Study'!$AB$898</definedName>
    <definedName name="UAcct902">'[13]Func Study'!$AB$903</definedName>
    <definedName name="UAcct903">'[13]Func Study'!$AB$908</definedName>
    <definedName name="UAcct904">'[13]Func Study'!$AB$914</definedName>
    <definedName name="UAcct905">'[13]Func Study'!$AB$919</definedName>
    <definedName name="UAcct907">'[13]Func Study'!$AB$933</definedName>
    <definedName name="UAcct908">'[13]Func Study'!$AB$938</definedName>
    <definedName name="UAcct909">'[13]Func Study'!$AB$943</definedName>
    <definedName name="UAcct910">'[13]Func Study'!$AB$948</definedName>
    <definedName name="UAcct911">'[13]Func Study'!$AB$959</definedName>
    <definedName name="UAcct912">'[13]Func Study'!$AB$964</definedName>
    <definedName name="UAcct913">'[13]Func Study'!$AB$969</definedName>
    <definedName name="UAcct916">'[13]Func Study'!$AB$974</definedName>
    <definedName name="UAcct920">'[13]Func Study'!$AB$985</definedName>
    <definedName name="UAcct920Cn">'[13]Func Study'!$AB$983</definedName>
    <definedName name="UAcct921">'[13]Func Study'!$AB$991</definedName>
    <definedName name="UAcct921Cn">'[13]Func Study'!$AB$989</definedName>
    <definedName name="UAcct923">'[13]Func Study'!$AB$997</definedName>
    <definedName name="UAcct923CAGW">'[13]Func Study'!$AB$995</definedName>
    <definedName name="UAcct924">'[13]Func Study'!$AB$1001</definedName>
    <definedName name="UAcct925">'[13]Func Study'!$AB$1005</definedName>
    <definedName name="UAcct926">'[13]Func Study'!$AB$1011</definedName>
    <definedName name="UAcct927">'[13]Func Study'!$AB$1016</definedName>
    <definedName name="UAcct928">'[13]Func Study'!$AB$1023</definedName>
    <definedName name="UAcct929">'[13]Func Study'!$AB$1028</definedName>
    <definedName name="UAcct930">'[13]Func Study'!$AB$1034</definedName>
    <definedName name="UAcct931">'[13]Func Study'!$AB$1039</definedName>
    <definedName name="UAcct935">'[13]Func Study'!$AB$1045</definedName>
    <definedName name="UAcctAGA">'[13]Func Study'!$AB$296</definedName>
    <definedName name="UAcctcwc">'[13]Func Study'!$AB$2136</definedName>
    <definedName name="UAcctd00">'[13]Func Study'!$AB$1786</definedName>
    <definedName name="UAcctds0">'[13]Func Study'!$AB$1790</definedName>
    <definedName name="UACCTECDDGP">'[13]Func Study'!$AB$687</definedName>
    <definedName name="UACCTECDMC">'[13]Func Study'!$AB$689</definedName>
    <definedName name="UACCTECDS">'[13]Func Study'!$AB$691</definedName>
    <definedName name="UACCTECDSG1">'[13]Func Study'!$AB$688</definedName>
    <definedName name="UACCTECDSG2">'[13]Func Study'!$AB$690</definedName>
    <definedName name="UACCTECDSG3">'[13]Func Study'!$AB$692</definedName>
    <definedName name="UAcctfit">'[13]Func Study'!$AB$1395</definedName>
    <definedName name="UAcctg00">'[13]Func Study'!$AB$1947</definedName>
    <definedName name="UAccth00">'[13]Func Study'!$AB$1545</definedName>
    <definedName name="UAccti00">'[13]Func Study'!$AB$1993</definedName>
    <definedName name="UAcctn00">'[13]Func Study'!$AB$1496</definedName>
    <definedName name="UAccto00">'[13]Func Study'!$AB$1606</definedName>
    <definedName name="UAcctowc">'[13]Func Study'!$AB$2149</definedName>
    <definedName name="UACCTOWCSSECH">'[13]Func Study'!$AB$2148</definedName>
    <definedName name="UAccts00">'[13]Func Study'!$AB$1455</definedName>
    <definedName name="UAcctsttax">'[13]Func Study'!$AB$1377</definedName>
    <definedName name="UAcctt00">'[13]Func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[17]Variables!$D$25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[17]Variables!$D$29</definedName>
    <definedName name="v" localSheetId="7" hidden="1">{#N/A,#N/A,FALSE,"Coversheet";#N/A,#N/A,FALSE,"QA"}</definedName>
    <definedName name="v" hidden="1">{#N/A,#N/A,FALSE,"Coversheet";#N/A,#N/A,FALSE,"QA"}</definedName>
    <definedName name="ValidAccount">[14]Variables!$AK$43:$AK$369</definedName>
    <definedName name="Value" localSheetId="7" hidden="1">{#N/A,#N/A,FALSE,"Summ";#N/A,#N/A,FALSE,"General"}</definedName>
    <definedName name="Value" hidden="1">{#N/A,#N/A,FALSE,"Summ";#N/A,#N/A,FALSE,"General"}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VOMEsc">[15]Assumptions!$C$21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[15]Assumptions!$I$61</definedName>
    <definedName name="WaRevenueTax">[17]Variables!$D$27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7" hidden="1">{#N/A,#N/A,FALSE,"Coversheet";#N/A,#N/A,FALSE,"QA"}</definedName>
    <definedName name="WH" hidden="1">{#N/A,#N/A,FALSE,"Coversheet";#N/A,#N/A,FALSE,"QA"}</definedName>
    <definedName name="Winter">'[66]Input Tab'!$B$11</definedName>
    <definedName name="WinterPeak">'[67]Load Data'!$D$9:$H$12,'[67]Load Data'!$D$20:$H$22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7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7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7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7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7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7" hidden="1">{#N/A,#N/A,FALSE,"Cost Adjustment "}</definedName>
    <definedName name="wrn.Cost._.Adjustment." hidden="1">{#N/A,#N/A,FALSE,"Cost Adjustment 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7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7" hidden="1">{#N/A,#N/A,FALSE,"schA"}</definedName>
    <definedName name="wrn.ECR." hidden="1">{#N/A,#N/A,FALSE,"schA"}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7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7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7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7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7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emi._.Annual._.Cost._.Adj." localSheetId="7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7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test." localSheetId="7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7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'[11]MJS-6'!$F$2</definedName>
    <definedName name="WUTC_FILING_FEE">'[11]MJS-7'!$O$15</definedName>
    <definedName name="www" localSheetId="7" hidden="1">{#N/A,#N/A,FALSE,"schA"}</definedName>
    <definedName name="www" hidden="1">{#N/A,#N/A,FALSE,"schA"}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'[68]Revison Inputs'!$B$6</definedName>
    <definedName name="YEFactors">[14]Factors!$S$3:$AG$99</definedName>
    <definedName name="YTD_Format">[59]YTD!$B$13:$D$13,[59]YTD!$B$36:$D$36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7" hidden="1">{#N/A,#N/A,FALSE,"Coversheet";#N/A,#N/A,FALSE,"QA"}</definedName>
    <definedName name="z" hidden="1">{#N/A,#N/A,FALSE,"Coversheet";#N/A,#N/A,FALSE,"QA"}</definedName>
    <definedName name="zzz" localSheetId="7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7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D22" i="66" l="1"/>
  <c r="G20" i="1" l="1"/>
  <c r="F20" i="1"/>
  <c r="A38" i="69"/>
  <c r="A37" i="69"/>
  <c r="A36" i="69"/>
  <c r="A35" i="69"/>
  <c r="A34" i="69"/>
  <c r="A33" i="69"/>
  <c r="A32" i="69"/>
  <c r="I31" i="69"/>
  <c r="H31" i="69"/>
  <c r="A31" i="69"/>
  <c r="A30" i="69"/>
  <c r="A29" i="69"/>
  <c r="A28" i="69"/>
  <c r="A27" i="69"/>
  <c r="A26" i="69"/>
  <c r="A25" i="69"/>
  <c r="A24" i="69"/>
  <c r="A23" i="69"/>
  <c r="A22" i="69"/>
  <c r="A21" i="69"/>
  <c r="A20" i="69"/>
  <c r="A19" i="69"/>
  <c r="A18" i="69"/>
  <c r="A17" i="69"/>
  <c r="A16" i="69"/>
  <c r="A15" i="69"/>
  <c r="A14" i="69"/>
  <c r="I13" i="69"/>
  <c r="E30" i="69"/>
  <c r="H13" i="69"/>
  <c r="J13" i="69" s="1"/>
  <c r="A13" i="69"/>
  <c r="E29" i="69"/>
  <c r="F12" i="69"/>
  <c r="A12" i="69"/>
  <c r="A11" i="69"/>
  <c r="A10" i="69"/>
  <c r="I9" i="69"/>
  <c r="H9" i="69"/>
  <c r="A9" i="69"/>
  <c r="A8" i="69"/>
  <c r="A7" i="69"/>
  <c r="J6" i="69"/>
  <c r="I10" i="69"/>
  <c r="H10" i="69"/>
  <c r="D10" i="69"/>
  <c r="A6" i="69"/>
  <c r="J9" i="69" l="1"/>
  <c r="H11" i="69"/>
  <c r="F11" i="69"/>
  <c r="I11" i="69"/>
  <c r="J10" i="69"/>
  <c r="I21" i="69"/>
  <c r="I30" i="69"/>
  <c r="J31" i="69"/>
  <c r="D29" i="69"/>
  <c r="F29" i="69" s="1"/>
  <c r="F31" i="69"/>
  <c r="E10" i="69"/>
  <c r="E15" i="69" s="1"/>
  <c r="E17" i="69" s="1"/>
  <c r="E20" i="69" s="1"/>
  <c r="H12" i="69"/>
  <c r="F6" i="69"/>
  <c r="I12" i="69"/>
  <c r="I29" i="69" s="1"/>
  <c r="D30" i="69"/>
  <c r="F9" i="69"/>
  <c r="F13" i="69"/>
  <c r="D15" i="69"/>
  <c r="E23" i="69" l="1"/>
  <c r="I20" i="69"/>
  <c r="I23" i="69" s="1"/>
  <c r="J12" i="69"/>
  <c r="H29" i="69"/>
  <c r="J29" i="69" s="1"/>
  <c r="H15" i="69"/>
  <c r="J11" i="69"/>
  <c r="J28" i="69"/>
  <c r="J27" i="69"/>
  <c r="F30" i="69"/>
  <c r="H30" i="69"/>
  <c r="J30" i="69" s="1"/>
  <c r="I32" i="69"/>
  <c r="F28" i="69"/>
  <c r="F10" i="69"/>
  <c r="D17" i="69"/>
  <c r="F15" i="69"/>
  <c r="E32" i="69"/>
  <c r="E33" i="69" s="1"/>
  <c r="D32" i="69"/>
  <c r="D33" i="69" s="1"/>
  <c r="F27" i="69"/>
  <c r="F32" i="69" s="1"/>
  <c r="I15" i="69"/>
  <c r="I17" i="69" s="1"/>
  <c r="I35" i="69" l="1"/>
  <c r="I36" i="69" s="1"/>
  <c r="I33" i="69"/>
  <c r="H21" i="69"/>
  <c r="J21" i="69" s="1"/>
  <c r="F21" i="69"/>
  <c r="H32" i="69"/>
  <c r="F33" i="69"/>
  <c r="D20" i="69"/>
  <c r="F17" i="69"/>
  <c r="J32" i="69"/>
  <c r="J33" i="69" s="1"/>
  <c r="J15" i="69"/>
  <c r="H17" i="69"/>
  <c r="J17" i="69" s="1"/>
  <c r="H35" i="69" l="1"/>
  <c r="H36" i="69" s="1"/>
  <c r="H33" i="69"/>
  <c r="D23" i="69"/>
  <c r="F23" i="69" s="1"/>
  <c r="H20" i="69"/>
  <c r="F20" i="69"/>
  <c r="H23" i="69" l="1"/>
  <c r="J23" i="69" s="1"/>
  <c r="J20" i="69"/>
  <c r="F21" i="67" l="1"/>
  <c r="F20" i="67"/>
  <c r="F17" i="67"/>
  <c r="F16" i="67"/>
  <c r="I16" i="67" s="1"/>
  <c r="F13" i="67"/>
  <c r="F12" i="67"/>
  <c r="F9" i="67"/>
  <c r="G32" i="66"/>
  <c r="G31" i="66"/>
  <c r="G33" i="66" s="1"/>
  <c r="H33" i="66" s="1"/>
  <c r="E29" i="66"/>
  <c r="G26" i="66"/>
  <c r="G25" i="66"/>
  <c r="G24" i="66"/>
  <c r="G23" i="66"/>
  <c r="G21" i="66"/>
  <c r="G20" i="66"/>
  <c r="G19" i="66"/>
  <c r="G15" i="66"/>
  <c r="H15" i="66" s="1"/>
  <c r="D13" i="66"/>
  <c r="B4" i="66"/>
  <c r="B2" i="66"/>
  <c r="S33" i="65"/>
  <c r="N33" i="65"/>
  <c r="M33" i="65"/>
  <c r="L33" i="65"/>
  <c r="J33" i="65"/>
  <c r="I33" i="65"/>
  <c r="E33" i="65"/>
  <c r="S32" i="65"/>
  <c r="L32" i="65"/>
  <c r="J32" i="65"/>
  <c r="S30" i="65"/>
  <c r="R28" i="65"/>
  <c r="Q28" i="65"/>
  <c r="J28" i="65"/>
  <c r="N27" i="65"/>
  <c r="M27" i="65"/>
  <c r="R33" i="65"/>
  <c r="Q33" i="65"/>
  <c r="P33" i="65"/>
  <c r="O33" i="65"/>
  <c r="K33" i="65"/>
  <c r="G33" i="65"/>
  <c r="D33" i="65"/>
  <c r="R32" i="65"/>
  <c r="Q32" i="65"/>
  <c r="K32" i="65"/>
  <c r="G31" i="65"/>
  <c r="F21" i="65"/>
  <c r="H21" i="65" s="1"/>
  <c r="T21" i="65" s="1"/>
  <c r="K30" i="65"/>
  <c r="S28" i="65"/>
  <c r="K28" i="65"/>
  <c r="N32" i="65"/>
  <c r="M32" i="65"/>
  <c r="I32" i="65"/>
  <c r="G32" i="65"/>
  <c r="E32" i="65"/>
  <c r="D32" i="65"/>
  <c r="S31" i="65"/>
  <c r="Q31" i="65"/>
  <c r="P31" i="65"/>
  <c r="O31" i="65"/>
  <c r="N31" i="65"/>
  <c r="M31" i="65"/>
  <c r="L31" i="65"/>
  <c r="K31" i="65"/>
  <c r="J31" i="65"/>
  <c r="I31" i="65"/>
  <c r="D31" i="65"/>
  <c r="R30" i="65"/>
  <c r="Q30" i="65"/>
  <c r="P30" i="65"/>
  <c r="L30" i="65"/>
  <c r="J30" i="65"/>
  <c r="I30" i="65"/>
  <c r="G30" i="65"/>
  <c r="E30" i="65"/>
  <c r="O29" i="65"/>
  <c r="N29" i="65"/>
  <c r="M29" i="65"/>
  <c r="L29" i="65"/>
  <c r="J29" i="65"/>
  <c r="I29" i="65"/>
  <c r="G29" i="65"/>
  <c r="D29" i="65"/>
  <c r="P28" i="65"/>
  <c r="O28" i="65"/>
  <c r="N28" i="65"/>
  <c r="M28" i="65"/>
  <c r="L28" i="65"/>
  <c r="I28" i="65"/>
  <c r="E28" i="65"/>
  <c r="D28" i="65"/>
  <c r="G27" i="65"/>
  <c r="F12" i="65"/>
  <c r="A12" i="65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7" i="65" s="1"/>
  <c r="A28" i="65" s="1"/>
  <c r="A29" i="65" s="1"/>
  <c r="A30" i="65" s="1"/>
  <c r="A31" i="65" s="1"/>
  <c r="A32" i="65" s="1"/>
  <c r="A33" i="65" s="1"/>
  <c r="A34" i="65" s="1"/>
  <c r="O24" i="65"/>
  <c r="E24" i="65"/>
  <c r="D27" i="65"/>
  <c r="E7" i="65"/>
  <c r="G24" i="65" l="1"/>
  <c r="F14" i="65"/>
  <c r="H14" i="65" s="1"/>
  <c r="T14" i="65" s="1"/>
  <c r="I27" i="65"/>
  <c r="P29" i="65"/>
  <c r="O32" i="65"/>
  <c r="D27" i="66"/>
  <c r="D40" i="66" s="1"/>
  <c r="R24" i="65"/>
  <c r="G28" i="65"/>
  <c r="Q29" i="65"/>
  <c r="P32" i="65"/>
  <c r="S24" i="65"/>
  <c r="R29" i="65"/>
  <c r="L27" i="65"/>
  <c r="L34" i="65" s="1"/>
  <c r="K29" i="65"/>
  <c r="M30" i="65"/>
  <c r="F23" i="65"/>
  <c r="H23" i="65" s="1"/>
  <c r="E29" i="65"/>
  <c r="F29" i="65" s="1"/>
  <c r="M24" i="65"/>
  <c r="P27" i="65"/>
  <c r="P34" i="65" s="1"/>
  <c r="D30" i="65"/>
  <c r="D34" i="65" s="1"/>
  <c r="N30" i="65"/>
  <c r="F20" i="65"/>
  <c r="H20" i="65" s="1"/>
  <c r="T20" i="65" s="1"/>
  <c r="E31" i="65"/>
  <c r="F31" i="65" s="1"/>
  <c r="P24" i="65"/>
  <c r="Q24" i="65"/>
  <c r="F32" i="65"/>
  <c r="F19" i="65"/>
  <c r="H19" i="65" s="1"/>
  <c r="T19" i="65" s="1"/>
  <c r="J24" i="65"/>
  <c r="F22" i="65"/>
  <c r="H22" i="65" s="1"/>
  <c r="T22" i="65" s="1"/>
  <c r="K27" i="65"/>
  <c r="K34" i="65" s="1"/>
  <c r="F16" i="65"/>
  <c r="H16" i="65" s="1"/>
  <c r="H31" i="65" s="1"/>
  <c r="O27" i="65"/>
  <c r="O34" i="65" s="1"/>
  <c r="S29" i="65"/>
  <c r="N24" i="65"/>
  <c r="H12" i="65"/>
  <c r="T12" i="65" s="1"/>
  <c r="O30" i="65"/>
  <c r="R31" i="65"/>
  <c r="F18" i="65"/>
  <c r="H18" i="65" s="1"/>
  <c r="T18" i="65" s="1"/>
  <c r="F11" i="67"/>
  <c r="F15" i="67"/>
  <c r="F19" i="67"/>
  <c r="C22" i="67"/>
  <c r="F10" i="67"/>
  <c r="F14" i="67"/>
  <c r="F18" i="67"/>
  <c r="T23" i="65"/>
  <c r="T33" i="65" s="1"/>
  <c r="H33" i="65"/>
  <c r="T16" i="65"/>
  <c r="T31" i="65" s="1"/>
  <c r="N34" i="65"/>
  <c r="F33" i="65"/>
  <c r="F28" i="65"/>
  <c r="M34" i="65"/>
  <c r="G34" i="65"/>
  <c r="I34" i="65"/>
  <c r="F30" i="65"/>
  <c r="E12" i="66"/>
  <c r="E13" i="66" s="1"/>
  <c r="F15" i="65"/>
  <c r="H15" i="65" s="1"/>
  <c r="G12" i="66"/>
  <c r="D33" i="66"/>
  <c r="E33" i="66" s="1"/>
  <c r="D24" i="65"/>
  <c r="F24" i="65" s="1"/>
  <c r="Q27" i="65"/>
  <c r="Q34" i="65" s="1"/>
  <c r="G29" i="66"/>
  <c r="H29" i="66" s="1"/>
  <c r="F11" i="65"/>
  <c r="H11" i="65" s="1"/>
  <c r="J27" i="65"/>
  <c r="J34" i="65" s="1"/>
  <c r="R27" i="65"/>
  <c r="G18" i="66"/>
  <c r="I24" i="65"/>
  <c r="E27" i="65"/>
  <c r="E15" i="66"/>
  <c r="K24" i="65"/>
  <c r="S27" i="65"/>
  <c r="F17" i="65"/>
  <c r="H17" i="65" s="1"/>
  <c r="F13" i="65"/>
  <c r="H13" i="65" s="1"/>
  <c r="L24" i="65"/>
  <c r="E27" i="66" l="1"/>
  <c r="E34" i="66" s="1"/>
  <c r="E36" i="66" s="1"/>
  <c r="T29" i="65"/>
  <c r="R34" i="65"/>
  <c r="S34" i="65"/>
  <c r="H29" i="65"/>
  <c r="F22" i="67"/>
  <c r="H32" i="65"/>
  <c r="T17" i="65"/>
  <c r="H12" i="66"/>
  <c r="H13" i="66" s="1"/>
  <c r="G13" i="66"/>
  <c r="H30" i="65"/>
  <c r="T15" i="65"/>
  <c r="H24" i="65"/>
  <c r="H27" i="65"/>
  <c r="H34" i="65" s="1"/>
  <c r="T11" i="65"/>
  <c r="D34" i="66"/>
  <c r="H28" i="65"/>
  <c r="T13" i="65"/>
  <c r="F27" i="65"/>
  <c r="E34" i="65"/>
  <c r="F34" i="65" s="1"/>
  <c r="T30" i="65" l="1"/>
  <c r="T28" i="65"/>
  <c r="T32" i="65"/>
  <c r="T27" i="65"/>
  <c r="T24" i="65"/>
  <c r="T34" i="65" l="1"/>
  <c r="E8" i="1" l="1"/>
  <c r="D7" i="1"/>
  <c r="A4" i="34" l="1"/>
  <c r="A2" i="34"/>
  <c r="C7" i="18" l="1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E9" i="1" s="1"/>
  <c r="A4" i="18" l="1"/>
  <c r="A2" i="18"/>
  <c r="D17" i="34" l="1"/>
  <c r="E10" i="34" l="1"/>
  <c r="D11" i="1" s="1"/>
  <c r="E12" i="34"/>
  <c r="D13" i="1" s="1"/>
  <c r="E11" i="34"/>
  <c r="D12" i="1" s="1"/>
  <c r="E16" i="34"/>
  <c r="D17" i="1" s="1"/>
  <c r="E14" i="34"/>
  <c r="D15" i="1" s="1"/>
  <c r="E15" i="34"/>
  <c r="D16" i="1" s="1"/>
  <c r="E13" i="34"/>
  <c r="D14" i="1" s="1"/>
  <c r="A11" i="34" l="1"/>
  <c r="A12" i="34" s="1"/>
  <c r="A13" i="34" s="1"/>
  <c r="A14" i="34" s="1"/>
  <c r="A15" i="34" s="1"/>
  <c r="A16" i="34" s="1"/>
  <c r="A17" i="34" s="1"/>
  <c r="D18" i="1"/>
  <c r="F11" i="1" l="1"/>
  <c r="E17" i="34"/>
  <c r="G12" i="1" l="1"/>
  <c r="G13" i="1"/>
  <c r="G14" i="1"/>
  <c r="G15" i="1"/>
  <c r="G16" i="1"/>
  <c r="G17" i="1"/>
  <c r="G11" i="1"/>
  <c r="G18" i="1" l="1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A12" i="1"/>
  <c r="A13" i="1" s="1"/>
  <c r="A14" i="1" s="1"/>
  <c r="A15" i="1" s="1"/>
  <c r="A16" i="1" s="1"/>
  <c r="A17" i="1" s="1"/>
  <c r="A18" i="1" s="1"/>
  <c r="A19" i="1" s="1"/>
  <c r="A20" i="1" s="1"/>
  <c r="E11" i="1" l="1"/>
  <c r="E14" i="1"/>
  <c r="N22" i="18"/>
  <c r="E15" i="1"/>
  <c r="E12" i="1"/>
  <c r="E16" i="1"/>
  <c r="E13" i="1"/>
  <c r="E17" i="1"/>
  <c r="E18" i="1" l="1"/>
  <c r="E19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1" i="1"/>
  <c r="H20" i="1"/>
  <c r="H12" i="1" l="1"/>
  <c r="F18" i="1"/>
  <c r="J12" i="1" l="1"/>
  <c r="J17" i="1"/>
  <c r="I15" i="1"/>
  <c r="J16" i="1"/>
  <c r="I16" i="1"/>
  <c r="I17" i="1" l="1"/>
  <c r="K17" i="1" s="1"/>
  <c r="E21" i="67" s="1"/>
  <c r="G21" i="67" s="1"/>
  <c r="H21" i="67" s="1"/>
  <c r="J15" i="1"/>
  <c r="K15" i="1" s="1"/>
  <c r="I12" i="1"/>
  <c r="K12" i="1" s="1"/>
  <c r="K16" i="1"/>
  <c r="J13" i="1"/>
  <c r="I13" i="1"/>
  <c r="J11" i="1"/>
  <c r="M11" i="1" s="1"/>
  <c r="I11" i="1"/>
  <c r="J14" i="1"/>
  <c r="I14" i="1"/>
  <c r="E20" i="67" l="1"/>
  <c r="G20" i="67" s="1"/>
  <c r="H20" i="67" s="1"/>
  <c r="E15" i="67"/>
  <c r="G15" i="67" s="1"/>
  <c r="H15" i="67" s="1"/>
  <c r="E16" i="67"/>
  <c r="G16" i="67" s="1"/>
  <c r="H16" i="67" s="1"/>
  <c r="U18" i="65" s="1"/>
  <c r="E11" i="67"/>
  <c r="G11" i="67" s="1"/>
  <c r="H11" i="67" s="1"/>
  <c r="E19" i="67"/>
  <c r="G19" i="67" s="1"/>
  <c r="H19" i="67" s="1"/>
  <c r="E14" i="67"/>
  <c r="G14" i="67" s="1"/>
  <c r="H14" i="67" s="1"/>
  <c r="U23" i="65"/>
  <c r="I21" i="67"/>
  <c r="K14" i="1"/>
  <c r="K13" i="1"/>
  <c r="K11" i="1"/>
  <c r="L11" i="1"/>
  <c r="N11" i="1" s="1"/>
  <c r="U33" i="65" l="1"/>
  <c r="V33" i="65" s="1"/>
  <c r="V23" i="65"/>
  <c r="I14" i="67"/>
  <c r="U16" i="65"/>
  <c r="U21" i="65"/>
  <c r="V21" i="65" s="1"/>
  <c r="I19" i="67"/>
  <c r="U13" i="65"/>
  <c r="I11" i="67"/>
  <c r="E10" i="67"/>
  <c r="G10" i="67" s="1"/>
  <c r="H10" i="67" s="1"/>
  <c r="E9" i="67"/>
  <c r="E17" i="67"/>
  <c r="G17" i="67" s="1"/>
  <c r="H17" i="67" s="1"/>
  <c r="E12" i="67"/>
  <c r="G12" i="67" s="1"/>
  <c r="H12" i="67" s="1"/>
  <c r="U17" i="65"/>
  <c r="I15" i="67"/>
  <c r="E13" i="67"/>
  <c r="G13" i="67" s="1"/>
  <c r="E18" i="67"/>
  <c r="G18" i="67" s="1"/>
  <c r="H18" i="67" s="1"/>
  <c r="U22" i="65"/>
  <c r="V22" i="65" s="1"/>
  <c r="I20" i="67"/>
  <c r="H18" i="1"/>
  <c r="H19" i="1" s="1"/>
  <c r="G9" i="67" l="1"/>
  <c r="H9" i="67" s="1"/>
  <c r="G22" i="66"/>
  <c r="G27" i="66" s="1"/>
  <c r="U20" i="65"/>
  <c r="V20" i="65" s="1"/>
  <c r="I18" i="67"/>
  <c r="G22" i="67"/>
  <c r="H13" i="67"/>
  <c r="U28" i="65"/>
  <c r="V28" i="65" s="1"/>
  <c r="V13" i="65"/>
  <c r="V18" i="65" s="1"/>
  <c r="U32" i="65"/>
  <c r="V32" i="65" s="1"/>
  <c r="V17" i="65"/>
  <c r="U14" i="65"/>
  <c r="I12" i="67"/>
  <c r="V16" i="65"/>
  <c r="U31" i="65"/>
  <c r="V31" i="65" s="1"/>
  <c r="U19" i="65"/>
  <c r="V19" i="65" s="1"/>
  <c r="I17" i="67"/>
  <c r="U11" i="65"/>
  <c r="I9" i="67"/>
  <c r="I10" i="67"/>
  <c r="U12" i="65"/>
  <c r="V12" i="65" s="1"/>
  <c r="G40" i="66" l="1"/>
  <c r="H27" i="66"/>
  <c r="H34" i="66" s="1"/>
  <c r="H36" i="66" s="1"/>
  <c r="H37" i="66" s="1"/>
  <c r="H38" i="66" s="1"/>
  <c r="G34" i="66"/>
  <c r="V11" i="65"/>
  <c r="U27" i="65"/>
  <c r="I13" i="67"/>
  <c r="U15" i="65"/>
  <c r="H22" i="67"/>
  <c r="I22" i="67" s="1"/>
  <c r="V14" i="65"/>
  <c r="U29" i="65"/>
  <c r="V29" i="65" s="1"/>
  <c r="U30" i="65" l="1"/>
  <c r="V30" i="65" s="1"/>
  <c r="V15" i="65"/>
  <c r="U34" i="65"/>
  <c r="V34" i="65" s="1"/>
  <c r="V27" i="65"/>
  <c r="U24" i="65"/>
  <c r="V24" i="65" s="1"/>
</calcChain>
</file>

<file path=xl/sharedStrings.xml><?xml version="1.0" encoding="utf-8"?>
<sst xmlns="http://schemas.openxmlformats.org/spreadsheetml/2006/main" count="354" uniqueCount="211">
  <si>
    <t>Puget Sound Energy</t>
  </si>
  <si>
    <t>Calculation of Schedule 140 Rates</t>
  </si>
  <si>
    <t>Proposed</t>
  </si>
  <si>
    <t>Property Tax</t>
  </si>
  <si>
    <t>Monthly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</si>
  <si>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</si>
  <si>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</si>
  <si>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</si>
  <si>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</si>
  <si>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</si>
  <si>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</si>
  <si>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</si>
  <si>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</si>
  <si>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</si>
  <si>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</si>
  <si>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</si>
  <si>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</si>
  <si>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</si>
  <si>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</si>
  <si>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</si>
  <si>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</si>
  <si>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</si>
  <si>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</si>
  <si>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</si>
  <si>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</si>
  <si>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</si>
  <si>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</si>
  <si>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Total</t>
  </si>
  <si>
    <t>Proposed Revenue Requirement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</si>
  <si>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</si>
  <si>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</si>
  <si>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</si>
  <si>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</si>
  <si>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</si>
  <si>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</si>
  <si>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</si>
  <si>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</si>
  <si>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</si>
  <si>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</si>
  <si>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</si>
  <si>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</si>
  <si>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</si>
  <si>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 xml:space="preserve">New Revenue Requirement </t>
  </si>
  <si>
    <t>Base Property Tax Revenue Requirement (140A)</t>
  </si>
  <si>
    <t>Add Increment to New Cash Payment</t>
  </si>
  <si>
    <t>Net Change in Load True-Up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</si>
  <si>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</si>
  <si>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</si>
  <si>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</si>
  <si>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</si>
  <si>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</si>
  <si>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</si>
  <si>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(a)</t>
  </si>
  <si>
    <t>(b)</t>
  </si>
  <si>
    <t>(c)</t>
  </si>
  <si>
    <t>(d)</t>
  </si>
  <si>
    <t>Line</t>
  </si>
  <si>
    <t>No.</t>
  </si>
  <si>
    <t>Forecasted Therm Volumes</t>
  </si>
  <si>
    <t>Revenue Requirement Increase / (Decrease)</t>
  </si>
  <si>
    <t>(i) = (f) / (d)</t>
  </si>
  <si>
    <t>(l) = (i) * 19</t>
  </si>
  <si>
    <t>TOTAL</t>
  </si>
  <si>
    <t>Forecasted</t>
  </si>
  <si>
    <t>Development of Allocation Factors</t>
  </si>
  <si>
    <t>Allocation</t>
  </si>
  <si>
    <t>Factors</t>
  </si>
  <si>
    <r>
      <t xml:space="preserve">Allocation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</si>
  <si>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In Service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</si>
  <si>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Rate Change Impacts by Rate Schedule</t>
  </si>
  <si>
    <t>Therms</t>
  </si>
  <si>
    <t>Sch. 140</t>
  </si>
  <si>
    <t>Rate</t>
  </si>
  <si>
    <t>Volume</t>
  </si>
  <si>
    <t>Sched 140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</si>
  <si>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</si>
  <si>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</si>
  <si>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</si>
  <si>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</si>
  <si>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</si>
  <si>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</si>
  <si>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</si>
  <si>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</si>
  <si>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</si>
  <si>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</si>
  <si>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</si>
  <si>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</si>
  <si>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</si>
  <si>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</si>
  <si>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</si>
  <si>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</si>
  <si>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</si>
  <si>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</si>
  <si>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</si>
  <si>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</si>
  <si>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</si>
  <si>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</si>
  <si>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</si>
  <si>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23,53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</si>
  <si>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</si>
  <si>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</si>
  <si>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</si>
  <si>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</si>
  <si>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</si>
  <si>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</si>
  <si>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Typical Residential Bill Impacts</t>
  </si>
  <si>
    <t>Current Rates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</si>
  <si>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</si>
  <si>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</si>
  <si>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</si>
  <si>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</si>
  <si>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</si>
  <si>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</si>
  <si>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</si>
  <si>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</si>
  <si>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</si>
  <si>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</si>
  <si>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</si>
  <si>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Gas Schedule 140</t>
  </si>
  <si>
    <t>Volume (Therms)</t>
  </si>
  <si>
    <t>Proposed Rates</t>
  </si>
  <si>
    <t>(f) = (c) * [Ln. 10]</t>
  </si>
  <si>
    <r>
      <t xml:space="preserve">Therms </t>
    </r>
    <r>
      <rPr>
        <vertAlign val="superscript"/>
        <sz val="11"/>
        <color theme="1"/>
        <rFont val="Calibri"/>
        <family val="2"/>
        <scheme val="minor"/>
      </rPr>
      <t>(2)</t>
    </r>
  </si>
  <si>
    <t>Base Sch.</t>
  </si>
  <si>
    <t>Base Schedule</t>
  </si>
  <si>
    <t>Sch. 101</t>
  </si>
  <si>
    <t>Sch. 106</t>
  </si>
  <si>
    <t>Sch. 120</t>
  </si>
  <si>
    <t>Sch. 129</t>
  </si>
  <si>
    <t>Sch. 142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</si>
  <si>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</si>
  <si>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</si>
  <si>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</si>
  <si>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</si>
  <si>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</si>
  <si>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</si>
  <si>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</si>
  <si>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</si>
  <si>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</si>
  <si>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</si>
  <si>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t>Schedule 140 Property Tax</t>
  </si>
  <si>
    <t>Rate Change</t>
  </si>
  <si>
    <t>Basic charge (Sch. 23)</t>
  </si>
  <si>
    <t>Delivery charge (Sch. 23)</t>
  </si>
  <si>
    <t>Decoupling charge (Sch. 142)</t>
  </si>
  <si>
    <t>Conservation charge (Sch. 120)</t>
  </si>
  <si>
    <t>Gas cost charge (Sch. 101)</t>
  </si>
  <si>
    <t>Gas cost amort. charge (Sch. 106)</t>
  </si>
  <si>
    <t>Property Tax Tracker</t>
  </si>
  <si>
    <t>&lt;==Check Load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</si>
  <si>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Plant in service from most recent approved cost of service study (2022 GRC UG-220067).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</si>
  <si>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Allocation of plant in service from most recent approved cost of service study (UG-220067).</t>
    </r>
  </si>
  <si>
    <t>UG-220067</t>
  </si>
  <si>
    <t>Sch. 141D</t>
  </si>
  <si>
    <t>Sch. 141N</t>
  </si>
  <si>
    <t>Sch. 141R</t>
  </si>
  <si>
    <t>Q</t>
  </si>
  <si>
    <t>Residential Gas Lights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</si>
  <si>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</si>
  <si>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t>Dist. Pipeline Provisional (Sch. 141D)</t>
  </si>
  <si>
    <t>Rates Not Subject to Refund (Sch. 141N)</t>
  </si>
  <si>
    <t>Rates Subject to Refund (Sch. 141R)</t>
  </si>
  <si>
    <t>Proposed Rates Effective May 1, 2024</t>
  </si>
  <si>
    <t>12ME Apr. 2025</t>
  </si>
  <si>
    <t>2024 Gas Schedule 140 Property Tax Tracker Filing</t>
  </si>
  <si>
    <t>Proposed Effective May 1, 2024</t>
  </si>
  <si>
    <t>check</t>
  </si>
  <si>
    <t xml:space="preserve">Source: F2023 Load Forecast Calendar Month Therms (5-26-2023)  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</si>
  <si>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Forecasted rate year normalized volume from F2023 Load Forecast.</t>
    </r>
  </si>
  <si>
    <t>(e) = (c) * [Ln. 10]</t>
  </si>
  <si>
    <t>(g) = (f) + (e)</t>
  </si>
  <si>
    <t>(h) = (e) / (d)</t>
  </si>
  <si>
    <t>(j) = (h) + (i)</t>
  </si>
  <si>
    <t>(k) = (h) * 19</t>
  </si>
  <si>
    <t>(m) = (k) + (l)</t>
  </si>
  <si>
    <t>2024 Gas Schedule 140 Property Tax Filing</t>
  </si>
  <si>
    <t>May 2024 -</t>
  </si>
  <si>
    <t>Sch. 111</t>
  </si>
  <si>
    <t>Sch. 129D</t>
  </si>
  <si>
    <t>Apr. 2025</t>
  </si>
  <si>
    <t>R</t>
  </si>
  <si>
    <t>S = sum(G:R)</t>
  </si>
  <si>
    <t>T</t>
  </si>
  <si>
    <t>U= T/S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</si>
  <si>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January 1, 2024.</t>
    </r>
  </si>
  <si>
    <t>Cap &amp; Invest Non-Vol Credit (Sch. 111)</t>
  </si>
  <si>
    <t>Low Income charge (Sch. 129)</t>
  </si>
  <si>
    <t>Low Income Discount charge (Sch. 129D)</t>
  </si>
  <si>
    <t>Property Tax charge (Sch. 140)</t>
  </si>
  <si>
    <t>Cap &amp; Invest charge (Sch. 111)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</si>
  <si>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January 1, 2024.</t>
    </r>
  </si>
  <si>
    <r>
      <t xml:space="preserve">Property Tax Revenue Requirement - </t>
    </r>
    <r>
      <rPr>
        <b/>
        <sz val="14"/>
        <rFont val="Calibri"/>
        <family val="2"/>
      </rPr>
      <t>FINAL</t>
    </r>
    <r>
      <rPr>
        <b/>
        <sz val="14"/>
        <rFont val="Calibri"/>
        <family val="2"/>
        <scheme val="minor"/>
      </rPr>
      <t xml:space="preserve"> Filing - March, 2024</t>
    </r>
  </si>
  <si>
    <t>Revenue Requirement from 2023 Filing</t>
  </si>
  <si>
    <t>Cash Payment expected to be made 2024</t>
  </si>
  <si>
    <t>= 6</t>
  </si>
  <si>
    <t xml:space="preserve">   True-up for 2023 Load Variance</t>
  </si>
  <si>
    <t xml:space="preserve">   True-up for 2023 Tax Payment Variance</t>
  </si>
  <si>
    <t>One time transfer of Schedule 141Z residual balance</t>
  </si>
  <si>
    <t>= 9 - 10 + 11 +12 +13</t>
  </si>
  <si>
    <t xml:space="preserve">Property Tax Revenue Requirement </t>
  </si>
  <si>
    <t>= 6 + 15</t>
  </si>
  <si>
    <t>= 17 - 21</t>
  </si>
  <si>
    <t xml:space="preserve">Deferral Revenue Requirement (140B) </t>
  </si>
  <si>
    <t>= 20 + 21</t>
  </si>
  <si>
    <t>Components of Revenue Requirement Increase / (decrease):</t>
  </si>
  <si>
    <t>Net Change in Tax Payment True-Up</t>
  </si>
  <si>
    <t xml:space="preserve">No longer included: Schedule 141X residual balance (2023 filing only) </t>
  </si>
  <si>
    <t xml:space="preserve">Change in Revenue Requirement </t>
  </si>
  <si>
    <t>Base</t>
  </si>
  <si>
    <t>* When, or if, Schedule 88T becomes effective, the Schedule 87T rate would also apply to Schedule 88T.</t>
  </si>
  <si>
    <t>87, 87T*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</si>
</sst>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  <numFmt numFmtId="169" formatCode="_(&quot;$&quot;* #,##0.00000_);_(&quot;$&quot;* \(#,##0.00000\);_(&quot;$&quot;* &quot;-&quot;?????_);_(@_)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91">
    <xf numFmtId="0" fontId="0" fillId="0" borderId="0" xfId="0"/>
    <xf numFmtId="0" fontId="0" fillId="0" borderId="1" xfId="0" applyBorder="1" applyAlignment="1">
      <alignment horizontal="center"/>
    </xf>
    <xf numFmtId="42" fontId="0" fillId="0" borderId="0" xfId="0" applyNumberFormat="1"/>
    <xf numFmtId="164" fontId="0" fillId="0" borderId="2" xfId="0" applyNumberFormat="1" applyFont="1" applyFill="1" applyBorder="1"/>
    <xf numFmtId="164" fontId="0" fillId="0" borderId="0" xfId="0" applyNumberFormat="1" applyFont="1"/>
    <xf numFmtId="42" fontId="4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/>
    <xf numFmtId="44" fontId="0" fillId="0" borderId="0" xfId="0" applyNumberFormat="1" applyFont="1" applyFill="1"/>
    <xf numFmtId="3" fontId="0" fillId="0" borderId="2" xfId="0" applyNumberFormat="1" applyFont="1" applyBorder="1"/>
    <xf numFmtId="42" fontId="0" fillId="0" borderId="2" xfId="0" applyNumberFormat="1" applyFont="1" applyBorder="1"/>
    <xf numFmtId="42" fontId="0" fillId="0" borderId="0" xfId="0" applyNumberFormat="1" applyFont="1" applyBorder="1"/>
    <xf numFmtId="3" fontId="0" fillId="0" borderId="0" xfId="0" applyNumberFormat="1" applyFont="1"/>
    <xf numFmtId="42" fontId="4" fillId="0" borderId="0" xfId="0" applyNumberFormat="1" applyFont="1"/>
    <xf numFmtId="42" fontId="0" fillId="0" borderId="0" xfId="0" applyNumberFormat="1" applyFill="1"/>
    <xf numFmtId="0" fontId="0" fillId="0" borderId="0" xfId="0" applyFill="1"/>
    <xf numFmtId="41" fontId="0" fillId="0" borderId="0" xfId="0" applyNumberFormat="1" applyFill="1"/>
    <xf numFmtId="0" fontId="0" fillId="0" borderId="2" xfId="0" applyFill="1" applyBorder="1"/>
    <xf numFmtId="42" fontId="0" fillId="0" borderId="4" xfId="0" applyNumberFormat="1" applyFill="1" applyBorder="1"/>
    <xf numFmtId="165" fontId="0" fillId="0" borderId="0" xfId="0" applyNumberFormat="1" applyFont="1" applyFill="1"/>
    <xf numFmtId="41" fontId="9" fillId="0" borderId="2" xfId="0" applyNumberFormat="1" applyFont="1" applyFill="1" applyBorder="1"/>
    <xf numFmtId="0" fontId="9" fillId="0" borderId="2" xfId="0" applyFont="1" applyFill="1" applyBorder="1"/>
    <xf numFmtId="0" fontId="11" fillId="0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2" xfId="0" applyNumberFormat="1" applyFont="1" applyFill="1" applyBorder="1"/>
    <xf numFmtId="0" fontId="12" fillId="0" borderId="0" xfId="0" applyFont="1" applyFill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2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5" fillId="0" borderId="0" xfId="0" applyNumberFormat="1" applyFont="1"/>
    <xf numFmtId="165" fontId="0" fillId="0" borderId="0" xfId="0" applyNumberFormat="1"/>
    <xf numFmtId="42" fontId="3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4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5" fillId="0" borderId="0" xfId="0" applyFont="1" applyBorder="1" applyAlignment="1">
      <alignment horizontal="left"/>
    </xf>
    <xf numFmtId="3" fontId="16" fillId="0" borderId="0" xfId="0" applyNumberFormat="1" applyFont="1" applyBorder="1"/>
    <xf numFmtId="42" fontId="16" fillId="0" borderId="0" xfId="0" applyNumberFormat="1" applyFont="1" applyBorder="1"/>
    <xf numFmtId="0" fontId="16" fillId="0" borderId="0" xfId="0" applyFont="1"/>
    <xf numFmtId="42" fontId="16" fillId="0" borderId="0" xfId="0" applyNumberFormat="1" applyFont="1"/>
    <xf numFmtId="10" fontId="16" fillId="0" borderId="0" xfId="0" applyNumberFormat="1" applyFont="1"/>
    <xf numFmtId="167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167" fontId="16" fillId="0" borderId="2" xfId="0" applyNumberFormat="1" applyFont="1" applyFill="1" applyBorder="1"/>
    <xf numFmtId="44" fontId="1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/>
    <xf numFmtId="168" fontId="4" fillId="0" borderId="0" xfId="0" applyNumberFormat="1" applyFont="1"/>
    <xf numFmtId="0" fontId="18" fillId="0" borderId="0" xfId="0" applyFont="1" applyBorder="1"/>
    <xf numFmtId="44" fontId="18" fillId="0" borderId="0" xfId="0" applyNumberFormat="1" applyFont="1" applyBorder="1"/>
    <xf numFmtId="44" fontId="4" fillId="0" borderId="0" xfId="0" applyNumberFormat="1" applyFont="1"/>
    <xf numFmtId="44" fontId="4" fillId="0" borderId="0" xfId="0" applyNumberFormat="1" applyFont="1" applyBorder="1"/>
    <xf numFmtId="44" fontId="4" fillId="0" borderId="2" xfId="0" applyNumberFormat="1" applyFont="1" applyBorder="1"/>
    <xf numFmtId="0" fontId="4" fillId="0" borderId="0" xfId="0" applyFont="1" applyBorder="1"/>
    <xf numFmtId="169" fontId="5" fillId="0" borderId="0" xfId="0" applyNumberFormat="1" applyFont="1"/>
    <xf numFmtId="169" fontId="18" fillId="0" borderId="0" xfId="0" applyNumberFormat="1" applyFont="1" applyBorder="1"/>
    <xf numFmtId="169" fontId="4" fillId="0" borderId="0" xfId="0" applyNumberFormat="1" applyFont="1"/>
    <xf numFmtId="169" fontId="0" fillId="0" borderId="0" xfId="0" applyNumberFormat="1" applyFont="1"/>
    <xf numFmtId="169" fontId="4" fillId="0" borderId="2" xfId="0" applyNumberFormat="1" applyFont="1" applyBorder="1"/>
    <xf numFmtId="169" fontId="0" fillId="0" borderId="0" xfId="0" applyNumberFormat="1" applyFont="1" applyFill="1"/>
    <xf numFmtId="168" fontId="4" fillId="0" borderId="2" xfId="0" applyNumberFormat="1" applyFont="1" applyBorder="1"/>
    <xf numFmtId="169" fontId="4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165" fontId="0" fillId="0" borderId="0" xfId="0" applyNumberFormat="1" applyFont="1"/>
    <xf numFmtId="0" fontId="0" fillId="0" borderId="0" xfId="0" quotePrefix="1" applyFont="1"/>
    <xf numFmtId="0" fontId="1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1" xfId="0" quotePrefix="1" applyFont="1" applyFill="1" applyBorder="1" applyAlignment="1">
      <alignment horizontal="center"/>
    </xf>
    <xf numFmtId="166" fontId="16" fillId="0" borderId="0" xfId="0" applyNumberFormat="1" applyFont="1" applyFill="1"/>
    <xf numFmtId="165" fontId="0" fillId="0" borderId="2" xfId="0" applyNumberFormat="1" applyBorder="1"/>
    <xf numFmtId="166" fontId="16" fillId="0" borderId="2" xfId="0" applyNumberFormat="1" applyFont="1" applyFill="1" applyBorder="1"/>
    <xf numFmtId="0" fontId="4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 indent="1"/>
    </xf>
    <xf numFmtId="42" fontId="0" fillId="0" borderId="3" xfId="0" applyNumberFormat="1" applyFill="1" applyBorder="1"/>
    <xf numFmtId="41" fontId="9" fillId="0" borderId="0" xfId="0" applyNumberFormat="1" applyFont="1" applyFill="1"/>
    <xf numFmtId="0" fontId="9" fillId="0" borderId="0" xfId="0" applyFont="1" applyFill="1"/>
    <xf numFmtId="10" fontId="0" fillId="0" borderId="0" xfId="0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" applyNumberFormat="1" applyFont="1" applyFill="1"/>
    <xf numFmtId="10" fontId="0" fillId="0" borderId="0" xfId="0" applyNumberFormat="1" applyFont="1"/>
    <xf numFmtId="10" fontId="0" fillId="0" borderId="2" xfId="0" applyNumberFormat="1" applyFont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/>
    <xf numFmtId="0" fontId="4" fillId="0" borderId="0" xfId="0" applyFont="1" applyFill="1"/>
    <xf numFmtId="41" fontId="4" fillId="0" borderId="0" xfId="0" applyNumberFormat="1" applyFont="1" applyFill="1"/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22" fillId="0" borderId="0" xfId="0" applyFont="1" applyAlignment="1">
      <alignment horizontal="left"/>
    </xf>
    <xf numFmtId="10" fontId="4" fillId="0" borderId="0" xfId="0" applyNumberFormat="1" applyFo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/>
    <xf numFmtId="3" fontId="0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164" fontId="5" fillId="0" borderId="0" xfId="0" applyNumberFormat="1" applyFont="1" applyFill="1"/>
    <xf numFmtId="164" fontId="12" fillId="0" borderId="0" xfId="0" applyNumberFormat="1" applyFont="1" applyFill="1"/>
    <xf numFmtId="0" fontId="0" fillId="0" borderId="0" xfId="0" applyFill="1" applyBorder="1"/>
    <xf numFmtId="44" fontId="0" fillId="0" borderId="0" xfId="0" applyNumberFormat="1" applyFill="1"/>
    <xf numFmtId="166" fontId="0" fillId="0" borderId="0" xfId="0" applyNumberFormat="1" applyFill="1"/>
    <xf numFmtId="43" fontId="1" fillId="0" borderId="0" xfId="1" applyFont="1"/>
    <xf numFmtId="164" fontId="1" fillId="0" borderId="0" xfId="0" applyNumberFormat="1" applyFont="1" applyFill="1"/>
    <xf numFmtId="164" fontId="0" fillId="0" borderId="1" xfId="0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2" xfId="0" applyNumberFormat="1" applyFont="1" applyFill="1" applyBorder="1"/>
    <xf numFmtId="44" fontId="4" fillId="0" borderId="0" xfId="0" applyNumberFormat="1" applyFont="1" applyFill="1" applyBorder="1"/>
    <xf numFmtId="44" fontId="0" fillId="0" borderId="0" xfId="0" applyNumberFormat="1" applyFont="1"/>
    <xf numFmtId="44" fontId="18" fillId="0" borderId="0" xfId="0" applyNumberFormat="1" applyFont="1" applyFill="1"/>
    <xf numFmtId="169" fontId="5" fillId="0" borderId="0" xfId="0" applyNumberFormat="1" applyFont="1" applyFill="1"/>
    <xf numFmtId="169" fontId="4" fillId="0" borderId="2" xfId="0" applyNumberFormat="1" applyFont="1" applyFill="1" applyBorder="1"/>
    <xf numFmtId="169" fontId="4" fillId="0" borderId="0" xfId="0" applyNumberFormat="1" applyFont="1" applyFill="1"/>
    <xf numFmtId="165" fontId="3" fillId="0" borderId="0" xfId="0" applyNumberFormat="1" applyFont="1"/>
    <xf numFmtId="165" fontId="5" fillId="0" borderId="0" xfId="0" applyNumberFormat="1" applyFont="1"/>
    <xf numFmtId="3" fontId="5" fillId="0" borderId="0" xfId="0" applyNumberFormat="1" applyFont="1" applyFill="1"/>
    <xf numFmtId="165" fontId="3" fillId="0" borderId="1" xfId="0" applyNumberFormat="1" applyFont="1" applyBorder="1"/>
    <xf numFmtId="165" fontId="5" fillId="0" borderId="1" xfId="0" applyNumberFormat="1" applyFont="1" applyBorder="1"/>
    <xf numFmtId="42" fontId="4" fillId="0" borderId="0" xfId="0" applyNumberFormat="1" applyFont="1" applyFill="1" applyBorder="1"/>
    <xf numFmtId="43" fontId="0" fillId="0" borderId="0" xfId="0" applyNumberFormat="1" applyFill="1"/>
    <xf numFmtId="17" fontId="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42" fontId="3" fillId="0" borderId="0" xfId="0" applyNumberFormat="1" applyFont="1" applyFill="1"/>
    <xf numFmtId="3" fontId="3" fillId="0" borderId="0" xfId="0" applyNumberFormat="1" applyFont="1"/>
    <xf numFmtId="44" fontId="3" fillId="0" borderId="0" xfId="0" applyNumberFormat="1" applyFont="1" applyFill="1"/>
    <xf numFmtId="169" fontId="3" fillId="0" borderId="0" xfId="0" applyNumberFormat="1" applyFont="1" applyFill="1"/>
    <xf numFmtId="3" fontId="3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2" fontId="5" fillId="0" borderId="0" xfId="0" applyNumberFormat="1" applyFont="1" applyFill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84FCB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84" Type="http://schemas.openxmlformats.org/officeDocument/2006/relationships/customXml" Target="../customXml/item3.xml"/><Relationship Id="rId16" Type="http://schemas.openxmlformats.org/officeDocument/2006/relationships/externalLink" Target="externalLinks/externalLink7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65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externalLink" Target="externalLinks/externalLink6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80" Type="http://schemas.openxmlformats.org/officeDocument/2006/relationships/sharedStrings" Target="sharedStrings.xml"/><Relationship Id="rId85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1.xml"/><Relationship Id="rId75" Type="http://schemas.openxmlformats.org/officeDocument/2006/relationships/externalLink" Target="externalLinks/externalLink66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externalLink" Target="externalLinks/externalLink64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86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24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Relationship Id="rId61" Type="http://schemas.openxmlformats.org/officeDocument/2006/relationships/externalLink" Target="externalLinks/externalLink52.xml"/><Relationship Id="rId8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1\Cost%20of%20Service\Revenue%20Reqt%20and%20Rate%20Base\May%2016%20235%20pm\Gas%20Rev%20Req%20Model%202011%20GRC%20Ori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evnu\PUBLIC\%23%202019%20GRC\Compliance%20Filing\190529-30-PSE-WP-Cmpl-RevReq-COS-(9-23-20)(C)\190529-30-PSE-WP-BDJ-06-COS-Model-19GRC-01-2020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Compliance%20Filing/190529-30-PSE-WP-Cmpl-RevReq-COS-(9-23-20)(C)/190529-30-PSE-WP-SEF-18.00G-GAS-MODEL-19GRC-01-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7\Compliance%20Filing\Cost%20Of%20Service\2017%20Gas%20COSS%20September%20TY_Complianc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Old Reports===&gt;"/>
      <sheetName val="Account Summary"/>
      <sheetName val="Salary &amp; Wage Summary"/>
      <sheetName val="ErrorCheck"/>
      <sheetName val="COS Reports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11">
          <cell r="C11">
            <v>2</v>
          </cell>
        </row>
        <row r="29">
          <cell r="F29">
            <v>7.3899999999999993E-2</v>
          </cell>
        </row>
        <row r="30">
          <cell r="F30">
            <v>2.8299999999999999E-2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/>
      <sheetData sheetId="3"/>
      <sheetData sheetId="4"/>
      <sheetData sheetId="5">
        <row r="1">
          <cell r="A1" t="str">
            <v>Account Inputs</v>
          </cell>
        </row>
      </sheetData>
      <sheetData sheetId="6"/>
      <sheetData sheetId="7"/>
      <sheetData sheetId="8"/>
      <sheetData sheetId="9">
        <row r="1">
          <cell r="A1" t="str">
            <v>Account Allocation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E6" t="str">
            <v>Total Company</v>
          </cell>
        </row>
      </sheetData>
      <sheetData sheetId="18"/>
      <sheetData sheetId="19"/>
      <sheetData sheetId="20"/>
      <sheetData sheetId="21"/>
      <sheetData sheetId="22">
        <row r="1">
          <cell r="A1" t="str">
            <v>Puget Sound Energy</v>
          </cell>
        </row>
      </sheetData>
      <sheetData sheetId="23">
        <row r="1">
          <cell r="A1" t="str">
            <v>Puget Sound Energy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 A"/>
      <sheetName val="BR 11 &amp; Other Adjs"/>
      <sheetName val="COC-Restating"/>
      <sheetName val="Summary"/>
      <sheetName val="Detailed Summary"/>
      <sheetName val="Common Adj"/>
      <sheetName val="Gas Adj"/>
      <sheetName val="Named Ranges G"/>
      <sheetName val="Combined Impacts"/>
      <sheetName val="Sch. 141X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8">
          <cell r="C8" t="str">
            <v>PUGET SOUND ENERGY - NATURAL GAS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141Z residual transfer"/>
    </sheetNames>
    <definedNames>
      <definedName name="Number_of_Payments"/>
      <definedName name="Values_Entered"/>
    </definedNames>
    <sheetDataSet>
      <sheetData sheetId="0" refreshError="1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90" zoomScaleNormal="90" workbookViewId="0">
      <selection activeCell="C27" sqref="C27"/>
    </sheetView>
  </sheetViews>
  <sheetFormatPr defaultColWidth="9.140625" defaultRowHeight="15" x14ac:dyDescent="0.25"/>
  <cols>
    <col min="1" max="1" width="4.42578125" style="6" customWidth="1"/>
    <col min="2" max="2" width="24.140625" style="6" customWidth="1"/>
    <col min="3" max="3" width="10" style="6" bestFit="1" customWidth="1"/>
    <col min="4" max="4" width="11.140625" style="6" bestFit="1" customWidth="1"/>
    <col min="5" max="5" width="13.5703125" style="6" bestFit="1" customWidth="1"/>
    <col min="6" max="6" width="14.85546875" style="6" bestFit="1" customWidth="1"/>
    <col min="7" max="7" width="15.140625" style="6" bestFit="1" customWidth="1"/>
    <col min="8" max="8" width="13.42578125" style="6" customWidth="1"/>
    <col min="9" max="11" width="12.42578125" style="6" customWidth="1"/>
    <col min="12" max="12" width="11.7109375" style="6" bestFit="1" customWidth="1"/>
    <col min="13" max="13" width="11.28515625" style="6" bestFit="1" customWidth="1"/>
    <col min="14" max="14" width="11.5703125" style="6" bestFit="1" customWidth="1"/>
    <col min="15" max="16384" width="9.140625" style="6"/>
  </cols>
  <sheetData>
    <row r="1" spans="1:15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5" x14ac:dyDescent="0.25">
      <c r="A2" s="7" t="s">
        <v>164</v>
      </c>
      <c r="B2" s="7"/>
      <c r="C2" s="7"/>
      <c r="D2" s="7"/>
      <c r="E2" s="7"/>
      <c r="F2" s="143"/>
      <c r="G2" s="7"/>
      <c r="H2" s="7"/>
      <c r="I2" s="7"/>
      <c r="J2" s="7"/>
      <c r="K2" s="7"/>
      <c r="L2" s="7"/>
      <c r="M2" s="7"/>
      <c r="N2" s="7"/>
    </row>
    <row r="3" spans="1:15" x14ac:dyDescent="0.25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5" x14ac:dyDescent="0.25">
      <c r="A4" s="187" t="s">
        <v>165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5" x14ac:dyDescent="0.25">
      <c r="L5" s="8"/>
      <c r="M5" s="8"/>
      <c r="N5" s="8"/>
    </row>
    <row r="6" spans="1:15" ht="13.5" customHeight="1" x14ac:dyDescent="0.25">
      <c r="E6" s="11" t="s">
        <v>63</v>
      </c>
      <c r="F6" s="9" t="s">
        <v>3</v>
      </c>
      <c r="G6" s="9" t="s">
        <v>3</v>
      </c>
      <c r="H6" s="9" t="s">
        <v>3</v>
      </c>
      <c r="I6" s="9" t="s">
        <v>2</v>
      </c>
      <c r="J6" s="9" t="s">
        <v>2</v>
      </c>
      <c r="K6" s="183" t="s">
        <v>2</v>
      </c>
      <c r="L6" s="184" t="s">
        <v>4</v>
      </c>
      <c r="M6" s="184" t="s">
        <v>4</v>
      </c>
      <c r="N6" s="184" t="s">
        <v>4</v>
      </c>
    </row>
    <row r="7" spans="1:15" ht="17.25" x14ac:dyDescent="0.25">
      <c r="B7" s="9"/>
      <c r="C7" s="9"/>
      <c r="D7" s="11" t="str">
        <f>MID('Allocation Factors'!$B$19,80,9)</f>
        <v>UG-220067</v>
      </c>
      <c r="E7" s="11" t="s">
        <v>122</v>
      </c>
      <c r="F7" s="9" t="s">
        <v>6</v>
      </c>
      <c r="G7" s="11" t="s">
        <v>6</v>
      </c>
      <c r="H7" s="9" t="s">
        <v>6</v>
      </c>
      <c r="I7" s="9" t="s">
        <v>7</v>
      </c>
      <c r="J7" s="9" t="s">
        <v>7</v>
      </c>
      <c r="K7" s="183" t="s">
        <v>7</v>
      </c>
      <c r="L7" s="11" t="s">
        <v>7</v>
      </c>
      <c r="M7" s="11" t="s">
        <v>7</v>
      </c>
      <c r="N7" s="11" t="s">
        <v>7</v>
      </c>
    </row>
    <row r="8" spans="1:15" ht="13.5" customHeight="1" x14ac:dyDescent="0.25">
      <c r="A8" s="38" t="s">
        <v>56</v>
      </c>
      <c r="B8" s="9"/>
      <c r="C8" s="9"/>
      <c r="D8" s="11" t="s">
        <v>5</v>
      </c>
      <c r="E8" s="104" t="str">
        <f>TEXT('Therm Forecast'!$B$7,"Mmm YYYY -")</f>
        <v>May 2024 -</v>
      </c>
      <c r="F8" s="9" t="s">
        <v>10</v>
      </c>
      <c r="G8" s="11" t="s">
        <v>10</v>
      </c>
      <c r="H8" s="9" t="s">
        <v>10</v>
      </c>
      <c r="I8" s="9" t="s">
        <v>35</v>
      </c>
      <c r="J8" s="9" t="s">
        <v>11</v>
      </c>
      <c r="K8" s="183" t="s">
        <v>11</v>
      </c>
      <c r="L8" s="11" t="s">
        <v>12</v>
      </c>
      <c r="M8" s="11" t="s">
        <v>12</v>
      </c>
      <c r="N8" s="11" t="s">
        <v>12</v>
      </c>
    </row>
    <row r="9" spans="1:15" ht="17.25" x14ac:dyDescent="0.25">
      <c r="A9" s="12" t="s">
        <v>57</v>
      </c>
      <c r="B9" s="182" t="s">
        <v>8</v>
      </c>
      <c r="C9" s="182" t="s">
        <v>9</v>
      </c>
      <c r="D9" s="13" t="s">
        <v>67</v>
      </c>
      <c r="E9" s="13" t="str">
        <f>TEXT('Therm Forecast'!$M$7,"Mmmm YYYY")</f>
        <v>April 2025</v>
      </c>
      <c r="F9" s="13" t="s">
        <v>208</v>
      </c>
      <c r="G9" s="12" t="s">
        <v>36</v>
      </c>
      <c r="H9" s="12" t="s">
        <v>62</v>
      </c>
      <c r="I9" s="12" t="s">
        <v>208</v>
      </c>
      <c r="J9" s="12" t="s">
        <v>34</v>
      </c>
      <c r="K9" s="182" t="s">
        <v>62</v>
      </c>
      <c r="L9" s="13" t="s">
        <v>208</v>
      </c>
      <c r="M9" s="13" t="s">
        <v>34</v>
      </c>
      <c r="N9" s="182" t="s">
        <v>62</v>
      </c>
    </row>
    <row r="10" spans="1:15" x14ac:dyDescent="0.25">
      <c r="B10" s="129" t="s">
        <v>52</v>
      </c>
      <c r="C10" s="129" t="s">
        <v>53</v>
      </c>
      <c r="D10" s="10" t="s">
        <v>54</v>
      </c>
      <c r="E10" s="11" t="s">
        <v>55</v>
      </c>
      <c r="F10" s="157" t="s">
        <v>169</v>
      </c>
      <c r="G10" s="11" t="s">
        <v>121</v>
      </c>
      <c r="H10" s="11" t="s">
        <v>170</v>
      </c>
      <c r="I10" s="11" t="s">
        <v>171</v>
      </c>
      <c r="J10" s="11" t="s">
        <v>60</v>
      </c>
      <c r="K10" s="11" t="s">
        <v>172</v>
      </c>
      <c r="L10" s="11" t="s">
        <v>173</v>
      </c>
      <c r="M10" s="11" t="s">
        <v>61</v>
      </c>
      <c r="N10" s="11" t="s">
        <v>174</v>
      </c>
      <c r="O10" s="11"/>
    </row>
    <row r="11" spans="1:15" x14ac:dyDescent="0.25">
      <c r="A11" s="38">
        <v>1</v>
      </c>
      <c r="B11" s="6" t="s">
        <v>13</v>
      </c>
      <c r="C11" s="6" t="s">
        <v>14</v>
      </c>
      <c r="D11" s="148">
        <f>'Allocation Factors'!E10</f>
        <v>0.62996412500855559</v>
      </c>
      <c r="E11" s="167">
        <f>SUM('Therm Forecast'!N8:N10)</f>
        <v>545275773</v>
      </c>
      <c r="F11" s="14">
        <f>F$20*D11</f>
        <v>10470313.327525686</v>
      </c>
      <c r="G11" s="20">
        <f t="shared" ref="G11:G17" si="0">$G$20*D11</f>
        <v>-1335315.5896259195</v>
      </c>
      <c r="H11" s="14">
        <f t="shared" ref="H11:H17" si="1">SUM(F11:G11)</f>
        <v>9134997.7378997672</v>
      </c>
      <c r="I11" s="26">
        <f t="shared" ref="I11:I17" si="2">ROUND(F11/$E11,5)</f>
        <v>1.9199999999999998E-2</v>
      </c>
      <c r="J11" s="26">
        <f>ROUND((+G11)/$E11,5)</f>
        <v>-2.4499999999999999E-3</v>
      </c>
      <c r="K11" s="26">
        <f>SUM(I11:J11)</f>
        <v>1.6749999999999998E-2</v>
      </c>
      <c r="L11" s="15">
        <f>ROUND(I11*19,2)</f>
        <v>0.36</v>
      </c>
      <c r="M11" s="15">
        <f>ROUND(J11*19,2)</f>
        <v>-0.05</v>
      </c>
      <c r="N11" s="15">
        <f>SUM(L11:M11)</f>
        <v>0.31</v>
      </c>
    </row>
    <row r="12" spans="1:15" x14ac:dyDescent="0.25">
      <c r="A12" s="38">
        <f>A11+1</f>
        <v>2</v>
      </c>
      <c r="B12" s="6" t="s">
        <v>15</v>
      </c>
      <c r="C12" s="6" t="s">
        <v>16</v>
      </c>
      <c r="D12" s="148">
        <f>'Allocation Factors'!E11</f>
        <v>0.28214360014751488</v>
      </c>
      <c r="E12" s="167">
        <f>SUM('Therm Forecast'!N11,'Therm Forecast'!N16)</f>
        <v>228642219</v>
      </c>
      <c r="F12" s="14">
        <f t="shared" ref="F12:F17" si="3">F$20*D12</f>
        <v>4689365.2822856903</v>
      </c>
      <c r="G12" s="20">
        <f t="shared" si="0"/>
        <v>-598051.11566478771</v>
      </c>
      <c r="H12" s="14">
        <f t="shared" si="1"/>
        <v>4091314.1666209027</v>
      </c>
      <c r="I12" s="26">
        <f t="shared" si="2"/>
        <v>2.051E-2</v>
      </c>
      <c r="J12" s="26">
        <f t="shared" ref="J12:J17" si="4">ROUND((+G12)/$E12,5)</f>
        <v>-2.6199999999999999E-3</v>
      </c>
      <c r="K12" s="26">
        <f t="shared" ref="K12:K17" si="5">SUM(I12:J12)</f>
        <v>1.789E-2</v>
      </c>
      <c r="L12" s="26"/>
      <c r="M12" s="26"/>
      <c r="N12" s="8"/>
    </row>
    <row r="13" spans="1:15" x14ac:dyDescent="0.25">
      <c r="A13" s="38">
        <f t="shared" ref="A13:A20" si="6">A12+1</f>
        <v>3</v>
      </c>
      <c r="B13" s="6" t="s">
        <v>17</v>
      </c>
      <c r="C13" s="6" t="s">
        <v>18</v>
      </c>
      <c r="D13" s="148">
        <f>'Allocation Factors'!E12</f>
        <v>4.1810408936712076E-2</v>
      </c>
      <c r="E13" s="167">
        <f>SUM('Therm Forecast'!N12,'Therm Forecast'!N17)</f>
        <v>82494154</v>
      </c>
      <c r="F13" s="14">
        <f t="shared" si="3"/>
        <v>694909.54252896574</v>
      </c>
      <c r="G13" s="20">
        <f t="shared" si="0"/>
        <v>-88624.238500991254</v>
      </c>
      <c r="H13" s="14">
        <f t="shared" si="1"/>
        <v>606285.30402797449</v>
      </c>
      <c r="I13" s="26">
        <f t="shared" si="2"/>
        <v>8.4200000000000004E-3</v>
      </c>
      <c r="J13" s="26">
        <f t="shared" si="4"/>
        <v>-1.07E-3</v>
      </c>
      <c r="K13" s="26">
        <f t="shared" si="5"/>
        <v>7.3500000000000006E-3</v>
      </c>
      <c r="L13" s="26"/>
      <c r="M13" s="26"/>
      <c r="N13" s="8"/>
    </row>
    <row r="14" spans="1:15" x14ac:dyDescent="0.25">
      <c r="A14" s="38">
        <f t="shared" si="6"/>
        <v>4</v>
      </c>
      <c r="B14" s="6" t="s">
        <v>19</v>
      </c>
      <c r="C14" s="6" t="s">
        <v>20</v>
      </c>
      <c r="D14" s="148">
        <f>'Allocation Factors'!E13</f>
        <v>2.1296892215680929E-2</v>
      </c>
      <c r="E14" s="167">
        <f>SUM('Therm Forecast'!N13,'Therm Forecast'!N18)</f>
        <v>80069954</v>
      </c>
      <c r="F14" s="14">
        <f t="shared" si="3"/>
        <v>353964.81410380901</v>
      </c>
      <c r="G14" s="20">
        <f t="shared" si="0"/>
        <v>-45142.367727361321</v>
      </c>
      <c r="H14" s="14">
        <f t="shared" si="1"/>
        <v>308822.44637644768</v>
      </c>
      <c r="I14" s="26">
        <f t="shared" si="2"/>
        <v>4.4200000000000003E-3</v>
      </c>
      <c r="J14" s="26">
        <f t="shared" si="4"/>
        <v>-5.5999999999999995E-4</v>
      </c>
      <c r="K14" s="26">
        <f t="shared" si="5"/>
        <v>3.8600000000000006E-3</v>
      </c>
      <c r="L14" s="26"/>
      <c r="M14" s="26"/>
      <c r="N14" s="8"/>
    </row>
    <row r="15" spans="1:15" x14ac:dyDescent="0.25">
      <c r="A15" s="38">
        <f t="shared" si="6"/>
        <v>5</v>
      </c>
      <c r="B15" s="6" t="s">
        <v>21</v>
      </c>
      <c r="C15" s="6" t="s">
        <v>22</v>
      </c>
      <c r="D15" s="148">
        <f>'Allocation Factors'!E14</f>
        <v>2.0973850339355751E-3</v>
      </c>
      <c r="E15" s="167">
        <f>SUM('Therm Forecast'!N14,'Therm Forecast'!N19)</f>
        <v>5950024</v>
      </c>
      <c r="F15" s="14">
        <f t="shared" si="3"/>
        <v>34859.569937367974</v>
      </c>
      <c r="G15" s="20">
        <f t="shared" si="0"/>
        <v>-4445.7625792964409</v>
      </c>
      <c r="H15" s="14">
        <f t="shared" si="1"/>
        <v>30413.807358071535</v>
      </c>
      <c r="I15" s="26">
        <f t="shared" si="2"/>
        <v>5.8599999999999998E-3</v>
      </c>
      <c r="J15" s="26">
        <f t="shared" si="4"/>
        <v>-7.5000000000000002E-4</v>
      </c>
      <c r="K15" s="26">
        <f t="shared" si="5"/>
        <v>5.11E-3</v>
      </c>
      <c r="L15" s="26"/>
      <c r="M15" s="26"/>
      <c r="N15" s="8"/>
    </row>
    <row r="16" spans="1:15" x14ac:dyDescent="0.25">
      <c r="A16" s="38">
        <f t="shared" si="6"/>
        <v>6</v>
      </c>
      <c r="B16" s="6" t="s">
        <v>23</v>
      </c>
      <c r="C16" s="6" t="s">
        <v>210</v>
      </c>
      <c r="D16" s="148">
        <f>'Allocation Factors'!E15</f>
        <v>2.1062718183053986E-2</v>
      </c>
      <c r="E16" s="167">
        <f>SUM('Therm Forecast'!N15,'Therm Forecast'!N20)</f>
        <v>144322787</v>
      </c>
      <c r="F16" s="14">
        <f t="shared" si="3"/>
        <v>350072.72660638049</v>
      </c>
      <c r="G16" s="20">
        <f t="shared" si="0"/>
        <v>-44645.996229304859</v>
      </c>
      <c r="H16" s="14">
        <f t="shared" si="1"/>
        <v>305426.73037707561</v>
      </c>
      <c r="I16" s="26">
        <f t="shared" si="2"/>
        <v>2.4299999999999999E-3</v>
      </c>
      <c r="J16" s="26">
        <f t="shared" si="4"/>
        <v>-3.1E-4</v>
      </c>
      <c r="K16" s="26">
        <f t="shared" si="5"/>
        <v>2.1199999999999999E-3</v>
      </c>
      <c r="L16" s="26"/>
      <c r="M16" s="26"/>
      <c r="N16" s="8"/>
    </row>
    <row r="17" spans="1:14" x14ac:dyDescent="0.25">
      <c r="A17" s="38">
        <f t="shared" si="6"/>
        <v>7</v>
      </c>
      <c r="B17" s="6" t="s">
        <v>25</v>
      </c>
      <c r="D17" s="148">
        <f>'Allocation Factors'!E16</f>
        <v>1.6248704745468181E-3</v>
      </c>
      <c r="E17" s="167">
        <f>'Therm Forecast'!N21</f>
        <v>32071144</v>
      </c>
      <c r="F17" s="14">
        <f t="shared" si="3"/>
        <v>27006.145762537642</v>
      </c>
      <c r="G17" s="20">
        <f t="shared" si="0"/>
        <v>-3444.1879936508526</v>
      </c>
      <c r="H17" s="14">
        <f t="shared" si="1"/>
        <v>23561.95776888679</v>
      </c>
      <c r="I17" s="26">
        <f t="shared" si="2"/>
        <v>8.4000000000000003E-4</v>
      </c>
      <c r="J17" s="26">
        <f t="shared" si="4"/>
        <v>-1.1E-4</v>
      </c>
      <c r="K17" s="26">
        <f t="shared" si="5"/>
        <v>7.3000000000000007E-4</v>
      </c>
      <c r="L17" s="26"/>
      <c r="M17" s="26"/>
      <c r="N17" s="8"/>
    </row>
    <row r="18" spans="1:14" x14ac:dyDescent="0.25">
      <c r="A18" s="38">
        <f t="shared" si="6"/>
        <v>8</v>
      </c>
      <c r="B18" s="6" t="s">
        <v>27</v>
      </c>
      <c r="D18" s="3">
        <f>SUM(D11:D17)</f>
        <v>0.99999999999999989</v>
      </c>
      <c r="E18" s="16">
        <f>SUM(E11:E17)</f>
        <v>1118826055</v>
      </c>
      <c r="F18" s="17">
        <f>SUM(F11:F17)</f>
        <v>16620491.408750439</v>
      </c>
      <c r="G18" s="17">
        <f>SUM(G11:G17)</f>
        <v>-2119669.2583213123</v>
      </c>
      <c r="H18" s="17">
        <f>SUM(H11:H17)</f>
        <v>14500822.150429128</v>
      </c>
      <c r="I18" s="18"/>
      <c r="J18" s="18"/>
      <c r="K18" s="8"/>
      <c r="L18" s="8"/>
      <c r="M18" s="8"/>
      <c r="N18" s="8"/>
    </row>
    <row r="19" spans="1:14" x14ac:dyDescent="0.25">
      <c r="A19" s="38">
        <f t="shared" si="6"/>
        <v>9</v>
      </c>
      <c r="D19" s="154" t="s">
        <v>166</v>
      </c>
      <c r="E19" s="153">
        <f>'Therm Forecast'!N22-'Sch. 140 Rates'!E18</f>
        <v>0</v>
      </c>
      <c r="H19" s="153">
        <f>H18-'2024 FINAL Rev Req FINAL'!I23</f>
        <v>0</v>
      </c>
      <c r="K19" s="8"/>
      <c r="L19" s="8"/>
      <c r="M19" s="8"/>
      <c r="N19" s="8"/>
    </row>
    <row r="20" spans="1:14" x14ac:dyDescent="0.25">
      <c r="A20" s="38">
        <f t="shared" si="6"/>
        <v>10</v>
      </c>
      <c r="B20" s="6" t="s">
        <v>28</v>
      </c>
      <c r="D20" s="8"/>
      <c r="F20" s="181">
        <f>'2024 FINAL Rev Req FINAL'!I20</f>
        <v>16620491.408750441</v>
      </c>
      <c r="G20" s="181">
        <f>'2024 FINAL Rev Req FINAL'!I21</f>
        <v>-2119669.2583213123</v>
      </c>
      <c r="H20" s="5">
        <f>SUM(F20:G20)</f>
        <v>14500822.15042913</v>
      </c>
      <c r="I20" s="14"/>
      <c r="J20" s="14"/>
      <c r="K20" s="8"/>
      <c r="L20" s="8"/>
      <c r="M20" s="8"/>
      <c r="N20" s="8"/>
    </row>
    <row r="21" spans="1:14" x14ac:dyDescent="0.25">
      <c r="D21" s="8"/>
      <c r="H21" s="153"/>
    </row>
    <row r="22" spans="1:14" ht="17.25" x14ac:dyDescent="0.25">
      <c r="B22" s="8" t="s">
        <v>151</v>
      </c>
      <c r="C22" s="8"/>
      <c r="D22" s="8"/>
      <c r="E22" s="8"/>
      <c r="F22" s="8"/>
      <c r="G22" s="8"/>
    </row>
    <row r="23" spans="1:14" ht="17.25" x14ac:dyDescent="0.25">
      <c r="B23" s="6" t="s">
        <v>168</v>
      </c>
      <c r="D23" s="8"/>
    </row>
    <row r="24" spans="1:14" x14ac:dyDescent="0.25">
      <c r="D24" s="8"/>
      <c r="F24" s="157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B25" s="185" t="s">
        <v>209</v>
      </c>
      <c r="D25" s="8"/>
    </row>
    <row r="26" spans="1:14" x14ac:dyDescent="0.25">
      <c r="D26" s="8"/>
    </row>
    <row r="27" spans="1:14" x14ac:dyDescent="0.25">
      <c r="D27" s="8"/>
    </row>
  </sheetData>
  <mergeCells count="3">
    <mergeCell ref="A1:N1"/>
    <mergeCell ref="A3:N3"/>
    <mergeCell ref="A4:N4"/>
  </mergeCells>
  <printOptions horizontalCentered="1"/>
  <pageMargins left="0.45" right="0.45" top="0.75" bottom="0.75" header="0.3" footer="0.3"/>
  <pageSetup scale="72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90" zoomScaleNormal="90" workbookViewId="0">
      <selection activeCell="H31" sqref="H31"/>
    </sheetView>
  </sheetViews>
  <sheetFormatPr defaultColWidth="9.140625" defaultRowHeight="15" x14ac:dyDescent="0.25"/>
  <cols>
    <col min="1" max="1" width="4.42578125" style="30" customWidth="1"/>
    <col min="2" max="2" width="31.5703125" style="30" customWidth="1"/>
    <col min="3" max="3" width="10.42578125" style="30" customWidth="1"/>
    <col min="4" max="4" width="18" style="30" customWidth="1"/>
    <col min="5" max="5" width="14" style="30" customWidth="1"/>
    <col min="6" max="16384" width="9.140625" style="30"/>
  </cols>
  <sheetData>
    <row r="1" spans="1:5" x14ac:dyDescent="0.25">
      <c r="A1" s="188" t="s">
        <v>0</v>
      </c>
      <c r="B1" s="188"/>
      <c r="C1" s="188"/>
      <c r="D1" s="188"/>
      <c r="E1" s="188"/>
    </row>
    <row r="2" spans="1:5" s="6" customFormat="1" x14ac:dyDescent="0.25">
      <c r="A2" s="186" t="str">
        <f>'Sch. 140 Rates'!A2:N2</f>
        <v>2024 Gas Schedule 140 Property Tax Tracker Filing</v>
      </c>
      <c r="B2" s="186"/>
      <c r="C2" s="186"/>
      <c r="D2" s="186"/>
      <c r="E2" s="186"/>
    </row>
    <row r="3" spans="1:5" s="6" customFormat="1" x14ac:dyDescent="0.25">
      <c r="A3" s="186" t="s">
        <v>64</v>
      </c>
      <c r="B3" s="186"/>
      <c r="C3" s="186"/>
      <c r="D3" s="186"/>
      <c r="E3" s="186"/>
    </row>
    <row r="4" spans="1:5" s="6" customFormat="1" x14ac:dyDescent="0.25">
      <c r="A4" s="186" t="str">
        <f>'Sch. 140 Rates'!A4:N4</f>
        <v>Proposed Effective May 1, 2024</v>
      </c>
      <c r="B4" s="186"/>
      <c r="C4" s="186"/>
      <c r="D4" s="186"/>
      <c r="E4" s="186"/>
    </row>
    <row r="5" spans="1:5" s="6" customFormat="1" x14ac:dyDescent="0.25">
      <c r="A5" s="128"/>
      <c r="B5" s="128"/>
      <c r="C5" s="128"/>
      <c r="D5" s="128"/>
      <c r="E5" s="128"/>
    </row>
    <row r="6" spans="1:5" x14ac:dyDescent="0.25">
      <c r="B6" s="31"/>
      <c r="C6" s="31"/>
      <c r="D6" s="31"/>
      <c r="E6" s="32" t="s">
        <v>5</v>
      </c>
    </row>
    <row r="7" spans="1:5" x14ac:dyDescent="0.25">
      <c r="A7" s="39" t="s">
        <v>56</v>
      </c>
      <c r="B7" s="31"/>
      <c r="C7" s="31"/>
      <c r="D7" s="31" t="s">
        <v>5</v>
      </c>
      <c r="E7" s="32" t="s">
        <v>65</v>
      </c>
    </row>
    <row r="8" spans="1:5" ht="17.25" x14ac:dyDescent="0.25">
      <c r="A8" s="33" t="s">
        <v>57</v>
      </c>
      <c r="B8" s="33" t="s">
        <v>8</v>
      </c>
      <c r="C8" s="33" t="s">
        <v>9</v>
      </c>
      <c r="D8" s="41" t="s">
        <v>68</v>
      </c>
      <c r="E8" s="34" t="s">
        <v>66</v>
      </c>
    </row>
    <row r="9" spans="1:5" x14ac:dyDescent="0.25">
      <c r="B9" s="39" t="s">
        <v>52</v>
      </c>
      <c r="C9" s="39" t="s">
        <v>53</v>
      </c>
      <c r="D9" s="35" t="s">
        <v>54</v>
      </c>
      <c r="E9" s="39" t="s">
        <v>55</v>
      </c>
    </row>
    <row r="10" spans="1:5" x14ac:dyDescent="0.25">
      <c r="A10" s="39">
        <v>1</v>
      </c>
      <c r="B10" s="30" t="s">
        <v>13</v>
      </c>
      <c r="C10" s="30" t="s">
        <v>14</v>
      </c>
      <c r="D10" s="175">
        <v>3143286316.7915053</v>
      </c>
      <c r="E10" s="149">
        <f>D10/$D$17</f>
        <v>0.62996412500855559</v>
      </c>
    </row>
    <row r="11" spans="1:5" x14ac:dyDescent="0.25">
      <c r="A11" s="39">
        <f>A10+1</f>
        <v>2</v>
      </c>
      <c r="B11" s="30" t="s">
        <v>15</v>
      </c>
      <c r="C11" s="30" t="s">
        <v>16</v>
      </c>
      <c r="D11" s="175">
        <v>1407791463.8423781</v>
      </c>
      <c r="E11" s="149">
        <f t="shared" ref="E11:E16" si="0">D11/$D$17</f>
        <v>0.28214360014751488</v>
      </c>
    </row>
    <row r="12" spans="1:5" x14ac:dyDescent="0.25">
      <c r="A12" s="39">
        <f t="shared" ref="A12:A17" si="1">A11+1</f>
        <v>3</v>
      </c>
      <c r="B12" s="30" t="s">
        <v>17</v>
      </c>
      <c r="C12" s="30" t="s">
        <v>18</v>
      </c>
      <c r="D12" s="175">
        <v>208618365.86081707</v>
      </c>
      <c r="E12" s="149">
        <f t="shared" si="0"/>
        <v>4.1810408936712076E-2</v>
      </c>
    </row>
    <row r="13" spans="1:5" x14ac:dyDescent="0.25">
      <c r="A13" s="39">
        <f t="shared" si="1"/>
        <v>4</v>
      </c>
      <c r="B13" s="30" t="s">
        <v>19</v>
      </c>
      <c r="C13" s="30" t="s">
        <v>20</v>
      </c>
      <c r="D13" s="175">
        <v>106263558.88253835</v>
      </c>
      <c r="E13" s="149">
        <f t="shared" si="0"/>
        <v>2.1296892215680929E-2</v>
      </c>
    </row>
    <row r="14" spans="1:5" x14ac:dyDescent="0.25">
      <c r="A14" s="39">
        <f t="shared" si="1"/>
        <v>5</v>
      </c>
      <c r="B14" s="30" t="s">
        <v>21</v>
      </c>
      <c r="C14" s="30" t="s">
        <v>22</v>
      </c>
      <c r="D14" s="175">
        <v>10465170.025552558</v>
      </c>
      <c r="E14" s="149">
        <f t="shared" si="0"/>
        <v>2.0973850339355751E-3</v>
      </c>
    </row>
    <row r="15" spans="1:5" x14ac:dyDescent="0.25">
      <c r="A15" s="39">
        <f t="shared" si="1"/>
        <v>6</v>
      </c>
      <c r="B15" s="30" t="s">
        <v>23</v>
      </c>
      <c r="C15" s="30" t="s">
        <v>24</v>
      </c>
      <c r="D15" s="175">
        <v>105095117.69155122</v>
      </c>
      <c r="E15" s="149">
        <f t="shared" si="0"/>
        <v>2.1062718183053986E-2</v>
      </c>
    </row>
    <row r="16" spans="1:5" x14ac:dyDescent="0.25">
      <c r="A16" s="39">
        <f t="shared" si="1"/>
        <v>7</v>
      </c>
      <c r="B16" s="30" t="s">
        <v>25</v>
      </c>
      <c r="D16" s="175">
        <v>8107498.3898998518</v>
      </c>
      <c r="E16" s="149">
        <f t="shared" si="0"/>
        <v>1.6248704745468181E-3</v>
      </c>
    </row>
    <row r="17" spans="1:6" x14ac:dyDescent="0.25">
      <c r="A17" s="39">
        <f t="shared" si="1"/>
        <v>8</v>
      </c>
      <c r="B17" s="6" t="s">
        <v>27</v>
      </c>
      <c r="D17" s="40">
        <f>SUM(D10:D16)</f>
        <v>4989627491.4842434</v>
      </c>
      <c r="E17" s="36">
        <f>SUM(E10:E16)</f>
        <v>0.99999999999999989</v>
      </c>
    </row>
    <row r="19" spans="1:6" ht="17.25" x14ac:dyDescent="0.25">
      <c r="B19" s="8" t="s">
        <v>150</v>
      </c>
      <c r="C19" s="37"/>
      <c r="D19" s="37"/>
      <c r="E19" s="37"/>
      <c r="F19" s="37"/>
    </row>
    <row r="20" spans="1:6" x14ac:dyDescent="0.25">
      <c r="B20" s="6"/>
      <c r="E20" s="37"/>
    </row>
    <row r="21" spans="1:6" x14ac:dyDescent="0.25">
      <c r="B21" s="42"/>
      <c r="E21" s="37"/>
    </row>
    <row r="22" spans="1:6" x14ac:dyDescent="0.25">
      <c r="E22" s="37"/>
    </row>
    <row r="23" spans="1:6" x14ac:dyDescent="0.25">
      <c r="E23" s="37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="85" zoomScaleNormal="85" workbookViewId="0">
      <pane xSplit="3" ySplit="9" topLeftCell="D10" activePane="bottomRight" state="frozenSplit"/>
      <selection activeCell="G38" sqref="G38"/>
      <selection pane="topRight" activeCell="G38" sqref="G38"/>
      <selection pane="bottomLeft" activeCell="G38" sqref="G38"/>
      <selection pane="bottomRight" activeCell="E39" sqref="E39"/>
    </sheetView>
  </sheetViews>
  <sheetFormatPr defaultRowHeight="15" x14ac:dyDescent="0.25"/>
  <cols>
    <col min="1" max="1" width="5" bestFit="1" customWidth="1"/>
    <col min="2" max="2" width="37.5703125" customWidth="1"/>
    <col min="3" max="3" width="8.42578125" bestFit="1" customWidth="1"/>
    <col min="4" max="4" width="14.28515625" bestFit="1" customWidth="1"/>
    <col min="5" max="5" width="14.7109375" bestFit="1" customWidth="1"/>
    <col min="6" max="6" width="10" bestFit="1" customWidth="1"/>
    <col min="7" max="7" width="14.28515625" bestFit="1" customWidth="1"/>
    <col min="8" max="8" width="14.7109375" bestFit="1" customWidth="1"/>
    <col min="9" max="9" width="13.7109375" bestFit="1" customWidth="1"/>
    <col min="10" max="10" width="14.42578125" bestFit="1" customWidth="1"/>
    <col min="11" max="12" width="12.5703125" bestFit="1" customWidth="1"/>
    <col min="13" max="13" width="11.5703125" bestFit="1" customWidth="1"/>
    <col min="14" max="15" width="12.5703125" bestFit="1" customWidth="1"/>
    <col min="16" max="16" width="11.5703125" bestFit="1" customWidth="1"/>
    <col min="17" max="17" width="12.28515625" bestFit="1" customWidth="1"/>
    <col min="18" max="18" width="12.5703125" bestFit="1" customWidth="1"/>
    <col min="19" max="19" width="12.28515625" bestFit="1" customWidth="1"/>
    <col min="20" max="20" width="16.5703125" bestFit="1" customWidth="1"/>
    <col min="21" max="21" width="14.140625" bestFit="1" customWidth="1"/>
    <col min="22" max="22" width="7.85546875" bestFit="1" customWidth="1"/>
  </cols>
  <sheetData>
    <row r="1" spans="1:22" x14ac:dyDescent="0.25">
      <c r="A1" s="95" t="s">
        <v>0</v>
      </c>
      <c r="B1" s="107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x14ac:dyDescent="0.25">
      <c r="A2" s="95" t="s">
        <v>175</v>
      </c>
      <c r="B2" s="107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x14ac:dyDescent="0.25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x14ac:dyDescent="0.25">
      <c r="A4" s="107" t="s">
        <v>162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x14ac:dyDescent="0.25">
      <c r="F5" s="106"/>
      <c r="P5" s="106"/>
      <c r="Q5" s="106"/>
      <c r="R5" s="106"/>
    </row>
    <row r="6" spans="1:22" x14ac:dyDescent="0.25">
      <c r="F6" s="106"/>
      <c r="G6" s="46" t="s">
        <v>63</v>
      </c>
      <c r="P6" s="106"/>
      <c r="Q6" s="106"/>
      <c r="R6" s="106"/>
    </row>
    <row r="7" spans="1:22" x14ac:dyDescent="0.25">
      <c r="B7" s="46"/>
      <c r="C7" s="46"/>
      <c r="D7" s="46" t="s">
        <v>152</v>
      </c>
      <c r="E7" s="46" t="str">
        <f>D7</f>
        <v>UG-220067</v>
      </c>
      <c r="F7" s="46" t="s">
        <v>123</v>
      </c>
      <c r="G7" s="46" t="s">
        <v>70</v>
      </c>
      <c r="H7" s="10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 t="s">
        <v>163</v>
      </c>
      <c r="U7" s="47" t="s">
        <v>71</v>
      </c>
      <c r="V7" s="46"/>
    </row>
    <row r="8" spans="1:22" x14ac:dyDescent="0.25">
      <c r="A8" t="s">
        <v>56</v>
      </c>
      <c r="B8" s="46"/>
      <c r="C8" s="46" t="s">
        <v>72</v>
      </c>
      <c r="D8" s="46" t="s">
        <v>73</v>
      </c>
      <c r="E8" s="46" t="s">
        <v>124</v>
      </c>
      <c r="F8" s="46" t="s">
        <v>72</v>
      </c>
      <c r="G8" s="47" t="s">
        <v>176</v>
      </c>
      <c r="H8" s="106" t="s">
        <v>124</v>
      </c>
      <c r="I8" s="46" t="s">
        <v>125</v>
      </c>
      <c r="J8" s="46" t="s">
        <v>126</v>
      </c>
      <c r="K8" s="46" t="s">
        <v>177</v>
      </c>
      <c r="L8" s="46" t="s">
        <v>127</v>
      </c>
      <c r="M8" s="46" t="s">
        <v>128</v>
      </c>
      <c r="N8" s="46" t="s">
        <v>178</v>
      </c>
      <c r="O8" s="46" t="s">
        <v>71</v>
      </c>
      <c r="P8" s="46" t="s">
        <v>153</v>
      </c>
      <c r="Q8" s="46" t="s">
        <v>154</v>
      </c>
      <c r="R8" s="46" t="s">
        <v>155</v>
      </c>
      <c r="S8" s="46" t="s">
        <v>129</v>
      </c>
      <c r="T8" s="46" t="s">
        <v>75</v>
      </c>
      <c r="U8" s="46" t="s">
        <v>6</v>
      </c>
      <c r="V8" s="46" t="s">
        <v>76</v>
      </c>
    </row>
    <row r="9" spans="1:22" ht="17.25" x14ac:dyDescent="0.25">
      <c r="A9" t="s">
        <v>57</v>
      </c>
      <c r="B9" s="1" t="s">
        <v>8</v>
      </c>
      <c r="C9" s="1" t="s">
        <v>30</v>
      </c>
      <c r="D9" s="1" t="s">
        <v>77</v>
      </c>
      <c r="E9" s="1" t="s">
        <v>78</v>
      </c>
      <c r="F9" s="1" t="s">
        <v>79</v>
      </c>
      <c r="G9" s="108" t="s">
        <v>179</v>
      </c>
      <c r="H9" s="1" t="s">
        <v>6</v>
      </c>
      <c r="I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P9" s="1" t="s">
        <v>6</v>
      </c>
      <c r="Q9" s="1" t="s">
        <v>6</v>
      </c>
      <c r="R9" s="1" t="s">
        <v>6</v>
      </c>
      <c r="S9" s="1" t="s">
        <v>6</v>
      </c>
      <c r="T9" s="12" t="s">
        <v>80</v>
      </c>
      <c r="U9" s="1" t="s">
        <v>81</v>
      </c>
      <c r="V9" s="1" t="s">
        <v>81</v>
      </c>
    </row>
    <row r="10" spans="1:22" x14ac:dyDescent="0.25">
      <c r="B10" s="46" t="s">
        <v>82</v>
      </c>
      <c r="C10" s="46" t="s">
        <v>83</v>
      </c>
      <c r="D10" s="139" t="s">
        <v>84</v>
      </c>
      <c r="E10" s="140" t="s">
        <v>85</v>
      </c>
      <c r="F10" s="46" t="s">
        <v>86</v>
      </c>
      <c r="G10" s="46" t="s">
        <v>87</v>
      </c>
      <c r="H10" s="46" t="s">
        <v>88</v>
      </c>
      <c r="I10" s="46" t="s">
        <v>89</v>
      </c>
      <c r="J10" s="46" t="s">
        <v>90</v>
      </c>
      <c r="K10" s="46" t="s">
        <v>91</v>
      </c>
      <c r="L10" s="46" t="s">
        <v>92</v>
      </c>
      <c r="M10" s="140" t="s">
        <v>93</v>
      </c>
      <c r="N10" s="140" t="s">
        <v>94</v>
      </c>
      <c r="O10" s="140" t="s">
        <v>95</v>
      </c>
      <c r="P10" s="140" t="s">
        <v>96</v>
      </c>
      <c r="Q10" s="140" t="s">
        <v>97</v>
      </c>
      <c r="R10" s="140" t="s">
        <v>156</v>
      </c>
      <c r="S10" s="140" t="s">
        <v>180</v>
      </c>
      <c r="T10" s="48" t="s">
        <v>181</v>
      </c>
      <c r="U10" s="46" t="s">
        <v>182</v>
      </c>
      <c r="V10" s="46" t="s">
        <v>183</v>
      </c>
    </row>
    <row r="11" spans="1:22" x14ac:dyDescent="0.25">
      <c r="A11" s="106">
        <v>1</v>
      </c>
      <c r="B11" t="s">
        <v>13</v>
      </c>
      <c r="C11" s="106" t="s">
        <v>98</v>
      </c>
      <c r="D11" s="176">
        <v>620836684.05687141</v>
      </c>
      <c r="E11" s="51">
        <v>403613457.09474093</v>
      </c>
      <c r="F11" s="50">
        <f t="shared" ref="F11:F16" si="0">(E11)/D11</f>
        <v>0.6501121268436002</v>
      </c>
      <c r="G11" s="176">
        <v>545268777</v>
      </c>
      <c r="H11" s="2">
        <f>F11*G11</f>
        <v>354485844.31687874</v>
      </c>
      <c r="I11" s="51">
        <v>303229419.57999998</v>
      </c>
      <c r="J11" s="51">
        <v>-109997070.38</v>
      </c>
      <c r="K11" s="51">
        <v>36109134.87256062</v>
      </c>
      <c r="L11" s="51">
        <v>15676477.338750001</v>
      </c>
      <c r="M11" s="51">
        <v>2998978.2734999997</v>
      </c>
      <c r="N11" s="51">
        <v>8702489.6809199993</v>
      </c>
      <c r="O11" s="51">
        <v>12459391.55445</v>
      </c>
      <c r="P11" s="51">
        <v>1717596.6475500001</v>
      </c>
      <c r="Q11" s="51">
        <v>-2617290.1295999996</v>
      </c>
      <c r="R11" s="51">
        <v>38812231.546859995</v>
      </c>
      <c r="S11" s="51">
        <v>2530047.13</v>
      </c>
      <c r="T11" s="20">
        <f t="shared" ref="T11:T23" si="1">SUM(H11:S11)</f>
        <v>664107250.43186927</v>
      </c>
      <c r="U11" s="49">
        <f>'Sch. 140'!H9</f>
        <v>-3326139.5397000015</v>
      </c>
      <c r="V11" s="131">
        <f>U11/T11</f>
        <v>-5.0084373232441165E-3</v>
      </c>
    </row>
    <row r="12" spans="1:22" x14ac:dyDescent="0.25">
      <c r="A12" s="106">
        <f>A11+1</f>
        <v>2</v>
      </c>
      <c r="B12" t="s">
        <v>157</v>
      </c>
      <c r="C12" s="106">
        <v>16</v>
      </c>
      <c r="D12" s="176">
        <v>8190.2669999999998</v>
      </c>
      <c r="E12" s="51">
        <v>5233.1499999999996</v>
      </c>
      <c r="F12" s="50">
        <f t="shared" si="0"/>
        <v>0.63894742381414427</v>
      </c>
      <c r="G12" s="176">
        <v>6996</v>
      </c>
      <c r="H12" s="2">
        <f t="shared" ref="H12:H23" si="2">F12*G12</f>
        <v>4470.0761770037534</v>
      </c>
      <c r="I12" s="51">
        <v>3890.55</v>
      </c>
      <c r="J12" s="51">
        <v>-1411.3</v>
      </c>
      <c r="K12" s="51">
        <v>739.38882947368415</v>
      </c>
      <c r="L12" s="51">
        <v>201.13500000000002</v>
      </c>
      <c r="M12" s="51"/>
      <c r="N12" s="51"/>
      <c r="O12" s="51">
        <v>159.8586</v>
      </c>
      <c r="P12" s="51">
        <v>22.037400000000002</v>
      </c>
      <c r="Q12" s="51">
        <v>-33.580799999999996</v>
      </c>
      <c r="R12" s="51">
        <v>497.97527999999994</v>
      </c>
      <c r="S12" s="51"/>
      <c r="T12" s="20">
        <f t="shared" si="1"/>
        <v>8536.1404864774377</v>
      </c>
      <c r="U12" s="49">
        <f>'Sch. 140'!H10</f>
        <v>-42.675600000000017</v>
      </c>
      <c r="V12" s="131">
        <f t="shared" ref="V12:V24" si="3">U12/T12</f>
        <v>-4.9994022553406592E-3</v>
      </c>
    </row>
    <row r="13" spans="1:22" x14ac:dyDescent="0.25">
      <c r="A13" s="106">
        <f t="shared" ref="A13:A34" si="4">A12+1</f>
        <v>3</v>
      </c>
      <c r="B13" t="s">
        <v>15</v>
      </c>
      <c r="C13" s="106">
        <v>31</v>
      </c>
      <c r="D13" s="176">
        <v>222166912.14539161</v>
      </c>
      <c r="E13" s="51">
        <v>122121000.06</v>
      </c>
      <c r="F13" s="50">
        <f t="shared" si="0"/>
        <v>0.54968131339054194</v>
      </c>
      <c r="G13" s="176">
        <v>228642219</v>
      </c>
      <c r="H13" s="2">
        <f t="shared" si="2"/>
        <v>125680355.23644792</v>
      </c>
      <c r="I13" s="51">
        <v>125657190.72</v>
      </c>
      <c r="J13" s="51">
        <v>-45774172.240000002</v>
      </c>
      <c r="K13" s="51">
        <v>23819948.612333745</v>
      </c>
      <c r="L13" s="51">
        <v>6573463.7962500006</v>
      </c>
      <c r="M13" s="51">
        <v>1079191.2736800001</v>
      </c>
      <c r="N13" s="51">
        <v>3132398.4002999999</v>
      </c>
      <c r="O13" s="51">
        <v>5745778.9634699998</v>
      </c>
      <c r="P13" s="51">
        <v>660776.01291000005</v>
      </c>
      <c r="Q13" s="51">
        <v>-1006025.7636000001</v>
      </c>
      <c r="R13" s="51">
        <v>14928050.47851</v>
      </c>
      <c r="S13" s="51">
        <v>-4072117.92</v>
      </c>
      <c r="T13" s="20">
        <f t="shared" si="1"/>
        <v>256424837.57030168</v>
      </c>
      <c r="U13" s="49">
        <f>'Sch. 140'!H11</f>
        <v>-1655369.6655600001</v>
      </c>
      <c r="V13" s="131">
        <f t="shared" si="3"/>
        <v>-6.4555745895955273E-3</v>
      </c>
    </row>
    <row r="14" spans="1:22" x14ac:dyDescent="0.25">
      <c r="A14" s="106">
        <f t="shared" si="4"/>
        <v>4</v>
      </c>
      <c r="B14" t="s">
        <v>17</v>
      </c>
      <c r="C14" s="106">
        <v>41</v>
      </c>
      <c r="D14" s="176">
        <v>62517991.156948164</v>
      </c>
      <c r="E14" s="51">
        <v>17786398.291046247</v>
      </c>
      <c r="F14" s="50">
        <f t="shared" si="0"/>
        <v>0.28450047677306872</v>
      </c>
      <c r="G14" s="176">
        <v>60970775</v>
      </c>
      <c r="H14" s="2">
        <f t="shared" si="2"/>
        <v>17346214.556723498</v>
      </c>
      <c r="I14" s="51">
        <v>32561973.370000001</v>
      </c>
      <c r="J14" s="51">
        <v>-11963685.470000001</v>
      </c>
      <c r="K14" s="51">
        <v>6476945.1889428794</v>
      </c>
      <c r="L14" s="51">
        <v>1752909.78125</v>
      </c>
      <c r="M14" s="51">
        <v>140842.49025</v>
      </c>
      <c r="N14" s="51">
        <v>409723.60800000001</v>
      </c>
      <c r="O14" s="51">
        <v>612146.58100000001</v>
      </c>
      <c r="P14" s="51">
        <v>134135.70500000002</v>
      </c>
      <c r="Q14" s="51">
        <v>-128038.62749999999</v>
      </c>
      <c r="R14" s="51">
        <v>1902897.88775</v>
      </c>
      <c r="S14" s="51">
        <v>-2191315.06</v>
      </c>
      <c r="T14" s="20">
        <f t="shared" si="1"/>
        <v>47054750.011416376</v>
      </c>
      <c r="U14" s="49">
        <f>'Sch. 140'!H12</f>
        <v>-164011.38474999997</v>
      </c>
      <c r="V14" s="131">
        <f t="shared" si="3"/>
        <v>-3.4855436424634642E-3</v>
      </c>
    </row>
    <row r="15" spans="1:22" x14ac:dyDescent="0.25">
      <c r="A15" s="106">
        <f t="shared" si="4"/>
        <v>5</v>
      </c>
      <c r="B15" t="s">
        <v>19</v>
      </c>
      <c r="C15" s="106">
        <v>85</v>
      </c>
      <c r="D15" s="176">
        <v>19992939.502740219</v>
      </c>
      <c r="E15" s="51">
        <v>2272313.06</v>
      </c>
      <c r="F15" s="50">
        <f t="shared" si="0"/>
        <v>0.11365577631486147</v>
      </c>
      <c r="G15" s="176">
        <v>16936355</v>
      </c>
      <c r="H15" s="2">
        <f t="shared" si="2"/>
        <v>1924914.5754690857</v>
      </c>
      <c r="I15" s="51">
        <v>8439822.8399999999</v>
      </c>
      <c r="J15" s="51">
        <v>-3188607.56</v>
      </c>
      <c r="K15" s="51">
        <v>1498708.4434751938</v>
      </c>
      <c r="L15" s="51">
        <v>437635.41319999995</v>
      </c>
      <c r="M15" s="51">
        <v>18775.583371783741</v>
      </c>
      <c r="N15" s="51">
        <v>54732.331257848316</v>
      </c>
      <c r="O15" s="51">
        <v>89593.317950000011</v>
      </c>
      <c r="P15" s="51">
        <v>31332.25675</v>
      </c>
      <c r="Q15" s="51">
        <v>-21678.5344</v>
      </c>
      <c r="R15" s="51">
        <v>321621.38144999999</v>
      </c>
      <c r="S15" s="51"/>
      <c r="T15" s="20">
        <f t="shared" si="1"/>
        <v>9606850.0485239122</v>
      </c>
      <c r="U15" s="49">
        <f>'Sch. 140'!H13</f>
        <v>-24218.987650000003</v>
      </c>
      <c r="V15" s="131">
        <f t="shared" si="3"/>
        <v>-2.5210123534426601E-3</v>
      </c>
    </row>
    <row r="16" spans="1:22" x14ac:dyDescent="0.25">
      <c r="A16" s="106">
        <f t="shared" si="4"/>
        <v>6</v>
      </c>
      <c r="B16" t="s">
        <v>21</v>
      </c>
      <c r="C16" s="106">
        <v>86</v>
      </c>
      <c r="D16" s="176">
        <v>5773170.4876905456</v>
      </c>
      <c r="E16" s="51">
        <v>1192875.52</v>
      </c>
      <c r="F16" s="50">
        <f t="shared" si="0"/>
        <v>0.20662398980654192</v>
      </c>
      <c r="G16" s="176">
        <v>4761426</v>
      </c>
      <c r="H16" s="2">
        <f t="shared" si="2"/>
        <v>983824.83728860365</v>
      </c>
      <c r="I16" s="51">
        <v>2409192.39</v>
      </c>
      <c r="J16" s="51">
        <v>-904766.17</v>
      </c>
      <c r="K16" s="51">
        <v>513741.83528</v>
      </c>
      <c r="L16" s="51">
        <v>123035.24784</v>
      </c>
      <c r="M16" s="51">
        <v>8142.0384599999998</v>
      </c>
      <c r="N16" s="51">
        <v>23711.90148</v>
      </c>
      <c r="O16" s="51">
        <v>32044.396979999998</v>
      </c>
      <c r="P16" s="51">
        <v>2333.0987399999999</v>
      </c>
      <c r="Q16" s="51">
        <v>-5047.1115599999994</v>
      </c>
      <c r="R16" s="51">
        <v>74849.616719999991</v>
      </c>
      <c r="S16" s="51">
        <v>-126631.35</v>
      </c>
      <c r="T16" s="20">
        <f t="shared" si="1"/>
        <v>3134430.7312286035</v>
      </c>
      <c r="U16" s="49">
        <f>'Sch. 140'!H14</f>
        <v>-7713.510119999999</v>
      </c>
      <c r="V16" s="131">
        <f t="shared" si="3"/>
        <v>-2.46089666080339E-3</v>
      </c>
    </row>
    <row r="17" spans="1:22" x14ac:dyDescent="0.25">
      <c r="A17" s="106">
        <f t="shared" si="4"/>
        <v>7</v>
      </c>
      <c r="B17" t="s">
        <v>23</v>
      </c>
      <c r="C17" s="106">
        <v>87</v>
      </c>
      <c r="D17" s="176">
        <v>21819455.762355208</v>
      </c>
      <c r="E17" s="51">
        <v>1509849.77</v>
      </c>
      <c r="F17" s="50">
        <f>(E17)/D17</f>
        <v>6.9197407416775353E-2</v>
      </c>
      <c r="G17" s="176">
        <v>20400254</v>
      </c>
      <c r="H17" s="2">
        <f t="shared" si="2"/>
        <v>1411644.6874437011</v>
      </c>
      <c r="I17" s="51">
        <v>10043861.050000001</v>
      </c>
      <c r="J17" s="51">
        <v>-3813011.48</v>
      </c>
      <c r="K17" s="51">
        <v>162465.6001044687</v>
      </c>
      <c r="L17" s="51">
        <v>527142.56335999991</v>
      </c>
      <c r="M17" s="51">
        <v>9370.9437627335901</v>
      </c>
      <c r="N17" s="51">
        <v>27093.573709896766</v>
      </c>
      <c r="O17" s="51">
        <v>76908.957580000002</v>
      </c>
      <c r="P17" s="51">
        <v>15810.611630403841</v>
      </c>
      <c r="Q17" s="51">
        <v>-12013.017364086816</v>
      </c>
      <c r="R17" s="51">
        <v>177952.66521711831</v>
      </c>
      <c r="S17" s="51"/>
      <c r="T17" s="20">
        <f t="shared" si="1"/>
        <v>8627226.1554442365</v>
      </c>
      <c r="U17" s="49">
        <f>'Sch. 140'!H15</f>
        <v>-33660.419100000006</v>
      </c>
      <c r="V17" s="131">
        <f>U17/T17</f>
        <v>-3.9016502516001045E-3</v>
      </c>
    </row>
    <row r="18" spans="1:22" x14ac:dyDescent="0.25">
      <c r="A18" s="106">
        <f t="shared" si="4"/>
        <v>8</v>
      </c>
      <c r="B18" t="s">
        <v>99</v>
      </c>
      <c r="C18" s="106" t="s">
        <v>46</v>
      </c>
      <c r="D18" s="176">
        <v>36958.529999999992</v>
      </c>
      <c r="E18" s="51">
        <v>23981.98</v>
      </c>
      <c r="F18" s="50">
        <f>(E18)/D18</f>
        <v>0.64888890331947735</v>
      </c>
      <c r="G18" s="176">
        <v>0</v>
      </c>
      <c r="H18" s="2">
        <f t="shared" si="2"/>
        <v>0</v>
      </c>
      <c r="I18" s="51"/>
      <c r="J18" s="51"/>
      <c r="K18" s="51">
        <v>0</v>
      </c>
      <c r="L18" s="51"/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20">
        <f t="shared" si="1"/>
        <v>0</v>
      </c>
      <c r="U18" s="49">
        <f>'Sch. 140'!H16</f>
        <v>0</v>
      </c>
      <c r="V18" s="131">
        <f>V13</f>
        <v>-6.4555745895955273E-3</v>
      </c>
    </row>
    <row r="19" spans="1:22" x14ac:dyDescent="0.25">
      <c r="A19" s="106">
        <f t="shared" si="4"/>
        <v>9</v>
      </c>
      <c r="B19" t="s">
        <v>100</v>
      </c>
      <c r="C19" s="106" t="s">
        <v>31</v>
      </c>
      <c r="D19" s="176">
        <v>19494505.608019032</v>
      </c>
      <c r="E19" s="51">
        <v>4475398.7622919884</v>
      </c>
      <c r="F19" s="50">
        <f t="shared" ref="F19:F24" si="5">(E19)/D19</f>
        <v>0.22957231397810063</v>
      </c>
      <c r="G19" s="176">
        <v>21523379</v>
      </c>
      <c r="H19" s="2">
        <f>F19*G19</f>
        <v>4941171.9216576573</v>
      </c>
      <c r="I19" s="51"/>
      <c r="J19" s="51"/>
      <c r="K19" s="51">
        <v>2283191.3100999994</v>
      </c>
      <c r="L19" s="51"/>
      <c r="M19" s="51">
        <v>49719.005490000003</v>
      </c>
      <c r="N19" s="51">
        <v>144637.10688000001</v>
      </c>
      <c r="O19" s="51">
        <v>216094.72516</v>
      </c>
      <c r="P19" s="51">
        <v>0</v>
      </c>
      <c r="Q19" s="51">
        <v>-45199.0959</v>
      </c>
      <c r="R19" s="51">
        <v>671744.65859000001</v>
      </c>
      <c r="S19" s="51">
        <v>-649307.65</v>
      </c>
      <c r="T19" s="20">
        <f t="shared" si="1"/>
        <v>7612051.9819776565</v>
      </c>
      <c r="U19" s="49">
        <f>'Sch. 140'!H17</f>
        <v>-57897.889509999979</v>
      </c>
      <c r="V19" s="131">
        <f t="shared" si="3"/>
        <v>-7.6060817302718636E-3</v>
      </c>
    </row>
    <row r="20" spans="1:22" x14ac:dyDescent="0.25">
      <c r="A20" s="106">
        <f t="shared" si="4"/>
        <v>10</v>
      </c>
      <c r="B20" t="s">
        <v>101</v>
      </c>
      <c r="C20" s="106" t="s">
        <v>32</v>
      </c>
      <c r="D20" s="176">
        <v>68886791.019958794</v>
      </c>
      <c r="E20" s="51">
        <v>7339677.3100000005</v>
      </c>
      <c r="F20" s="50">
        <f t="shared" si="5"/>
        <v>0.1065469475544804</v>
      </c>
      <c r="G20" s="176">
        <v>63133599</v>
      </c>
      <c r="H20" s="2">
        <f t="shared" si="2"/>
        <v>6726692.2615785962</v>
      </c>
      <c r="I20" s="51"/>
      <c r="J20" s="51"/>
      <c r="K20" s="51">
        <v>6243031.3552862257</v>
      </c>
      <c r="L20" s="51"/>
      <c r="M20" s="51">
        <v>66804.996771336155</v>
      </c>
      <c r="N20" s="51">
        <v>194799.10631711321</v>
      </c>
      <c r="O20" s="51">
        <v>333976.73871000001</v>
      </c>
      <c r="P20" s="51">
        <v>0</v>
      </c>
      <c r="Q20" s="51">
        <v>-80811.006720000005</v>
      </c>
      <c r="R20" s="51">
        <v>1198907.04501</v>
      </c>
      <c r="S20" s="51"/>
      <c r="T20" s="20">
        <f t="shared" si="1"/>
        <v>14683400.496953271</v>
      </c>
      <c r="U20" s="49">
        <f>'Sch. 140'!H18</f>
        <v>-90281.046569999977</v>
      </c>
      <c r="V20" s="131">
        <f t="shared" si="3"/>
        <v>-6.1485108022990191E-3</v>
      </c>
    </row>
    <row r="21" spans="1:22" x14ac:dyDescent="0.25">
      <c r="A21" s="106">
        <f t="shared" si="4"/>
        <v>11</v>
      </c>
      <c r="B21" t="s">
        <v>102</v>
      </c>
      <c r="C21" s="106" t="s">
        <v>47</v>
      </c>
      <c r="D21" s="176">
        <v>1718484.3400000003</v>
      </c>
      <c r="E21" s="51">
        <v>367155.5</v>
      </c>
      <c r="F21" s="50">
        <f t="shared" si="5"/>
        <v>0.21365076856039314</v>
      </c>
      <c r="G21" s="176">
        <v>1188598</v>
      </c>
      <c r="H21" s="2">
        <f t="shared" si="2"/>
        <v>253944.87620934617</v>
      </c>
      <c r="I21" s="51"/>
      <c r="J21" s="51"/>
      <c r="K21" s="51">
        <v>126937.93491999997</v>
      </c>
      <c r="L21" s="51"/>
      <c r="M21" s="51">
        <v>2032.5025799999999</v>
      </c>
      <c r="N21" s="51">
        <v>5919.2180399999997</v>
      </c>
      <c r="O21" s="51">
        <v>7999.2645400000001</v>
      </c>
      <c r="P21" s="51">
        <v>0</v>
      </c>
      <c r="Q21" s="51">
        <v>-1259.9138800000001</v>
      </c>
      <c r="R21" s="51">
        <v>18684.760559999999</v>
      </c>
      <c r="S21" s="51">
        <v>-28660.660000000003</v>
      </c>
      <c r="T21" s="20">
        <f t="shared" si="1"/>
        <v>385597.98296934611</v>
      </c>
      <c r="U21" s="49">
        <f>'Sch. 140'!H19</f>
        <v>-1925.5287600000001</v>
      </c>
      <c r="V21" s="131">
        <f t="shared" si="3"/>
        <v>-4.9936173036285673E-3</v>
      </c>
    </row>
    <row r="22" spans="1:22" x14ac:dyDescent="0.25">
      <c r="A22" s="106">
        <f t="shared" si="4"/>
        <v>12</v>
      </c>
      <c r="B22" t="s">
        <v>103</v>
      </c>
      <c r="C22" s="106" t="s">
        <v>33</v>
      </c>
      <c r="D22" s="176">
        <v>97500425.645479575</v>
      </c>
      <c r="E22" s="51">
        <v>4790056.76</v>
      </c>
      <c r="F22" s="50">
        <f>(E22)/D22</f>
        <v>4.9128572806616068E-2</v>
      </c>
      <c r="G22" s="176">
        <v>123922533</v>
      </c>
      <c r="H22" s="2">
        <f t="shared" si="2"/>
        <v>6088137.1848707823</v>
      </c>
      <c r="I22" s="51"/>
      <c r="J22" s="51"/>
      <c r="K22" s="51">
        <v>807997.83197867917</v>
      </c>
      <c r="L22" s="51"/>
      <c r="M22" s="51">
        <v>44837.204339898628</v>
      </c>
      <c r="N22" s="51">
        <v>129291.70038115259</v>
      </c>
      <c r="O22" s="51">
        <v>467187.94941</v>
      </c>
      <c r="P22" s="51">
        <v>0</v>
      </c>
      <c r="Q22" s="51">
        <v>-52271.763308378795</v>
      </c>
      <c r="R22" s="51">
        <v>1590609.8798937034</v>
      </c>
      <c r="S22" s="51"/>
      <c r="T22" s="20">
        <f t="shared" si="1"/>
        <v>9075789.9875658378</v>
      </c>
      <c r="U22" s="49">
        <f>'Sch. 140'!H20</f>
        <v>-204472.17945</v>
      </c>
      <c r="V22" s="131">
        <f t="shared" si="3"/>
        <v>-2.2529408429473832E-2</v>
      </c>
    </row>
    <row r="23" spans="1:22" x14ac:dyDescent="0.25">
      <c r="A23" s="106">
        <f t="shared" si="4"/>
        <v>13</v>
      </c>
      <c r="B23" t="s">
        <v>25</v>
      </c>
      <c r="D23" s="176">
        <v>32154478.538398605</v>
      </c>
      <c r="E23" s="51">
        <v>1699064.4523564125</v>
      </c>
      <c r="F23" s="52">
        <f t="shared" si="5"/>
        <v>5.2840678175744761E-2</v>
      </c>
      <c r="G23" s="176">
        <v>32071144</v>
      </c>
      <c r="H23" s="2">
        <f t="shared" si="2"/>
        <v>1694660.9988319676</v>
      </c>
      <c r="I23" s="51"/>
      <c r="J23" s="51"/>
      <c r="K23" s="51">
        <v>1401276.6008886266</v>
      </c>
      <c r="L23" s="51"/>
      <c r="M23" s="51"/>
      <c r="N23" s="51"/>
      <c r="O23" s="51">
        <v>30146.875359999998</v>
      </c>
      <c r="P23" s="51">
        <v>0</v>
      </c>
      <c r="Q23" s="51">
        <v>0</v>
      </c>
      <c r="R23" s="51">
        <v>0</v>
      </c>
      <c r="S23" s="51"/>
      <c r="T23" s="20">
        <f t="shared" si="1"/>
        <v>3126084.4750805944</v>
      </c>
      <c r="U23" s="49">
        <f>'Sch. 140'!H21</f>
        <v>-6734.9402399999963</v>
      </c>
      <c r="V23" s="131">
        <f t="shared" si="3"/>
        <v>-2.1544332194754147E-3</v>
      </c>
    </row>
    <row r="24" spans="1:22" x14ac:dyDescent="0.25">
      <c r="A24" s="106">
        <f t="shared" si="4"/>
        <v>14</v>
      </c>
      <c r="B24" t="s">
        <v>27</v>
      </c>
      <c r="D24" s="53">
        <f>SUM(D11:D23)</f>
        <v>1172906987.060853</v>
      </c>
      <c r="E24" s="54">
        <f>SUM(E11:E23)</f>
        <v>567196461.71043551</v>
      </c>
      <c r="F24" s="50">
        <f t="shared" si="5"/>
        <v>0.48358179119706113</v>
      </c>
      <c r="G24" s="53">
        <f>SUM(G11:G23)</f>
        <v>1118826055</v>
      </c>
      <c r="H24" s="54">
        <f>SUM(H11:H23)</f>
        <v>521541875.5295769</v>
      </c>
      <c r="I24" s="54">
        <f t="shared" ref="I24:L24" si="6">SUM(I11:I23)</f>
        <v>482345350.5</v>
      </c>
      <c r="J24" s="54">
        <f t="shared" si="6"/>
        <v>-175642724.59999996</v>
      </c>
      <c r="K24" s="54">
        <f t="shared" si="6"/>
        <v>79444118.974699914</v>
      </c>
      <c r="L24" s="54">
        <f t="shared" si="6"/>
        <v>25090865.275649998</v>
      </c>
      <c r="M24" s="54">
        <f>SUM(M11:M23)</f>
        <v>4418694.3122057524</v>
      </c>
      <c r="N24" s="54">
        <f>SUM(N11:N23)</f>
        <v>12824796.627286011</v>
      </c>
      <c r="O24" s="54">
        <f>SUM(O11:O23)</f>
        <v>20071429.18321</v>
      </c>
      <c r="P24" s="54">
        <f>SUM(P11:P23)</f>
        <v>2562006.3699804042</v>
      </c>
      <c r="Q24" s="54">
        <f t="shared" ref="Q24:T24" si="7">SUM(Q11:Q23)</f>
        <v>-3969668.5446324656</v>
      </c>
      <c r="R24" s="54">
        <f t="shared" si="7"/>
        <v>59698047.895840809</v>
      </c>
      <c r="S24" s="54">
        <f t="shared" si="7"/>
        <v>-4537985.5100000007</v>
      </c>
      <c r="T24" s="55">
        <f t="shared" si="7"/>
        <v>1023846806.0138173</v>
      </c>
      <c r="U24" s="54">
        <f>SUM(U11:U23)</f>
        <v>-5572467.7670100015</v>
      </c>
      <c r="V24" s="132">
        <f t="shared" si="3"/>
        <v>-5.442677297305353E-3</v>
      </c>
    </row>
    <row r="25" spans="1:22" x14ac:dyDescent="0.25">
      <c r="A25" s="106"/>
      <c r="D25" s="56"/>
      <c r="E25" s="2"/>
      <c r="G25" s="56"/>
      <c r="M25" s="2"/>
      <c r="N25" s="2"/>
      <c r="S25" s="2"/>
      <c r="T25" s="2"/>
      <c r="V25" s="57"/>
    </row>
    <row r="26" spans="1:22" s="61" customFormat="1" x14ac:dyDescent="0.25">
      <c r="A26" s="106"/>
      <c r="B26" s="58" t="s">
        <v>104</v>
      </c>
      <c r="C26" s="141"/>
      <c r="D26" s="59"/>
      <c r="E26" s="60"/>
      <c r="U26" s="62"/>
      <c r="V26" s="63"/>
    </row>
    <row r="27" spans="1:22" s="61" customFormat="1" x14ac:dyDescent="0.25">
      <c r="A27" s="106">
        <f>A24+1</f>
        <v>15</v>
      </c>
      <c r="B27" s="133" t="s">
        <v>13</v>
      </c>
      <c r="C27" s="134" t="s">
        <v>130</v>
      </c>
      <c r="D27" s="109">
        <f>D11+D12</f>
        <v>620844874.32387137</v>
      </c>
      <c r="E27" s="64">
        <f>E11+E12</f>
        <v>403618690.2447409</v>
      </c>
      <c r="F27" s="50">
        <f t="shared" ref="F27:F34" si="8">(E27)/D27</f>
        <v>0.65011197955737365</v>
      </c>
      <c r="G27" s="109">
        <f>G11+G12</f>
        <v>545275773</v>
      </c>
      <c r="H27" s="64">
        <f>H11+H12</f>
        <v>354490314.39305574</v>
      </c>
      <c r="I27" s="64">
        <f t="shared" ref="I27:S27" si="9">I11+I12</f>
        <v>303233310.13</v>
      </c>
      <c r="J27" s="64">
        <f t="shared" si="9"/>
        <v>-109998481.67999999</v>
      </c>
      <c r="K27" s="64">
        <f t="shared" si="9"/>
        <v>36109874.261390097</v>
      </c>
      <c r="L27" s="64">
        <f t="shared" si="9"/>
        <v>15676678.473750001</v>
      </c>
      <c r="M27" s="64">
        <f t="shared" si="9"/>
        <v>2998978.2734999997</v>
      </c>
      <c r="N27" s="64">
        <f t="shared" si="9"/>
        <v>8702489.6809199993</v>
      </c>
      <c r="O27" s="64">
        <f t="shared" si="9"/>
        <v>12459551.41305</v>
      </c>
      <c r="P27" s="64">
        <f t="shared" si="9"/>
        <v>1717618.6849500001</v>
      </c>
      <c r="Q27" s="64">
        <f t="shared" si="9"/>
        <v>-2617323.7103999997</v>
      </c>
      <c r="R27" s="64">
        <f t="shared" si="9"/>
        <v>38812729.522139996</v>
      </c>
      <c r="S27" s="64">
        <f t="shared" si="9"/>
        <v>2530047.13</v>
      </c>
      <c r="T27" s="64">
        <f>T11+T12</f>
        <v>664115786.57235575</v>
      </c>
      <c r="U27" s="2">
        <f>SUM(U11:U12)</f>
        <v>-3326182.2153000017</v>
      </c>
      <c r="V27" s="131">
        <f>U27/T27</f>
        <v>-5.0084372071128478E-3</v>
      </c>
    </row>
    <row r="28" spans="1:22" s="61" customFormat="1" x14ac:dyDescent="0.25">
      <c r="A28" s="106">
        <f t="shared" si="4"/>
        <v>16</v>
      </c>
      <c r="B28" s="135" t="s">
        <v>131</v>
      </c>
      <c r="C28" s="134" t="s">
        <v>132</v>
      </c>
      <c r="D28" s="109">
        <f>D13+D18</f>
        <v>222203870.67539161</v>
      </c>
      <c r="E28" s="64">
        <f>E13+E18</f>
        <v>122144982.04000001</v>
      </c>
      <c r="F28" s="50">
        <f t="shared" si="8"/>
        <v>0.54969781430331843</v>
      </c>
      <c r="G28" s="109">
        <f t="shared" ref="G28:S32" si="10">G13+G18</f>
        <v>228642219</v>
      </c>
      <c r="H28" s="64">
        <f t="shared" si="10"/>
        <v>125680355.23644792</v>
      </c>
      <c r="I28" s="64">
        <f t="shared" si="10"/>
        <v>125657190.72</v>
      </c>
      <c r="J28" s="64">
        <f t="shared" si="10"/>
        <v>-45774172.240000002</v>
      </c>
      <c r="K28" s="64">
        <f t="shared" si="10"/>
        <v>23819948.612333745</v>
      </c>
      <c r="L28" s="64">
        <f t="shared" si="10"/>
        <v>6573463.7962500006</v>
      </c>
      <c r="M28" s="64">
        <f t="shared" si="10"/>
        <v>1079191.2736800001</v>
      </c>
      <c r="N28" s="64">
        <f t="shared" si="10"/>
        <v>3132398.4002999999</v>
      </c>
      <c r="O28" s="64">
        <f t="shared" si="10"/>
        <v>5745778.9634699998</v>
      </c>
      <c r="P28" s="64">
        <f t="shared" si="10"/>
        <v>660776.01291000005</v>
      </c>
      <c r="Q28" s="64">
        <f t="shared" si="10"/>
        <v>-1006025.7636000001</v>
      </c>
      <c r="R28" s="64">
        <f t="shared" si="10"/>
        <v>14928050.47851</v>
      </c>
      <c r="S28" s="64">
        <f t="shared" si="10"/>
        <v>-4072117.92</v>
      </c>
      <c r="T28" s="64">
        <f>T13+T18</f>
        <v>256424837.57030168</v>
      </c>
      <c r="U28" s="2">
        <f>SUM(U13,U18)</f>
        <v>-1655369.6655600001</v>
      </c>
      <c r="V28" s="131">
        <f t="shared" ref="V28:V34" si="11">U28/T28</f>
        <v>-6.4555745895955273E-3</v>
      </c>
    </row>
    <row r="29" spans="1:22" s="61" customFormat="1" x14ac:dyDescent="0.25">
      <c r="A29" s="106">
        <f t="shared" si="4"/>
        <v>17</v>
      </c>
      <c r="B29" s="133" t="s">
        <v>133</v>
      </c>
      <c r="C29" s="134" t="s">
        <v>134</v>
      </c>
      <c r="D29" s="109">
        <f t="shared" ref="D29:E32" si="12">D14+D19</f>
        <v>82012496.764967203</v>
      </c>
      <c r="E29" s="64">
        <f t="shared" si="12"/>
        <v>22261797.053338237</v>
      </c>
      <c r="F29" s="50">
        <f t="shared" si="8"/>
        <v>0.27144396197492282</v>
      </c>
      <c r="G29" s="109">
        <f t="shared" si="10"/>
        <v>82494154</v>
      </c>
      <c r="H29" s="64">
        <f t="shared" si="10"/>
        <v>22287386.478381157</v>
      </c>
      <c r="I29" s="64">
        <f t="shared" si="10"/>
        <v>32561973.370000001</v>
      </c>
      <c r="J29" s="64">
        <f t="shared" si="10"/>
        <v>-11963685.470000001</v>
      </c>
      <c r="K29" s="64">
        <f t="shared" si="10"/>
        <v>8760136.4990428798</v>
      </c>
      <c r="L29" s="64">
        <f t="shared" si="10"/>
        <v>1752909.78125</v>
      </c>
      <c r="M29" s="64">
        <f t="shared" si="10"/>
        <v>190561.49574000001</v>
      </c>
      <c r="N29" s="64">
        <f t="shared" si="10"/>
        <v>554360.71487999998</v>
      </c>
      <c r="O29" s="64">
        <f t="shared" si="10"/>
        <v>828241.30616000004</v>
      </c>
      <c r="P29" s="64">
        <f t="shared" si="10"/>
        <v>134135.70500000002</v>
      </c>
      <c r="Q29" s="64">
        <f t="shared" si="10"/>
        <v>-173237.72339999999</v>
      </c>
      <c r="R29" s="64">
        <f t="shared" si="10"/>
        <v>2574642.5463399999</v>
      </c>
      <c r="S29" s="64">
        <f t="shared" si="10"/>
        <v>-2840622.71</v>
      </c>
      <c r="T29" s="64">
        <f>T14+T19</f>
        <v>54666801.993394032</v>
      </c>
      <c r="U29" s="2">
        <f>SUM(U14,U19)</f>
        <v>-221909.27425999995</v>
      </c>
      <c r="V29" s="131">
        <f t="shared" si="11"/>
        <v>-4.0593059437941071E-3</v>
      </c>
    </row>
    <row r="30" spans="1:22" s="61" customFormat="1" x14ac:dyDescent="0.25">
      <c r="A30" s="106">
        <f t="shared" si="4"/>
        <v>18</v>
      </c>
      <c r="B30" s="133" t="s">
        <v>19</v>
      </c>
      <c r="C30" s="134" t="s">
        <v>135</v>
      </c>
      <c r="D30" s="109">
        <f t="shared" si="12"/>
        <v>88879730.522699013</v>
      </c>
      <c r="E30" s="64">
        <f t="shared" si="12"/>
        <v>9611990.370000001</v>
      </c>
      <c r="F30" s="50">
        <f t="shared" si="8"/>
        <v>0.10814603412355298</v>
      </c>
      <c r="G30" s="109">
        <f t="shared" si="10"/>
        <v>80069954</v>
      </c>
      <c r="H30" s="64">
        <f t="shared" si="10"/>
        <v>8651606.8370476812</v>
      </c>
      <c r="I30" s="64">
        <f t="shared" si="10"/>
        <v>8439822.8399999999</v>
      </c>
      <c r="J30" s="64">
        <f t="shared" si="10"/>
        <v>-3188607.56</v>
      </c>
      <c r="K30" s="64">
        <f t="shared" si="10"/>
        <v>7741739.79876142</v>
      </c>
      <c r="L30" s="64">
        <f t="shared" si="10"/>
        <v>437635.41319999995</v>
      </c>
      <c r="M30" s="64">
        <f t="shared" si="10"/>
        <v>85580.580143119892</v>
      </c>
      <c r="N30" s="64">
        <f t="shared" si="10"/>
        <v>249531.43757496151</v>
      </c>
      <c r="O30" s="64">
        <f t="shared" si="10"/>
        <v>423570.05666</v>
      </c>
      <c r="P30" s="64">
        <f t="shared" si="10"/>
        <v>31332.25675</v>
      </c>
      <c r="Q30" s="64">
        <f t="shared" si="10"/>
        <v>-102489.54112000001</v>
      </c>
      <c r="R30" s="64">
        <f t="shared" si="10"/>
        <v>1520528.42646</v>
      </c>
      <c r="S30" s="64">
        <f t="shared" si="10"/>
        <v>0</v>
      </c>
      <c r="T30" s="64">
        <f>T15+T20</f>
        <v>24290250.545477182</v>
      </c>
      <c r="U30" s="2">
        <f>SUM(U15,U20)</f>
        <v>-114500.03421999997</v>
      </c>
      <c r="V30" s="131">
        <f t="shared" si="11"/>
        <v>-4.7138268090577496E-3</v>
      </c>
    </row>
    <row r="31" spans="1:22" s="61" customFormat="1" x14ac:dyDescent="0.25">
      <c r="A31" s="106">
        <f t="shared" si="4"/>
        <v>19</v>
      </c>
      <c r="B31" s="133" t="s">
        <v>136</v>
      </c>
      <c r="C31" s="134" t="s">
        <v>137</v>
      </c>
      <c r="D31" s="109">
        <f t="shared" si="12"/>
        <v>7491654.8276905455</v>
      </c>
      <c r="E31" s="64">
        <f t="shared" si="12"/>
        <v>1560031.02</v>
      </c>
      <c r="F31" s="50">
        <f t="shared" si="8"/>
        <v>0.20823583785972574</v>
      </c>
      <c r="G31" s="109">
        <f t="shared" si="10"/>
        <v>5950024</v>
      </c>
      <c r="H31" s="64">
        <f t="shared" si="10"/>
        <v>1237769.7134979498</v>
      </c>
      <c r="I31" s="64">
        <f t="shared" si="10"/>
        <v>2409192.39</v>
      </c>
      <c r="J31" s="64">
        <f t="shared" si="10"/>
        <v>-904766.17</v>
      </c>
      <c r="K31" s="64">
        <f t="shared" si="10"/>
        <v>640679.77019999991</v>
      </c>
      <c r="L31" s="64">
        <f t="shared" si="10"/>
        <v>123035.24784</v>
      </c>
      <c r="M31" s="64">
        <f t="shared" si="10"/>
        <v>10174.54104</v>
      </c>
      <c r="N31" s="64">
        <f t="shared" si="10"/>
        <v>29631.11952</v>
      </c>
      <c r="O31" s="64">
        <f t="shared" si="10"/>
        <v>40043.661519999994</v>
      </c>
      <c r="P31" s="64">
        <f t="shared" si="10"/>
        <v>2333.0987399999999</v>
      </c>
      <c r="Q31" s="64">
        <f t="shared" si="10"/>
        <v>-6307.0254399999994</v>
      </c>
      <c r="R31" s="64">
        <f t="shared" si="10"/>
        <v>93534.377279999986</v>
      </c>
      <c r="S31" s="64">
        <f t="shared" si="10"/>
        <v>-155292.01</v>
      </c>
      <c r="T31" s="64">
        <f>T16+T21</f>
        <v>3520028.7141979495</v>
      </c>
      <c r="U31" s="2">
        <f>SUM(U16,U21)</f>
        <v>-9639.0388800000001</v>
      </c>
      <c r="V31" s="131">
        <f t="shared" si="11"/>
        <v>-2.738340980322454E-3</v>
      </c>
    </row>
    <row r="32" spans="1:22" s="61" customFormat="1" x14ac:dyDescent="0.25">
      <c r="A32" s="106">
        <f t="shared" si="4"/>
        <v>20</v>
      </c>
      <c r="B32" s="67" t="s">
        <v>138</v>
      </c>
      <c r="C32" s="134" t="s">
        <v>139</v>
      </c>
      <c r="D32" s="109">
        <f t="shared" si="12"/>
        <v>119319881.40783478</v>
      </c>
      <c r="E32" s="64">
        <f t="shared" si="12"/>
        <v>6299906.5299999993</v>
      </c>
      <c r="F32" s="50">
        <f t="shared" si="8"/>
        <v>5.2798464561550719E-2</v>
      </c>
      <c r="G32" s="109">
        <f t="shared" si="10"/>
        <v>144322787</v>
      </c>
      <c r="H32" s="64">
        <f t="shared" si="10"/>
        <v>7499781.8723144829</v>
      </c>
      <c r="I32" s="64">
        <f t="shared" si="10"/>
        <v>10043861.050000001</v>
      </c>
      <c r="J32" s="64">
        <f t="shared" si="10"/>
        <v>-3813011.48</v>
      </c>
      <c r="K32" s="64">
        <f t="shared" si="10"/>
        <v>970463.43208314781</v>
      </c>
      <c r="L32" s="64">
        <f t="shared" si="10"/>
        <v>527142.56335999991</v>
      </c>
      <c r="M32" s="64">
        <f t="shared" si="10"/>
        <v>54208.148102632214</v>
      </c>
      <c r="N32" s="64">
        <f t="shared" si="10"/>
        <v>156385.27409104936</v>
      </c>
      <c r="O32" s="64">
        <f t="shared" si="10"/>
        <v>544096.90699000005</v>
      </c>
      <c r="P32" s="64">
        <f t="shared" si="10"/>
        <v>15810.611630403841</v>
      </c>
      <c r="Q32" s="64">
        <f t="shared" si="10"/>
        <v>-64284.780672465611</v>
      </c>
      <c r="R32" s="64">
        <f t="shared" si="10"/>
        <v>1768562.5451108217</v>
      </c>
      <c r="S32" s="64">
        <f t="shared" si="10"/>
        <v>0</v>
      </c>
      <c r="T32" s="64">
        <f>T17+T22</f>
        <v>17703016.143010072</v>
      </c>
      <c r="U32" s="2">
        <f>SUM(U17,U22)</f>
        <v>-238132.59855</v>
      </c>
      <c r="V32" s="131">
        <f t="shared" si="11"/>
        <v>-1.3451526939042261E-2</v>
      </c>
    </row>
    <row r="33" spans="1:22" s="61" customFormat="1" x14ac:dyDescent="0.25">
      <c r="A33" s="106">
        <f t="shared" si="4"/>
        <v>21</v>
      </c>
      <c r="B33" s="67" t="s">
        <v>25</v>
      </c>
      <c r="C33" s="133"/>
      <c r="D33" s="109">
        <f>D23</f>
        <v>32154478.538398605</v>
      </c>
      <c r="E33" s="64">
        <f>E23</f>
        <v>1699064.4523564125</v>
      </c>
      <c r="F33" s="50">
        <f t="shared" si="8"/>
        <v>5.2840678175744761E-2</v>
      </c>
      <c r="G33" s="109">
        <f>G23</f>
        <v>32071144</v>
      </c>
      <c r="H33" s="64">
        <f>H23</f>
        <v>1694660.9988319676</v>
      </c>
      <c r="I33" s="64">
        <f t="shared" ref="I33:S33" si="13">I23</f>
        <v>0</v>
      </c>
      <c r="J33" s="64">
        <f t="shared" si="13"/>
        <v>0</v>
      </c>
      <c r="K33" s="64">
        <f t="shared" si="13"/>
        <v>1401276.6008886266</v>
      </c>
      <c r="L33" s="64">
        <f t="shared" si="13"/>
        <v>0</v>
      </c>
      <c r="M33" s="64">
        <f t="shared" si="13"/>
        <v>0</v>
      </c>
      <c r="N33" s="64">
        <f t="shared" si="13"/>
        <v>0</v>
      </c>
      <c r="O33" s="64">
        <f t="shared" si="13"/>
        <v>30146.875359999998</v>
      </c>
      <c r="P33" s="64">
        <f t="shared" si="13"/>
        <v>0</v>
      </c>
      <c r="Q33" s="64">
        <f t="shared" si="13"/>
        <v>0</v>
      </c>
      <c r="R33" s="64">
        <f t="shared" si="13"/>
        <v>0</v>
      </c>
      <c r="S33" s="64">
        <f t="shared" si="13"/>
        <v>0</v>
      </c>
      <c r="T33" s="64">
        <f>T23</f>
        <v>3126084.4750805944</v>
      </c>
      <c r="U33" s="2">
        <f>U23</f>
        <v>-6734.9402399999963</v>
      </c>
      <c r="V33" s="131">
        <f t="shared" si="11"/>
        <v>-2.1544332194754147E-3</v>
      </c>
    </row>
    <row r="34" spans="1:22" s="61" customFormat="1" x14ac:dyDescent="0.25">
      <c r="A34" s="106">
        <f t="shared" si="4"/>
        <v>22</v>
      </c>
      <c r="B34" s="67" t="s">
        <v>27</v>
      </c>
      <c r="C34" s="67"/>
      <c r="D34" s="111">
        <f>SUM(D27:D33)</f>
        <v>1172906987.0608532</v>
      </c>
      <c r="E34" s="68">
        <f>SUM(E27:E33)</f>
        <v>567196461.71043563</v>
      </c>
      <c r="F34" s="110">
        <f t="shared" si="8"/>
        <v>0.48358179119706113</v>
      </c>
      <c r="G34" s="111">
        <f>SUM(G27:G33)</f>
        <v>1118826055</v>
      </c>
      <c r="H34" s="68">
        <f>SUM(H27:H33)</f>
        <v>521541875.5295769</v>
      </c>
      <c r="I34" s="68">
        <f t="shared" ref="I34:S34" si="14">SUM(I27:I33)</f>
        <v>482345350.5</v>
      </c>
      <c r="J34" s="68">
        <f t="shared" si="14"/>
        <v>-175642724.59999996</v>
      </c>
      <c r="K34" s="68">
        <f t="shared" si="14"/>
        <v>79444118.9746999</v>
      </c>
      <c r="L34" s="68">
        <f t="shared" si="14"/>
        <v>25090865.275649998</v>
      </c>
      <c r="M34" s="68">
        <f t="shared" si="14"/>
        <v>4418694.3122057514</v>
      </c>
      <c r="N34" s="68">
        <f t="shared" si="14"/>
        <v>12824796.627286011</v>
      </c>
      <c r="O34" s="68">
        <f t="shared" si="14"/>
        <v>20071429.18321</v>
      </c>
      <c r="P34" s="68">
        <f t="shared" si="14"/>
        <v>2562006.3699804042</v>
      </c>
      <c r="Q34" s="68">
        <f t="shared" si="14"/>
        <v>-3969668.5446324656</v>
      </c>
      <c r="R34" s="68">
        <f t="shared" si="14"/>
        <v>59698047.895840809</v>
      </c>
      <c r="S34" s="68">
        <f t="shared" si="14"/>
        <v>-4537985.51</v>
      </c>
      <c r="T34" s="68">
        <f>SUM(T27:T33)</f>
        <v>1023846806.0138172</v>
      </c>
      <c r="U34" s="54">
        <f>SUM(U27:U33)</f>
        <v>-5572467.7670100024</v>
      </c>
      <c r="V34" s="132">
        <f t="shared" si="11"/>
        <v>-5.4426772973053547E-3</v>
      </c>
    </row>
    <row r="35" spans="1:22" s="61" customFormat="1" x14ac:dyDescent="0.25">
      <c r="B35" s="65"/>
      <c r="C35" s="65"/>
      <c r="D35" s="65"/>
      <c r="E35" s="65"/>
      <c r="F35" s="65"/>
      <c r="I35" s="66"/>
      <c r="M35" s="65"/>
      <c r="N35" s="65"/>
      <c r="P35" s="65"/>
      <c r="Q35" s="65"/>
      <c r="R35" s="65"/>
      <c r="S35" s="65"/>
      <c r="T35" s="65"/>
      <c r="U35" s="69"/>
    </row>
    <row r="36" spans="1:22" ht="17.25" x14ac:dyDescent="0.25">
      <c r="B36" t="s">
        <v>158</v>
      </c>
    </row>
    <row r="37" spans="1:22" ht="17.25" x14ac:dyDescent="0.25">
      <c r="B37" t="s">
        <v>184</v>
      </c>
    </row>
  </sheetData>
  <printOptions horizontalCentered="1"/>
  <pageMargins left="0.45" right="0.45" top="0.75" bottom="0.75" header="0.3" footer="0.3"/>
  <pageSetup paperSize="5" scale="56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zoomScale="90" zoomScaleNormal="90" workbookViewId="0">
      <selection activeCell="K22" sqref="K22"/>
    </sheetView>
  </sheetViews>
  <sheetFormatPr defaultColWidth="9.140625" defaultRowHeight="15" x14ac:dyDescent="0.25"/>
  <cols>
    <col min="1" max="1" width="2.140625" style="70" customWidth="1"/>
    <col min="2" max="2" width="2.42578125" style="70" customWidth="1"/>
    <col min="3" max="3" width="34.85546875" style="70" customWidth="1"/>
    <col min="4" max="5" width="11.85546875" style="70" customWidth="1"/>
    <col min="6" max="6" width="2.7109375" style="82" customWidth="1"/>
    <col min="7" max="8" width="11.85546875" style="70" customWidth="1"/>
    <col min="9" max="16384" width="9.140625" style="70"/>
  </cols>
  <sheetData>
    <row r="1" spans="2:8" x14ac:dyDescent="0.25">
      <c r="B1" s="112" t="s">
        <v>0</v>
      </c>
      <c r="C1" s="112"/>
      <c r="D1" s="112"/>
      <c r="E1" s="112"/>
      <c r="F1" s="112"/>
      <c r="G1" s="112"/>
      <c r="H1" s="112"/>
    </row>
    <row r="2" spans="2:8" x14ac:dyDescent="0.25">
      <c r="B2" s="112" t="str">
        <f>'Rate Impacts Sch 140'!A2</f>
        <v>2024 Gas Schedule 140 Property Tax Filing</v>
      </c>
      <c r="C2" s="112"/>
      <c r="D2" s="112"/>
      <c r="E2" s="112"/>
      <c r="F2" s="112"/>
      <c r="G2" s="112"/>
      <c r="H2" s="112"/>
    </row>
    <row r="3" spans="2:8" x14ac:dyDescent="0.25">
      <c r="B3" s="95" t="s">
        <v>105</v>
      </c>
      <c r="C3" s="95"/>
      <c r="D3" s="95"/>
      <c r="E3" s="95"/>
      <c r="F3" s="95"/>
      <c r="G3" s="95"/>
      <c r="H3" s="95"/>
    </row>
    <row r="4" spans="2:8" x14ac:dyDescent="0.25">
      <c r="B4" s="95" t="str">
        <f>'Rate Impacts Sch 140'!A4</f>
        <v>Proposed Rates Effective May 1, 2024</v>
      </c>
      <c r="C4" s="95"/>
      <c r="D4" s="95"/>
      <c r="E4" s="95"/>
      <c r="F4" s="95"/>
      <c r="G4" s="95"/>
      <c r="H4" s="95"/>
    </row>
    <row r="6" spans="2:8" x14ac:dyDescent="0.25">
      <c r="G6" s="113" t="s">
        <v>140</v>
      </c>
      <c r="H6" s="113"/>
    </row>
    <row r="7" spans="2:8" x14ac:dyDescent="0.25">
      <c r="D7" s="71" t="s">
        <v>106</v>
      </c>
      <c r="E7" s="71"/>
      <c r="F7" s="72"/>
      <c r="G7" s="71" t="s">
        <v>141</v>
      </c>
      <c r="H7" s="71"/>
    </row>
    <row r="8" spans="2:8" ht="17.25" x14ac:dyDescent="0.25">
      <c r="D8" s="73" t="s">
        <v>107</v>
      </c>
      <c r="E8" s="73" t="s">
        <v>108</v>
      </c>
      <c r="F8" s="74"/>
      <c r="G8" s="73" t="s">
        <v>109</v>
      </c>
      <c r="H8" s="73" t="s">
        <v>108</v>
      </c>
    </row>
    <row r="9" spans="2:8" x14ac:dyDescent="0.25">
      <c r="B9" s="70" t="s">
        <v>110</v>
      </c>
      <c r="D9" s="75">
        <v>64</v>
      </c>
      <c r="E9" s="76"/>
      <c r="F9" s="77"/>
      <c r="G9" s="75">
        <v>64</v>
      </c>
      <c r="H9" s="76"/>
    </row>
    <row r="10" spans="2:8" x14ac:dyDescent="0.25">
      <c r="D10" s="75"/>
      <c r="E10" s="76"/>
      <c r="F10" s="77"/>
      <c r="G10" s="75"/>
      <c r="H10" s="76"/>
    </row>
    <row r="11" spans="2:8" x14ac:dyDescent="0.25">
      <c r="B11" s="70" t="s">
        <v>111</v>
      </c>
      <c r="D11" s="75"/>
      <c r="E11" s="76"/>
      <c r="F11" s="77"/>
      <c r="G11" s="75"/>
      <c r="H11" s="76"/>
    </row>
    <row r="12" spans="2:8" x14ac:dyDescent="0.25">
      <c r="C12" s="70" t="s">
        <v>142</v>
      </c>
      <c r="D12" s="177">
        <v>12.5</v>
      </c>
      <c r="E12" s="76">
        <f>D12</f>
        <v>12.5</v>
      </c>
      <c r="F12" s="78"/>
      <c r="G12" s="79">
        <f>$D$12</f>
        <v>12.5</v>
      </c>
      <c r="H12" s="76">
        <f>G12</f>
        <v>12.5</v>
      </c>
    </row>
    <row r="13" spans="2:8" x14ac:dyDescent="0.25">
      <c r="C13" s="70" t="s">
        <v>26</v>
      </c>
      <c r="D13" s="158">
        <f>SUM(D12:D12)</f>
        <v>12.5</v>
      </c>
      <c r="E13" s="81">
        <f>SUM(E12:E12)</f>
        <v>12.5</v>
      </c>
      <c r="F13" s="78"/>
      <c r="G13" s="81">
        <f>SUM(G12:G12)</f>
        <v>12.5</v>
      </c>
      <c r="H13" s="81">
        <f>SUM(H12:H12)</f>
        <v>12.5</v>
      </c>
    </row>
    <row r="14" spans="2:8" x14ac:dyDescent="0.25">
      <c r="D14" s="159"/>
      <c r="E14" s="80"/>
      <c r="F14" s="78"/>
      <c r="G14" s="80"/>
      <c r="H14" s="80"/>
    </row>
    <row r="15" spans="2:8" x14ac:dyDescent="0.25">
      <c r="C15" s="70" t="s">
        <v>185</v>
      </c>
      <c r="D15" s="177">
        <v>-18.47</v>
      </c>
      <c r="E15" s="76">
        <f>D15</f>
        <v>-18.47</v>
      </c>
      <c r="F15" s="78"/>
      <c r="G15" s="160">
        <f>$D$15</f>
        <v>-18.47</v>
      </c>
      <c r="H15" s="76">
        <f>G15</f>
        <v>-18.47</v>
      </c>
    </row>
    <row r="16" spans="2:8" x14ac:dyDescent="0.25">
      <c r="D16" s="161"/>
      <c r="E16" s="76"/>
      <c r="F16" s="78"/>
      <c r="G16" s="79"/>
      <c r="H16" s="76"/>
    </row>
    <row r="17" spans="2:8" x14ac:dyDescent="0.25">
      <c r="B17" s="70" t="s">
        <v>112</v>
      </c>
      <c r="D17" s="137"/>
      <c r="E17" s="76"/>
      <c r="H17" s="76"/>
    </row>
    <row r="18" spans="2:8" x14ac:dyDescent="0.25">
      <c r="C18" s="70" t="s">
        <v>143</v>
      </c>
      <c r="D18" s="178">
        <v>0.45612999999999998</v>
      </c>
      <c r="E18" s="76"/>
      <c r="F18" s="84"/>
      <c r="G18" s="85">
        <f>$D$18</f>
        <v>0.45612999999999998</v>
      </c>
      <c r="H18" s="76"/>
    </row>
    <row r="19" spans="2:8" x14ac:dyDescent="0.25">
      <c r="C19" s="70" t="s">
        <v>145</v>
      </c>
      <c r="D19" s="178">
        <v>2.8750000000000001E-2</v>
      </c>
      <c r="E19" s="76"/>
      <c r="F19" s="84"/>
      <c r="G19" s="88">
        <f>$D$19</f>
        <v>2.8750000000000001E-2</v>
      </c>
      <c r="H19" s="76"/>
    </row>
    <row r="20" spans="2:8" x14ac:dyDescent="0.25">
      <c r="C20" s="70" t="s">
        <v>186</v>
      </c>
      <c r="D20" s="178">
        <v>5.4999999999999997E-3</v>
      </c>
      <c r="E20" s="76"/>
      <c r="F20" s="84"/>
      <c r="G20" s="86">
        <f>$D$20</f>
        <v>5.4999999999999997E-3</v>
      </c>
      <c r="H20" s="76"/>
    </row>
    <row r="21" spans="2:8" x14ac:dyDescent="0.25">
      <c r="C21" s="70" t="s">
        <v>187</v>
      </c>
      <c r="D21" s="178">
        <v>1.5959999999999998E-2</v>
      </c>
      <c r="E21" s="76"/>
      <c r="F21" s="84"/>
      <c r="G21" s="86">
        <f>$D$21</f>
        <v>1.5959999999999998E-2</v>
      </c>
      <c r="H21" s="76"/>
    </row>
    <row r="22" spans="2:8" x14ac:dyDescent="0.25">
      <c r="C22" s="70" t="s">
        <v>188</v>
      </c>
      <c r="D22" s="162">
        <f>'Sch. 140'!D9</f>
        <v>2.2849999999999999E-2</v>
      </c>
      <c r="E22" s="76"/>
      <c r="F22" s="84"/>
      <c r="G22" s="83">
        <f>'Sch. 140'!E9</f>
        <v>1.6749999999999998E-2</v>
      </c>
      <c r="H22" s="76"/>
    </row>
    <row r="23" spans="2:8" x14ac:dyDescent="0.25">
      <c r="C23" s="70" t="s">
        <v>159</v>
      </c>
      <c r="D23" s="178">
        <v>3.15E-3</v>
      </c>
      <c r="E23" s="76"/>
      <c r="F23" s="84"/>
      <c r="G23" s="86">
        <f>$D$23</f>
        <v>3.15E-3</v>
      </c>
      <c r="H23" s="76"/>
    </row>
    <row r="24" spans="2:8" x14ac:dyDescent="0.25">
      <c r="C24" s="70" t="s">
        <v>160</v>
      </c>
      <c r="D24" s="178">
        <v>-4.7999999999999996E-3</v>
      </c>
      <c r="E24" s="76"/>
      <c r="F24" s="84"/>
      <c r="G24" s="86">
        <f>$D$24</f>
        <v>-4.7999999999999996E-3</v>
      </c>
      <c r="H24" s="76"/>
    </row>
    <row r="25" spans="2:8" x14ac:dyDescent="0.25">
      <c r="C25" s="70" t="s">
        <v>161</v>
      </c>
      <c r="D25" s="178">
        <v>7.1179999999999993E-2</v>
      </c>
      <c r="E25" s="76"/>
      <c r="F25" s="84"/>
      <c r="G25" s="86">
        <f>$D$25</f>
        <v>7.1179999999999993E-2</v>
      </c>
      <c r="H25" s="76"/>
    </row>
    <row r="26" spans="2:8" x14ac:dyDescent="0.25">
      <c r="C26" s="70" t="s">
        <v>144</v>
      </c>
      <c r="D26" s="178">
        <v>4.64E-3</v>
      </c>
      <c r="E26" s="76"/>
      <c r="F26" s="84"/>
      <c r="G26" s="86">
        <f>$D$26</f>
        <v>4.64E-3</v>
      </c>
      <c r="H26" s="76"/>
    </row>
    <row r="27" spans="2:8" x14ac:dyDescent="0.25">
      <c r="C27" s="70" t="s">
        <v>26</v>
      </c>
      <c r="D27" s="163">
        <f>SUM(D18:D26)</f>
        <v>0.60336000000000001</v>
      </c>
      <c r="E27" s="76">
        <f>ROUND(D27*D$9,2)</f>
        <v>38.619999999999997</v>
      </c>
      <c r="F27" s="84"/>
      <c r="G27" s="87">
        <f>SUM(G18:G26)</f>
        <v>0.59726000000000001</v>
      </c>
      <c r="H27" s="76">
        <f>ROUND(G27*G$9,2)</f>
        <v>38.22</v>
      </c>
    </row>
    <row r="28" spans="2:8" x14ac:dyDescent="0.25">
      <c r="D28" s="137"/>
    </row>
    <row r="29" spans="2:8" x14ac:dyDescent="0.25">
      <c r="C29" s="70" t="s">
        <v>189</v>
      </c>
      <c r="D29" s="178">
        <v>0.39673999999999998</v>
      </c>
      <c r="E29" s="76">
        <f>ROUND(D29*D$9,2)</f>
        <v>25.39</v>
      </c>
      <c r="F29" s="84"/>
      <c r="G29" s="88">
        <f>$D$29</f>
        <v>0.39673999999999998</v>
      </c>
      <c r="H29" s="76">
        <f>ROUND(G29*G$9,2)</f>
        <v>25.39</v>
      </c>
    </row>
    <row r="30" spans="2:8" x14ac:dyDescent="0.25">
      <c r="D30" s="164"/>
      <c r="E30" s="76"/>
      <c r="F30" s="84"/>
      <c r="G30" s="85"/>
      <c r="H30" s="76"/>
    </row>
    <row r="31" spans="2:8" x14ac:dyDescent="0.25">
      <c r="C31" s="70" t="s">
        <v>146</v>
      </c>
      <c r="D31" s="178">
        <v>0.55610999999999999</v>
      </c>
      <c r="E31" s="76"/>
      <c r="F31" s="84"/>
      <c r="G31" s="86">
        <f>$D$31</f>
        <v>0.55610999999999999</v>
      </c>
      <c r="H31" s="76"/>
    </row>
    <row r="32" spans="2:8" x14ac:dyDescent="0.25">
      <c r="C32" s="70" t="s">
        <v>147</v>
      </c>
      <c r="D32" s="178">
        <v>-0.20172999999999999</v>
      </c>
      <c r="E32" s="76"/>
      <c r="F32" s="84"/>
      <c r="G32" s="86">
        <f>$D$32</f>
        <v>-0.20172999999999999</v>
      </c>
      <c r="H32" s="76"/>
    </row>
    <row r="33" spans="2:8" x14ac:dyDescent="0.25">
      <c r="C33" s="70" t="s">
        <v>26</v>
      </c>
      <c r="D33" s="163">
        <f>SUM(D31:D32)</f>
        <v>0.35438000000000003</v>
      </c>
      <c r="E33" s="76">
        <f>ROUND(D33*D$9,2)</f>
        <v>22.68</v>
      </c>
      <c r="F33" s="84"/>
      <c r="G33" s="87">
        <f>SUM(G31:G32)</f>
        <v>0.35438000000000003</v>
      </c>
      <c r="H33" s="76">
        <f>ROUND(G33*G$9,2)</f>
        <v>22.68</v>
      </c>
    </row>
    <row r="34" spans="2:8" x14ac:dyDescent="0.25">
      <c r="C34" s="70" t="s">
        <v>113</v>
      </c>
      <c r="D34" s="163">
        <f>D27+D29+D33</f>
        <v>1.3544800000000001</v>
      </c>
      <c r="E34" s="89">
        <f>SUM(E27,E29,E33)</f>
        <v>86.69</v>
      </c>
      <c r="F34" s="90"/>
      <c r="G34" s="87">
        <f>G27+G29+G33</f>
        <v>1.3483800000000001</v>
      </c>
      <c r="H34" s="89">
        <f>SUM(H27,H29,H33)</f>
        <v>86.289999999999992</v>
      </c>
    </row>
    <row r="35" spans="2:8" x14ac:dyDescent="0.25">
      <c r="E35" s="76"/>
      <c r="H35" s="76"/>
    </row>
    <row r="36" spans="2:8" x14ac:dyDescent="0.25">
      <c r="B36" s="70" t="s">
        <v>114</v>
      </c>
      <c r="D36" s="79"/>
      <c r="E36" s="76">
        <f>E13+E15+E34</f>
        <v>80.72</v>
      </c>
      <c r="F36" s="80"/>
      <c r="G36" s="79"/>
      <c r="H36" s="76">
        <f>H13+H15+H34</f>
        <v>80.319999999999993</v>
      </c>
    </row>
    <row r="37" spans="2:8" x14ac:dyDescent="0.25">
      <c r="B37" s="70" t="s">
        <v>115</v>
      </c>
      <c r="D37" s="79"/>
      <c r="E37" s="76"/>
      <c r="F37" s="80"/>
      <c r="G37" s="79"/>
      <c r="H37" s="76">
        <f>H36-$E36</f>
        <v>-0.40000000000000568</v>
      </c>
    </row>
    <row r="38" spans="2:8" x14ac:dyDescent="0.25">
      <c r="B38" s="70" t="s">
        <v>116</v>
      </c>
      <c r="D38" s="91"/>
      <c r="E38" s="91"/>
      <c r="F38" s="92"/>
      <c r="G38" s="91"/>
      <c r="H38" s="142">
        <f>H37/$E36</f>
        <v>-4.9554013875124587E-3</v>
      </c>
    </row>
    <row r="39" spans="2:8" x14ac:dyDescent="0.25">
      <c r="E39" s="76"/>
    </row>
    <row r="40" spans="2:8" x14ac:dyDescent="0.25">
      <c r="B40" s="70" t="s">
        <v>117</v>
      </c>
      <c r="D40" s="85">
        <f>D27+D29</f>
        <v>1.0001</v>
      </c>
      <c r="E40" s="76"/>
      <c r="F40" s="90"/>
      <c r="G40" s="85">
        <f>G27+G29</f>
        <v>0.99399999999999999</v>
      </c>
    </row>
    <row r="42" spans="2:8" ht="17.25" x14ac:dyDescent="0.25">
      <c r="B42" s="93" t="s">
        <v>190</v>
      </c>
      <c r="D42" s="93"/>
      <c r="E42" s="93"/>
      <c r="F42" s="94"/>
      <c r="G42" s="94"/>
      <c r="H42" s="94"/>
    </row>
    <row r="47" spans="2:8" ht="14.25" customHeight="1" x14ac:dyDescent="0.25"/>
  </sheetData>
  <printOptions horizontalCentered="1"/>
  <pageMargins left="0.5" right="0.5" top="1" bottom="1" header="0.5" footer="0.5"/>
  <pageSetup scale="75" orientation="landscape" blackAndWhite="1" r:id="rId1"/>
  <headerFooter alignWithMargins="0">
    <oddFooter>&amp;L&amp;F  
&amp;A&amp;C&amp;P&amp;R&amp;D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0" zoomScaleNormal="90" workbookViewId="0">
      <selection activeCell="F28" sqref="F28"/>
    </sheetView>
  </sheetViews>
  <sheetFormatPr defaultColWidth="8.7109375" defaultRowHeight="15" x14ac:dyDescent="0.25"/>
  <cols>
    <col min="1" max="1" width="37.7109375" style="6" customWidth="1"/>
    <col min="2" max="2" width="9.140625" style="6" bestFit="1" customWidth="1"/>
    <col min="3" max="3" width="18.5703125" style="6" bestFit="1" customWidth="1"/>
    <col min="4" max="5" width="13.7109375" style="6" customWidth="1"/>
    <col min="6" max="8" width="14.42578125" style="6" customWidth="1"/>
    <col min="9" max="9" width="7.85546875" style="6" bestFit="1" customWidth="1"/>
    <col min="10" max="16384" width="8.7109375" style="6"/>
  </cols>
  <sheetData>
    <row r="1" spans="1:21" s="70" customFormat="1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95"/>
    </row>
    <row r="2" spans="1:21" s="70" customFormat="1" x14ac:dyDescent="0.25">
      <c r="A2" s="186" t="s">
        <v>118</v>
      </c>
      <c r="B2" s="189"/>
      <c r="C2" s="189"/>
      <c r="D2" s="189"/>
      <c r="E2" s="189"/>
      <c r="F2" s="189"/>
      <c r="G2" s="189"/>
      <c r="H2" s="189"/>
      <c r="I2" s="189"/>
      <c r="J2" s="96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s="70" customFormat="1" x14ac:dyDescent="0.25">
      <c r="A3" s="186" t="s">
        <v>148</v>
      </c>
      <c r="B3" s="186"/>
      <c r="C3" s="186"/>
      <c r="D3" s="186"/>
      <c r="E3" s="186"/>
      <c r="F3" s="186"/>
      <c r="G3" s="186"/>
      <c r="H3" s="186"/>
      <c r="I3" s="186"/>
      <c r="J3" s="95"/>
    </row>
    <row r="4" spans="1:21" s="70" customFormat="1" x14ac:dyDescent="0.25">
      <c r="A4" s="186" t="s">
        <v>162</v>
      </c>
      <c r="B4" s="186"/>
      <c r="C4" s="186"/>
      <c r="D4" s="186"/>
      <c r="E4" s="186"/>
      <c r="F4" s="186"/>
      <c r="G4" s="186"/>
      <c r="H4" s="186"/>
      <c r="I4" s="186"/>
      <c r="J4" s="95"/>
    </row>
    <row r="5" spans="1:21" x14ac:dyDescent="0.25">
      <c r="D5" s="156"/>
      <c r="E5" s="156"/>
    </row>
    <row r="6" spans="1:21" x14ac:dyDescent="0.25">
      <c r="A6" s="9"/>
      <c r="B6" s="9"/>
      <c r="C6" s="9" t="s">
        <v>63</v>
      </c>
      <c r="D6" s="9" t="s">
        <v>29</v>
      </c>
      <c r="E6" s="9" t="s">
        <v>2</v>
      </c>
      <c r="F6" s="105" t="s">
        <v>63</v>
      </c>
      <c r="G6" s="105" t="s">
        <v>63</v>
      </c>
      <c r="H6" s="9" t="s">
        <v>74</v>
      </c>
      <c r="I6" s="9"/>
      <c r="R6" s="98"/>
      <c r="S6" s="98"/>
      <c r="T6" s="98"/>
    </row>
    <row r="7" spans="1:21" x14ac:dyDescent="0.25">
      <c r="A7" s="9"/>
      <c r="B7" s="9" t="s">
        <v>72</v>
      </c>
      <c r="C7" s="9" t="s">
        <v>119</v>
      </c>
      <c r="D7" s="9" t="s">
        <v>74</v>
      </c>
      <c r="E7" s="9" t="s">
        <v>74</v>
      </c>
      <c r="F7" s="105" t="s">
        <v>6</v>
      </c>
      <c r="G7" s="105" t="s">
        <v>6</v>
      </c>
      <c r="H7" s="9" t="s">
        <v>6</v>
      </c>
      <c r="I7" s="9" t="s">
        <v>76</v>
      </c>
      <c r="R7" s="98"/>
      <c r="S7" s="98"/>
      <c r="T7" s="98"/>
    </row>
    <row r="8" spans="1:21" x14ac:dyDescent="0.25">
      <c r="A8" s="12" t="s">
        <v>8</v>
      </c>
      <c r="B8" s="12" t="s">
        <v>30</v>
      </c>
      <c r="C8" s="180" t="s">
        <v>163</v>
      </c>
      <c r="D8" s="12" t="s">
        <v>109</v>
      </c>
      <c r="E8" s="12" t="s">
        <v>109</v>
      </c>
      <c r="F8" s="73" t="s">
        <v>106</v>
      </c>
      <c r="G8" s="73" t="s">
        <v>120</v>
      </c>
      <c r="H8" s="12" t="s">
        <v>81</v>
      </c>
      <c r="I8" s="12" t="s">
        <v>81</v>
      </c>
      <c r="R8" s="98"/>
      <c r="S8" s="99"/>
      <c r="T8" s="98"/>
    </row>
    <row r="9" spans="1:21" x14ac:dyDescent="0.25">
      <c r="A9" s="6" t="s">
        <v>13</v>
      </c>
      <c r="B9" s="156" t="s">
        <v>98</v>
      </c>
      <c r="C9" s="176">
        <v>545268777</v>
      </c>
      <c r="D9" s="165">
        <v>2.2849999999999999E-2</v>
      </c>
      <c r="E9" s="166">
        <f>'Sch. 140 Rates'!$K$11</f>
        <v>1.6749999999999998E-2</v>
      </c>
      <c r="F9" s="20">
        <f>C9*D9</f>
        <v>12459391.55445</v>
      </c>
      <c r="G9" s="20">
        <f>C9*E9</f>
        <v>9133252.0147499982</v>
      </c>
      <c r="H9" s="14">
        <f>G9-F9</f>
        <v>-3326139.5397000015</v>
      </c>
      <c r="I9" s="4">
        <f>IF(F9=0,0,H9/F9)</f>
        <v>-0.26695842450765878</v>
      </c>
      <c r="R9" s="98"/>
      <c r="S9" s="100"/>
      <c r="T9" s="98"/>
    </row>
    <row r="10" spans="1:21" x14ac:dyDescent="0.25">
      <c r="A10" s="6" t="s">
        <v>157</v>
      </c>
      <c r="B10" s="156">
        <v>16</v>
      </c>
      <c r="C10" s="179">
        <v>6996</v>
      </c>
      <c r="D10" s="165">
        <v>2.2849999999999999E-2</v>
      </c>
      <c r="E10" s="166">
        <f>'Sch. 140 Rates'!$K$11</f>
        <v>1.6749999999999998E-2</v>
      </c>
      <c r="F10" s="20">
        <f t="shared" ref="F10:F20" si="0">C10*D10</f>
        <v>159.8586</v>
      </c>
      <c r="G10" s="20">
        <f t="shared" ref="G10:G21" si="1">C10*E10</f>
        <v>117.18299999999998</v>
      </c>
      <c r="H10" s="14">
        <f t="shared" ref="H10:H21" si="2">G10-F10</f>
        <v>-42.675600000000017</v>
      </c>
      <c r="I10" s="4">
        <f t="shared" ref="I10:I22" si="3">IF(F10=0,0,H10/F10)</f>
        <v>-0.26695842450765878</v>
      </c>
      <c r="R10" s="98"/>
      <c r="S10" s="98"/>
      <c r="T10" s="98"/>
    </row>
    <row r="11" spans="1:21" x14ac:dyDescent="0.25">
      <c r="A11" s="6" t="s">
        <v>15</v>
      </c>
      <c r="B11" s="156">
        <v>31</v>
      </c>
      <c r="C11" s="176">
        <v>228642219</v>
      </c>
      <c r="D11" s="165">
        <v>2.513E-2</v>
      </c>
      <c r="E11" s="166">
        <f>'Sch. 140 Rates'!$K$12</f>
        <v>1.789E-2</v>
      </c>
      <c r="F11" s="20">
        <f t="shared" si="0"/>
        <v>5745778.9634699998</v>
      </c>
      <c r="G11" s="20">
        <f t="shared" si="1"/>
        <v>4090409.2979099997</v>
      </c>
      <c r="H11" s="14">
        <f t="shared" si="2"/>
        <v>-1655369.6655600001</v>
      </c>
      <c r="I11" s="4">
        <f t="shared" si="3"/>
        <v>-0.28810187027457224</v>
      </c>
      <c r="R11" s="98"/>
      <c r="S11" s="98"/>
      <c r="T11" s="98"/>
    </row>
    <row r="12" spans="1:21" x14ac:dyDescent="0.25">
      <c r="A12" s="6" t="s">
        <v>17</v>
      </c>
      <c r="B12" s="156">
        <v>41</v>
      </c>
      <c r="C12" s="176">
        <v>60970775</v>
      </c>
      <c r="D12" s="165">
        <v>1.004E-2</v>
      </c>
      <c r="E12" s="166">
        <f>'Sch. 140 Rates'!$K$13</f>
        <v>7.3500000000000006E-3</v>
      </c>
      <c r="F12" s="20">
        <f t="shared" si="0"/>
        <v>612146.58100000001</v>
      </c>
      <c r="G12" s="20">
        <f t="shared" si="1"/>
        <v>448135.19625000004</v>
      </c>
      <c r="H12" s="14">
        <f t="shared" si="2"/>
        <v>-164011.38474999997</v>
      </c>
      <c r="I12" s="4">
        <f t="shared" si="3"/>
        <v>-0.26792828685258957</v>
      </c>
    </row>
    <row r="13" spans="1:21" x14ac:dyDescent="0.25">
      <c r="A13" s="6" t="s">
        <v>19</v>
      </c>
      <c r="B13" s="156">
        <v>85</v>
      </c>
      <c r="C13" s="176">
        <v>16936355</v>
      </c>
      <c r="D13" s="165">
        <v>5.2900000000000004E-3</v>
      </c>
      <c r="E13" s="166">
        <f>'Sch. 140 Rates'!$K$14</f>
        <v>3.8600000000000006E-3</v>
      </c>
      <c r="F13" s="20">
        <f t="shared" si="0"/>
        <v>89593.317950000011</v>
      </c>
      <c r="G13" s="20">
        <f t="shared" si="1"/>
        <v>65374.330300000009</v>
      </c>
      <c r="H13" s="14">
        <f t="shared" si="2"/>
        <v>-24218.987650000003</v>
      </c>
      <c r="I13" s="4">
        <f t="shared" si="3"/>
        <v>-0.27032136105860111</v>
      </c>
    </row>
    <row r="14" spans="1:21" x14ac:dyDescent="0.25">
      <c r="A14" s="6" t="s">
        <v>21</v>
      </c>
      <c r="B14" s="156">
        <v>86</v>
      </c>
      <c r="C14" s="176">
        <v>4761426</v>
      </c>
      <c r="D14" s="165">
        <v>6.7299999999999999E-3</v>
      </c>
      <c r="E14" s="166">
        <f>'Sch. 140 Rates'!$K$15</f>
        <v>5.11E-3</v>
      </c>
      <c r="F14" s="20">
        <f t="shared" si="0"/>
        <v>32044.396979999998</v>
      </c>
      <c r="G14" s="20">
        <f t="shared" si="1"/>
        <v>24330.886859999999</v>
      </c>
      <c r="H14" s="14">
        <f t="shared" si="2"/>
        <v>-7713.510119999999</v>
      </c>
      <c r="I14" s="4">
        <f t="shared" si="3"/>
        <v>-0.24071322436849923</v>
      </c>
    </row>
    <row r="15" spans="1:21" x14ac:dyDescent="0.25">
      <c r="A15" s="6" t="s">
        <v>23</v>
      </c>
      <c r="B15" s="156">
        <v>87</v>
      </c>
      <c r="C15" s="176">
        <v>20400254</v>
      </c>
      <c r="D15" s="165">
        <v>3.7699999999999999E-3</v>
      </c>
      <c r="E15" s="166">
        <f>'Sch. 140 Rates'!$K$16</f>
        <v>2.1199999999999999E-3</v>
      </c>
      <c r="F15" s="20">
        <f t="shared" si="0"/>
        <v>76908.957580000002</v>
      </c>
      <c r="G15" s="20">
        <f t="shared" si="1"/>
        <v>43248.538479999996</v>
      </c>
      <c r="H15" s="14">
        <f t="shared" si="2"/>
        <v>-33660.419100000006</v>
      </c>
      <c r="I15" s="4">
        <f t="shared" si="3"/>
        <v>-0.43766578249336879</v>
      </c>
    </row>
    <row r="16" spans="1:21" x14ac:dyDescent="0.25">
      <c r="A16" s="6" t="s">
        <v>99</v>
      </c>
      <c r="B16" s="156" t="s">
        <v>46</v>
      </c>
      <c r="C16" s="176">
        <v>0</v>
      </c>
      <c r="D16" s="165">
        <v>2.513E-2</v>
      </c>
      <c r="E16" s="166">
        <f>'Sch. 140 Rates'!$K$12</f>
        <v>1.789E-2</v>
      </c>
      <c r="F16" s="20">
        <f t="shared" si="0"/>
        <v>0</v>
      </c>
      <c r="G16" s="20">
        <f t="shared" si="1"/>
        <v>0</v>
      </c>
      <c r="H16" s="14">
        <f t="shared" si="2"/>
        <v>0</v>
      </c>
      <c r="I16" s="4">
        <f t="shared" si="3"/>
        <v>0</v>
      </c>
    </row>
    <row r="17" spans="1:9" x14ac:dyDescent="0.25">
      <c r="A17" s="6" t="s">
        <v>100</v>
      </c>
      <c r="B17" s="156" t="s">
        <v>31</v>
      </c>
      <c r="C17" s="176">
        <v>21523379</v>
      </c>
      <c r="D17" s="165">
        <v>1.004E-2</v>
      </c>
      <c r="E17" s="166">
        <f>'Sch. 140 Rates'!$K$13</f>
        <v>7.3500000000000006E-3</v>
      </c>
      <c r="F17" s="20">
        <f t="shared" si="0"/>
        <v>216094.72516</v>
      </c>
      <c r="G17" s="20">
        <f t="shared" si="1"/>
        <v>158196.83565000002</v>
      </c>
      <c r="H17" s="14">
        <f t="shared" si="2"/>
        <v>-57897.889509999979</v>
      </c>
      <c r="I17" s="4">
        <f t="shared" si="3"/>
        <v>-0.26792828685258957</v>
      </c>
    </row>
    <row r="18" spans="1:9" x14ac:dyDescent="0.25">
      <c r="A18" s="6" t="s">
        <v>101</v>
      </c>
      <c r="B18" s="156" t="s">
        <v>32</v>
      </c>
      <c r="C18" s="176">
        <v>63133599</v>
      </c>
      <c r="D18" s="165">
        <v>5.2900000000000004E-3</v>
      </c>
      <c r="E18" s="166">
        <f>'Sch. 140 Rates'!$K$14</f>
        <v>3.8600000000000006E-3</v>
      </c>
      <c r="F18" s="20">
        <f t="shared" si="0"/>
        <v>333976.73871000001</v>
      </c>
      <c r="G18" s="20">
        <f t="shared" si="1"/>
        <v>243695.69214000003</v>
      </c>
      <c r="H18" s="14">
        <f t="shared" si="2"/>
        <v>-90281.046569999977</v>
      </c>
      <c r="I18" s="4">
        <f t="shared" si="3"/>
        <v>-0.27032136105860105</v>
      </c>
    </row>
    <row r="19" spans="1:9" x14ac:dyDescent="0.25">
      <c r="A19" s="6" t="s">
        <v>102</v>
      </c>
      <c r="B19" s="156" t="s">
        <v>47</v>
      </c>
      <c r="C19" s="176">
        <v>1188598</v>
      </c>
      <c r="D19" s="165">
        <v>6.7299999999999999E-3</v>
      </c>
      <c r="E19" s="166">
        <f>'Sch. 140 Rates'!$K$15</f>
        <v>5.11E-3</v>
      </c>
      <c r="F19" s="20">
        <f t="shared" si="0"/>
        <v>7999.2645400000001</v>
      </c>
      <c r="G19" s="20">
        <f t="shared" si="1"/>
        <v>6073.73578</v>
      </c>
      <c r="H19" s="14">
        <f t="shared" si="2"/>
        <v>-1925.5287600000001</v>
      </c>
      <c r="I19" s="4">
        <f t="shared" si="3"/>
        <v>-0.24071322436849926</v>
      </c>
    </row>
    <row r="20" spans="1:9" x14ac:dyDescent="0.25">
      <c r="A20" s="6" t="s">
        <v>103</v>
      </c>
      <c r="B20" s="156" t="s">
        <v>33</v>
      </c>
      <c r="C20" s="176">
        <v>123922533</v>
      </c>
      <c r="D20" s="165">
        <v>3.7699999999999999E-3</v>
      </c>
      <c r="E20" s="166">
        <f>'Sch. 140 Rates'!$K$16</f>
        <v>2.1199999999999999E-3</v>
      </c>
      <c r="F20" s="20">
        <f t="shared" si="0"/>
        <v>467187.94941</v>
      </c>
      <c r="G20" s="20">
        <f t="shared" si="1"/>
        <v>262715.76996000001</v>
      </c>
      <c r="H20" s="14">
        <f t="shared" si="2"/>
        <v>-204472.17945</v>
      </c>
      <c r="I20" s="4">
        <f t="shared" si="3"/>
        <v>-0.43766578249336868</v>
      </c>
    </row>
    <row r="21" spans="1:9" x14ac:dyDescent="0.25">
      <c r="A21" s="6" t="s">
        <v>25</v>
      </c>
      <c r="B21" s="156"/>
      <c r="C21" s="176">
        <v>32071144</v>
      </c>
      <c r="D21" s="168">
        <v>9.3999999999999997E-4</v>
      </c>
      <c r="E21" s="169">
        <f>'Sch. 140 Rates'!$K$17</f>
        <v>7.3000000000000007E-4</v>
      </c>
      <c r="F21" s="20">
        <f>C21*D21</f>
        <v>30146.875359999998</v>
      </c>
      <c r="G21" s="20">
        <f t="shared" si="1"/>
        <v>23411.935120000002</v>
      </c>
      <c r="H21" s="14">
        <f t="shared" si="2"/>
        <v>-6734.9402399999963</v>
      </c>
      <c r="I21" s="155">
        <f t="shared" si="3"/>
        <v>-0.22340425531914881</v>
      </c>
    </row>
    <row r="22" spans="1:9" x14ac:dyDescent="0.25">
      <c r="A22" s="6" t="s">
        <v>27</v>
      </c>
      <c r="C22" s="16">
        <f>SUM(C9:C21)</f>
        <v>1118826055</v>
      </c>
      <c r="D22" s="101"/>
      <c r="E22" s="101"/>
      <c r="F22" s="55">
        <f t="shared" ref="F22:H22" si="4">SUM(F9:F21)</f>
        <v>20071429.18321</v>
      </c>
      <c r="G22" s="55">
        <f t="shared" si="4"/>
        <v>14498961.416199999</v>
      </c>
      <c r="H22" s="17">
        <f t="shared" si="4"/>
        <v>-5572467.7670100015</v>
      </c>
      <c r="I22" s="4">
        <f t="shared" si="3"/>
        <v>-0.27763183758092524</v>
      </c>
    </row>
    <row r="23" spans="1:9" x14ac:dyDescent="0.25">
      <c r="F23" s="14"/>
      <c r="G23" s="14"/>
    </row>
    <row r="24" spans="1:9" x14ac:dyDescent="0.25">
      <c r="C24" s="19"/>
      <c r="F24" s="14"/>
      <c r="G24" s="14"/>
    </row>
    <row r="25" spans="1:9" x14ac:dyDescent="0.25">
      <c r="A25" s="102"/>
      <c r="B25" s="98"/>
      <c r="C25" s="98"/>
      <c r="D25" s="98"/>
      <c r="E25" s="98"/>
      <c r="F25" s="98"/>
      <c r="G25" s="98"/>
      <c r="H25" s="98"/>
    </row>
    <row r="26" spans="1:9" x14ac:dyDescent="0.25">
      <c r="B26" s="98"/>
      <c r="C26" s="98"/>
      <c r="D26" s="98"/>
      <c r="E26" s="98"/>
      <c r="F26" s="98"/>
      <c r="G26" s="98"/>
      <c r="H26" s="98"/>
    </row>
    <row r="41" spans="2:2" ht="17.25" x14ac:dyDescent="0.25">
      <c r="B41" s="103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4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C35" sqref="B35:C35"/>
    </sheetView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90" zoomScaleNormal="90" workbookViewId="0">
      <pane xSplit="2" ySplit="4" topLeftCell="C5" activePane="bottomRight" state="frozen"/>
      <selection activeCell="B31" sqref="B31"/>
      <selection pane="topRight" activeCell="B31" sqref="B31"/>
      <selection pane="bottomLeft" activeCell="B31" sqref="B31"/>
      <selection pane="bottomRight" activeCell="I20" sqref="I20"/>
    </sheetView>
  </sheetViews>
  <sheetFormatPr defaultColWidth="9.140625" defaultRowHeight="15" x14ac:dyDescent="0.25"/>
  <cols>
    <col min="1" max="1" width="5.140625" style="115" customWidth="1"/>
    <col min="2" max="2" width="66" style="22" customWidth="1"/>
    <col min="3" max="3" width="17.85546875" style="116" bestFit="1" customWidth="1"/>
    <col min="4" max="4" width="14" style="22" bestFit="1" customWidth="1"/>
    <col min="5" max="5" width="13.140625" style="22" bestFit="1" customWidth="1"/>
    <col min="6" max="6" width="14" style="22" customWidth="1"/>
    <col min="7" max="7" width="3.85546875" style="22" customWidth="1"/>
    <col min="8" max="9" width="16.140625" style="22" bestFit="1" customWidth="1"/>
    <col min="10" max="10" width="14.5703125" style="22" bestFit="1" customWidth="1"/>
    <col min="11" max="11" width="9.140625" style="22"/>
    <col min="12" max="12" width="17.42578125" style="22" bestFit="1" customWidth="1"/>
    <col min="13" max="14" width="12.140625" style="22" bestFit="1" customWidth="1"/>
    <col min="15" max="15" width="17.140625" style="22" bestFit="1" customWidth="1"/>
    <col min="16" max="16" width="9.140625" style="22"/>
    <col min="17" max="17" width="12.140625" style="22" bestFit="1" customWidth="1"/>
    <col min="18" max="19" width="9.140625" style="22"/>
    <col min="20" max="20" width="16.140625" style="22" bestFit="1" customWidth="1"/>
    <col min="21" max="16384" width="9.140625" style="22"/>
  </cols>
  <sheetData>
    <row r="1" spans="1:10" ht="18.75" x14ac:dyDescent="0.3">
      <c r="A1" s="136" t="s">
        <v>191</v>
      </c>
      <c r="B1" s="137"/>
      <c r="C1" s="114"/>
    </row>
    <row r="2" spans="1:10" ht="18.75" x14ac:dyDescent="0.3">
      <c r="B2" s="43"/>
      <c r="C2" s="114"/>
    </row>
    <row r="3" spans="1:10" x14ac:dyDescent="0.25">
      <c r="D3" s="117" t="s">
        <v>37</v>
      </c>
      <c r="E3" s="118"/>
      <c r="F3" s="119"/>
      <c r="H3" s="117" t="s">
        <v>38</v>
      </c>
      <c r="I3" s="119"/>
      <c r="J3" s="119"/>
    </row>
    <row r="4" spans="1:10" x14ac:dyDescent="0.25">
      <c r="D4" s="120" t="s">
        <v>39</v>
      </c>
      <c r="E4" s="120" t="s">
        <v>40</v>
      </c>
      <c r="F4" s="120" t="s">
        <v>27</v>
      </c>
      <c r="H4" s="120" t="s">
        <v>39</v>
      </c>
      <c r="I4" s="120" t="s">
        <v>40</v>
      </c>
      <c r="J4" s="120" t="s">
        <v>27</v>
      </c>
    </row>
    <row r="5" spans="1:10" x14ac:dyDescent="0.25">
      <c r="H5" s="22">
        <v>0.95034799999999997</v>
      </c>
      <c r="I5" s="22">
        <v>0.95344399999999996</v>
      </c>
    </row>
    <row r="6" spans="1:10" x14ac:dyDescent="0.25">
      <c r="A6" s="115">
        <f>ROW()</f>
        <v>6</v>
      </c>
      <c r="B6" s="22" t="s">
        <v>192</v>
      </c>
      <c r="C6" s="121"/>
      <c r="D6" s="5">
        <v>44476425.825052522</v>
      </c>
      <c r="E6" s="5">
        <v>20401723.722461723</v>
      </c>
      <c r="F6" s="5">
        <f>SUM(D6:E6)</f>
        <v>64878149.547514245</v>
      </c>
      <c r="G6" s="137"/>
      <c r="H6" s="170">
        <v>46800146.709471188</v>
      </c>
      <c r="I6" s="170">
        <v>21397925.544092495</v>
      </c>
      <c r="J6" s="5">
        <f>SUM(H6:I6)</f>
        <v>68198072.253563687</v>
      </c>
    </row>
    <row r="7" spans="1:10" x14ac:dyDescent="0.25">
      <c r="A7" s="115">
        <f>ROW()</f>
        <v>7</v>
      </c>
      <c r="H7" s="150"/>
      <c r="I7" s="150"/>
    </row>
    <row r="8" spans="1:10" x14ac:dyDescent="0.25">
      <c r="A8" s="115">
        <f>ROW()</f>
        <v>8</v>
      </c>
      <c r="B8" s="22" t="s">
        <v>41</v>
      </c>
      <c r="E8" s="29"/>
    </row>
    <row r="9" spans="1:10" x14ac:dyDescent="0.25">
      <c r="A9" s="115">
        <f>ROW()</f>
        <v>9</v>
      </c>
      <c r="B9" s="122" t="s">
        <v>193</v>
      </c>
      <c r="C9" s="29"/>
      <c r="D9" s="23">
        <v>35309737.004852846</v>
      </c>
      <c r="E9" s="23">
        <v>17626062.637631837</v>
      </c>
      <c r="F9" s="23">
        <f>SUM(D9:E9)</f>
        <v>52935799.64248468</v>
      </c>
      <c r="H9" s="21">
        <f>D9/$H$5</f>
        <v>37154533.923207968</v>
      </c>
      <c r="I9" s="21">
        <f>E9/$I$5</f>
        <v>18486730.880504612</v>
      </c>
      <c r="J9" s="23">
        <f>SUM(H9:I9)</f>
        <v>55641264.803712577</v>
      </c>
    </row>
    <row r="10" spans="1:10" x14ac:dyDescent="0.25">
      <c r="A10" s="115">
        <f>ROW()</f>
        <v>10</v>
      </c>
      <c r="B10" s="122" t="s">
        <v>192</v>
      </c>
      <c r="C10" s="121" t="s">
        <v>194</v>
      </c>
      <c r="D10" s="23">
        <f>D6</f>
        <v>44476425.825052522</v>
      </c>
      <c r="E10" s="23">
        <f>E6</f>
        <v>20401723.722461723</v>
      </c>
      <c r="F10" s="23">
        <f>SUM(D10:E10)</f>
        <v>64878149.547514245</v>
      </c>
      <c r="H10" s="21">
        <f>H6</f>
        <v>46800146.709471188</v>
      </c>
      <c r="I10" s="21">
        <f>I6</f>
        <v>21397925.544092495</v>
      </c>
      <c r="J10" s="23">
        <f>SUM(H10:I10)</f>
        <v>68198072.253563687</v>
      </c>
    </row>
    <row r="11" spans="1:10" x14ac:dyDescent="0.25">
      <c r="A11" s="115">
        <f>ROW()</f>
        <v>11</v>
      </c>
      <c r="B11" s="22" t="s">
        <v>195</v>
      </c>
      <c r="D11" s="23">
        <v>-760665.17568123667</v>
      </c>
      <c r="E11" s="138">
        <v>162406.85716641782</v>
      </c>
      <c r="F11" s="23">
        <f>SUM(D11:E11)</f>
        <v>-598258.31851481879</v>
      </c>
      <c r="H11" s="21">
        <f>D11/$H$5</f>
        <v>-800406.98321166215</v>
      </c>
      <c r="I11" s="21">
        <f>E11/$I$5</f>
        <v>170337.06978744199</v>
      </c>
      <c r="J11" s="23">
        <f>SUM(H11:I11)</f>
        <v>-630069.91342422017</v>
      </c>
    </row>
    <row r="12" spans="1:10" x14ac:dyDescent="0.25">
      <c r="A12" s="115">
        <f>ROW()</f>
        <v>12</v>
      </c>
      <c r="B12" s="22" t="s">
        <v>196</v>
      </c>
      <c r="D12" s="23">
        <v>-7445853.3400000036</v>
      </c>
      <c r="E12" s="138">
        <v>-4007686.1900000013</v>
      </c>
      <c r="F12" s="23">
        <f t="shared" ref="F12:F13" si="0">SUM(D12:E12)</f>
        <v>-11453539.530000005</v>
      </c>
      <c r="H12" s="21">
        <f>D12/H5</f>
        <v>-7834870.3211876107</v>
      </c>
      <c r="I12" s="21">
        <f>E12/I5</f>
        <v>-4203378.6882082233</v>
      </c>
      <c r="J12" s="23">
        <f t="shared" ref="J12:J13" si="1">SUM(H12:I12)</f>
        <v>-12038249.009395834</v>
      </c>
    </row>
    <row r="13" spans="1:10" x14ac:dyDescent="0.25">
      <c r="A13" s="115">
        <f>ROW()</f>
        <v>13</v>
      </c>
      <c r="B13" s="122" t="s">
        <v>197</v>
      </c>
      <c r="D13" s="23">
        <v>1060751.3807328399</v>
      </c>
      <c r="E13" s="138">
        <v>44938.569595496061</v>
      </c>
      <c r="F13" s="23">
        <f t="shared" si="0"/>
        <v>1105689.9503283361</v>
      </c>
      <c r="H13" s="21">
        <f>D13/H5</f>
        <v>1116171.5295163877</v>
      </c>
      <c r="I13" s="171">
        <f>E13/I5</f>
        <v>47132.888345299842</v>
      </c>
      <c r="J13" s="23">
        <f t="shared" si="1"/>
        <v>1163304.4178616875</v>
      </c>
    </row>
    <row r="14" spans="1:10" x14ac:dyDescent="0.25">
      <c r="A14" s="115">
        <f>ROW()</f>
        <v>14</v>
      </c>
      <c r="D14" s="24"/>
      <c r="E14" s="24"/>
      <c r="F14" s="24"/>
      <c r="H14" s="27">
        <v>0</v>
      </c>
      <c r="I14" s="27">
        <v>0</v>
      </c>
      <c r="J14" s="28" t="s">
        <v>149</v>
      </c>
    </row>
    <row r="15" spans="1:10" x14ac:dyDescent="0.25">
      <c r="A15" s="115">
        <f>ROW()</f>
        <v>15</v>
      </c>
      <c r="B15" s="22" t="s">
        <v>59</v>
      </c>
      <c r="C15" s="121" t="s">
        <v>198</v>
      </c>
      <c r="D15" s="23">
        <f>D9-D10+D11+D12+D13</f>
        <v>-16312455.955148077</v>
      </c>
      <c r="E15" s="23">
        <f>E9-E10+E11+E12+E13</f>
        <v>-6576001.8480679728</v>
      </c>
      <c r="F15" s="23">
        <f>SUM(D15:E15)</f>
        <v>-22888457.803216048</v>
      </c>
      <c r="H15" s="23">
        <f>H9-H10+H11+H12+H13</f>
        <v>-17164718.561146107</v>
      </c>
      <c r="I15" s="23">
        <f>I9-I10+I11+I12+I13</f>
        <v>-6897103.3936633645</v>
      </c>
      <c r="J15" s="23">
        <f>SUM(H15:I15)</f>
        <v>-24061821.954809472</v>
      </c>
    </row>
    <row r="16" spans="1:10" x14ac:dyDescent="0.25">
      <c r="A16" s="115">
        <f>ROW()</f>
        <v>16</v>
      </c>
      <c r="D16" s="24"/>
      <c r="E16" s="24"/>
      <c r="F16" s="24"/>
      <c r="H16" s="24"/>
      <c r="I16" s="24"/>
      <c r="J16" s="24"/>
    </row>
    <row r="17" spans="1:20" ht="15.75" thickBot="1" x14ac:dyDescent="0.3">
      <c r="A17" s="115">
        <f>ROW()</f>
        <v>17</v>
      </c>
      <c r="B17" s="22" t="s">
        <v>199</v>
      </c>
      <c r="C17" s="121" t="s">
        <v>200</v>
      </c>
      <c r="D17" s="25">
        <f>D6+D15</f>
        <v>28163969.869904444</v>
      </c>
      <c r="E17" s="25">
        <f>E6+E15</f>
        <v>13825721.87439375</v>
      </c>
      <c r="F17" s="25">
        <f>SUM(D17:E17)</f>
        <v>41989691.74429819</v>
      </c>
      <c r="H17" s="25">
        <f>H6+H15</f>
        <v>29635428.148325082</v>
      </c>
      <c r="I17" s="25">
        <f>I6+I15</f>
        <v>14500822.15042913</v>
      </c>
      <c r="J17" s="25">
        <f>SUM(H17:I17)</f>
        <v>44136250.298754215</v>
      </c>
    </row>
    <row r="18" spans="1:20" ht="15.75" thickTop="1" x14ac:dyDescent="0.25">
      <c r="A18" s="115">
        <f>ROW()</f>
        <v>18</v>
      </c>
    </row>
    <row r="19" spans="1:20" x14ac:dyDescent="0.25">
      <c r="A19" s="115">
        <f>ROW()</f>
        <v>19</v>
      </c>
    </row>
    <row r="20" spans="1:20" x14ac:dyDescent="0.25">
      <c r="A20" s="115">
        <f>ROW()</f>
        <v>20</v>
      </c>
      <c r="B20" s="22" t="s">
        <v>43</v>
      </c>
      <c r="C20" s="121" t="s">
        <v>201</v>
      </c>
      <c r="D20" s="21">
        <f>D17-D21</f>
        <v>38407473.018959478</v>
      </c>
      <c r="E20" s="21">
        <f>E17-E21</f>
        <v>15846707.810724655</v>
      </c>
      <c r="F20" s="21">
        <f>SUM(D20:E20)</f>
        <v>54254180.829684131</v>
      </c>
      <c r="H20" s="21">
        <f>D20/H5</f>
        <v>40414114.639015898</v>
      </c>
      <c r="I20" s="21">
        <f>E20/I5</f>
        <v>16620491.408750441</v>
      </c>
      <c r="J20" s="21">
        <f>SUM(H20:I20)</f>
        <v>57034606.047766343</v>
      </c>
      <c r="O20" s="151"/>
    </row>
    <row r="21" spans="1:20" x14ac:dyDescent="0.25">
      <c r="A21" s="115">
        <f>ROW()</f>
        <v>21</v>
      </c>
      <c r="B21" s="22" t="s">
        <v>202</v>
      </c>
      <c r="C21" s="29"/>
      <c r="D21" s="23">
        <v>-10243503.149055036</v>
      </c>
      <c r="E21" s="23">
        <v>-2020985.9363309052</v>
      </c>
      <c r="F21" s="23">
        <f>SUM(D21:E21)</f>
        <v>-12264489.085385941</v>
      </c>
      <c r="H21" s="130">
        <f>D21/$H$5</f>
        <v>-10778686.490690816</v>
      </c>
      <c r="I21" s="130">
        <f>E21/$I$5</f>
        <v>-2119669.2583213123</v>
      </c>
      <c r="J21" s="23">
        <f>SUM(H21:I21)</f>
        <v>-12898355.749012128</v>
      </c>
    </row>
    <row r="22" spans="1:20" x14ac:dyDescent="0.25">
      <c r="A22" s="115">
        <f>ROW()</f>
        <v>22</v>
      </c>
      <c r="D22" s="24"/>
      <c r="E22" s="24"/>
      <c r="F22" s="24"/>
      <c r="H22" s="24"/>
      <c r="I22" s="24"/>
      <c r="J22" s="24"/>
    </row>
    <row r="23" spans="1:20" ht="15.75" thickBot="1" x14ac:dyDescent="0.3">
      <c r="A23" s="115">
        <f>ROW()</f>
        <v>23</v>
      </c>
      <c r="B23" s="22" t="s">
        <v>42</v>
      </c>
      <c r="C23" s="121" t="s">
        <v>203</v>
      </c>
      <c r="D23" s="25">
        <f>SUM(D20:D21)</f>
        <v>28163969.869904444</v>
      </c>
      <c r="E23" s="25">
        <f>SUM(E20:E22)</f>
        <v>13825721.87439375</v>
      </c>
      <c r="F23" s="25">
        <f>SUM(D23:E23)</f>
        <v>41989691.74429819</v>
      </c>
      <c r="H23" s="25">
        <f>SUM(H20:H21)</f>
        <v>29635428.148325082</v>
      </c>
      <c r="I23" s="25">
        <f>SUM(I20:I21)</f>
        <v>14500822.15042913</v>
      </c>
      <c r="J23" s="25">
        <f>SUM(H23:I23)</f>
        <v>44136250.298754215</v>
      </c>
    </row>
    <row r="24" spans="1:20" ht="15.75" thickTop="1" x14ac:dyDescent="0.25">
      <c r="A24" s="115">
        <f>ROW()</f>
        <v>24</v>
      </c>
    </row>
    <row r="25" spans="1:20" x14ac:dyDescent="0.25">
      <c r="A25" s="115">
        <f>ROW()</f>
        <v>25</v>
      </c>
      <c r="D25" s="21"/>
      <c r="E25" s="21"/>
      <c r="F25" s="21"/>
    </row>
    <row r="26" spans="1:20" x14ac:dyDescent="0.25">
      <c r="A26" s="115">
        <f>ROW()</f>
        <v>26</v>
      </c>
      <c r="B26" s="22" t="s">
        <v>204</v>
      </c>
    </row>
    <row r="27" spans="1:20" x14ac:dyDescent="0.25">
      <c r="A27" s="115">
        <f>ROW()</f>
        <v>27</v>
      </c>
      <c r="B27" s="122" t="s">
        <v>44</v>
      </c>
      <c r="D27" s="23">
        <v>-14040822.995147154</v>
      </c>
      <c r="E27" s="23">
        <v>-3297258.3623681627</v>
      </c>
      <c r="F27" s="23">
        <f>SUM(D27:E27)</f>
        <v>-17338081.357515316</v>
      </c>
      <c r="H27" s="130">
        <v>-14774401.582522564</v>
      </c>
      <c r="I27" s="130">
        <v>-3458261.1693693213</v>
      </c>
      <c r="J27" s="23">
        <f>SUM(H27:I27)</f>
        <v>-18232662.751891885</v>
      </c>
      <c r="N27" s="21"/>
    </row>
    <row r="28" spans="1:20" x14ac:dyDescent="0.25">
      <c r="A28" s="115">
        <f>ROW()</f>
        <v>28</v>
      </c>
      <c r="B28" s="122" t="s">
        <v>45</v>
      </c>
      <c r="D28" s="23">
        <v>2971738.9992662389</v>
      </c>
      <c r="E28" s="23">
        <v>752356.13470469019</v>
      </c>
      <c r="F28" s="23">
        <f>SUM(D28:E28)</f>
        <v>3724095.1339709293</v>
      </c>
      <c r="H28" s="23">
        <v>3127000.8452337869</v>
      </c>
      <c r="I28" s="23">
        <v>789093.15565957758</v>
      </c>
      <c r="J28" s="23">
        <f>SUM(H28:I28)</f>
        <v>3916094.0008933647</v>
      </c>
      <c r="O28" s="151"/>
    </row>
    <row r="29" spans="1:20" x14ac:dyDescent="0.25">
      <c r="A29" s="115">
        <f>ROW()</f>
        <v>29</v>
      </c>
      <c r="B29" s="122" t="s">
        <v>205</v>
      </c>
      <c r="D29" s="23">
        <f>D12</f>
        <v>-7445853.3400000036</v>
      </c>
      <c r="E29" s="23">
        <f>E12</f>
        <v>-4007686.1900000013</v>
      </c>
      <c r="F29" s="23">
        <f>SUM(D29:E29)</f>
        <v>-11453539.530000005</v>
      </c>
      <c r="H29" s="23">
        <f>H12</f>
        <v>-7834870.3211876107</v>
      </c>
      <c r="I29" s="23">
        <f>I12</f>
        <v>-4203378.6882082233</v>
      </c>
      <c r="J29" s="23">
        <f>SUM(H29:I29)</f>
        <v>-12038249.009395834</v>
      </c>
      <c r="O29" s="151"/>
    </row>
    <row r="30" spans="1:20" x14ac:dyDescent="0.25">
      <c r="A30" s="115">
        <f>ROW()</f>
        <v>30</v>
      </c>
      <c r="B30" s="122" t="s">
        <v>197</v>
      </c>
      <c r="D30" s="23">
        <f>D13</f>
        <v>1060751.3807328399</v>
      </c>
      <c r="E30" s="23">
        <f>E13</f>
        <v>44938.569595496061</v>
      </c>
      <c r="F30" s="23">
        <f>SUM(D30:E30)</f>
        <v>1105689.9503283361</v>
      </c>
      <c r="H30" s="130">
        <f>D30/H5</f>
        <v>1116171.5295163877</v>
      </c>
      <c r="I30" s="130">
        <f>E30/I5</f>
        <v>47132.888345299842</v>
      </c>
      <c r="J30" s="23">
        <f>SUM(H30:I30)</f>
        <v>1163304.4178616875</v>
      </c>
    </row>
    <row r="31" spans="1:20" x14ac:dyDescent="0.25">
      <c r="A31" s="115">
        <f>ROW()</f>
        <v>31</v>
      </c>
      <c r="B31" s="122" t="s">
        <v>206</v>
      </c>
      <c r="D31" s="23">
        <v>1141730</v>
      </c>
      <c r="E31" s="23">
        <v>-68352</v>
      </c>
      <c r="F31" s="23">
        <f>SUM(D31:E31)</f>
        <v>1073378</v>
      </c>
      <c r="H31" s="130">
        <f>D31/H5</f>
        <v>1201380.9678138955</v>
      </c>
      <c r="I31" s="130">
        <f>E31/I5</f>
        <v>-71689.580090702759</v>
      </c>
      <c r="J31" s="23">
        <f>SUM(H31:I31)</f>
        <v>1129691.3877231928</v>
      </c>
    </row>
    <row r="32" spans="1:20" ht="15.75" thickBot="1" x14ac:dyDescent="0.3">
      <c r="A32" s="115">
        <f>ROW()</f>
        <v>32</v>
      </c>
      <c r="B32" s="22" t="s">
        <v>207</v>
      </c>
      <c r="D32" s="123">
        <f>SUM(D27:D31)</f>
        <v>-16312455.955148079</v>
      </c>
      <c r="E32" s="123">
        <f>SUM(E27:E31)</f>
        <v>-6576001.8480679775</v>
      </c>
      <c r="F32" s="123">
        <f>SUM(F27:F31)</f>
        <v>-22888457.803216055</v>
      </c>
      <c r="H32" s="123">
        <f>SUM(H27:H31)</f>
        <v>-17164718.561146107</v>
      </c>
      <c r="I32" s="123">
        <f>SUM(I27:I31)</f>
        <v>-6897103.3936633691</v>
      </c>
      <c r="J32" s="123">
        <f>SUM(J27:J31)</f>
        <v>-24061821.954809472</v>
      </c>
      <c r="O32" s="21"/>
      <c r="Q32" s="21"/>
      <c r="T32" s="151"/>
    </row>
    <row r="33" spans="1:20" ht="15.75" thickTop="1" x14ac:dyDescent="0.25">
      <c r="A33" s="115">
        <f>ROW()</f>
        <v>33</v>
      </c>
      <c r="D33" s="124">
        <f>D32-D15</f>
        <v>0</v>
      </c>
      <c r="E33" s="124">
        <f>E32-E15</f>
        <v>0</v>
      </c>
      <c r="F33" s="124">
        <f>F32-F15</f>
        <v>0</v>
      </c>
      <c r="G33" s="125"/>
      <c r="H33" s="124">
        <f>H32-H15</f>
        <v>0</v>
      </c>
      <c r="I33" s="124">
        <f>I32-I15</f>
        <v>0</v>
      </c>
      <c r="J33" s="124">
        <f>J32-J15</f>
        <v>0</v>
      </c>
    </row>
    <row r="34" spans="1:20" x14ac:dyDescent="0.25">
      <c r="A34" s="115">
        <f>ROW()</f>
        <v>34</v>
      </c>
      <c r="D34" s="130"/>
      <c r="E34" s="130"/>
      <c r="H34" s="21"/>
      <c r="I34" s="21"/>
      <c r="J34" s="21"/>
      <c r="T34" s="152"/>
    </row>
    <row r="35" spans="1:20" x14ac:dyDescent="0.25">
      <c r="A35" s="115">
        <f>ROW()</f>
        <v>35</v>
      </c>
      <c r="B35" s="44" t="s">
        <v>48</v>
      </c>
      <c r="C35" s="121"/>
      <c r="H35" s="126">
        <f>H32/H6</f>
        <v>-0.36676634087714072</v>
      </c>
      <c r="I35" s="126">
        <f>I32/I6</f>
        <v>-0.32232579646336373</v>
      </c>
    </row>
    <row r="36" spans="1:20" x14ac:dyDescent="0.25">
      <c r="A36" s="115">
        <f>ROW()</f>
        <v>36</v>
      </c>
      <c r="B36" s="44" t="s">
        <v>49</v>
      </c>
      <c r="H36" s="115" t="str">
        <f>IF(ABS(H35)&gt;1%,"yes","no")</f>
        <v>yes</v>
      </c>
      <c r="I36" s="115" t="str">
        <f>IF(ABS(I35)&gt;1%,"yes","no")</f>
        <v>yes</v>
      </c>
    </row>
    <row r="37" spans="1:20" x14ac:dyDescent="0.25">
      <c r="A37" s="115">
        <f>ROW()</f>
        <v>37</v>
      </c>
      <c r="B37" s="45" t="s">
        <v>50</v>
      </c>
    </row>
    <row r="38" spans="1:20" x14ac:dyDescent="0.25">
      <c r="A38" s="115">
        <f>ROW()</f>
        <v>38</v>
      </c>
      <c r="B38" s="45" t="s">
        <v>51</v>
      </c>
    </row>
    <row r="40" spans="1:20" x14ac:dyDescent="0.25">
      <c r="B40" s="127"/>
    </row>
    <row r="41" spans="1:20" x14ac:dyDescent="0.25">
      <c r="B41" s="127"/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90" zoomScaleNormal="90" workbookViewId="0">
      <selection activeCell="Q17" sqref="Q17"/>
    </sheetView>
  </sheetViews>
  <sheetFormatPr defaultColWidth="9.140625" defaultRowHeight="15" x14ac:dyDescent="0.25"/>
  <cols>
    <col min="1" max="1" width="10.7109375" style="6" customWidth="1"/>
    <col min="2" max="2" width="12" style="6" bestFit="1" customWidth="1"/>
    <col min="3" max="7" width="11.28515625" style="6" bestFit="1" customWidth="1"/>
    <col min="8" max="12" width="12.42578125" style="6" bestFit="1" customWidth="1"/>
    <col min="13" max="13" width="12" style="6" bestFit="1" customWidth="1"/>
    <col min="14" max="14" width="13.85546875" style="6" customWidth="1"/>
    <col min="15" max="16384" width="9.140625" style="6"/>
  </cols>
  <sheetData>
    <row r="1" spans="1:14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x14ac:dyDescent="0.25">
      <c r="A2" s="187" t="str">
        <f>'Sch. 140 Rates'!A2:N2</f>
        <v>2024 Gas Schedule 140 Property Tax Tracker Filing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x14ac:dyDescent="0.25">
      <c r="A3" s="187" t="s">
        <v>58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x14ac:dyDescent="0.25">
      <c r="A4" s="190" t="str">
        <f>TEXT(B7,"Mmm YYYY - ")&amp;TEXT(M7,"Mmmm YYYY")</f>
        <v>May 2024 - April 2025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8"/>
      <c r="N5" s="8"/>
    </row>
    <row r="6" spans="1:14" x14ac:dyDescent="0.25">
      <c r="A6" s="144" t="s">
        <v>72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8"/>
      <c r="N6" s="8"/>
    </row>
    <row r="7" spans="1:14" x14ac:dyDescent="0.25">
      <c r="A7" s="145" t="s">
        <v>30</v>
      </c>
      <c r="B7" s="172">
        <v>45413</v>
      </c>
      <c r="C7" s="173">
        <f>EDATE(B7,1)</f>
        <v>45444</v>
      </c>
      <c r="D7" s="173">
        <f t="shared" ref="D7:M7" si="0">EDATE(C7,1)</f>
        <v>45474</v>
      </c>
      <c r="E7" s="173">
        <f t="shared" si="0"/>
        <v>45505</v>
      </c>
      <c r="F7" s="173">
        <f t="shared" si="0"/>
        <v>45536</v>
      </c>
      <c r="G7" s="173">
        <f t="shared" si="0"/>
        <v>45566</v>
      </c>
      <c r="H7" s="173">
        <f t="shared" si="0"/>
        <v>45597</v>
      </c>
      <c r="I7" s="173">
        <f t="shared" si="0"/>
        <v>45627</v>
      </c>
      <c r="J7" s="173">
        <f t="shared" si="0"/>
        <v>45658</v>
      </c>
      <c r="K7" s="173">
        <f t="shared" si="0"/>
        <v>45689</v>
      </c>
      <c r="L7" s="173">
        <f t="shared" si="0"/>
        <v>45717</v>
      </c>
      <c r="M7" s="173">
        <f t="shared" si="0"/>
        <v>45748</v>
      </c>
      <c r="N7" s="13" t="s">
        <v>27</v>
      </c>
    </row>
    <row r="8" spans="1:14" x14ac:dyDescent="0.25">
      <c r="A8" s="144">
        <v>16</v>
      </c>
      <c r="B8" s="179">
        <v>583</v>
      </c>
      <c r="C8" s="179">
        <v>583</v>
      </c>
      <c r="D8" s="179">
        <v>583</v>
      </c>
      <c r="E8" s="179">
        <v>583</v>
      </c>
      <c r="F8" s="179">
        <v>583</v>
      </c>
      <c r="G8" s="179">
        <v>583</v>
      </c>
      <c r="H8" s="179">
        <v>583</v>
      </c>
      <c r="I8" s="179">
        <v>583</v>
      </c>
      <c r="J8" s="179">
        <v>583</v>
      </c>
      <c r="K8" s="179">
        <v>583</v>
      </c>
      <c r="L8" s="179">
        <v>583</v>
      </c>
      <c r="M8" s="179">
        <v>583</v>
      </c>
      <c r="N8" s="146">
        <f t="shared" ref="N8:N21" si="1">SUM(B8:M8)</f>
        <v>6996</v>
      </c>
    </row>
    <row r="9" spans="1:14" x14ac:dyDescent="0.25">
      <c r="A9" s="144">
        <v>23</v>
      </c>
      <c r="B9" s="179">
        <v>27300857</v>
      </c>
      <c r="C9" s="179">
        <v>18661784</v>
      </c>
      <c r="D9" s="179">
        <v>14141387</v>
      </c>
      <c r="E9" s="179">
        <v>13556472</v>
      </c>
      <c r="F9" s="179">
        <v>17856721</v>
      </c>
      <c r="G9" s="179">
        <v>38270559</v>
      </c>
      <c r="H9" s="179">
        <v>64417242</v>
      </c>
      <c r="I9" s="179">
        <v>85858146</v>
      </c>
      <c r="J9" s="179">
        <v>82737764</v>
      </c>
      <c r="K9" s="179">
        <v>71461185</v>
      </c>
      <c r="L9" s="179">
        <v>65421149</v>
      </c>
      <c r="M9" s="179">
        <v>45585511</v>
      </c>
      <c r="N9" s="146">
        <f t="shared" si="1"/>
        <v>545268777</v>
      </c>
    </row>
    <row r="10" spans="1:14" x14ac:dyDescent="0.25">
      <c r="A10" s="144">
        <v>53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46">
        <f t="shared" si="1"/>
        <v>0</v>
      </c>
    </row>
    <row r="11" spans="1:14" x14ac:dyDescent="0.25">
      <c r="A11" s="144">
        <v>31</v>
      </c>
      <c r="B11" s="179">
        <v>12479173</v>
      </c>
      <c r="C11" s="179">
        <v>10007332</v>
      </c>
      <c r="D11" s="179">
        <v>8541920</v>
      </c>
      <c r="E11" s="179">
        <v>9385859</v>
      </c>
      <c r="F11" s="179">
        <v>11554397</v>
      </c>
      <c r="G11" s="179">
        <v>19568959</v>
      </c>
      <c r="H11" s="179">
        <v>27914350</v>
      </c>
      <c r="I11" s="179">
        <v>33705422</v>
      </c>
      <c r="J11" s="179">
        <v>29080225</v>
      </c>
      <c r="K11" s="179">
        <v>26056253</v>
      </c>
      <c r="L11" s="179">
        <v>23378566</v>
      </c>
      <c r="M11" s="179">
        <v>16969763</v>
      </c>
      <c r="N11" s="146">
        <f t="shared" si="1"/>
        <v>228642219</v>
      </c>
    </row>
    <row r="12" spans="1:14" x14ac:dyDescent="0.25">
      <c r="A12" s="144">
        <v>41</v>
      </c>
      <c r="B12" s="179">
        <v>3794892</v>
      </c>
      <c r="C12" s="179">
        <v>3220044</v>
      </c>
      <c r="D12" s="179">
        <v>2633383</v>
      </c>
      <c r="E12" s="179">
        <v>2880961</v>
      </c>
      <c r="F12" s="179">
        <v>3593806</v>
      </c>
      <c r="G12" s="179">
        <v>5682283</v>
      </c>
      <c r="H12" s="179">
        <v>7339009</v>
      </c>
      <c r="I12" s="179">
        <v>7926928</v>
      </c>
      <c r="J12" s="179">
        <v>6802981</v>
      </c>
      <c r="K12" s="179">
        <v>6457012</v>
      </c>
      <c r="L12" s="179">
        <v>5990884</v>
      </c>
      <c r="M12" s="179">
        <v>4648592</v>
      </c>
      <c r="N12" s="146">
        <f t="shared" si="1"/>
        <v>60970775</v>
      </c>
    </row>
    <row r="13" spans="1:14" x14ac:dyDescent="0.25">
      <c r="A13" s="144">
        <v>85</v>
      </c>
      <c r="B13" s="179">
        <v>1333543</v>
      </c>
      <c r="C13" s="179">
        <v>1228915</v>
      </c>
      <c r="D13" s="179">
        <v>1241425</v>
      </c>
      <c r="E13" s="179">
        <v>1346578</v>
      </c>
      <c r="F13" s="179">
        <v>1180877</v>
      </c>
      <c r="G13" s="179">
        <v>1444713</v>
      </c>
      <c r="H13" s="179">
        <v>1525808</v>
      </c>
      <c r="I13" s="179">
        <v>1795961</v>
      </c>
      <c r="J13" s="179">
        <v>1539745</v>
      </c>
      <c r="K13" s="179">
        <v>1517466</v>
      </c>
      <c r="L13" s="179">
        <v>1487011</v>
      </c>
      <c r="M13" s="179">
        <v>1294313</v>
      </c>
      <c r="N13" s="146">
        <f t="shared" si="1"/>
        <v>16936355</v>
      </c>
    </row>
    <row r="14" spans="1:14" x14ac:dyDescent="0.25">
      <c r="A14" s="144">
        <v>86</v>
      </c>
      <c r="B14" s="179">
        <v>388605</v>
      </c>
      <c r="C14" s="179">
        <v>222624</v>
      </c>
      <c r="D14" s="179">
        <v>99487</v>
      </c>
      <c r="E14" s="179">
        <v>17695</v>
      </c>
      <c r="F14" s="179">
        <v>47188</v>
      </c>
      <c r="G14" s="179">
        <v>274533</v>
      </c>
      <c r="H14" s="179">
        <v>503995</v>
      </c>
      <c r="I14" s="179">
        <v>788250</v>
      </c>
      <c r="J14" s="179">
        <v>672352</v>
      </c>
      <c r="K14" s="179">
        <v>656625</v>
      </c>
      <c r="L14" s="179">
        <v>636858</v>
      </c>
      <c r="M14" s="179">
        <v>453214</v>
      </c>
      <c r="N14" s="146">
        <f t="shared" si="1"/>
        <v>4761426</v>
      </c>
    </row>
    <row r="15" spans="1:14" x14ac:dyDescent="0.25">
      <c r="A15" s="144">
        <v>87</v>
      </c>
      <c r="B15" s="179">
        <v>1509483</v>
      </c>
      <c r="C15" s="179">
        <v>1358291</v>
      </c>
      <c r="D15" s="179">
        <v>1475182</v>
      </c>
      <c r="E15" s="179">
        <v>1610634</v>
      </c>
      <c r="F15" s="179">
        <v>1501333</v>
      </c>
      <c r="G15" s="179">
        <v>2068873</v>
      </c>
      <c r="H15" s="179">
        <v>1993956</v>
      </c>
      <c r="I15" s="179">
        <v>2365281</v>
      </c>
      <c r="J15" s="179">
        <v>1756978</v>
      </c>
      <c r="K15" s="179">
        <v>1729058</v>
      </c>
      <c r="L15" s="179">
        <v>1673461</v>
      </c>
      <c r="M15" s="179">
        <v>1357724</v>
      </c>
      <c r="N15" s="146">
        <f t="shared" si="1"/>
        <v>20400254</v>
      </c>
    </row>
    <row r="16" spans="1:14" x14ac:dyDescent="0.25">
      <c r="A16" s="144" t="s">
        <v>46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46">
        <f t="shared" si="1"/>
        <v>0</v>
      </c>
    </row>
    <row r="17" spans="1:14" x14ac:dyDescent="0.25">
      <c r="A17" s="144" t="s">
        <v>31</v>
      </c>
      <c r="B17" s="179">
        <v>1839584</v>
      </c>
      <c r="C17" s="179">
        <v>1883319</v>
      </c>
      <c r="D17" s="179">
        <v>1678682</v>
      </c>
      <c r="E17" s="179">
        <v>1691880</v>
      </c>
      <c r="F17" s="179">
        <v>1738088</v>
      </c>
      <c r="G17" s="179">
        <v>1511046</v>
      </c>
      <c r="H17" s="179">
        <v>1833376</v>
      </c>
      <c r="I17" s="179">
        <v>1807052</v>
      </c>
      <c r="J17" s="179">
        <v>1744799</v>
      </c>
      <c r="K17" s="179">
        <v>2050563</v>
      </c>
      <c r="L17" s="179">
        <v>1806087</v>
      </c>
      <c r="M17" s="179">
        <v>1938903</v>
      </c>
      <c r="N17" s="146">
        <f t="shared" si="1"/>
        <v>21523379</v>
      </c>
    </row>
    <row r="18" spans="1:14" x14ac:dyDescent="0.25">
      <c r="A18" s="144" t="s">
        <v>32</v>
      </c>
      <c r="B18" s="179">
        <v>5832342</v>
      </c>
      <c r="C18" s="179">
        <v>5420147</v>
      </c>
      <c r="D18" s="179">
        <v>4980768</v>
      </c>
      <c r="E18" s="179">
        <v>4885851</v>
      </c>
      <c r="F18" s="179">
        <v>5424449</v>
      </c>
      <c r="G18" s="179">
        <v>4526473</v>
      </c>
      <c r="H18" s="179">
        <v>5490229</v>
      </c>
      <c r="I18" s="179">
        <v>5382296</v>
      </c>
      <c r="J18" s="179">
        <v>4816873</v>
      </c>
      <c r="K18" s="179">
        <v>5808776</v>
      </c>
      <c r="L18" s="179">
        <v>4973508</v>
      </c>
      <c r="M18" s="179">
        <v>5591887</v>
      </c>
      <c r="N18" s="146">
        <f t="shared" si="1"/>
        <v>63133599</v>
      </c>
    </row>
    <row r="19" spans="1:14" x14ac:dyDescent="0.25">
      <c r="A19" s="144" t="s">
        <v>47</v>
      </c>
      <c r="B19" s="179">
        <v>104880</v>
      </c>
      <c r="C19" s="179">
        <v>104204</v>
      </c>
      <c r="D19" s="179">
        <v>90225</v>
      </c>
      <c r="E19" s="179">
        <v>83370</v>
      </c>
      <c r="F19" s="179">
        <v>96837</v>
      </c>
      <c r="G19" s="179">
        <v>83739</v>
      </c>
      <c r="H19" s="179">
        <v>105045</v>
      </c>
      <c r="I19" s="179">
        <v>100884</v>
      </c>
      <c r="J19" s="179">
        <v>93203</v>
      </c>
      <c r="K19" s="179">
        <v>117030</v>
      </c>
      <c r="L19" s="179">
        <v>99848</v>
      </c>
      <c r="M19" s="179">
        <v>109333</v>
      </c>
      <c r="N19" s="146">
        <f t="shared" si="1"/>
        <v>1188598</v>
      </c>
    </row>
    <row r="20" spans="1:14" x14ac:dyDescent="0.25">
      <c r="A20" s="144" t="s">
        <v>33</v>
      </c>
      <c r="B20" s="179">
        <v>10257828</v>
      </c>
      <c r="C20" s="179">
        <v>11399495</v>
      </c>
      <c r="D20" s="179">
        <v>11779346</v>
      </c>
      <c r="E20" s="179">
        <v>11336188</v>
      </c>
      <c r="F20" s="179">
        <v>11888460</v>
      </c>
      <c r="G20" s="179">
        <v>10208495</v>
      </c>
      <c r="H20" s="179">
        <v>9192922</v>
      </c>
      <c r="I20" s="179">
        <v>9834705</v>
      </c>
      <c r="J20" s="179">
        <v>8775174</v>
      </c>
      <c r="K20" s="179">
        <v>10438896</v>
      </c>
      <c r="L20" s="179">
        <v>9137253</v>
      </c>
      <c r="M20" s="179">
        <v>9673771</v>
      </c>
      <c r="N20" s="146">
        <f t="shared" si="1"/>
        <v>123922533</v>
      </c>
    </row>
    <row r="21" spans="1:14" x14ac:dyDescent="0.25">
      <c r="A21" s="147" t="s">
        <v>25</v>
      </c>
      <c r="B21" s="179">
        <v>2518324</v>
      </c>
      <c r="C21" s="179">
        <v>1983662</v>
      </c>
      <c r="D21" s="179">
        <v>1748321</v>
      </c>
      <c r="E21" s="179">
        <v>1594116</v>
      </c>
      <c r="F21" s="179">
        <v>1962548</v>
      </c>
      <c r="G21" s="179">
        <v>2065335</v>
      </c>
      <c r="H21" s="179">
        <v>3420878</v>
      </c>
      <c r="I21" s="179">
        <v>3800407</v>
      </c>
      <c r="J21" s="179">
        <v>3272269</v>
      </c>
      <c r="K21" s="179">
        <v>4075429</v>
      </c>
      <c r="L21" s="179">
        <v>2843106</v>
      </c>
      <c r="M21" s="179">
        <v>2786749</v>
      </c>
      <c r="N21" s="146">
        <f t="shared" si="1"/>
        <v>32071144</v>
      </c>
    </row>
    <row r="22" spans="1:14" x14ac:dyDescent="0.25">
      <c r="A22" s="144" t="s">
        <v>27</v>
      </c>
      <c r="B22" s="174">
        <f>SUM(B8:B21)</f>
        <v>67360094</v>
      </c>
      <c r="C22" s="174">
        <f t="shared" ref="C22:M22" si="2">SUM(C8:C21)</f>
        <v>55490400</v>
      </c>
      <c r="D22" s="174">
        <f t="shared" si="2"/>
        <v>48410709</v>
      </c>
      <c r="E22" s="174">
        <f t="shared" si="2"/>
        <v>48390187</v>
      </c>
      <c r="F22" s="174">
        <f t="shared" si="2"/>
        <v>56845287</v>
      </c>
      <c r="G22" s="174">
        <f t="shared" si="2"/>
        <v>85705591</v>
      </c>
      <c r="H22" s="174">
        <f t="shared" si="2"/>
        <v>123737393</v>
      </c>
      <c r="I22" s="174">
        <f t="shared" si="2"/>
        <v>153365915</v>
      </c>
      <c r="J22" s="174">
        <f t="shared" si="2"/>
        <v>141292946</v>
      </c>
      <c r="K22" s="174">
        <f t="shared" si="2"/>
        <v>130368876</v>
      </c>
      <c r="L22" s="174">
        <f t="shared" si="2"/>
        <v>117448314</v>
      </c>
      <c r="M22" s="174">
        <f t="shared" si="2"/>
        <v>90410343</v>
      </c>
      <c r="N22" s="174">
        <f>SUM(N8:N21)</f>
        <v>1118826055</v>
      </c>
    </row>
    <row r="23" spans="1:14" x14ac:dyDescent="0.25">
      <c r="A23" s="144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 t="s">
        <v>167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73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B66C2C3CBB764BBB9ECC1A1E452F3C" ma:contentTypeVersion="7" ma:contentTypeDescription="" ma:contentTypeScope="" ma:versionID="8af5c2d4b62f54045c3afc6cf4b3995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2024-03-25T07:00:00+00:00</OpenedDate>
    <SignificantOrder xmlns="dc463f71-b30c-4ab2-9473-d307f9d35888">false</SignificantOrder>
    <Date1 xmlns="dc463f71-b30c-4ab2-9473-d307f9d35888">2024-03-25T07:00:00+00:00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560708-16A4-43D3-89F2-5EE802C42DF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FCA3B86-D44C-4F65-9C9C-44AC02C2A4B5}"/>
</file>

<file path=customXml/itemProps3.xml><?xml version="1.0" encoding="utf-8"?>
<ds:datastoreItem xmlns:ds="http://schemas.openxmlformats.org/officeDocument/2006/customXml" ds:itemID="{36E012C4-9BBD-461F-8742-F8F5D5FADE70}"/>
</file>

<file path=customXml/itemProps4.xml><?xml version="1.0" encoding="utf-8"?>
<ds:datastoreItem xmlns:ds="http://schemas.openxmlformats.org/officeDocument/2006/customXml" ds:itemID="{58917F7A-411D-4892-AB2E-40554FD13500}"/>
</file>

<file path=customXml/itemProps5.xml><?xml version="1.0" encoding="utf-8"?>
<ds:datastoreItem xmlns:ds="http://schemas.openxmlformats.org/officeDocument/2006/customXml" ds:itemID="{2D545F1B-1B1D-49CA-9D57-E87E64C3B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Sch. 140 Rates</vt:lpstr>
      <vt:lpstr>Allocation Factors</vt:lpstr>
      <vt:lpstr>Rate Impacts--&gt;</vt:lpstr>
      <vt:lpstr>Rate Impacts Sch 140</vt:lpstr>
      <vt:lpstr>Typical Res Bill Sch 140</vt:lpstr>
      <vt:lpstr>Sch. 140</vt:lpstr>
      <vt:lpstr>Workpapers--&gt;</vt:lpstr>
      <vt:lpstr>2024 FINAL Rev Req FINAL</vt:lpstr>
      <vt:lpstr>Therm Forecast</vt:lpstr>
      <vt:lpstr>'Allocation Factors'!Print_Area</vt:lpstr>
      <vt:lpstr>'Rate Impacts Sch 140'!Print_Area</vt:lpstr>
      <vt:lpstr>'Sch. 140'!Print_Area</vt:lpstr>
      <vt:lpstr>'Sch. 140 Rates'!Print_Area</vt:lpstr>
      <vt:lpstr>'Therm Forecast'!Print_Area</vt:lpstr>
      <vt:lpstr>'Typical Res Bill Sch 140'!Print_Area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Paul.Schmidt@pse.com;Kelima.Yakupova@pse.com</dc:creator>
  <cp:lastModifiedBy>Schmidt, Paul</cp:lastModifiedBy>
  <cp:lastPrinted>2024-03-22T00:20:45Z</cp:lastPrinted>
  <dcterms:created xsi:type="dcterms:W3CDTF">2012-11-20T18:48:04Z</dcterms:created>
  <dcterms:modified xsi:type="dcterms:W3CDTF">2024-03-22T19:14:52Z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0x0101006E56B4D1795A2E4DB2F0B01679ED314A006EB66C2C3CBB764BBB9ECC1A1E452F3C</vt:lpwstr>
  </property>
</Properties>
</file>