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40 - Property Tax Filing\2024\Proposed\"/>
    </mc:Choice>
  </mc:AlternateContent>
  <bookViews>
    <workbookView xWindow="180" yWindow="72" windowWidth="14448" windowHeight="10476" tabRatio="884" activeTab="2"/>
  </bookViews>
  <sheets>
    <sheet name="Tariff Use&gt;" sheetId="55" r:id="rId1"/>
    <sheet name="Sch 140 Rates" sheetId="53" r:id="rId2"/>
    <sheet name="Lighting Rates" sheetId="54" r:id="rId3"/>
    <sheet name="Rate Impacts" sheetId="12" r:id="rId4"/>
    <sheet name="Workpapers&gt;" sheetId="56" r:id="rId5"/>
    <sheet name="Lighting RD" sheetId="34" r:id="rId6"/>
    <sheet name="Rate Spread &amp; Design" sheetId="10" r:id="rId7"/>
    <sheet name="Inputs" sheetId="52" r:id="rId8"/>
  </sheets>
  <calcPr calcId="162913"/>
</workbook>
</file>

<file path=xl/calcChain.xml><?xml version="1.0" encoding="utf-8"?>
<calcChain xmlns="http://schemas.openxmlformats.org/spreadsheetml/2006/main">
  <c r="E158" i="54" l="1"/>
  <c r="D158" i="54"/>
  <c r="H36" i="12" l="1"/>
  <c r="D65" i="53"/>
  <c r="L30" i="10" l="1"/>
  <c r="F44" i="53" l="1"/>
  <c r="F71" i="53"/>
  <c r="F67" i="53"/>
  <c r="F66" i="53"/>
  <c r="F62" i="53"/>
  <c r="F61" i="53"/>
  <c r="F57" i="53"/>
  <c r="F56" i="53"/>
  <c r="F55" i="53"/>
  <c r="F51" i="53"/>
  <c r="F50" i="53"/>
  <c r="F49" i="53"/>
  <c r="F48" i="53"/>
  <c r="F47" i="53"/>
  <c r="C34" i="10" l="1"/>
  <c r="C29" i="12"/>
  <c r="C21" i="12"/>
  <c r="C16" i="12"/>
  <c r="C14" i="12" l="1"/>
  <c r="C15" i="10"/>
  <c r="C16" i="10"/>
  <c r="C15" i="12"/>
  <c r="C10" i="12"/>
  <c r="C10" i="10"/>
  <c r="C13" i="12"/>
  <c r="C14" i="10"/>
  <c r="C20" i="12"/>
  <c r="C20" i="10"/>
  <c r="C22" i="12"/>
  <c r="C21" i="10"/>
  <c r="C26" i="10"/>
  <c r="C28" i="12"/>
  <c r="C30" i="10"/>
  <c r="C34" i="12"/>
  <c r="C24" i="10"/>
  <c r="C25" i="12"/>
  <c r="C32" i="12"/>
  <c r="C28" i="10"/>
  <c r="K10" i="10"/>
  <c r="A202" i="34" l="1"/>
  <c r="A203" i="34" s="1"/>
  <c r="I8" i="53" l="1"/>
  <c r="H8" i="53"/>
  <c r="I7" i="53" l="1"/>
  <c r="H7" i="53"/>
  <c r="K16" i="53" l="1"/>
  <c r="L42" i="12" l="1"/>
  <c r="K42" i="12"/>
  <c r="J42" i="12"/>
  <c r="L30" i="12" l="1"/>
  <c r="L23" i="12"/>
  <c r="L17" i="12" l="1"/>
  <c r="L36" i="12" s="1"/>
  <c r="G42" i="12"/>
  <c r="A10" i="54" l="1"/>
  <c r="A11" i="54" s="1"/>
  <c r="A12" i="54" s="1"/>
  <c r="A13" i="54" s="1"/>
  <c r="A14" i="54" s="1"/>
  <c r="A15" i="54" s="1"/>
  <c r="A16" i="54" s="1"/>
  <c r="A17" i="54" s="1"/>
  <c r="A4" i="54"/>
  <c r="A3" i="54"/>
  <c r="A18" i="54" l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A112" i="54" s="1"/>
  <c r="A113" i="54" s="1"/>
  <c r="A114" i="54" s="1"/>
  <c r="A115" i="54" s="1"/>
  <c r="A116" i="54" s="1"/>
  <c r="A117" i="54" s="1"/>
  <c r="A118" i="54" s="1"/>
  <c r="A119" i="54" s="1"/>
  <c r="A120" i="54" s="1"/>
  <c r="A121" i="54" s="1"/>
  <c r="A122" i="54" s="1"/>
  <c r="A123" i="54" s="1"/>
  <c r="A124" i="54" s="1"/>
  <c r="A125" i="54" s="1"/>
  <c r="A126" i="54" s="1"/>
  <c r="A127" i="54" s="1"/>
  <c r="A128" i="54" s="1"/>
  <c r="A129" i="54" s="1"/>
  <c r="A130" i="54" s="1"/>
  <c r="A131" i="54" s="1"/>
  <c r="A132" i="54" s="1"/>
  <c r="A133" i="54" s="1"/>
  <c r="A134" i="54" s="1"/>
  <c r="A135" i="54" s="1"/>
  <c r="A136" i="54" s="1"/>
  <c r="A137" i="54" s="1"/>
  <c r="A138" i="54" s="1"/>
  <c r="A139" i="54" s="1"/>
  <c r="A140" i="54" s="1"/>
  <c r="A141" i="54" s="1"/>
  <c r="A142" i="54" s="1"/>
  <c r="A143" i="54" s="1"/>
  <c r="A144" i="54" s="1"/>
  <c r="A145" i="54" s="1"/>
  <c r="A146" i="54" s="1"/>
  <c r="A147" i="54" s="1"/>
  <c r="A148" i="54" s="1"/>
  <c r="A149" i="54" s="1"/>
  <c r="A150" i="54" s="1"/>
  <c r="A151" i="54" s="1"/>
  <c r="A152" i="54" s="1"/>
  <c r="A153" i="54" s="1"/>
  <c r="A154" i="54" s="1"/>
  <c r="A155" i="54" s="1"/>
  <c r="A156" i="54" s="1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168" i="54" s="1"/>
  <c r="A169" i="54" s="1"/>
  <c r="A170" i="54" s="1"/>
  <c r="A171" i="54" s="1"/>
  <c r="A172" i="54" s="1"/>
  <c r="A173" i="54" s="1"/>
  <c r="A174" i="54" s="1"/>
  <c r="A175" i="54" s="1"/>
  <c r="A176" i="54" s="1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B71" i="53"/>
  <c r="B69" i="53"/>
  <c r="C67" i="53"/>
  <c r="B67" i="53"/>
  <c r="C66" i="53"/>
  <c r="B66" i="53"/>
  <c r="B63" i="53"/>
  <c r="C62" i="53"/>
  <c r="B62" i="53"/>
  <c r="C61" i="53"/>
  <c r="B61" i="53"/>
  <c r="B60" i="53"/>
  <c r="B57" i="53"/>
  <c r="C56" i="53"/>
  <c r="B56" i="53"/>
  <c r="C55" i="53"/>
  <c r="B55" i="53"/>
  <c r="B54" i="53"/>
  <c r="B51" i="53"/>
  <c r="C50" i="53"/>
  <c r="B50" i="53"/>
  <c r="C49" i="53"/>
  <c r="B49" i="53"/>
  <c r="C48" i="53"/>
  <c r="C47" i="53"/>
  <c r="B47" i="53"/>
  <c r="B46" i="53"/>
  <c r="C44" i="53"/>
  <c r="B44" i="53"/>
  <c r="A11" i="53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B58" i="53"/>
  <c r="B65" i="53"/>
  <c r="C65" i="53"/>
  <c r="B48" i="53"/>
  <c r="D49" i="53"/>
  <c r="E49" i="53"/>
  <c r="C51" i="53"/>
  <c r="B52" i="53"/>
  <c r="C57" i="53"/>
  <c r="C71" i="53"/>
  <c r="B73" i="53"/>
  <c r="L7" i="10" l="1"/>
  <c r="H7" i="12" s="1"/>
  <c r="K7" i="10"/>
  <c r="G7" i="12" s="1"/>
  <c r="A4" i="10" l="1"/>
  <c r="A3" i="10"/>
  <c r="A4" i="34"/>
  <c r="A3" i="34"/>
  <c r="H79" i="34"/>
  <c r="E81" i="54" s="1"/>
  <c r="H33" i="34"/>
  <c r="E33" i="54" s="1"/>
  <c r="G188" i="34"/>
  <c r="H194" i="34"/>
  <c r="E199" i="54" s="1"/>
  <c r="H192" i="34"/>
  <c r="E155" i="54" s="1"/>
  <c r="H191" i="34"/>
  <c r="E154" i="54" s="1"/>
  <c r="G186" i="34"/>
  <c r="G185" i="34"/>
  <c r="H183" i="34"/>
  <c r="H182" i="34"/>
  <c r="H181" i="34"/>
  <c r="H180" i="34"/>
  <c r="H179" i="34"/>
  <c r="E190" i="54" s="1"/>
  <c r="G178" i="34"/>
  <c r="D189" i="54" s="1"/>
  <c r="H177" i="34"/>
  <c r="H176" i="34"/>
  <c r="E187" i="54" s="1"/>
  <c r="G175" i="34"/>
  <c r="D186" i="54" s="1"/>
  <c r="H174" i="34"/>
  <c r="E185" i="54" s="1"/>
  <c r="H173" i="34"/>
  <c r="E184" i="54" s="1"/>
  <c r="H172" i="34"/>
  <c r="E183" i="54" s="1"/>
  <c r="H171" i="34"/>
  <c r="G169" i="34"/>
  <c r="D180" i="54" s="1"/>
  <c r="G168" i="34"/>
  <c r="D179" i="54" s="1"/>
  <c r="H166" i="34"/>
  <c r="E177" i="54" s="1"/>
  <c r="H165" i="34"/>
  <c r="E176" i="54" s="1"/>
  <c r="G164" i="34"/>
  <c r="D175" i="54" s="1"/>
  <c r="G163" i="34"/>
  <c r="D174" i="54" s="1"/>
  <c r="H161" i="34"/>
  <c r="E172" i="54" s="1"/>
  <c r="H160" i="34"/>
  <c r="E171" i="54" s="1"/>
  <c r="G159" i="34"/>
  <c r="D170" i="54" s="1"/>
  <c r="H158" i="34"/>
  <c r="E169" i="54" s="1"/>
  <c r="H157" i="34"/>
  <c r="G155" i="34"/>
  <c r="D166" i="54" s="1"/>
  <c r="H154" i="34"/>
  <c r="E165" i="54" s="1"/>
  <c r="G153" i="34"/>
  <c r="D164" i="54" s="1"/>
  <c r="G151" i="34"/>
  <c r="D162" i="54" s="1"/>
  <c r="G150" i="34"/>
  <c r="D161" i="54" s="1"/>
  <c r="G148" i="34"/>
  <c r="H147" i="34"/>
  <c r="G146" i="34"/>
  <c r="H145" i="34"/>
  <c r="G144" i="34"/>
  <c r="H143" i="34"/>
  <c r="G142" i="34"/>
  <c r="D146" i="54" s="1"/>
  <c r="G141" i="34"/>
  <c r="D145" i="54" s="1"/>
  <c r="H140" i="34"/>
  <c r="E144" i="54" s="1"/>
  <c r="G139" i="34"/>
  <c r="D143" i="54" s="1"/>
  <c r="H137" i="34"/>
  <c r="E141" i="54" s="1"/>
  <c r="H135" i="34"/>
  <c r="E139" i="54" s="1"/>
  <c r="H134" i="34"/>
  <c r="E138" i="54" s="1"/>
  <c r="H133" i="34"/>
  <c r="E137" i="54" s="1"/>
  <c r="G132" i="34"/>
  <c r="D136" i="54" s="1"/>
  <c r="G131" i="34"/>
  <c r="D135" i="54" s="1"/>
  <c r="H130" i="34"/>
  <c r="E134" i="54" s="1"/>
  <c r="H127" i="34"/>
  <c r="E130" i="54" s="1"/>
  <c r="G126" i="34"/>
  <c r="D129" i="54" s="1"/>
  <c r="H125" i="34"/>
  <c r="E128" i="54" s="1"/>
  <c r="H122" i="34"/>
  <c r="E125" i="54" s="1"/>
  <c r="G121" i="34"/>
  <c r="D124" i="54" s="1"/>
  <c r="H120" i="34"/>
  <c r="E123" i="54" s="1"/>
  <c r="H119" i="34"/>
  <c r="E122" i="54" s="1"/>
  <c r="H117" i="34"/>
  <c r="H116" i="34"/>
  <c r="E119" i="54" s="1"/>
  <c r="H115" i="34"/>
  <c r="E118" i="54" s="1"/>
  <c r="H114" i="34"/>
  <c r="E117" i="54" s="1"/>
  <c r="G113" i="34"/>
  <c r="D116" i="54" s="1"/>
  <c r="G112" i="34"/>
  <c r="D115" i="54" s="1"/>
  <c r="G111" i="34"/>
  <c r="D114" i="54" s="1"/>
  <c r="H110" i="34"/>
  <c r="E113" i="54" s="1"/>
  <c r="H109" i="34"/>
  <c r="E112" i="54" s="1"/>
  <c r="H107" i="34"/>
  <c r="G106" i="34"/>
  <c r="D108" i="54" s="1"/>
  <c r="H104" i="34"/>
  <c r="E106" i="54" s="1"/>
  <c r="H103" i="34"/>
  <c r="E105" i="54" s="1"/>
  <c r="H102" i="34"/>
  <c r="E104" i="54" s="1"/>
  <c r="G101" i="34"/>
  <c r="D103" i="54" s="1"/>
  <c r="H100" i="34"/>
  <c r="E102" i="54" s="1"/>
  <c r="G99" i="34"/>
  <c r="D101" i="54" s="1"/>
  <c r="H98" i="34"/>
  <c r="E100" i="54" s="1"/>
  <c r="G96" i="34"/>
  <c r="G95" i="34"/>
  <c r="G94" i="34"/>
  <c r="D96" i="54" s="1"/>
  <c r="H93" i="34"/>
  <c r="H92" i="34"/>
  <c r="G91" i="34"/>
  <c r="H89" i="34"/>
  <c r="H88" i="34"/>
  <c r="E90" i="54" s="1"/>
  <c r="H87" i="34"/>
  <c r="E89" i="54" s="1"/>
  <c r="G86" i="34"/>
  <c r="D88" i="54" s="1"/>
  <c r="H85" i="34"/>
  <c r="E87" i="54" s="1"/>
  <c r="H84" i="34"/>
  <c r="E86" i="54" s="1"/>
  <c r="H82" i="34"/>
  <c r="E84" i="54" s="1"/>
  <c r="G81" i="34"/>
  <c r="D83" i="54" s="1"/>
  <c r="H75" i="34"/>
  <c r="E77" i="54" s="1"/>
  <c r="G73" i="34"/>
  <c r="D75" i="54" s="1"/>
  <c r="H72" i="34"/>
  <c r="E74" i="54" s="1"/>
  <c r="H71" i="34"/>
  <c r="E73" i="54" s="1"/>
  <c r="H70" i="34"/>
  <c r="E72" i="54" s="1"/>
  <c r="G69" i="34"/>
  <c r="D71" i="54" s="1"/>
  <c r="G68" i="34"/>
  <c r="D70" i="54" s="1"/>
  <c r="H66" i="34"/>
  <c r="H65" i="34"/>
  <c r="H64" i="34"/>
  <c r="H63" i="34"/>
  <c r="G62" i="34"/>
  <c r="H60" i="34"/>
  <c r="H57" i="34"/>
  <c r="E59" i="54" s="1"/>
  <c r="H56" i="34"/>
  <c r="E58" i="54" s="1"/>
  <c r="G55" i="34"/>
  <c r="D57" i="54" s="1"/>
  <c r="H54" i="34"/>
  <c r="E56" i="54" s="1"/>
  <c r="G53" i="34"/>
  <c r="D55" i="54" s="1"/>
  <c r="H52" i="34"/>
  <c r="E54" i="54" s="1"/>
  <c r="G50" i="34"/>
  <c r="D51" i="54" s="1"/>
  <c r="H49" i="34"/>
  <c r="E50" i="54" s="1"/>
  <c r="H48" i="34"/>
  <c r="E49" i="54" s="1"/>
  <c r="H47" i="34"/>
  <c r="E48" i="54" s="1"/>
  <c r="G46" i="34"/>
  <c r="D47" i="54" s="1"/>
  <c r="H45" i="34"/>
  <c r="E46" i="54" s="1"/>
  <c r="H44" i="34"/>
  <c r="E45" i="54" s="1"/>
  <c r="G42" i="34"/>
  <c r="D43" i="54" s="1"/>
  <c r="H41" i="34"/>
  <c r="E42" i="54" s="1"/>
  <c r="H40" i="34"/>
  <c r="E41" i="54" s="1"/>
  <c r="H39" i="34"/>
  <c r="E40" i="54" s="1"/>
  <c r="H38" i="34"/>
  <c r="E39" i="54" s="1"/>
  <c r="H37" i="34"/>
  <c r="E38" i="54" s="1"/>
  <c r="H36" i="34"/>
  <c r="E37" i="54" s="1"/>
  <c r="G35" i="34"/>
  <c r="D36" i="54" s="1"/>
  <c r="H31" i="34"/>
  <c r="E31" i="54" s="1"/>
  <c r="H30" i="34"/>
  <c r="E30" i="54" s="1"/>
  <c r="H29" i="34"/>
  <c r="E29" i="54" s="1"/>
  <c r="H28" i="34"/>
  <c r="E28" i="54" s="1"/>
  <c r="G27" i="34"/>
  <c r="D27" i="54" s="1"/>
  <c r="H26" i="34"/>
  <c r="E26" i="54" s="1"/>
  <c r="H24" i="34"/>
  <c r="E24" i="54" s="1"/>
  <c r="G23" i="34"/>
  <c r="D23" i="54" s="1"/>
  <c r="H22" i="34"/>
  <c r="E22" i="54" s="1"/>
  <c r="H20" i="34"/>
  <c r="H19" i="34"/>
  <c r="G18" i="34"/>
  <c r="D17" i="54" s="1"/>
  <c r="H17" i="34"/>
  <c r="G15" i="34"/>
  <c r="D14" i="54" s="1"/>
  <c r="H14" i="34"/>
  <c r="E13" i="54" s="1"/>
  <c r="H13" i="34"/>
  <c r="E12" i="54" s="1"/>
  <c r="H152" i="34"/>
  <c r="E163" i="54" s="1"/>
  <c r="G152" i="34"/>
  <c r="D163" i="54" s="1"/>
  <c r="H150" i="34"/>
  <c r="E161" i="54" s="1"/>
  <c r="H144" i="34"/>
  <c r="H128" i="34"/>
  <c r="G128" i="34"/>
  <c r="H124" i="34"/>
  <c r="E127" i="54" s="1"/>
  <c r="G124" i="34"/>
  <c r="D127" i="54" s="1"/>
  <c r="H123" i="34"/>
  <c r="E126" i="54" s="1"/>
  <c r="G123" i="34"/>
  <c r="D126" i="54" s="1"/>
  <c r="H105" i="34"/>
  <c r="G105" i="34"/>
  <c r="G102" i="34"/>
  <c r="D104" i="54" s="1"/>
  <c r="H83" i="34"/>
  <c r="E85" i="54" s="1"/>
  <c r="G83" i="34"/>
  <c r="D85" i="54" s="1"/>
  <c r="G79" i="34"/>
  <c r="D81" i="54" s="1"/>
  <c r="H77" i="34"/>
  <c r="E79" i="54" s="1"/>
  <c r="G77" i="34"/>
  <c r="D79" i="54" s="1"/>
  <c r="H76" i="34"/>
  <c r="E78" i="54" s="1"/>
  <c r="G76" i="34"/>
  <c r="D78" i="54" s="1"/>
  <c r="H74" i="34"/>
  <c r="E76" i="54" s="1"/>
  <c r="G74" i="34"/>
  <c r="D76" i="54" s="1"/>
  <c r="H73" i="34"/>
  <c r="E75" i="54" s="1"/>
  <c r="H59" i="34"/>
  <c r="E61" i="54" s="1"/>
  <c r="G59" i="34"/>
  <c r="D61" i="54" s="1"/>
  <c r="H58" i="34"/>
  <c r="E60" i="54" s="1"/>
  <c r="G58" i="34"/>
  <c r="D60" i="54" s="1"/>
  <c r="G37" i="34"/>
  <c r="D38" i="54" s="1"/>
  <c r="G36" i="34"/>
  <c r="D37" i="54" s="1"/>
  <c r="H68" i="34" l="1"/>
  <c r="E70" i="54" s="1"/>
  <c r="G145" i="34"/>
  <c r="H141" i="34"/>
  <c r="E145" i="54" s="1"/>
  <c r="G75" i="34"/>
  <c r="D77" i="54" s="1"/>
  <c r="G171" i="34"/>
  <c r="G184" i="34"/>
  <c r="H184" i="34"/>
  <c r="G30" i="34"/>
  <c r="D30" i="54" s="1"/>
  <c r="G172" i="34"/>
  <c r="D183" i="54" s="1"/>
  <c r="H101" i="34"/>
  <c r="E103" i="54" s="1"/>
  <c r="H168" i="34"/>
  <c r="E179" i="54" s="1"/>
  <c r="H188" i="34"/>
  <c r="G161" i="34"/>
  <c r="D172" i="54" s="1"/>
  <c r="G20" i="34"/>
  <c r="J20" i="34" s="1"/>
  <c r="H95" i="34"/>
  <c r="H142" i="34"/>
  <c r="E146" i="54" s="1"/>
  <c r="G93" i="34"/>
  <c r="J93" i="34" s="1"/>
  <c r="G98" i="34"/>
  <c r="D100" i="54" s="1"/>
  <c r="F100" i="54" s="1"/>
  <c r="G66" i="34"/>
  <c r="J66" i="34" s="1"/>
  <c r="H69" i="34"/>
  <c r="E71" i="54" s="1"/>
  <c r="F71" i="54" s="1"/>
  <c r="H159" i="34"/>
  <c r="E170" i="54" s="1"/>
  <c r="F170" i="54" s="1"/>
  <c r="G22" i="34"/>
  <c r="D22" i="54" s="1"/>
  <c r="F22" i="54" s="1"/>
  <c r="H113" i="34"/>
  <c r="E116" i="54" s="1"/>
  <c r="F116" i="54" s="1"/>
  <c r="G173" i="34"/>
  <c r="D184" i="54" s="1"/>
  <c r="F184" i="54" s="1"/>
  <c r="G182" i="34"/>
  <c r="D193" i="54" s="1"/>
  <c r="G19" i="34"/>
  <c r="J19" i="34" s="1"/>
  <c r="H186" i="34"/>
  <c r="K186" i="34" s="1"/>
  <c r="G48" i="34"/>
  <c r="D49" i="54" s="1"/>
  <c r="F49" i="54" s="1"/>
  <c r="H132" i="34"/>
  <c r="E136" i="54" s="1"/>
  <c r="F136" i="54" s="1"/>
  <c r="G49" i="34"/>
  <c r="D50" i="54" s="1"/>
  <c r="F50" i="54" s="1"/>
  <c r="G133" i="34"/>
  <c r="D137" i="54" s="1"/>
  <c r="F137" i="54" s="1"/>
  <c r="G41" i="34"/>
  <c r="D42" i="54" s="1"/>
  <c r="F42" i="54" s="1"/>
  <c r="G180" i="34"/>
  <c r="J180" i="34" s="1"/>
  <c r="H96" i="34"/>
  <c r="E98" i="54" s="1"/>
  <c r="G179" i="34"/>
  <c r="D190" i="54" s="1"/>
  <c r="F190" i="54" s="1"/>
  <c r="H112" i="34"/>
  <c r="E115" i="54" s="1"/>
  <c r="F115" i="54" s="1"/>
  <c r="H155" i="34"/>
  <c r="E166" i="54" s="1"/>
  <c r="F166" i="54" s="1"/>
  <c r="G183" i="34"/>
  <c r="J183" i="34" s="1"/>
  <c r="G114" i="34"/>
  <c r="D117" i="54" s="1"/>
  <c r="F117" i="54" s="1"/>
  <c r="G157" i="34"/>
  <c r="J157" i="34" s="1"/>
  <c r="H50" i="34"/>
  <c r="E51" i="54" s="1"/>
  <c r="F51" i="54" s="1"/>
  <c r="G115" i="34"/>
  <c r="D118" i="54" s="1"/>
  <c r="F118" i="54" s="1"/>
  <c r="G52" i="34"/>
  <c r="D54" i="54" s="1"/>
  <c r="F54" i="54" s="1"/>
  <c r="G160" i="34"/>
  <c r="D171" i="54" s="1"/>
  <c r="F171" i="54" s="1"/>
  <c r="G191" i="34"/>
  <c r="D154" i="54" s="1"/>
  <c r="F154" i="54" s="1"/>
  <c r="G192" i="34"/>
  <c r="D155" i="54" s="1"/>
  <c r="F155" i="54" s="1"/>
  <c r="G166" i="34"/>
  <c r="D177" i="54" s="1"/>
  <c r="F177" i="54" s="1"/>
  <c r="G88" i="34"/>
  <c r="D90" i="54" s="1"/>
  <c r="F90" i="54" s="1"/>
  <c r="G39" i="34"/>
  <c r="D40" i="54" s="1"/>
  <c r="F40" i="54" s="1"/>
  <c r="H178" i="34"/>
  <c r="E189" i="54" s="1"/>
  <c r="F189" i="54" s="1"/>
  <c r="G40" i="34"/>
  <c r="D41" i="54" s="1"/>
  <c r="F41" i="54" s="1"/>
  <c r="G47" i="34"/>
  <c r="D48" i="54" s="1"/>
  <c r="F48" i="54" s="1"/>
  <c r="H25" i="34"/>
  <c r="E25" i="54" s="1"/>
  <c r="G25" i="34"/>
  <c r="D25" i="54" s="1"/>
  <c r="G63" i="34"/>
  <c r="J63" i="34" s="1"/>
  <c r="G87" i="34"/>
  <c r="D89" i="54" s="1"/>
  <c r="F89" i="54" s="1"/>
  <c r="G14" i="34"/>
  <c r="D13" i="54" s="1"/>
  <c r="F13" i="54" s="1"/>
  <c r="H126" i="34"/>
  <c r="E129" i="54" s="1"/>
  <c r="F129" i="54" s="1"/>
  <c r="H18" i="34"/>
  <c r="E17" i="54" s="1"/>
  <c r="F17" i="54" s="1"/>
  <c r="H86" i="34"/>
  <c r="E88" i="54" s="1"/>
  <c r="F88" i="54" s="1"/>
  <c r="H62" i="34"/>
  <c r="K62" i="34" s="1"/>
  <c r="H131" i="34"/>
  <c r="E135" i="54" s="1"/>
  <c r="F135" i="54" s="1"/>
  <c r="H23" i="34"/>
  <c r="E23" i="54" s="1"/>
  <c r="F23" i="54" s="1"/>
  <c r="G57" i="34"/>
  <c r="D59" i="54" s="1"/>
  <c r="F59" i="54" s="1"/>
  <c r="G24" i="34"/>
  <c r="D24" i="54" s="1"/>
  <c r="F24" i="54" s="1"/>
  <c r="H111" i="34"/>
  <c r="E114" i="54" s="1"/>
  <c r="F114" i="54" s="1"/>
  <c r="H139" i="34"/>
  <c r="E143" i="54" s="1"/>
  <c r="F143" i="54" s="1"/>
  <c r="F30" i="54"/>
  <c r="F38" i="54"/>
  <c r="F37" i="54"/>
  <c r="F104" i="54"/>
  <c r="F85" i="54"/>
  <c r="F127" i="54"/>
  <c r="F163" i="54"/>
  <c r="F70" i="54"/>
  <c r="F146" i="54"/>
  <c r="F103" i="54"/>
  <c r="F76" i="54"/>
  <c r="F81" i="54"/>
  <c r="F179" i="54"/>
  <c r="F161" i="54"/>
  <c r="H94" i="34"/>
  <c r="E96" i="54" s="1"/>
  <c r="F96" i="54" s="1"/>
  <c r="G104" i="34"/>
  <c r="D106" i="54" s="1"/>
  <c r="F106" i="54" s="1"/>
  <c r="H27" i="34"/>
  <c r="E27" i="54" s="1"/>
  <c r="F27" i="54" s="1"/>
  <c r="F77" i="54"/>
  <c r="G28" i="34"/>
  <c r="D28" i="54" s="1"/>
  <c r="F28" i="54" s="1"/>
  <c r="F61" i="54"/>
  <c r="F78" i="54"/>
  <c r="J62" i="34"/>
  <c r="D64" i="54"/>
  <c r="K93" i="34"/>
  <c r="E95" i="54"/>
  <c r="K177" i="34"/>
  <c r="E188" i="54"/>
  <c r="J105" i="34"/>
  <c r="D107" i="54"/>
  <c r="F75" i="54"/>
  <c r="F79" i="54"/>
  <c r="F126" i="54"/>
  <c r="F145" i="54"/>
  <c r="K60" i="34"/>
  <c r="E62" i="54"/>
  <c r="K89" i="34"/>
  <c r="E91" i="54"/>
  <c r="K107" i="34"/>
  <c r="E109" i="54"/>
  <c r="J144" i="34"/>
  <c r="D148" i="54"/>
  <c r="K181" i="34"/>
  <c r="E192" i="54"/>
  <c r="J171" i="34"/>
  <c r="D182" i="54"/>
  <c r="J91" i="34"/>
  <c r="D93" i="54"/>
  <c r="K117" i="34"/>
  <c r="E120" i="54"/>
  <c r="K145" i="34"/>
  <c r="E149" i="54"/>
  <c r="F158" i="54"/>
  <c r="J95" i="34"/>
  <c r="D97" i="54"/>
  <c r="K171" i="34"/>
  <c r="E182" i="54"/>
  <c r="K63" i="34"/>
  <c r="E65" i="54"/>
  <c r="K92" i="34"/>
  <c r="E94" i="54"/>
  <c r="J146" i="34"/>
  <c r="D150" i="54"/>
  <c r="K183" i="34"/>
  <c r="E194" i="54"/>
  <c r="K19" i="34"/>
  <c r="E18" i="54"/>
  <c r="F60" i="54"/>
  <c r="K66" i="34"/>
  <c r="E68" i="54"/>
  <c r="K95" i="34"/>
  <c r="E97" i="54"/>
  <c r="F172" i="54"/>
  <c r="F183" i="54"/>
  <c r="K17" i="34"/>
  <c r="E16" i="54"/>
  <c r="K64" i="34"/>
  <c r="E66" i="54"/>
  <c r="K147" i="34"/>
  <c r="E151" i="54"/>
  <c r="K184" i="34"/>
  <c r="E195" i="54"/>
  <c r="K65" i="34"/>
  <c r="E67" i="54"/>
  <c r="J148" i="34"/>
  <c r="D152" i="54"/>
  <c r="J185" i="34"/>
  <c r="D196" i="54"/>
  <c r="J96" i="34"/>
  <c r="D98" i="54"/>
  <c r="D191" i="54"/>
  <c r="J145" i="34"/>
  <c r="D149" i="54"/>
  <c r="J186" i="34"/>
  <c r="D197" i="54"/>
  <c r="K144" i="34"/>
  <c r="E148" i="54"/>
  <c r="K180" i="34"/>
  <c r="E191" i="54"/>
  <c r="G85" i="34"/>
  <c r="D87" i="54" s="1"/>
  <c r="F87" i="54" s="1"/>
  <c r="K128" i="34"/>
  <c r="E131" i="54"/>
  <c r="G140" i="34"/>
  <c r="D144" i="54" s="1"/>
  <c r="F144" i="54" s="1"/>
  <c r="H148" i="34"/>
  <c r="G158" i="34"/>
  <c r="D169" i="54" s="1"/>
  <c r="F169" i="54" s="1"/>
  <c r="G177" i="34"/>
  <c r="K20" i="34"/>
  <c r="E19" i="54"/>
  <c r="K105" i="34"/>
  <c r="E107" i="54"/>
  <c r="J128" i="34"/>
  <c r="D131" i="54"/>
  <c r="K157" i="34"/>
  <c r="E168" i="54"/>
  <c r="H35" i="34"/>
  <c r="E36" i="54" s="1"/>
  <c r="F36" i="54" s="1"/>
  <c r="H121" i="34"/>
  <c r="E124" i="54" s="1"/>
  <c r="F124" i="54" s="1"/>
  <c r="K182" i="34"/>
  <c r="E193" i="54"/>
  <c r="K143" i="34"/>
  <c r="E147" i="54"/>
  <c r="G134" i="34"/>
  <c r="D138" i="54" s="1"/>
  <c r="F138" i="54" s="1"/>
  <c r="G174" i="34"/>
  <c r="D185" i="54" s="1"/>
  <c r="F185" i="54" s="1"/>
  <c r="G116" i="34"/>
  <c r="H53" i="34"/>
  <c r="E55" i="54" s="1"/>
  <c r="F55" i="54" s="1"/>
  <c r="G107" i="34"/>
  <c r="G117" i="34"/>
  <c r="G135" i="34"/>
  <c r="H15" i="34"/>
  <c r="E14" i="54" s="1"/>
  <c r="F14" i="54" s="1"/>
  <c r="G89" i="34"/>
  <c r="H163" i="34"/>
  <c r="G64" i="34"/>
  <c r="H146" i="34"/>
  <c r="G17" i="34"/>
  <c r="G26" i="34"/>
  <c r="D26" i="54" s="1"/>
  <c r="F26" i="54" s="1"/>
  <c r="G31" i="34"/>
  <c r="D31" i="54" s="1"/>
  <c r="F31" i="54" s="1"/>
  <c r="G38" i="34"/>
  <c r="D39" i="54" s="1"/>
  <c r="F39" i="54" s="1"/>
  <c r="G45" i="34"/>
  <c r="D46" i="54" s="1"/>
  <c r="F46" i="54" s="1"/>
  <c r="H55" i="34"/>
  <c r="E57" i="54" s="1"/>
  <c r="F57" i="54" s="1"/>
  <c r="H81" i="34"/>
  <c r="E83" i="54" s="1"/>
  <c r="F83" i="54" s="1"/>
  <c r="H91" i="34"/>
  <c r="G103" i="34"/>
  <c r="D105" i="54" s="1"/>
  <c r="F105" i="54" s="1"/>
  <c r="G110" i="34"/>
  <c r="D113" i="54" s="1"/>
  <c r="F113" i="54" s="1"/>
  <c r="G119" i="34"/>
  <c r="D122" i="54" s="1"/>
  <c r="F122" i="54" s="1"/>
  <c r="G125" i="34"/>
  <c r="D128" i="54" s="1"/>
  <c r="F128" i="54" s="1"/>
  <c r="G137" i="34"/>
  <c r="D141" i="54" s="1"/>
  <c r="F141" i="54" s="1"/>
  <c r="G147" i="34"/>
  <c r="G154" i="34"/>
  <c r="D165" i="54" s="1"/>
  <c r="F165" i="54" s="1"/>
  <c r="H164" i="34"/>
  <c r="E175" i="54" s="1"/>
  <c r="F175" i="54" s="1"/>
  <c r="H175" i="34"/>
  <c r="E186" i="54" s="1"/>
  <c r="F186" i="54" s="1"/>
  <c r="G194" i="34"/>
  <c r="D199" i="54" s="1"/>
  <c r="F199" i="54" s="1"/>
  <c r="G56" i="34"/>
  <c r="D58" i="54" s="1"/>
  <c r="F58" i="54" s="1"/>
  <c r="G60" i="34"/>
  <c r="G65" i="34"/>
  <c r="G70" i="34"/>
  <c r="G82" i="34"/>
  <c r="D84" i="54" s="1"/>
  <c r="F84" i="54" s="1"/>
  <c r="G92" i="34"/>
  <c r="G165" i="34"/>
  <c r="D176" i="54" s="1"/>
  <c r="F176" i="54" s="1"/>
  <c r="G176" i="34"/>
  <c r="H46" i="34"/>
  <c r="G33" i="34"/>
  <c r="H185" i="34"/>
  <c r="G181" i="34"/>
  <c r="H169" i="34"/>
  <c r="E180" i="54" s="1"/>
  <c r="F180" i="54" s="1"/>
  <c r="H153" i="34"/>
  <c r="E164" i="54" s="1"/>
  <c r="F164" i="54" s="1"/>
  <c r="H151" i="34"/>
  <c r="E162" i="54" s="1"/>
  <c r="F162" i="54" s="1"/>
  <c r="G143" i="34"/>
  <c r="G130" i="34"/>
  <c r="D134" i="54" s="1"/>
  <c r="F134" i="54" s="1"/>
  <c r="G127" i="34"/>
  <c r="D130" i="54" s="1"/>
  <c r="F130" i="54" s="1"/>
  <c r="G122" i="34"/>
  <c r="D125" i="54" s="1"/>
  <c r="F125" i="54" s="1"/>
  <c r="G120" i="34"/>
  <c r="D123" i="54" s="1"/>
  <c r="F123" i="54" s="1"/>
  <c r="G109" i="34"/>
  <c r="D112" i="54" s="1"/>
  <c r="F112" i="54" s="1"/>
  <c r="H106" i="34"/>
  <c r="E108" i="54" s="1"/>
  <c r="F108" i="54" s="1"/>
  <c r="G100" i="34"/>
  <c r="D102" i="54" s="1"/>
  <c r="F102" i="54" s="1"/>
  <c r="H99" i="34"/>
  <c r="E101" i="54" s="1"/>
  <c r="F101" i="54" s="1"/>
  <c r="G84" i="34"/>
  <c r="D86" i="54" s="1"/>
  <c r="F86" i="54" s="1"/>
  <c r="G72" i="34"/>
  <c r="D74" i="54" s="1"/>
  <c r="F74" i="54" s="1"/>
  <c r="G71" i="34"/>
  <c r="D73" i="54" s="1"/>
  <c r="F73" i="54" s="1"/>
  <c r="G54" i="34"/>
  <c r="G44" i="34"/>
  <c r="H42" i="34"/>
  <c r="E43" i="54" s="1"/>
  <c r="F43" i="54" s="1"/>
  <c r="G29" i="34"/>
  <c r="D29" i="54" s="1"/>
  <c r="F29" i="54" s="1"/>
  <c r="G13" i="34"/>
  <c r="D12" i="54" s="1"/>
  <c r="F12" i="54" s="1"/>
  <c r="K191" i="34"/>
  <c r="K192" i="34"/>
  <c r="K158" i="34"/>
  <c r="J159" i="34"/>
  <c r="K160" i="34"/>
  <c r="K161" i="34"/>
  <c r="J168" i="34"/>
  <c r="J169" i="34"/>
  <c r="J150" i="34"/>
  <c r="J151" i="34"/>
  <c r="K152" i="34"/>
  <c r="J153" i="34"/>
  <c r="K154" i="34"/>
  <c r="J163" i="34"/>
  <c r="J164" i="34"/>
  <c r="K165" i="34"/>
  <c r="K166" i="34"/>
  <c r="J178" i="34"/>
  <c r="K179" i="34"/>
  <c r="K172" i="34"/>
  <c r="K173" i="34"/>
  <c r="K174" i="34"/>
  <c r="J175" i="34"/>
  <c r="K176" i="34"/>
  <c r="K194" i="34"/>
  <c r="J139" i="34"/>
  <c r="K141" i="34"/>
  <c r="J142" i="34"/>
  <c r="K137" i="34"/>
  <c r="K130" i="34"/>
  <c r="J132" i="34"/>
  <c r="K133" i="34"/>
  <c r="K134" i="34"/>
  <c r="K135" i="34"/>
  <c r="K119" i="34"/>
  <c r="K120" i="34"/>
  <c r="J121" i="34"/>
  <c r="K122" i="34"/>
  <c r="K123" i="34"/>
  <c r="K124" i="34"/>
  <c r="K125" i="34"/>
  <c r="K127" i="34"/>
  <c r="K109" i="34"/>
  <c r="K110" i="34"/>
  <c r="J112" i="34"/>
  <c r="K114" i="34"/>
  <c r="K116" i="34"/>
  <c r="J106" i="34"/>
  <c r="J99" i="34"/>
  <c r="K100" i="34"/>
  <c r="K102" i="34"/>
  <c r="K103" i="34"/>
  <c r="J81" i="34"/>
  <c r="K82" i="34"/>
  <c r="J83" i="34"/>
  <c r="K84" i="34"/>
  <c r="K85" i="34"/>
  <c r="J86" i="34"/>
  <c r="K87" i="34"/>
  <c r="J79" i="34"/>
  <c r="J68" i="34"/>
  <c r="J69" i="34"/>
  <c r="K70" i="34"/>
  <c r="K71" i="34"/>
  <c r="K72" i="34"/>
  <c r="J73" i="34"/>
  <c r="K74" i="34"/>
  <c r="K75" i="34"/>
  <c r="J76" i="34"/>
  <c r="J77" i="34"/>
  <c r="J53" i="34"/>
  <c r="K54" i="34"/>
  <c r="J55" i="34"/>
  <c r="K56" i="34"/>
  <c r="K57" i="34"/>
  <c r="J58" i="34"/>
  <c r="K59" i="34"/>
  <c r="K44" i="34"/>
  <c r="K45" i="34"/>
  <c r="J46" i="34"/>
  <c r="K47" i="34"/>
  <c r="K48" i="34"/>
  <c r="K49" i="34"/>
  <c r="J42" i="34"/>
  <c r="K41" i="34"/>
  <c r="K39" i="34"/>
  <c r="K38" i="34"/>
  <c r="J37" i="34"/>
  <c r="J36" i="34"/>
  <c r="K33" i="34"/>
  <c r="J23" i="34"/>
  <c r="K26" i="34"/>
  <c r="K29" i="34"/>
  <c r="K30" i="34"/>
  <c r="K31" i="34"/>
  <c r="K13" i="34"/>
  <c r="J15" i="34"/>
  <c r="K188" i="34" l="1"/>
  <c r="K101" i="34"/>
  <c r="D19" i="54"/>
  <c r="E64" i="54"/>
  <c r="K50" i="34"/>
  <c r="J22" i="34"/>
  <c r="J52" i="34"/>
  <c r="J182" i="34"/>
  <c r="L182" i="34" s="1"/>
  <c r="D68" i="54"/>
  <c r="J98" i="34"/>
  <c r="D95" i="54"/>
  <c r="L95" i="34"/>
  <c r="J115" i="34"/>
  <c r="K131" i="34"/>
  <c r="K113" i="34"/>
  <c r="E197" i="54"/>
  <c r="F197" i="54" s="1"/>
  <c r="J88" i="34"/>
  <c r="L63" i="34"/>
  <c r="L93" i="34"/>
  <c r="L20" i="34"/>
  <c r="K18" i="34"/>
  <c r="K155" i="34"/>
  <c r="J28" i="34"/>
  <c r="K25" i="34"/>
  <c r="L19" i="34"/>
  <c r="L144" i="34"/>
  <c r="D65" i="54"/>
  <c r="F65" i="54" s="1"/>
  <c r="K96" i="34"/>
  <c r="L96" i="34" s="1"/>
  <c r="L105" i="34"/>
  <c r="L171" i="34"/>
  <c r="D18" i="54"/>
  <c r="F18" i="54" s="1"/>
  <c r="D168" i="54"/>
  <c r="F168" i="54" s="1"/>
  <c r="K126" i="34"/>
  <c r="L66" i="34"/>
  <c r="D194" i="54"/>
  <c r="F194" i="54" s="1"/>
  <c r="J14" i="34"/>
  <c r="L183" i="34"/>
  <c r="L186" i="34"/>
  <c r="L145" i="34"/>
  <c r="L62" i="34"/>
  <c r="L180" i="34"/>
  <c r="L128" i="34"/>
  <c r="J40" i="34"/>
  <c r="L157" i="34"/>
  <c r="K111" i="34"/>
  <c r="J140" i="34"/>
  <c r="K24" i="34"/>
  <c r="J24" i="34"/>
  <c r="D33" i="54"/>
  <c r="F33" i="54" s="1"/>
  <c r="K94" i="34"/>
  <c r="F25" i="54"/>
  <c r="K27" i="34"/>
  <c r="J104" i="34"/>
  <c r="F149" i="54"/>
  <c r="F131" i="54"/>
  <c r="F191" i="54"/>
  <c r="F95" i="54"/>
  <c r="F19" i="54"/>
  <c r="F68" i="54"/>
  <c r="J54" i="34"/>
  <c r="L54" i="34" s="1"/>
  <c r="D56" i="54"/>
  <c r="F56" i="54" s="1"/>
  <c r="J181" i="34"/>
  <c r="L181" i="34" s="1"/>
  <c r="D192" i="54"/>
  <c r="F192" i="54" s="1"/>
  <c r="J92" i="34"/>
  <c r="L92" i="34" s="1"/>
  <c r="D94" i="54"/>
  <c r="F94" i="54" s="1"/>
  <c r="J116" i="34"/>
  <c r="L116" i="34" s="1"/>
  <c r="D119" i="54"/>
  <c r="F119" i="54" s="1"/>
  <c r="K148" i="34"/>
  <c r="L148" i="34" s="1"/>
  <c r="E152" i="54"/>
  <c r="F152" i="54" s="1"/>
  <c r="F98" i="54"/>
  <c r="F107" i="54"/>
  <c r="K185" i="34"/>
  <c r="L185" i="34" s="1"/>
  <c r="E196" i="54"/>
  <c r="F196" i="54" s="1"/>
  <c r="J17" i="34"/>
  <c r="L17" i="34" s="1"/>
  <c r="D16" i="54"/>
  <c r="F16" i="54" s="1"/>
  <c r="K83" i="34"/>
  <c r="L83" i="34" s="1"/>
  <c r="F148" i="54"/>
  <c r="J70" i="34"/>
  <c r="L70" i="34" s="1"/>
  <c r="D72" i="54"/>
  <c r="F72" i="54" s="1"/>
  <c r="K91" i="34"/>
  <c r="L91" i="34" s="1"/>
  <c r="E93" i="54"/>
  <c r="F93" i="54" s="1"/>
  <c r="J184" i="34"/>
  <c r="L184" i="34" s="1"/>
  <c r="D195" i="54"/>
  <c r="F195" i="54" s="1"/>
  <c r="J158" i="34"/>
  <c r="L158" i="34" s="1"/>
  <c r="J161" i="34"/>
  <c r="L161" i="34" s="1"/>
  <c r="K46" i="34"/>
  <c r="L46" i="34" s="1"/>
  <c r="E47" i="54"/>
  <c r="F47" i="54" s="1"/>
  <c r="J65" i="34"/>
  <c r="L65" i="34" s="1"/>
  <c r="D67" i="54"/>
  <c r="F67" i="54" s="1"/>
  <c r="K146" i="34"/>
  <c r="L146" i="34" s="1"/>
  <c r="E150" i="54"/>
  <c r="F150" i="54" s="1"/>
  <c r="J135" i="34"/>
  <c r="L135" i="34" s="1"/>
  <c r="D139" i="54"/>
  <c r="F139" i="54" s="1"/>
  <c r="F182" i="54"/>
  <c r="J143" i="34"/>
  <c r="L143" i="34" s="1"/>
  <c r="D147" i="54"/>
  <c r="F147" i="54" s="1"/>
  <c r="J39" i="34"/>
  <c r="L39" i="34" s="1"/>
  <c r="J60" i="34"/>
  <c r="L60" i="34" s="1"/>
  <c r="D62" i="54"/>
  <c r="F62" i="54" s="1"/>
  <c r="J147" i="34"/>
  <c r="L147" i="34" s="1"/>
  <c r="D151" i="54"/>
  <c r="F151" i="54" s="1"/>
  <c r="J64" i="34"/>
  <c r="L64" i="34" s="1"/>
  <c r="D66" i="54"/>
  <c r="F66" i="54" s="1"/>
  <c r="J117" i="34"/>
  <c r="L117" i="34" s="1"/>
  <c r="D120" i="54"/>
  <c r="F120" i="54" s="1"/>
  <c r="F193" i="54"/>
  <c r="F97" i="54"/>
  <c r="K163" i="34"/>
  <c r="L163" i="34" s="1"/>
  <c r="E174" i="54"/>
  <c r="F174" i="54" s="1"/>
  <c r="J107" i="34"/>
  <c r="L107" i="34" s="1"/>
  <c r="D109" i="54"/>
  <c r="F109" i="54" s="1"/>
  <c r="K23" i="34"/>
  <c r="L23" i="34" s="1"/>
  <c r="J176" i="34"/>
  <c r="L176" i="34" s="1"/>
  <c r="D187" i="54"/>
  <c r="F187" i="54" s="1"/>
  <c r="J152" i="34"/>
  <c r="L152" i="34" s="1"/>
  <c r="J177" i="34"/>
  <c r="L177" i="34" s="1"/>
  <c r="D188" i="54"/>
  <c r="F188" i="54" s="1"/>
  <c r="F64" i="54"/>
  <c r="J44" i="34"/>
  <c r="L44" i="34" s="1"/>
  <c r="D45" i="54"/>
  <c r="F45" i="54" s="1"/>
  <c r="K178" i="34"/>
  <c r="L178" i="34" s="1"/>
  <c r="J89" i="34"/>
  <c r="L89" i="34" s="1"/>
  <c r="D91" i="54"/>
  <c r="F91" i="54" s="1"/>
  <c r="K52" i="34"/>
  <c r="J45" i="34"/>
  <c r="L45" i="34" s="1"/>
  <c r="J114" i="34"/>
  <c r="L114" i="34" s="1"/>
  <c r="J18" i="34"/>
  <c r="J71" i="34"/>
  <c r="L71" i="34" s="1"/>
  <c r="J59" i="34"/>
  <c r="L59" i="34" s="1"/>
  <c r="J172" i="34"/>
  <c r="L172" i="34" s="1"/>
  <c r="J102" i="34"/>
  <c r="L102" i="34" s="1"/>
  <c r="K168" i="34"/>
  <c r="L168" i="34" s="1"/>
  <c r="K140" i="34"/>
  <c r="K159" i="34"/>
  <c r="L159" i="34" s="1"/>
  <c r="J103" i="34"/>
  <c r="L103" i="34" s="1"/>
  <c r="K73" i="34"/>
  <c r="L73" i="34" s="1"/>
  <c r="J134" i="34"/>
  <c r="L134" i="34" s="1"/>
  <c r="J141" i="34"/>
  <c r="L141" i="34" s="1"/>
  <c r="J160" i="34"/>
  <c r="L160" i="34" s="1"/>
  <c r="K22" i="34"/>
  <c r="L22" i="34" s="1"/>
  <c r="K112" i="34"/>
  <c r="L112" i="34" s="1"/>
  <c r="J154" i="34"/>
  <c r="L154" i="34" s="1"/>
  <c r="J74" i="34"/>
  <c r="L74" i="34" s="1"/>
  <c r="K139" i="34"/>
  <c r="L139" i="34" s="1"/>
  <c r="J101" i="34"/>
  <c r="L101" i="34" s="1"/>
  <c r="J126" i="34"/>
  <c r="J85" i="34"/>
  <c r="L85" i="34" s="1"/>
  <c r="K98" i="34"/>
  <c r="J113" i="34"/>
  <c r="J47" i="34"/>
  <c r="L47" i="34" s="1"/>
  <c r="K40" i="34"/>
  <c r="K53" i="34"/>
  <c r="L53" i="34" s="1"/>
  <c r="J155" i="34"/>
  <c r="J124" i="34"/>
  <c r="L124" i="34" s="1"/>
  <c r="J100" i="34"/>
  <c r="L100" i="34" s="1"/>
  <c r="J87" i="34"/>
  <c r="L87" i="34" s="1"/>
  <c r="J25" i="34"/>
  <c r="K42" i="34"/>
  <c r="L42" i="34" s="1"/>
  <c r="K153" i="34"/>
  <c r="L153" i="34" s="1"/>
  <c r="K77" i="34"/>
  <c r="L77" i="34" s="1"/>
  <c r="K55" i="34"/>
  <c r="L55" i="34" s="1"/>
  <c r="K15" i="34"/>
  <c r="L15" i="34" s="1"/>
  <c r="J94" i="34"/>
  <c r="J123" i="34"/>
  <c r="L123" i="34" s="1"/>
  <c r="J188" i="34"/>
  <c r="K76" i="34"/>
  <c r="L76" i="34" s="1"/>
  <c r="J192" i="34"/>
  <c r="L192" i="34" s="1"/>
  <c r="K68" i="34"/>
  <c r="L68" i="34" s="1"/>
  <c r="J110" i="34"/>
  <c r="L110" i="34" s="1"/>
  <c r="K169" i="34"/>
  <c r="L169" i="34" s="1"/>
  <c r="J29" i="34"/>
  <c r="L29" i="34" s="1"/>
  <c r="K99" i="34"/>
  <c r="L99" i="34" s="1"/>
  <c r="J75" i="34"/>
  <c r="L75" i="34" s="1"/>
  <c r="J50" i="34"/>
  <c r="L50" i="34" s="1"/>
  <c r="K121" i="34"/>
  <c r="L121" i="34" s="1"/>
  <c r="K164" i="34"/>
  <c r="L164" i="34" s="1"/>
  <c r="J119" i="34"/>
  <c r="L119" i="34" s="1"/>
  <c r="K69" i="34"/>
  <c r="L69" i="34" s="1"/>
  <c r="J49" i="34"/>
  <c r="L49" i="34" s="1"/>
  <c r="K79" i="34"/>
  <c r="L79" i="34" s="1"/>
  <c r="K150" i="34"/>
  <c r="L150" i="34" s="1"/>
  <c r="J166" i="34"/>
  <c r="L166" i="34" s="1"/>
  <c r="J48" i="34"/>
  <c r="L48" i="34" s="1"/>
  <c r="K115" i="34"/>
  <c r="K37" i="34"/>
  <c r="L37" i="34" s="1"/>
  <c r="J27" i="34"/>
  <c r="K151" i="34"/>
  <c r="L151" i="34" s="1"/>
  <c r="K106" i="34"/>
  <c r="L106" i="34" s="1"/>
  <c r="J82" i="34"/>
  <c r="L82" i="34" s="1"/>
  <c r="J165" i="34"/>
  <c r="L165" i="34" s="1"/>
  <c r="J131" i="34"/>
  <c r="J120" i="34"/>
  <c r="L120" i="34" s="1"/>
  <c r="K36" i="34"/>
  <c r="L36" i="34" s="1"/>
  <c r="J72" i="34"/>
  <c r="L72" i="34" s="1"/>
  <c r="J122" i="34"/>
  <c r="L122" i="34" s="1"/>
  <c r="J133" i="34"/>
  <c r="L133" i="34" s="1"/>
  <c r="J179" i="34"/>
  <c r="L179" i="34" s="1"/>
  <c r="K142" i="34"/>
  <c r="L142" i="34" s="1"/>
  <c r="J191" i="34"/>
  <c r="L191" i="34" s="1"/>
  <c r="J194" i="34"/>
  <c r="L194" i="34" s="1"/>
  <c r="J137" i="34"/>
  <c r="L137" i="34" s="1"/>
  <c r="K86" i="34"/>
  <c r="L86" i="34" s="1"/>
  <c r="J38" i="34"/>
  <c r="L38" i="34" s="1"/>
  <c r="J41" i="34"/>
  <c r="L41" i="34" s="1"/>
  <c r="K28" i="34"/>
  <c r="K104" i="34"/>
  <c r="J173" i="34"/>
  <c r="L173" i="34" s="1"/>
  <c r="J111" i="34"/>
  <c r="K14" i="34"/>
  <c r="J109" i="34"/>
  <c r="L109" i="34" s="1"/>
  <c r="J84" i="34"/>
  <c r="L84" i="34" s="1"/>
  <c r="J127" i="34"/>
  <c r="L127" i="34" s="1"/>
  <c r="J33" i="34"/>
  <c r="L33" i="34" s="1"/>
  <c r="K58" i="34"/>
  <c r="L58" i="34" s="1"/>
  <c r="K132" i="34"/>
  <c r="L132" i="34" s="1"/>
  <c r="K88" i="34"/>
  <c r="K81" i="34"/>
  <c r="L81" i="34" s="1"/>
  <c r="J31" i="34"/>
  <c r="L31" i="34" s="1"/>
  <c r="J57" i="34"/>
  <c r="L57" i="34" s="1"/>
  <c r="J13" i="34"/>
  <c r="L13" i="34" s="1"/>
  <c r="J130" i="34"/>
  <c r="L130" i="34" s="1"/>
  <c r="J30" i="34"/>
  <c r="L30" i="34" s="1"/>
  <c r="J56" i="34"/>
  <c r="L56" i="34" s="1"/>
  <c r="K175" i="34"/>
  <c r="L175" i="34" s="1"/>
  <c r="J125" i="34"/>
  <c r="L125" i="34" s="1"/>
  <c r="J26" i="34"/>
  <c r="L26" i="34" s="1"/>
  <c r="J174" i="34"/>
  <c r="L174" i="34" s="1"/>
  <c r="H11" i="34"/>
  <c r="E10" i="54" s="1"/>
  <c r="G11" i="34"/>
  <c r="L24" i="34" l="1"/>
  <c r="L188" i="34"/>
  <c r="L88" i="34"/>
  <c r="L52" i="34"/>
  <c r="L113" i="34"/>
  <c r="L131" i="34"/>
  <c r="L18" i="34"/>
  <c r="L28" i="34"/>
  <c r="L115" i="34"/>
  <c r="L98" i="34"/>
  <c r="L27" i="34"/>
  <c r="L155" i="34"/>
  <c r="L126" i="34"/>
  <c r="L14" i="34"/>
  <c r="L25" i="34"/>
  <c r="L94" i="34"/>
  <c r="L40" i="34"/>
  <c r="L111" i="34"/>
  <c r="L140" i="34"/>
  <c r="L104" i="34"/>
  <c r="J11" i="34"/>
  <c r="D10" i="54"/>
  <c r="F10" i="54" s="1"/>
  <c r="K11" i="34"/>
  <c r="K28" i="10"/>
  <c r="K26" i="10"/>
  <c r="K24" i="10"/>
  <c r="K20" i="10"/>
  <c r="K21" i="10"/>
  <c r="K14" i="10"/>
  <c r="K15" i="10"/>
  <c r="K16" i="10"/>
  <c r="L11" i="34" l="1"/>
  <c r="K17" i="10"/>
  <c r="A4" i="12" l="1"/>
  <c r="A3" i="12"/>
  <c r="B4" i="52"/>
  <c r="D34" i="53" l="1"/>
  <c r="D28" i="53"/>
  <c r="D29" i="53"/>
  <c r="D33" i="53"/>
  <c r="D22" i="53"/>
  <c r="D23" i="53"/>
  <c r="D24" i="53"/>
  <c r="D14" i="53"/>
  <c r="D15" i="53"/>
  <c r="D17" i="53"/>
  <c r="D18" i="53"/>
  <c r="D11" i="53"/>
  <c r="D16" i="53" l="1"/>
  <c r="I38" i="10"/>
  <c r="A10" i="12" l="1"/>
  <c r="A11" i="12" l="1"/>
  <c r="A12" i="12" s="1"/>
  <c r="A13" i="12" s="1"/>
  <c r="A14" i="12" s="1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J35" i="34" l="1"/>
  <c r="J198" i="34" s="1"/>
  <c r="K35" i="34"/>
  <c r="A33" i="34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L35" i="34" l="1"/>
  <c r="A79" i="34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l="1"/>
  <c r="A197" i="34" s="1"/>
  <c r="A198" i="34" s="1"/>
  <c r="A199" i="34" s="1"/>
  <c r="A200" i="34" s="1"/>
  <c r="A201" i="34" s="1"/>
  <c r="D17" i="10" l="1"/>
  <c r="G17" i="12" l="1"/>
  <c r="G23" i="12"/>
  <c r="G30" i="12" l="1"/>
  <c r="G36" i="12" l="1"/>
  <c r="C173" i="34"/>
  <c r="C174" i="34" s="1"/>
  <c r="C175" i="34" s="1"/>
  <c r="C176" i="34" s="1"/>
  <c r="C177" i="34" s="1"/>
  <c r="C178" i="34" s="1"/>
  <c r="C179" i="34" s="1"/>
  <c r="C180" i="34" s="1"/>
  <c r="C181" i="34" s="1"/>
  <c r="C182" i="34" s="1"/>
  <c r="C183" i="34" s="1"/>
  <c r="C184" i="34" s="1"/>
  <c r="C185" i="34" s="1"/>
  <c r="C186" i="34" s="1"/>
  <c r="C168" i="34"/>
  <c r="C169" i="34" s="1"/>
  <c r="C158" i="34"/>
  <c r="C159" i="34" s="1"/>
  <c r="C160" i="34" s="1"/>
  <c r="C161" i="34" s="1"/>
  <c r="C151" i="34"/>
  <c r="C163" i="34" s="1"/>
  <c r="C164" i="34" s="1"/>
  <c r="C165" i="34" s="1"/>
  <c r="C166" i="34" s="1"/>
  <c r="C131" i="34"/>
  <c r="C132" i="34" s="1"/>
  <c r="C133" i="34" s="1"/>
  <c r="C134" i="34" s="1"/>
  <c r="C135" i="34" s="1"/>
  <c r="C137" i="34" s="1"/>
  <c r="C110" i="34"/>
  <c r="C111" i="34" s="1"/>
  <c r="C112" i="34" s="1"/>
  <c r="C113" i="34" s="1"/>
  <c r="C114" i="34" s="1"/>
  <c r="C115" i="34" s="1"/>
  <c r="C116" i="34" s="1"/>
  <c r="C82" i="34"/>
  <c r="C83" i="34" s="1"/>
  <c r="C84" i="34" s="1"/>
  <c r="C85" i="34" s="1"/>
  <c r="C86" i="34" s="1"/>
  <c r="C87" i="34" s="1"/>
  <c r="C88" i="34" s="1"/>
  <c r="C89" i="34" s="1"/>
  <c r="C91" i="34" s="1"/>
  <c r="C92" i="34" s="1"/>
  <c r="C93" i="34" s="1"/>
  <c r="C94" i="34" s="1"/>
  <c r="C95" i="34" s="1"/>
  <c r="C53" i="34"/>
  <c r="C54" i="34" s="1"/>
  <c r="C55" i="34" s="1"/>
  <c r="C56" i="34" s="1"/>
  <c r="C57" i="34" s="1"/>
  <c r="C58" i="34" s="1"/>
  <c r="C59" i="34" s="1"/>
  <c r="C60" i="34" s="1"/>
  <c r="C62" i="34" s="1"/>
  <c r="C63" i="34" s="1"/>
  <c r="C64" i="34" s="1"/>
  <c r="C65" i="34" s="1"/>
  <c r="D48" i="34"/>
  <c r="D49" i="34" s="1"/>
  <c r="D50" i="34" s="1"/>
  <c r="C36" i="34"/>
  <c r="C37" i="34" s="1"/>
  <c r="C38" i="34" s="1"/>
  <c r="C39" i="34" s="1"/>
  <c r="C18" i="34"/>
  <c r="C19" i="34" s="1"/>
  <c r="C20" i="34" s="1"/>
  <c r="D14" i="34"/>
  <c r="D15" i="34" s="1"/>
  <c r="D17" i="34" s="1"/>
  <c r="D18" i="34" s="1"/>
  <c r="D19" i="34" s="1"/>
  <c r="D20" i="34" s="1"/>
  <c r="C14" i="34"/>
  <c r="C15" i="34" s="1"/>
  <c r="C117" i="34" l="1"/>
  <c r="C120" i="34" s="1"/>
  <c r="C121" i="34" s="1"/>
  <c r="C122" i="34" s="1"/>
  <c r="C123" i="34" s="1"/>
  <c r="C124" i="34" s="1"/>
  <c r="C125" i="34" s="1"/>
  <c r="C126" i="34" s="1"/>
  <c r="C127" i="34" s="1"/>
  <c r="C128" i="34" s="1"/>
  <c r="C119" i="34"/>
  <c r="C96" i="34"/>
  <c r="C99" i="34" s="1"/>
  <c r="C100" i="34" s="1"/>
  <c r="C101" i="34" s="1"/>
  <c r="C102" i="34" s="1"/>
  <c r="C103" i="34" s="1"/>
  <c r="C104" i="34" s="1"/>
  <c r="C105" i="34" s="1"/>
  <c r="C106" i="34" s="1"/>
  <c r="C107" i="34" s="1"/>
  <c r="C98" i="34"/>
  <c r="C66" i="34"/>
  <c r="C69" i="34" s="1"/>
  <c r="C68" i="34"/>
  <c r="C44" i="34"/>
  <c r="C40" i="34"/>
  <c r="C152" i="34"/>
  <c r="C153" i="34" s="1"/>
  <c r="C154" i="34" s="1"/>
  <c r="C155" i="34" s="1"/>
  <c r="C70" i="34" l="1"/>
  <c r="C79" i="34"/>
  <c r="C45" i="34"/>
  <c r="C41" i="34"/>
  <c r="C71" i="34" l="1"/>
  <c r="C46" i="34"/>
  <c r="C42" i="34"/>
  <c r="C47" i="34" s="1"/>
  <c r="C48" i="34" s="1"/>
  <c r="C49" i="34" s="1"/>
  <c r="C50" i="34" s="1"/>
  <c r="C72" i="34" l="1"/>
  <c r="D22" i="10"/>
  <c r="D11" i="10"/>
  <c r="C73" i="34" l="1"/>
  <c r="D32" i="10"/>
  <c r="D36" i="10" s="1"/>
  <c r="E10" i="10" s="1"/>
  <c r="G10" i="10" l="1"/>
  <c r="N10" i="10" s="1"/>
  <c r="H11" i="53" s="1"/>
  <c r="H10" i="10"/>
  <c r="P10" i="10" s="1"/>
  <c r="I11" i="53" s="1"/>
  <c r="C74" i="34"/>
  <c r="E30" i="10"/>
  <c r="E28" i="10"/>
  <c r="E11" i="53" l="1"/>
  <c r="R10" i="10"/>
  <c r="C75" i="34"/>
  <c r="G30" i="10"/>
  <c r="H30" i="10"/>
  <c r="E21" i="10"/>
  <c r="E16" i="10"/>
  <c r="E24" i="10"/>
  <c r="E14" i="10"/>
  <c r="E11" i="10"/>
  <c r="E34" i="10"/>
  <c r="G34" i="10" s="1"/>
  <c r="E26" i="10"/>
  <c r="E20" i="10"/>
  <c r="E15" i="10"/>
  <c r="E17" i="10"/>
  <c r="E22" i="10"/>
  <c r="E32" i="10"/>
  <c r="M11" i="53" l="1"/>
  <c r="K10" i="12"/>
  <c r="N10" i="12" s="1"/>
  <c r="Q30" i="10"/>
  <c r="I65" i="53" s="1"/>
  <c r="O30" i="10"/>
  <c r="C76" i="34"/>
  <c r="S30" i="10" l="1"/>
  <c r="H65" i="53"/>
  <c r="C77" i="34"/>
  <c r="H34" i="10"/>
  <c r="I34" i="10" s="1"/>
  <c r="H24" i="10"/>
  <c r="P24" i="10" s="1"/>
  <c r="H15" i="10"/>
  <c r="P15" i="10" s="1"/>
  <c r="H28" i="10"/>
  <c r="P28" i="10" s="1"/>
  <c r="I34" i="53" s="1"/>
  <c r="H26" i="10"/>
  <c r="P26" i="10" s="1"/>
  <c r="I28" i="53" s="1"/>
  <c r="H16" i="10"/>
  <c r="P16" i="10" s="1"/>
  <c r="I17" i="53" s="1"/>
  <c r="H21" i="10"/>
  <c r="P21" i="10" s="1"/>
  <c r="I24" i="53" s="1"/>
  <c r="H14" i="10"/>
  <c r="P14" i="10" s="1"/>
  <c r="I14" i="53" s="1"/>
  <c r="H20" i="10"/>
  <c r="P20" i="10" s="1"/>
  <c r="I22" i="53" s="1"/>
  <c r="I23" i="53" s="1"/>
  <c r="I33" i="53" l="1"/>
  <c r="I29" i="53"/>
  <c r="I15" i="53"/>
  <c r="I16" i="53" s="1"/>
  <c r="I18" i="53"/>
  <c r="E65" i="53"/>
  <c r="I10" i="10"/>
  <c r="K34" i="12" l="1"/>
  <c r="N34" i="12" s="1"/>
  <c r="F65" i="53"/>
  <c r="M65" i="53"/>
  <c r="M42" i="12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N42" i="12" l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30" i="12" l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K22" i="10" l="1"/>
  <c r="K11" i="10" l="1"/>
  <c r="K32" i="10" s="1"/>
  <c r="K36" i="10" s="1"/>
  <c r="G26" i="10" l="1"/>
  <c r="N26" i="10" s="1"/>
  <c r="H28" i="53" s="1"/>
  <c r="G20" i="10"/>
  <c r="N20" i="10" s="1"/>
  <c r="H22" i="53" s="1"/>
  <c r="G16" i="10"/>
  <c r="N16" i="10" s="1"/>
  <c r="H17" i="53" s="1"/>
  <c r="G14" i="10"/>
  <c r="N14" i="10" s="1"/>
  <c r="H14" i="53" s="1"/>
  <c r="G24" i="10"/>
  <c r="N24" i="10" s="1"/>
  <c r="H33" i="53" s="1"/>
  <c r="G28" i="10"/>
  <c r="G21" i="10"/>
  <c r="N21" i="10" s="1"/>
  <c r="H24" i="53" s="1"/>
  <c r="G15" i="10"/>
  <c r="N15" i="10" s="1"/>
  <c r="E14" i="53" l="1"/>
  <c r="E24" i="53"/>
  <c r="H23" i="53"/>
  <c r="E22" i="53"/>
  <c r="H15" i="53"/>
  <c r="H18" i="53"/>
  <c r="E33" i="53"/>
  <c r="E17" i="53"/>
  <c r="H29" i="53"/>
  <c r="E28" i="53"/>
  <c r="N28" i="10"/>
  <c r="H34" i="53" s="1"/>
  <c r="J199" i="34"/>
  <c r="I28" i="10"/>
  <c r="E36" i="10"/>
  <c r="M14" i="53" l="1"/>
  <c r="M24" i="53"/>
  <c r="M22" i="53"/>
  <c r="M17" i="53"/>
  <c r="M33" i="53"/>
  <c r="K28" i="12"/>
  <c r="E15" i="53"/>
  <c r="H16" i="53"/>
  <c r="M28" i="53"/>
  <c r="E29" i="53"/>
  <c r="K15" i="12"/>
  <c r="K25" i="12"/>
  <c r="E34" i="53"/>
  <c r="E18" i="53"/>
  <c r="K20" i="12"/>
  <c r="E23" i="53"/>
  <c r="K22" i="12"/>
  <c r="K13" i="12"/>
  <c r="K199" i="34"/>
  <c r="H17" i="10"/>
  <c r="H22" i="10"/>
  <c r="H11" i="10"/>
  <c r="R16" i="10"/>
  <c r="I16" i="10"/>
  <c r="I14" i="10"/>
  <c r="G17" i="10"/>
  <c r="I20" i="10"/>
  <c r="G22" i="10"/>
  <c r="I11" i="10"/>
  <c r="G11" i="10"/>
  <c r="R24" i="10"/>
  <c r="I24" i="10"/>
  <c r="I21" i="10"/>
  <c r="R21" i="10"/>
  <c r="I15" i="10"/>
  <c r="R15" i="10"/>
  <c r="I30" i="10"/>
  <c r="I26" i="10"/>
  <c r="R26" i="10"/>
  <c r="M23" i="53" l="1"/>
  <c r="M18" i="53"/>
  <c r="M34" i="53"/>
  <c r="M15" i="53"/>
  <c r="M29" i="53"/>
  <c r="E16" i="53"/>
  <c r="K14" i="12"/>
  <c r="K21" i="12"/>
  <c r="K16" i="12"/>
  <c r="K29" i="12"/>
  <c r="M16" i="53"/>
  <c r="K32" i="12"/>
  <c r="R20" i="10"/>
  <c r="I22" i="10"/>
  <c r="R28" i="10"/>
  <c r="R14" i="10"/>
  <c r="I17" i="10"/>
  <c r="I32" i="10" s="1"/>
  <c r="I36" i="10" s="1"/>
  <c r="I39" i="10" s="1"/>
  <c r="H32" i="10"/>
  <c r="G32" i="10"/>
  <c r="F24" i="53" l="1"/>
  <c r="F17" i="53"/>
  <c r="F33" i="53"/>
  <c r="F28" i="53"/>
  <c r="F11" i="53"/>
  <c r="G36" i="10"/>
  <c r="H36" i="10"/>
  <c r="F29" i="53" l="1"/>
  <c r="F22" i="53"/>
  <c r="F34" i="53"/>
  <c r="F16" i="53"/>
  <c r="F15" i="53"/>
  <c r="F18" i="53"/>
  <c r="F14" i="53"/>
  <c r="F23" i="53" l="1"/>
  <c r="O42" i="12"/>
  <c r="P42" i="12" s="1"/>
  <c r="J200" i="34" l="1"/>
  <c r="K198" i="34"/>
  <c r="K200" i="34" s="1"/>
  <c r="N21" i="12" l="1"/>
  <c r="O21" i="12" s="1"/>
  <c r="P21" i="12" s="1"/>
  <c r="N16" i="12"/>
  <c r="O16" i="12" s="1"/>
  <c r="P16" i="12" s="1"/>
  <c r="N20" i="12" l="1"/>
  <c r="N15" i="12"/>
  <c r="O15" i="12" s="1"/>
  <c r="P15" i="12" s="1"/>
  <c r="N29" i="12"/>
  <c r="O29" i="12" s="1"/>
  <c r="P29" i="12" s="1"/>
  <c r="N22" i="12"/>
  <c r="O22" i="12" s="1"/>
  <c r="P22" i="12" s="1"/>
  <c r="N14" i="12"/>
  <c r="O14" i="12" s="1"/>
  <c r="P14" i="12" s="1"/>
  <c r="N25" i="12" l="1"/>
  <c r="O25" i="12" s="1"/>
  <c r="P25" i="12" s="1"/>
  <c r="N28" i="12"/>
  <c r="N13" i="12"/>
  <c r="N32" i="12"/>
  <c r="O32" i="12" s="1"/>
  <c r="P32" i="12" s="1"/>
  <c r="N23" i="12"/>
  <c r="O20" i="12"/>
  <c r="O34" i="12"/>
  <c r="P34" i="12" s="1"/>
  <c r="P20" i="12" l="1"/>
  <c r="O23" i="12"/>
  <c r="P23" i="12" s="1"/>
  <c r="O28" i="12"/>
  <c r="N30" i="12"/>
  <c r="O13" i="12"/>
  <c r="N17" i="12"/>
  <c r="N36" i="12" s="1"/>
  <c r="O10" i="12" l="1"/>
  <c r="P13" i="12"/>
  <c r="O17" i="12"/>
  <c r="P17" i="12" s="1"/>
  <c r="O30" i="12"/>
  <c r="P30" i="12" s="1"/>
  <c r="P28" i="12"/>
  <c r="P10" i="12" l="1"/>
  <c r="O36" i="12"/>
  <c r="P36" i="12" s="1"/>
</calcChain>
</file>

<file path=xl/sharedStrings.xml><?xml version="1.0" encoding="utf-8"?>
<sst xmlns="http://schemas.openxmlformats.org/spreadsheetml/2006/main" count="967" uniqueCount="238">
  <si>
    <t>Line No.</t>
  </si>
  <si>
    <t>Voltage Level</t>
  </si>
  <si>
    <t>Schedule</t>
  </si>
  <si>
    <t>Percent of Total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</si>
  <si>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</si>
  <si>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</si>
  <si>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</si>
  <si>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</si>
  <si>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</si>
  <si>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</si>
  <si>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</si>
  <si>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Total Primary Voltage</t>
  </si>
  <si>
    <t>Total High Voltage</t>
  </si>
  <si>
    <t>Lighting</t>
  </si>
  <si>
    <t>General Service</t>
  </si>
  <si>
    <t>High Voltage</t>
  </si>
  <si>
    <t>(f)</t>
  </si>
  <si>
    <t>(c)</t>
  </si>
  <si>
    <t>(b)</t>
  </si>
  <si>
    <t>(a)</t>
  </si>
  <si>
    <t>(e)</t>
  </si>
  <si>
    <t>(d)</t>
  </si>
  <si>
    <t>Property Tax Revenue Requirement</t>
  </si>
  <si>
    <t>Electric Schedule 140 Property Tax Rider</t>
  </si>
  <si>
    <t>Lamp Type</t>
  </si>
  <si>
    <t>Mercury Vapor</t>
  </si>
  <si>
    <t>Sodium Vapor</t>
  </si>
  <si>
    <t>(b)= 
(a) / ∑ (a)</t>
  </si>
  <si>
    <t>(g)</t>
  </si>
  <si>
    <t>Wattage (W)</t>
  </si>
  <si>
    <t>Sch 50E</t>
  </si>
  <si>
    <t>003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</si>
  <si>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</si>
  <si>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</si>
  <si>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</si>
  <si>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</si>
  <si>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</si>
  <si>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</si>
  <si>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</si>
  <si>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</si>
  <si>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</si>
  <si>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</si>
  <si>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</si>
  <si>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</si>
  <si>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</si>
  <si>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</si>
  <si>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</si>
  <si>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</si>
  <si>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</si>
  <si>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</si>
  <si>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</si>
  <si>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</si>
  <si>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</si>
  <si>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</si>
  <si>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</si>
  <si>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</si>
  <si>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</si>
  <si>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</si>
  <si>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</si>
  <si>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</si>
  <si>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</si>
  <si>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</si>
  <si>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</si>
  <si>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</si>
  <si>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</si>
  <si>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</si>
  <si>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</si>
  <si>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</si>
  <si>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</si>
  <si>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</si>
  <si>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</si>
  <si>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</si>
  <si>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</si>
  <si>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</si>
  <si>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= (e) + (f)</t>
  </si>
  <si>
    <t>(c)
= (b) * A</t>
  </si>
  <si>
    <t>(d) =
(b) * B</t>
  </si>
  <si>
    <t>(e) =
(c + d)</t>
  </si>
  <si>
    <t>Special Contract</t>
  </si>
  <si>
    <t>Current Customer Bill in Notice</t>
  </si>
  <si>
    <t>Proposed Customer Bill in Notice</t>
  </si>
  <si>
    <t>Basic Charge</t>
  </si>
  <si>
    <t>First 600 kWh</t>
  </si>
  <si>
    <t>Over 600 kWh</t>
  </si>
  <si>
    <t>Sch 140 Tariff Reference</t>
  </si>
  <si>
    <t>Sheet No. 140-B</t>
  </si>
  <si>
    <t>Sheet No. 140-C</t>
  </si>
  <si>
    <t>Sheet No. 140-D</t>
  </si>
  <si>
    <t>Sheet No. 140-E</t>
  </si>
  <si>
    <t>Sheet No. 140-F</t>
  </si>
  <si>
    <t>Sheet No. 140-G</t>
  </si>
  <si>
    <t>Sheet No. 140-H</t>
  </si>
  <si>
    <t>Sheet No. 140-I</t>
  </si>
  <si>
    <t>Sheet No. 140-L</t>
  </si>
  <si>
    <t>Sheet No. 140-M</t>
  </si>
  <si>
    <t>Sheet No. 140-N</t>
  </si>
  <si>
    <t>Sheet No. 140-O</t>
  </si>
  <si>
    <t>Sheet No. 140-P</t>
  </si>
  <si>
    <t>Sheet No. 140-Q</t>
  </si>
  <si>
    <t>Smart LED</t>
  </si>
  <si>
    <t>Projected Test-Year
Revenue Impacts
from Proposed Rate Change</t>
  </si>
  <si>
    <t>0 - 30</t>
  </si>
  <si>
    <t>Compact Fluorescent</t>
  </si>
  <si>
    <t>Combined Revenue Requirement</t>
  </si>
  <si>
    <t>Revenue Requirement
Deferral Component
(140B)</t>
  </si>
  <si>
    <t>Revenue Requirement
Base Component
(140A)</t>
  </si>
  <si>
    <t>Proposed
Base (140A)
Rate</t>
  </si>
  <si>
    <t>Proposed
Deferral (140B)
Rate</t>
  </si>
  <si>
    <t>Proposed
Combined
Rate</t>
  </si>
  <si>
    <r>
      <t xml:space="preserve">Adjusted Electric
Plant-in-Service </t>
    </r>
    <r>
      <rPr>
        <b/>
        <vertAlign val="superscript"/>
        <sz val="8"/>
        <rFont val="Arial"/>
        <family val="2"/>
      </rPr>
      <t>[1]</t>
    </r>
  </si>
  <si>
    <t>Projected Annual Base (140A) Revenue</t>
  </si>
  <si>
    <t>Projected Annual Deferral (140A) Revenue</t>
  </si>
  <si>
    <t>Projected Combined Revenue</t>
  </si>
  <si>
    <t>A = Base (140A)</t>
  </si>
  <si>
    <t>B = Deferral (140B)</t>
  </si>
  <si>
    <t>per kWh charge</t>
  </si>
  <si>
    <t>Note [1] displayed energy determinates (kWh) and rates for Lighting (Sch. 50-59) are illustrative for relative rate impact purposes.  Lighting charges are detailed on the "Lighting Rates" Tab.
Note [2] displayed energy determinates (kWh) and rates for Retail Wheeling (Sch. 449-459) are illustrative for rate impact purposes.  Retail Wheeling rates are designed and billed on a demand (kVA) basis as detailed on the "Retail Wheeling Rate Design" Tab.</t>
  </si>
  <si>
    <t>Current
Sch. 140 Rate</t>
  </si>
  <si>
    <t>Proposed
Sch. 140 Rate</t>
  </si>
  <si>
    <t>Demand</t>
  </si>
  <si>
    <t>Energy</t>
  </si>
  <si>
    <t>a</t>
  </si>
  <si>
    <t>% Change</t>
  </si>
  <si>
    <t>Current Rates</t>
  </si>
  <si>
    <t>PUGET SOUND ENERGY</t>
  </si>
  <si>
    <t xml:space="preserve"> </t>
  </si>
  <si>
    <t>Customer Class</t>
  </si>
  <si>
    <t>b</t>
  </si>
  <si>
    <t>c</t>
  </si>
  <si>
    <t>d</t>
  </si>
  <si>
    <t>Typical Residential Bill Impact for Notice</t>
  </si>
  <si>
    <t>Proposed Bill</t>
  </si>
  <si>
    <t>Change ($)</t>
  </si>
  <si>
    <t>(%)</t>
  </si>
  <si>
    <t>Typical Residential Bill at 800 kWh</t>
  </si>
  <si>
    <t>Total Projected Revenue
 w/ Proposed Sch. 140 Rates</t>
  </si>
  <si>
    <t>Proposed Rider Rate Effective Start Date</t>
  </si>
  <si>
    <t>Budget Forecast</t>
  </si>
  <si>
    <t>F2023</t>
  </si>
  <si>
    <t>Forecasted Rate Year Start Date</t>
  </si>
  <si>
    <t>Forecasted Rate Year End Date</t>
  </si>
  <si>
    <t>Note [2]: Sch. 449 - 459 is allocated based on Adjusted Electric Plant-in-Service consistent with other Sch. 120 classes. However, Sch. 449 - 459 rates are designed based on demand (kVA) vs. energy (kWh)</t>
  </si>
  <si>
    <t>Note [3]: Property Tax Revenue Requirement is allocated to Firm Resale Customers, as costs should be collected directly from firm resale customers and not spread to retail customers.</t>
  </si>
  <si>
    <t>Note [1]: Utilizes Adjusted Plant-in-Service as approved in UE-230219 which removes transmission related Plant and General Plant from Retail Wheeling &amp; Special Contract. Adjusted Plant-in-Service itslef utilized Plant-in-Service data from the 2022 GRC (Docket UE-220066).</t>
  </si>
  <si>
    <t>Lighting Rate Design</t>
  </si>
  <si>
    <t>Annual Lamp Inventory</t>
  </si>
  <si>
    <r>
      <t xml:space="preserve">Combined Capital, Demand, and Energy Allocation </t>
    </r>
    <r>
      <rPr>
        <b/>
        <vertAlign val="superscript"/>
        <sz val="8"/>
        <rFont val="Arial"/>
        <family val="2"/>
      </rPr>
      <t>[1]</t>
    </r>
  </si>
  <si>
    <t>Note [1] Combined Distribution Capital, Generation Demand, and Generation Energy Allocation as approved in UE-230219 which utilized these componenets as established in the 2022 GRC (Docket UE-220066).</t>
  </si>
  <si>
    <t>= (b) * (c)</t>
  </si>
  <si>
    <t>= (b) * (e)</t>
  </si>
  <si>
    <t>Projected Schedule Revenue Impacts of Rate Change by Forecasted Energy</t>
  </si>
  <si>
    <t>(h) = 
(c) / (f)</t>
  </si>
  <si>
    <t>(j) = 
(d) / (f)</t>
  </si>
  <si>
    <t>(l) = 
(g) + (h)</t>
  </si>
  <si>
    <t>(i) = 
(c) / (g)</t>
  </si>
  <si>
    <t>(k) = 
(d) / (g)</t>
  </si>
  <si>
    <t>(m) = 
(i) + (k)</t>
  </si>
  <si>
    <t>e</t>
  </si>
  <si>
    <t>Rate Schedule</t>
  </si>
  <si>
    <t>Proposed Combined Rate</t>
  </si>
  <si>
    <t>Total Projected Revenue
 w/ Current Sch. 120 Rates</t>
  </si>
  <si>
    <t>Pass-Thru Trackers</t>
  </si>
  <si>
    <t>Current Bill</t>
  </si>
  <si>
    <t>n/a</t>
  </si>
  <si>
    <t>f</t>
  </si>
  <si>
    <t>Irrigation</t>
  </si>
  <si>
    <t>Interruptible Schools</t>
  </si>
  <si>
    <t>Interruptible Service</t>
  </si>
  <si>
    <t>Choice / Retail Wheeling</t>
  </si>
  <si>
    <t>Special Contracts</t>
  </si>
  <si>
    <t>Combined Proposed Rates</t>
  </si>
  <si>
    <t>g</t>
  </si>
  <si>
    <t>h</t>
  </si>
  <si>
    <t>Sch 50</t>
  </si>
  <si>
    <t>Sch 51</t>
  </si>
  <si>
    <t>Sch 52</t>
  </si>
  <si>
    <t>Sch 53</t>
  </si>
  <si>
    <t>Sch 54</t>
  </si>
  <si>
    <t>Sch 55 &amp; Sch 56</t>
  </si>
  <si>
    <t>55 &amp; 56 - Pole (old)</t>
  </si>
  <si>
    <t>55 &amp; 56 - Pole (new)</t>
  </si>
  <si>
    <t>58 &amp; 59 - Pole (new)</t>
  </si>
  <si>
    <t>003 - Compact Fluorescent</t>
  </si>
  <si>
    <t>50E (A) - Mercury Vapor</t>
  </si>
  <si>
    <t>50E (B) - Mercury Vapor</t>
  </si>
  <si>
    <t>51E - LED</t>
  </si>
  <si>
    <t>51S - Smart LED</t>
  </si>
  <si>
    <t>52E  - Sodium Vapor</t>
  </si>
  <si>
    <t>52E  - Metal Halide</t>
  </si>
  <si>
    <t>54E - Sodium Vapor</t>
  </si>
  <si>
    <t>54E - LED</t>
  </si>
  <si>
    <t>55E &amp; 56E - Sodium Vapor</t>
  </si>
  <si>
    <t>55E &amp; 56E - Metal Halide</t>
  </si>
  <si>
    <t>55E &amp; 56E - LED</t>
  </si>
  <si>
    <t>58E &amp; 59E - LED</t>
  </si>
  <si>
    <t>53E - Sodium Vapor  (Company Owned)</t>
  </si>
  <si>
    <t>53E - Metal Halide (Company Owned)</t>
  </si>
  <si>
    <t>53E - LED (Company Owned)</t>
  </si>
  <si>
    <t>53S - Smart LED (Company Owned)</t>
  </si>
  <si>
    <t>53E - Sodium Vapor (Customer Owned)</t>
  </si>
  <si>
    <t>53E - Metal Halide (Customer Owned)</t>
  </si>
  <si>
    <t>53E - LED (Customer Owned)</t>
  </si>
  <si>
    <t>58E &amp; 59E - Directional - Sodium Vapor</t>
  </si>
  <si>
    <t>58E &amp; 59E - Horizontal - Sodium Vapor</t>
  </si>
  <si>
    <t>58E &amp; 59E - Directional - Metal Halide</t>
  </si>
  <si>
    <t>58E &amp; 59E - Horizontal - Metal Halide</t>
  </si>
  <si>
    <t>per W charge</t>
  </si>
  <si>
    <t>Variance</t>
  </si>
  <si>
    <t>Proposed Lighting Revenue</t>
  </si>
  <si>
    <t>Lighting Allocation of Revenue Requirement</t>
  </si>
  <si>
    <t>Scaling Factor(s)</t>
  </si>
  <si>
    <t>See Lighting Rates tab</t>
  </si>
  <si>
    <t>See kVA rate below</t>
  </si>
  <si>
    <t>Schedule &amp; Charge Type</t>
  </si>
  <si>
    <t>Rate Spread &amp; Design</t>
  </si>
  <si>
    <t>General Service: Demand &lt;= 50 kW</t>
  </si>
  <si>
    <t>Small General Service: Demand &gt; 50 kW but &lt;= 350 kW</t>
  </si>
  <si>
    <t>Total Retail Sales</t>
  </si>
  <si>
    <t>All Electric Schools</t>
  </si>
  <si>
    <r>
      <t xml:space="preserve">Firm Resale </t>
    </r>
    <r>
      <rPr>
        <vertAlign val="superscript"/>
        <sz val="8"/>
        <rFont val="Arial"/>
        <family val="2"/>
      </rPr>
      <t>[3]</t>
    </r>
  </si>
  <si>
    <t>Total Sales</t>
  </si>
  <si>
    <t>Large General Service: Demand &gt; 350 kW</t>
  </si>
  <si>
    <t>Irrigation &amp; Pumping Service: Demand &gt; 50 kW but &lt;= 350 kW</t>
  </si>
  <si>
    <t>Irrigation &amp; Pumping Service</t>
  </si>
  <si>
    <r>
      <t xml:space="preserve">Lighting </t>
    </r>
    <r>
      <rPr>
        <vertAlign val="superscript"/>
        <sz val="8"/>
        <rFont val="Arial"/>
        <family val="2"/>
      </rPr>
      <t>[1]</t>
    </r>
  </si>
  <si>
    <t>i = 
h - g</t>
  </si>
  <si>
    <t>j = 
i / g</t>
  </si>
  <si>
    <t>h = 
c | d * (f - e) + g</t>
  </si>
  <si>
    <t>Electric Sch 140 Rates</t>
  </si>
  <si>
    <t>7 (307) (317) (327)</t>
  </si>
  <si>
    <t>08 (24) (324)</t>
  </si>
  <si>
    <t>7A</t>
  </si>
  <si>
    <t>11 / 25</t>
  </si>
  <si>
    <t>12 (26) (26P)</t>
  </si>
  <si>
    <t>10 (31)</t>
  </si>
  <si>
    <t>448 - 459</t>
  </si>
  <si>
    <t>50 - 59</t>
  </si>
  <si>
    <t>Firm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</si>
</sst>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&quot;$&quot;#,##0.00000"/>
    <numFmt numFmtId="169" formatCode="&quot;$&quot;#,##0.000000"/>
    <numFmt numFmtId="170" formatCode="m/d/yy;@"/>
    <numFmt numFmtId="171" formatCode="_(&quot;$&quot;* #,##0.00000_);_(&quot;$&quot;* \(#,##0.00000\);_(&quot;$&quot;* &quot;-&quot;??_);_(@_)"/>
    <numFmt numFmtId="172" formatCode="#,##0\ &quot;kWh&quot;"/>
    <numFmt numFmtId="173" formatCode="_(* #,##0.000_);_(* \(#,##0.000\);_(* &quot;-&quot;??_);_(@_)"/>
    <numFmt numFmtId="174" formatCode="_(* #,##0.000000_);_(* \(#,##0.000000\);_(* &quot;-&quot;??_);_(@_)"/>
    <numFmt numFmtId="175" formatCode="_(* #,##0.00000000000000000_);_(* \(#,##0.000000000000000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008080"/>
      <name val="Arial"/>
      <family val="2"/>
    </font>
    <font>
      <sz val="8"/>
      <color rgb="FF008080"/>
      <name val="Arial"/>
      <family val="2"/>
    </font>
    <font>
      <b/>
      <sz val="8"/>
      <color rgb="FF0033CC"/>
      <name val="Arial"/>
      <family val="2"/>
    </font>
    <font>
      <b/>
      <vertAlign val="superscript"/>
      <sz val="8"/>
      <name val="Arial"/>
      <family val="2"/>
    </font>
    <font>
      <b/>
      <sz val="8"/>
      <color rgb="FF0000FF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u val="singleAccounting"/>
      <sz val="8"/>
      <name val="Arial"/>
      <family val="2"/>
    </font>
    <font>
      <u val="singleAccounting"/>
      <sz val="8"/>
      <name val="Arial"/>
      <family val="2"/>
    </font>
    <font>
      <vertAlign val="superscript"/>
      <sz val="8"/>
      <name val="Arial"/>
      <family val="2"/>
    </font>
    <font>
      <sz val="8"/>
      <color rgb="FF0033CC"/>
      <name val="Arial"/>
      <family val="2"/>
    </font>
    <font>
      <sz val="8"/>
      <color theme="0" tint="-0.499984740745262"/>
      <name val="Arial"/>
      <family val="2"/>
    </font>
    <font>
      <u val="singleAccounting"/>
      <sz val="8"/>
      <color rgb="FF008080"/>
      <name val="Arial"/>
      <family val="2"/>
    </font>
    <font>
      <u val="singleAccounting"/>
      <sz val="8"/>
      <color theme="1"/>
      <name val="Arial"/>
      <family val="2"/>
    </font>
    <font>
      <u val="singleAccounting"/>
      <sz val="8"/>
      <color rgb="FF0033CC"/>
      <name val="Arial"/>
      <family val="2"/>
    </font>
    <font>
      <sz val="8"/>
      <color theme="0" tint="-0.3499862666707357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320">
    <xf numFmtId="0" fontId="0" fillId="0" borderId="0" xfId="0"/>
    <xf numFmtId="164" fontId="3" fillId="0" borderId="0" xfId="0" applyNumberFormat="1" applyFont="1" applyFill="1"/>
    <xf numFmtId="0" fontId="5" fillId="0" borderId="0" xfId="0" applyFont="1" applyFill="1" applyBorder="1"/>
    <xf numFmtId="164" fontId="5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166" fontId="3" fillId="0" borderId="0" xfId="0" quotePrefix="1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164" fontId="4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6" fontId="3" fillId="0" borderId="2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quotePrefix="1" applyFont="1" applyFill="1" applyAlignment="1">
      <alignment horizontal="left" indent="1"/>
    </xf>
    <xf numFmtId="0" fontId="3" fillId="0" borderId="0" xfId="0" quotePrefix="1" applyFont="1" applyFill="1" applyAlignment="1">
      <alignment horizontal="left"/>
    </xf>
    <xf numFmtId="165" fontId="3" fillId="0" borderId="0" xfId="0" applyNumberFormat="1" applyFont="1" applyFill="1"/>
    <xf numFmtId="166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166" fontId="3" fillId="0" borderId="3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65" fontId="3" fillId="0" borderId="4" xfId="0" applyNumberFormat="1" applyFont="1" applyFill="1" applyBorder="1"/>
    <xf numFmtId="10" fontId="3" fillId="0" borderId="4" xfId="0" applyNumberFormat="1" applyFont="1" applyFill="1" applyBorder="1" applyAlignment="1">
      <alignment horizontal="right"/>
    </xf>
    <xf numFmtId="166" fontId="3" fillId="0" borderId="4" xfId="0" applyNumberFormat="1" applyFont="1" applyFill="1" applyBorder="1"/>
    <xf numFmtId="4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Fill="1" applyAlignment="1">
      <alignment horizontal="center" wrapText="1"/>
    </xf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5" fillId="0" borderId="0" xfId="0" applyNumberFormat="1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164" fontId="3" fillId="0" borderId="0" xfId="0" quotePrefix="1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8" fontId="5" fillId="0" borderId="0" xfId="0" applyNumberFormat="1" applyFont="1" applyFill="1" applyBorder="1"/>
    <xf numFmtId="9" fontId="5" fillId="0" borderId="0" xfId="0" applyNumberFormat="1" applyFont="1" applyFill="1"/>
    <xf numFmtId="165" fontId="3" fillId="0" borderId="0" xfId="0" applyNumberFormat="1" applyFont="1" applyFill="1"/>
    <xf numFmtId="165" fontId="3" fillId="0" borderId="5" xfId="0" quotePrefix="1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Continuous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/>
    <xf numFmtId="0" fontId="2" fillId="0" borderId="1" xfId="0" quotePrefix="1" applyFont="1" applyFill="1" applyBorder="1" applyAlignment="1">
      <alignment horizontal="centerContinuous" wrapText="1"/>
    </xf>
    <xf numFmtId="166" fontId="5" fillId="0" borderId="0" xfId="0" applyNumberFormat="1" applyFont="1" applyFill="1" applyBorder="1"/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/>
    <xf numFmtId="164" fontId="3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0" fontId="3" fillId="0" borderId="2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0" xfId="0" quotePrefix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center" wrapText="1"/>
    </xf>
    <xf numFmtId="14" fontId="7" fillId="0" borderId="2" xfId="0" quotePrefix="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4" fontId="15" fillId="0" borderId="1" xfId="0" quotePrefix="1" applyNumberFormat="1" applyFont="1" applyFill="1" applyBorder="1" applyAlignment="1">
      <alignment horizontal="centerContinuous" vertical="center"/>
    </xf>
    <xf numFmtId="44" fontId="15" fillId="0" borderId="0" xfId="0" quotePrefix="1" applyNumberFormat="1" applyFont="1" applyFill="1" applyAlignment="1">
      <alignment horizontal="centerContinuous" vertical="center"/>
    </xf>
    <xf numFmtId="44" fontId="16" fillId="0" borderId="0" xfId="0" quotePrefix="1" applyNumberFormat="1" applyFont="1" applyBorder="1" applyAlignment="1">
      <alignment horizontal="centerContinuous" vertical="center"/>
    </xf>
    <xf numFmtId="44" fontId="16" fillId="0" borderId="0" xfId="0" quotePrefix="1" applyNumberFormat="1" applyFont="1" applyBorder="1" applyAlignment="1">
      <alignment horizontal="centerContinuous"/>
    </xf>
    <xf numFmtId="44" fontId="16" fillId="0" borderId="0" xfId="0" applyNumberFormat="1" applyFont="1" applyFill="1" applyBorder="1" applyAlignment="1">
      <alignment horizontal="centerContinuous"/>
    </xf>
    <xf numFmtId="44" fontId="16" fillId="0" borderId="0" xfId="0" applyNumberFormat="1" applyFont="1" applyFill="1" applyBorder="1" applyAlignment="1">
      <alignment horizontal="center" wrapText="1"/>
    </xf>
    <xf numFmtId="44" fontId="16" fillId="0" borderId="0" xfId="0" applyNumberFormat="1" applyFont="1" applyFill="1" applyBorder="1" applyAlignment="1">
      <alignment horizontal="center"/>
    </xf>
    <xf numFmtId="44" fontId="9" fillId="0" borderId="0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/>
    <xf numFmtId="10" fontId="3" fillId="0" borderId="0" xfId="0" applyNumberFormat="1" applyFont="1" applyFill="1" applyBorder="1"/>
    <xf numFmtId="164" fontId="2" fillId="0" borderId="1" xfId="0" quotePrefix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Continuous" vertical="center"/>
    </xf>
    <xf numFmtId="164" fontId="3" fillId="0" borderId="1" xfId="0" applyNumberFormat="1" applyFont="1" applyFill="1" applyBorder="1" applyAlignment="1">
      <alignment horizontal="centerContinuous" vertical="center"/>
    </xf>
    <xf numFmtId="44" fontId="3" fillId="0" borderId="0" xfId="0" applyNumberFormat="1" applyFont="1" applyFill="1" applyBorder="1"/>
    <xf numFmtId="43" fontId="3" fillId="0" borderId="0" xfId="0" quotePrefix="1" applyNumberFormat="1" applyFont="1" applyFill="1" applyBorder="1" applyAlignment="1"/>
    <xf numFmtId="0" fontId="2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wrapText="1"/>
    </xf>
    <xf numFmtId="0" fontId="2" fillId="0" borderId="0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" wrapText="1"/>
    </xf>
    <xf numFmtId="44" fontId="16" fillId="0" borderId="0" xfId="0" quotePrefix="1" applyNumberFormat="1" applyFont="1" applyAlignment="1">
      <alignment horizontal="left"/>
    </xf>
    <xf numFmtId="170" fontId="12" fillId="0" borderId="0" xfId="0" quotePrefix="1" applyNumberFormat="1" applyFont="1" applyAlignment="1">
      <alignment horizontal="center"/>
    </xf>
    <xf numFmtId="0" fontId="14" fillId="0" borderId="0" xfId="0" applyFont="1"/>
    <xf numFmtId="44" fontId="16" fillId="0" borderId="0" xfId="0" applyNumberFormat="1" applyFont="1"/>
    <xf numFmtId="0" fontId="12" fillId="0" borderId="0" xfId="0" applyFont="1" applyAlignment="1">
      <alignment horizontal="center"/>
    </xf>
    <xf numFmtId="170" fontId="1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quotePrefix="1" applyFont="1" applyFill="1" applyBorder="1" applyAlignment="1">
      <alignment horizontal="centerContinuous" vertical="center" wrapText="1"/>
    </xf>
    <xf numFmtId="0" fontId="3" fillId="0" borderId="3" xfId="0" applyFont="1" applyFill="1" applyBorder="1" applyAlignment="1">
      <alignment horizontal="centerContinuous" vertical="center"/>
    </xf>
    <xf numFmtId="0" fontId="3" fillId="0" borderId="3" xfId="0" quotePrefix="1" applyFont="1" applyFill="1" applyBorder="1" applyAlignment="1">
      <alignment horizontal="centerContinuous" vertical="center" wrapText="1"/>
    </xf>
    <xf numFmtId="165" fontId="3" fillId="0" borderId="2" xfId="0" quotePrefix="1" applyNumberFormat="1" applyFont="1" applyFill="1" applyBorder="1" applyAlignment="1">
      <alignment horizontal="left"/>
    </xf>
    <xf numFmtId="10" fontId="3" fillId="0" borderId="2" xfId="0" quotePrefix="1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Fill="1" applyBorder="1" applyAlignment="1">
      <alignment horizontal="left"/>
    </xf>
    <xf numFmtId="166" fontId="3" fillId="0" borderId="0" xfId="0" quotePrefix="1" applyNumberFormat="1" applyFont="1" applyFill="1" applyBorder="1" applyAlignment="1">
      <alignment horizontal="left"/>
    </xf>
    <xf numFmtId="10" fontId="3" fillId="0" borderId="0" xfId="0" quotePrefix="1" applyNumberFormat="1" applyFont="1" applyFill="1" applyBorder="1" applyAlignment="1">
      <alignment horizontal="center"/>
    </xf>
    <xf numFmtId="172" fontId="3" fillId="0" borderId="0" xfId="0" quotePrefix="1" applyNumberFormat="1" applyFont="1" applyFill="1" applyBorder="1" applyAlignment="1">
      <alignment horizontal="center"/>
    </xf>
    <xf numFmtId="172" fontId="3" fillId="0" borderId="2" xfId="0" quotePrefix="1" applyNumberFormat="1" applyFont="1" applyFill="1" applyBorder="1" applyAlignment="1">
      <alignment horizontal="center"/>
    </xf>
    <xf numFmtId="172" fontId="3" fillId="0" borderId="0" xfId="0" quotePrefix="1" applyNumberFormat="1" applyFont="1" applyFill="1" applyAlignment="1">
      <alignment horizontal="center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quotePrefix="1" applyNumberFormat="1" applyFont="1" applyFill="1" applyBorder="1" applyAlignment="1">
      <alignment horizontal="left"/>
    </xf>
    <xf numFmtId="43" fontId="4" fillId="0" borderId="0" xfId="0" applyNumberFormat="1" applyFont="1" applyFill="1"/>
    <xf numFmtId="0" fontId="3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165" fontId="5" fillId="0" borderId="0" xfId="0" applyNumberFormat="1" applyFont="1" applyFill="1" applyAlignment="1">
      <alignment horizontal="center" vertical="center" wrapText="1"/>
    </xf>
    <xf numFmtId="164" fontId="3" fillId="0" borderId="0" xfId="0" quotePrefix="1" applyNumberFormat="1" applyFont="1" applyFill="1" applyAlignment="1">
      <alignment horizontal="center"/>
    </xf>
    <xf numFmtId="164" fontId="3" fillId="0" borderId="2" xfId="0" quotePrefix="1" applyNumberFormat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3" fillId="0" borderId="3" xfId="0" quotePrefix="1" applyNumberFormat="1" applyFont="1" applyFill="1" applyBorder="1" applyAlignment="1">
      <alignment horizontal="center"/>
    </xf>
    <xf numFmtId="44" fontId="9" fillId="0" borderId="0" xfId="0" quotePrefix="1" applyNumberFormat="1" applyFont="1" applyFill="1" applyBorder="1" applyAlignment="1">
      <alignment horizontal="right" wrapText="1"/>
    </xf>
    <xf numFmtId="44" fontId="9" fillId="0" borderId="0" xfId="0" quotePrefix="1" applyNumberFormat="1" applyFont="1" applyFill="1" applyBorder="1" applyAlignment="1">
      <alignment horizontal="center" wrapText="1"/>
    </xf>
    <xf numFmtId="44" fontId="9" fillId="0" borderId="0" xfId="0" applyNumberFormat="1" applyFont="1" applyFill="1" applyBorder="1" applyAlignment="1">
      <alignment horizontal="center"/>
    </xf>
    <xf numFmtId="44" fontId="9" fillId="0" borderId="0" xfId="0" applyNumberFormat="1" applyFont="1" applyFill="1" applyBorder="1"/>
    <xf numFmtId="166" fontId="9" fillId="0" borderId="0" xfId="0" quotePrefix="1" applyNumberFormat="1" applyFont="1" applyFill="1" applyBorder="1" applyAlignment="1">
      <alignment horizontal="right" wrapText="1"/>
    </xf>
    <xf numFmtId="171" fontId="9" fillId="0" borderId="0" xfId="0" quotePrefix="1" applyNumberFormat="1" applyFont="1" applyFill="1" applyBorder="1" applyAlignment="1">
      <alignment horizontal="right" wrapText="1"/>
    </xf>
    <xf numFmtId="164" fontId="9" fillId="0" borderId="2" xfId="0" quotePrefix="1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164" fontId="9" fillId="0" borderId="2" xfId="0" applyNumberFormat="1" applyFont="1" applyFill="1" applyBorder="1"/>
    <xf numFmtId="166" fontId="9" fillId="0" borderId="2" xfId="0" quotePrefix="1" applyNumberFormat="1" applyFont="1" applyFill="1" applyBorder="1" applyAlignment="1">
      <alignment horizontal="left"/>
    </xf>
    <xf numFmtId="166" fontId="9" fillId="0" borderId="0" xfId="0" quotePrefix="1" applyNumberFormat="1" applyFont="1" applyFill="1" applyAlignment="1">
      <alignment horizontal="left"/>
    </xf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0" fontId="3" fillId="0" borderId="0" xfId="0" quotePrefix="1" applyFont="1" applyBorder="1" applyAlignment="1">
      <alignment horizontal="left"/>
    </xf>
    <xf numFmtId="10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/>
    <xf numFmtId="0" fontId="3" fillId="0" borderId="0" xfId="0" applyFont="1" applyAlignment="1">
      <alignment horizontal="left" vertical="center"/>
    </xf>
    <xf numFmtId="44" fontId="9" fillId="0" borderId="0" xfId="0" applyNumberFormat="1" applyFont="1" applyBorder="1"/>
    <xf numFmtId="0" fontId="3" fillId="0" borderId="0" xfId="0" quotePrefix="1" applyFont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166" fontId="9" fillId="0" borderId="3" xfId="0" applyNumberFormat="1" applyFont="1" applyBorder="1"/>
    <xf numFmtId="166" fontId="9" fillId="0" borderId="0" xfId="0" applyNumberFormat="1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166" fontId="9" fillId="0" borderId="2" xfId="0" applyNumberFormat="1" applyFont="1" applyBorder="1"/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Continuous" vertical="center"/>
    </xf>
    <xf numFmtId="166" fontId="9" fillId="0" borderId="0" xfId="0" applyNumberFormat="1" applyFont="1" applyBorder="1"/>
    <xf numFmtId="44" fontId="5" fillId="0" borderId="0" xfId="0" applyNumberFormat="1" applyFont="1" applyFill="1"/>
    <xf numFmtId="164" fontId="2" fillId="0" borderId="1" xfId="0" quotePrefix="1" applyNumberFormat="1" applyFont="1" applyFill="1" applyBorder="1" applyAlignment="1">
      <alignment horizontal="centerContinuous" wrapText="1"/>
    </xf>
    <xf numFmtId="164" fontId="3" fillId="0" borderId="0" xfId="0" applyNumberFormat="1" applyFont="1" applyFill="1" applyBorder="1" applyAlignment="1">
      <alignment horizontal="centerContinuous"/>
    </xf>
    <xf numFmtId="165" fontId="9" fillId="0" borderId="2" xfId="0" applyNumberFormat="1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/>
    </xf>
    <xf numFmtId="165" fontId="3" fillId="0" borderId="2" xfId="0" applyNumberFormat="1" applyFont="1" applyFill="1" applyBorder="1" applyAlignment="1">
      <alignment horizontal="centerContinuous"/>
    </xf>
    <xf numFmtId="165" fontId="3" fillId="0" borderId="3" xfId="0" applyNumberFormat="1" applyFont="1" applyFill="1" applyBorder="1" applyAlignment="1">
      <alignment horizontal="centerContinuous"/>
    </xf>
    <xf numFmtId="44" fontId="16" fillId="0" borderId="0" xfId="0" quotePrefix="1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Continuous" vertical="top" wrapText="1"/>
    </xf>
    <xf numFmtId="166" fontId="9" fillId="0" borderId="2" xfId="0" quotePrefix="1" applyNumberFormat="1" applyFont="1" applyFill="1" applyBorder="1" applyAlignment="1">
      <alignment horizontal="centerContinuous"/>
    </xf>
    <xf numFmtId="166" fontId="3" fillId="0" borderId="0" xfId="0" quotePrefix="1" applyNumberFormat="1" applyFont="1" applyFill="1" applyBorder="1" applyAlignment="1">
      <alignment horizontal="centerContinuous"/>
    </xf>
    <xf numFmtId="166" fontId="3" fillId="0" borderId="0" xfId="0" applyNumberFormat="1" applyFont="1" applyFill="1" applyBorder="1" applyAlignment="1">
      <alignment horizontal="centerContinuous"/>
    </xf>
    <xf numFmtId="166" fontId="9" fillId="0" borderId="0" xfId="0" quotePrefix="1" applyNumberFormat="1" applyFont="1" applyFill="1" applyAlignment="1">
      <alignment horizontal="centerContinuous"/>
    </xf>
    <xf numFmtId="166" fontId="3" fillId="0" borderId="2" xfId="0" applyNumberFormat="1" applyFont="1" applyFill="1" applyBorder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166" fontId="9" fillId="0" borderId="2" xfId="0" applyNumberFormat="1" applyFont="1" applyFill="1" applyBorder="1" applyAlignment="1">
      <alignment horizontal="centerContinuous"/>
    </xf>
    <xf numFmtId="166" fontId="9" fillId="0" borderId="0" xfId="0" applyNumberFormat="1" applyFont="1" applyFill="1" applyBorder="1" applyAlignment="1">
      <alignment horizontal="centerContinuous"/>
    </xf>
    <xf numFmtId="166" fontId="3" fillId="0" borderId="3" xfId="0" applyNumberFormat="1" applyFont="1" applyFill="1" applyBorder="1" applyAlignment="1">
      <alignment horizontal="centerContinuous"/>
    </xf>
    <xf numFmtId="164" fontId="4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/>
    <xf numFmtId="0" fontId="1" fillId="0" borderId="0" xfId="0" applyFont="1"/>
    <xf numFmtId="166" fontId="3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9" fillId="0" borderId="0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44" fontId="19" fillId="0" borderId="2" xfId="0" applyNumberFormat="1" applyFont="1" applyBorder="1"/>
    <xf numFmtId="10" fontId="19" fillId="0" borderId="2" xfId="0" applyNumberFormat="1" applyFont="1" applyBorder="1" applyAlignment="1">
      <alignment horizontal="right"/>
    </xf>
    <xf numFmtId="44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 vertical="center" indent="1"/>
    </xf>
    <xf numFmtId="0" fontId="19" fillId="0" borderId="0" xfId="0" quotePrefix="1" applyFont="1" applyAlignment="1">
      <alignment horizontal="left"/>
    </xf>
    <xf numFmtId="0" fontId="19" fillId="0" borderId="0" xfId="0" quotePrefix="1" applyFont="1" applyBorder="1" applyAlignment="1">
      <alignment horizontal="center"/>
    </xf>
    <xf numFmtId="0" fontId="19" fillId="0" borderId="0" xfId="0" applyFont="1" applyAlignment="1">
      <alignment horizontal="left"/>
    </xf>
    <xf numFmtId="166" fontId="19" fillId="0" borderId="0" xfId="0" applyNumberFormat="1" applyFont="1" applyBorder="1"/>
    <xf numFmtId="0" fontId="19" fillId="0" borderId="0" xfId="0" quotePrefix="1" applyFont="1" applyBorder="1" applyAlignment="1">
      <alignment horizontal="left"/>
    </xf>
    <xf numFmtId="166" fontId="19" fillId="0" borderId="3" xfId="0" applyNumberFormat="1" applyFont="1" applyBorder="1"/>
    <xf numFmtId="164" fontId="19" fillId="0" borderId="3" xfId="0" applyNumberFormat="1" applyFont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/>
    <xf numFmtId="164" fontId="9" fillId="0" borderId="2" xfId="0" applyNumberFormat="1" applyFont="1" applyFill="1" applyBorder="1" applyAlignment="1">
      <alignment horizontal="center"/>
    </xf>
    <xf numFmtId="165" fontId="9" fillId="0" borderId="0" xfId="0" quotePrefix="1" applyNumberFormat="1" applyFont="1" applyFill="1" applyAlignment="1">
      <alignment horizontal="left"/>
    </xf>
    <xf numFmtId="165" fontId="9" fillId="0" borderId="0" xfId="0" applyNumberFormat="1" applyFont="1" applyFill="1" applyBorder="1"/>
    <xf numFmtId="165" fontId="9" fillId="0" borderId="2" xfId="0" applyNumberFormat="1" applyFont="1" applyFill="1" applyBorder="1"/>
    <xf numFmtId="164" fontId="9" fillId="0" borderId="0" xfId="0" quotePrefix="1" applyNumberFormat="1" applyFont="1" applyFill="1" applyBorder="1" applyAlignment="1">
      <alignment horizontal="center"/>
    </xf>
    <xf numFmtId="164" fontId="9" fillId="0" borderId="0" xfId="0" quotePrefix="1" applyNumberFormat="1" applyFont="1" applyFill="1" applyAlignment="1">
      <alignment horizontal="center"/>
    </xf>
    <xf numFmtId="164" fontId="9" fillId="0" borderId="2" xfId="0" quotePrefix="1" applyNumberFormat="1" applyFont="1" applyFill="1" applyBorder="1" applyAlignment="1">
      <alignment horizontal="center"/>
    </xf>
    <xf numFmtId="44" fontId="2" fillId="0" borderId="1" xfId="0" quotePrefix="1" applyNumberFormat="1" applyFont="1" applyFill="1" applyBorder="1" applyAlignment="1">
      <alignment horizontal="centerContinuous" vertical="center"/>
    </xf>
    <xf numFmtId="166" fontId="3" fillId="0" borderId="0" xfId="0" applyNumberFormat="1" applyFont="1"/>
    <xf numFmtId="166" fontId="3" fillId="0" borderId="0" xfId="0" applyNumberFormat="1" applyFont="1"/>
    <xf numFmtId="174" fontId="4" fillId="0" borderId="0" xfId="0" applyNumberFormat="1" applyFont="1"/>
    <xf numFmtId="166" fontId="9" fillId="0" borderId="0" xfId="0" applyNumberFormat="1" applyFont="1"/>
    <xf numFmtId="166" fontId="9" fillId="0" borderId="0" xfId="0" applyNumberFormat="1" applyFont="1" applyFill="1"/>
    <xf numFmtId="175" fontId="4" fillId="0" borderId="0" xfId="0" applyNumberFormat="1" applyFont="1"/>
    <xf numFmtId="175" fontId="3" fillId="0" borderId="0" xfId="0" applyNumberFormat="1" applyFont="1"/>
    <xf numFmtId="174" fontId="3" fillId="0" borderId="0" xfId="0" applyNumberFormat="1" applyFont="1"/>
    <xf numFmtId="166" fontId="9" fillId="0" borderId="2" xfId="0" applyNumberFormat="1" applyFont="1" applyFill="1" applyBorder="1"/>
    <xf numFmtId="0" fontId="18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9" fillId="0" borderId="0" xfId="0" applyFont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3" fillId="0" borderId="0" xfId="0" applyFont="1" applyAlignment="1">
      <alignment horizontal="centerContinuous" vertical="center" wrapText="1"/>
    </xf>
    <xf numFmtId="14" fontId="9" fillId="0" borderId="2" xfId="0" quotePrefix="1" applyNumberFormat="1" applyFont="1" applyBorder="1" applyAlignment="1">
      <alignment horizontal="center" wrapText="1"/>
    </xf>
    <xf numFmtId="0" fontId="9" fillId="0" borderId="1" xfId="0" quotePrefix="1" applyFont="1" applyBorder="1" applyAlignment="1">
      <alignment horizontal="center" wrapText="1"/>
    </xf>
    <xf numFmtId="166" fontId="18" fillId="0" borderId="0" xfId="0" applyNumberFormat="1" applyFont="1" applyBorder="1"/>
    <xf numFmtId="44" fontId="9" fillId="0" borderId="0" xfId="0" applyNumberFormat="1" applyFont="1" applyFill="1"/>
    <xf numFmtId="164" fontId="9" fillId="0" borderId="0" xfId="0" applyNumberFormat="1" applyFont="1" applyFill="1"/>
    <xf numFmtId="165" fontId="9" fillId="0" borderId="0" xfId="0" applyNumberFormat="1" applyFont="1" applyFill="1"/>
    <xf numFmtId="44" fontId="15" fillId="0" borderId="0" xfId="0" applyNumberFormat="1" applyFont="1" applyFill="1" applyBorder="1"/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41" fontId="20" fillId="0" borderId="0" xfId="0" applyNumberFormat="1" applyFont="1" applyFill="1"/>
    <xf numFmtId="41" fontId="4" fillId="2" borderId="0" xfId="0" applyNumberFormat="1" applyFont="1" applyFill="1"/>
    <xf numFmtId="0" fontId="4" fillId="0" borderId="0" xfId="0" applyFont="1" applyFill="1" applyBorder="1" applyAlignment="1">
      <alignment horizontal="right"/>
    </xf>
    <xf numFmtId="173" fontId="22" fillId="0" borderId="0" xfId="0" applyNumberFormat="1" applyFont="1" applyFill="1" applyBorder="1"/>
    <xf numFmtId="44" fontId="5" fillId="0" borderId="0" xfId="0" applyNumberFormat="1" applyFont="1" applyAlignment="1">
      <alignment horizontal="right"/>
    </xf>
    <xf numFmtId="44" fontId="21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165" fontId="9" fillId="0" borderId="5" xfId="0" quotePrefix="1" applyNumberFormat="1" applyFont="1" applyFill="1" applyBorder="1" applyAlignment="1">
      <alignment horizontal="left"/>
    </xf>
    <xf numFmtId="166" fontId="3" fillId="0" borderId="2" xfId="0" applyNumberFormat="1" applyFont="1" applyBorder="1"/>
    <xf numFmtId="166" fontId="23" fillId="0" borderId="0" xfId="0" applyNumberFormat="1" applyFont="1" applyBorder="1"/>
    <xf numFmtId="10" fontId="23" fillId="0" borderId="0" xfId="0" applyNumberFormat="1" applyFont="1" applyBorder="1" applyAlignment="1">
      <alignment horizontal="right"/>
    </xf>
    <xf numFmtId="44" fontId="3" fillId="0" borderId="0" xfId="1" quotePrefix="1" applyFont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0" fontId="18" fillId="0" borderId="0" xfId="0" quotePrefix="1" applyFont="1" applyFill="1" applyBorder="1" applyAlignment="1">
      <alignment horizontal="right" vertical="center"/>
    </xf>
    <xf numFmtId="166" fontId="9" fillId="0" borderId="0" xfId="0" applyNumberFormat="1" applyFont="1" applyBorder="1" applyAlignment="1">
      <alignment horizontal="right"/>
    </xf>
    <xf numFmtId="44" fontId="16" fillId="0" borderId="0" xfId="0" applyNumberFormat="1" applyFont="1" applyFill="1" applyBorder="1" applyAlignment="1">
      <alignment horizontal="centerContinuous" wrapText="1"/>
    </xf>
    <xf numFmtId="44" fontId="3" fillId="0" borderId="0" xfId="0" applyNumberFormat="1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164" fontId="3" fillId="0" borderId="2" xfId="0" quotePrefix="1" applyNumberFormat="1" applyFont="1" applyFill="1" applyBorder="1" applyAlignment="1">
      <alignment horizontal="centerContinuous" vertical="center" wrapText="1"/>
    </xf>
    <xf numFmtId="165" fontId="3" fillId="0" borderId="3" xfId="1" applyNumberFormat="1" applyFont="1" applyFill="1" applyBorder="1"/>
    <xf numFmtId="0" fontId="3" fillId="0" borderId="3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Continuous" vertical="center"/>
    </xf>
    <xf numFmtId="44" fontId="3" fillId="0" borderId="0" xfId="1" applyFont="1" applyFill="1" applyAlignment="1">
      <alignment horizontal="left" indent="1"/>
    </xf>
    <xf numFmtId="44" fontId="16" fillId="0" borderId="0" xfId="1" applyFont="1" applyFill="1" applyAlignment="1">
      <alignment horizontal="left" indent="1"/>
    </xf>
    <xf numFmtId="44" fontId="3" fillId="0" borderId="0" xfId="1" applyFont="1" applyAlignment="1">
      <alignment horizontal="left" vertical="center" indent="1"/>
    </xf>
    <xf numFmtId="44" fontId="3" fillId="0" borderId="0" xfId="1" quotePrefix="1" applyFont="1" applyFill="1" applyAlignment="1">
      <alignment horizontal="left" indent="1"/>
    </xf>
    <xf numFmtId="44" fontId="3" fillId="0" borderId="0" xfId="1" quotePrefix="1" applyFont="1" applyFill="1" applyBorder="1" applyAlignment="1">
      <alignment horizontal="left" indent="1"/>
    </xf>
    <xf numFmtId="44" fontId="16" fillId="0" borderId="0" xfId="1" quotePrefix="1" applyFont="1" applyFill="1" applyBorder="1" applyAlignment="1">
      <alignment horizontal="left" indent="1"/>
    </xf>
    <xf numFmtId="44" fontId="3" fillId="0" borderId="0" xfId="1" quotePrefix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171" fontId="9" fillId="0" borderId="0" xfId="0" applyNumberFormat="1" applyFont="1" applyFill="1"/>
    <xf numFmtId="171" fontId="5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80"/>
      <color rgb="FF00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2" x14ac:dyDescent="0.25"/>
  <cols>
    <col min="1" max="16384" width="8.88671875" style="220"/>
  </cols>
  <sheetData>
    <row r="1" spans="1:1" x14ac:dyDescent="0.25">
      <c r="A1" s="2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:M74"/>
  <sheetViews>
    <sheetView zoomScaleNormal="100" workbookViewId="0">
      <pane ySplit="9" topLeftCell="A10" activePane="bottomLeft" state="frozen"/>
      <selection pane="bottomLeft"/>
    </sheetView>
  </sheetViews>
  <sheetFormatPr defaultColWidth="6.44140625" defaultRowHeight="10.199999999999999" x14ac:dyDescent="0.2"/>
  <cols>
    <col min="1" max="1" width="6.109375" style="85" bestFit="1" customWidth="1"/>
    <col min="2" max="2" width="24.44140625" style="85" customWidth="1"/>
    <col min="3" max="3" width="13.77734375" style="85" customWidth="1"/>
    <col min="4" max="5" width="12.109375" style="85" customWidth="1"/>
    <col min="6" max="6" width="8.21875" style="85" customWidth="1"/>
    <col min="7" max="7" width="0.88671875" style="4" customWidth="1"/>
    <col min="8" max="9" width="10.6640625" style="85" customWidth="1"/>
    <col min="10" max="10" width="0.88671875" style="85" customWidth="1"/>
    <col min="11" max="11" width="17.109375" style="85" bestFit="1" customWidth="1"/>
    <col min="12" max="12" width="0.88671875" style="85" customWidth="1"/>
    <col min="13" max="16384" width="6.44140625" style="85"/>
  </cols>
  <sheetData>
    <row r="1" spans="1:13" x14ac:dyDescent="0.2">
      <c r="A1" s="107" t="s">
        <v>124</v>
      </c>
      <c r="B1" s="107"/>
      <c r="C1" s="107"/>
      <c r="D1" s="107"/>
      <c r="E1" s="107"/>
      <c r="F1" s="107"/>
    </row>
    <row r="2" spans="1:13" x14ac:dyDescent="0.2">
      <c r="A2" s="194" t="s">
        <v>228</v>
      </c>
      <c r="B2" s="107"/>
      <c r="C2" s="107"/>
      <c r="D2" s="107"/>
      <c r="E2" s="107"/>
      <c r="F2" s="107"/>
    </row>
    <row r="3" spans="1:13" x14ac:dyDescent="0.2">
      <c r="A3" s="106"/>
      <c r="B3" s="106"/>
      <c r="C3" s="105"/>
      <c r="D3" s="105"/>
      <c r="E3" s="105"/>
      <c r="F3" s="105"/>
    </row>
    <row r="4" spans="1:13" s="104" customFormat="1" x14ac:dyDescent="0.2">
      <c r="A4" s="105"/>
      <c r="B4" s="105"/>
      <c r="C4" s="105"/>
      <c r="D4" s="105"/>
      <c r="E4" s="105"/>
      <c r="F4" s="105"/>
      <c r="G4" s="225"/>
    </row>
    <row r="5" spans="1:13" x14ac:dyDescent="0.2">
      <c r="A5" s="103"/>
      <c r="B5" s="103"/>
      <c r="C5" s="102"/>
      <c r="D5" s="102"/>
      <c r="E5" s="102"/>
      <c r="F5" s="102"/>
      <c r="H5" s="276"/>
      <c r="I5" s="276"/>
      <c r="J5" s="276"/>
      <c r="K5" s="276"/>
    </row>
    <row r="6" spans="1:13" x14ac:dyDescent="0.2">
      <c r="A6" s="103"/>
      <c r="B6" s="103"/>
      <c r="C6" s="102"/>
      <c r="D6" s="102"/>
      <c r="E6" s="102"/>
      <c r="F6" s="102"/>
      <c r="H6" s="276"/>
      <c r="I6" s="276"/>
      <c r="J6" s="276"/>
      <c r="K6" s="276"/>
    </row>
    <row r="7" spans="1:13" s="92" customFormat="1" ht="30.6" x14ac:dyDescent="0.2">
      <c r="A7" s="101" t="s">
        <v>0</v>
      </c>
      <c r="B7" s="101" t="s">
        <v>1</v>
      </c>
      <c r="C7" s="101" t="s">
        <v>158</v>
      </c>
      <c r="D7" s="95" t="s">
        <v>123</v>
      </c>
      <c r="E7" s="95" t="s">
        <v>170</v>
      </c>
      <c r="F7" s="95" t="s">
        <v>122</v>
      </c>
      <c r="H7" s="278" t="str">
        <f>'Rate Spread &amp; Design'!N7</f>
        <v>Proposed
Base (140A)
Rate</v>
      </c>
      <c r="I7" s="278" t="str">
        <f>'Rate Spread &amp; Design'!P7</f>
        <v>Proposed
Deferral (140B)
Rate</v>
      </c>
      <c r="K7" s="95" t="s">
        <v>84</v>
      </c>
      <c r="L7" s="93"/>
    </row>
    <row r="8" spans="1:13" s="92" customFormat="1" x14ac:dyDescent="0.2">
      <c r="A8" s="100"/>
      <c r="B8" s="100"/>
      <c r="C8" s="100"/>
      <c r="D8" s="99">
        <v>45047</v>
      </c>
      <c r="E8" s="99">
        <v>45413</v>
      </c>
      <c r="F8" s="98"/>
      <c r="H8" s="277">
        <f>E8</f>
        <v>45413</v>
      </c>
      <c r="I8" s="277">
        <f>H8</f>
        <v>45413</v>
      </c>
      <c r="K8" s="98"/>
      <c r="L8" s="93"/>
    </row>
    <row r="9" spans="1:13" s="92" customFormat="1" x14ac:dyDescent="0.2">
      <c r="A9" s="97"/>
      <c r="B9" s="96" t="s">
        <v>121</v>
      </c>
      <c r="C9" s="95" t="s">
        <v>127</v>
      </c>
      <c r="D9" s="95" t="s">
        <v>128</v>
      </c>
      <c r="E9" s="95" t="s">
        <v>129</v>
      </c>
      <c r="F9" s="95" t="s">
        <v>157</v>
      </c>
      <c r="H9" s="95" t="s">
        <v>164</v>
      </c>
      <c r="I9" s="95" t="s">
        <v>171</v>
      </c>
      <c r="K9" s="95" t="s">
        <v>172</v>
      </c>
      <c r="L9" s="93"/>
    </row>
    <row r="10" spans="1:13" s="92" customFormat="1" x14ac:dyDescent="0.2">
      <c r="A10" s="94">
        <v>1</v>
      </c>
      <c r="B10" s="90" t="s">
        <v>120</v>
      </c>
      <c r="C10" s="90"/>
      <c r="D10" s="93"/>
      <c r="E10" s="93"/>
      <c r="F10" s="93"/>
      <c r="K10" s="4"/>
      <c r="L10" s="4"/>
    </row>
    <row r="11" spans="1:13" x14ac:dyDescent="0.2">
      <c r="A11" s="88">
        <f t="shared" ref="A11:A42" si="0">+A10+1</f>
        <v>2</v>
      </c>
      <c r="B11" s="226" t="s">
        <v>4</v>
      </c>
      <c r="C11" s="273" t="s">
        <v>229</v>
      </c>
      <c r="D11" s="192">
        <f>'Rate Impacts'!I10</f>
        <v>2.6120000000000002E-3</v>
      </c>
      <c r="E11" s="294">
        <f>SUM(H11:I11)</f>
        <v>1.598E-3</v>
      </c>
      <c r="F11" s="89">
        <f>IFERROR(E11/D11-1, "na")</f>
        <v>-0.38820826952526799</v>
      </c>
      <c r="H11" s="270">
        <f>ROUND('Rate Spread &amp; Design'!N10,6)</f>
        <v>2.1789999999999999E-3</v>
      </c>
      <c r="I11" s="270">
        <f>ROUND('Rate Spread &amp; Design'!P10,6)</f>
        <v>-5.8100000000000003E-4</v>
      </c>
      <c r="J11" s="266"/>
      <c r="K11" s="271" t="s">
        <v>85</v>
      </c>
      <c r="L11" s="245"/>
      <c r="M11" s="267">
        <f>SUM(H11:I11)-E11</f>
        <v>0</v>
      </c>
    </row>
    <row r="12" spans="1:13" x14ac:dyDescent="0.2">
      <c r="A12" s="88">
        <f t="shared" si="0"/>
        <v>3</v>
      </c>
      <c r="B12" s="226"/>
      <c r="C12" s="273"/>
      <c r="D12" s="189"/>
      <c r="E12" s="182"/>
      <c r="F12" s="181"/>
      <c r="K12" s="245"/>
      <c r="L12" s="245"/>
      <c r="M12" s="268"/>
    </row>
    <row r="13" spans="1:13" x14ac:dyDescent="0.2">
      <c r="A13" s="88">
        <f t="shared" si="0"/>
        <v>4</v>
      </c>
      <c r="B13" s="226" t="s">
        <v>5</v>
      </c>
      <c r="C13" s="273"/>
      <c r="D13" s="189"/>
      <c r="E13" s="182"/>
      <c r="F13" s="181"/>
      <c r="K13" s="245"/>
      <c r="L13" s="245"/>
      <c r="M13" s="268"/>
    </row>
    <row r="14" spans="1:13" x14ac:dyDescent="0.2">
      <c r="A14" s="88">
        <f t="shared" si="0"/>
        <v>5</v>
      </c>
      <c r="B14" s="227" t="s">
        <v>6</v>
      </c>
      <c r="C14" s="273" t="s">
        <v>230</v>
      </c>
      <c r="D14" s="189">
        <f>'Rate Impacts'!I13</f>
        <v>2.0930000000000002E-3</v>
      </c>
      <c r="E14" s="182">
        <f>SUM(H14:I14)</f>
        <v>1.3259999999999999E-3</v>
      </c>
      <c r="F14" s="181">
        <f>IFERROR(E14/D14-1, "na")</f>
        <v>-0.36645962732919268</v>
      </c>
      <c r="H14" s="265">
        <f>ROUND('Rate Spread &amp; Design'!N14,6)</f>
        <v>1.8079999999999999E-3</v>
      </c>
      <c r="I14" s="265">
        <f>ROUND('Rate Spread &amp; Design'!P14,6)</f>
        <v>-4.8200000000000001E-4</v>
      </c>
      <c r="J14" s="265"/>
      <c r="K14" s="245" t="s">
        <v>85</v>
      </c>
      <c r="L14" s="245"/>
      <c r="M14" s="267">
        <f>SUM(H14:I14)-E14</f>
        <v>0</v>
      </c>
    </row>
    <row r="15" spans="1:13" x14ac:dyDescent="0.2">
      <c r="A15" s="88">
        <f t="shared" si="0"/>
        <v>6</v>
      </c>
      <c r="B15" s="227" t="s">
        <v>7</v>
      </c>
      <c r="C15" s="273" t="s">
        <v>231</v>
      </c>
      <c r="D15" s="189">
        <f>'Rate Impacts'!I14</f>
        <v>1.98E-3</v>
      </c>
      <c r="E15" s="182">
        <f>SUM(H15:I15)</f>
        <v>1.2369999999999998E-3</v>
      </c>
      <c r="F15" s="181">
        <f>IFERROR(E15/D15-1, "na")</f>
        <v>-0.37525252525252539</v>
      </c>
      <c r="H15" s="265">
        <f>ROUND('Rate Spread &amp; Design'!N15,6)</f>
        <v>1.6869999999999999E-3</v>
      </c>
      <c r="I15" s="265">
        <f>ROUND('Rate Spread &amp; Design'!P15,6)</f>
        <v>-4.4999999999999999E-4</v>
      </c>
      <c r="J15" s="265"/>
      <c r="K15" s="245" t="s">
        <v>85</v>
      </c>
      <c r="L15" s="245"/>
      <c r="M15" s="264">
        <f>SUM(H15:I15)-E15</f>
        <v>0</v>
      </c>
    </row>
    <row r="16" spans="1:13" x14ac:dyDescent="0.2">
      <c r="A16" s="88">
        <f t="shared" si="0"/>
        <v>7</v>
      </c>
      <c r="B16" s="227" t="s">
        <v>7</v>
      </c>
      <c r="C16" s="273" t="s">
        <v>232</v>
      </c>
      <c r="D16" s="182">
        <f>D15</f>
        <v>1.98E-3</v>
      </c>
      <c r="E16" s="182">
        <f>E15</f>
        <v>1.2369999999999998E-3</v>
      </c>
      <c r="F16" s="181">
        <f>IFERROR(E16/D16-1, "na")</f>
        <v>-0.37525252525252539</v>
      </c>
      <c r="H16" s="263">
        <f>H15</f>
        <v>1.6869999999999999E-3</v>
      </c>
      <c r="I16" s="263">
        <f>I15</f>
        <v>-4.4999999999999999E-4</v>
      </c>
      <c r="J16" s="263"/>
      <c r="K16" s="245" t="str">
        <f>K15</f>
        <v>Sheet No. 140-B</v>
      </c>
      <c r="L16" s="245"/>
      <c r="M16" s="264">
        <f>SUM(H16:I16)-E16</f>
        <v>0</v>
      </c>
    </row>
    <row r="17" spans="1:13" x14ac:dyDescent="0.2">
      <c r="A17" s="88">
        <f t="shared" si="0"/>
        <v>8</v>
      </c>
      <c r="B17" s="227" t="s">
        <v>8</v>
      </c>
      <c r="C17" s="273" t="s">
        <v>233</v>
      </c>
      <c r="D17" s="189">
        <f>'Rate Impacts'!I15</f>
        <v>1.7149999999999999E-3</v>
      </c>
      <c r="E17" s="182">
        <f>SUM(H17:I17)</f>
        <v>1.0119999999999999E-3</v>
      </c>
      <c r="F17" s="181">
        <f>IFERROR(E17/D17-1, "na")</f>
        <v>-0.40991253644314873</v>
      </c>
      <c r="H17" s="265">
        <f>ROUND('Rate Spread &amp; Design'!N16,6)</f>
        <v>1.3799999999999999E-3</v>
      </c>
      <c r="I17" s="265">
        <f>ROUND('Rate Spread &amp; Design'!P16,6)</f>
        <v>-3.68E-4</v>
      </c>
      <c r="J17" s="265"/>
      <c r="K17" s="245" t="s">
        <v>85</v>
      </c>
      <c r="L17" s="245"/>
      <c r="M17" s="264">
        <f>SUM(H17:I17)-E17</f>
        <v>0</v>
      </c>
    </row>
    <row r="18" spans="1:13" x14ac:dyDescent="0.2">
      <c r="A18" s="88">
        <f t="shared" si="0"/>
        <v>9</v>
      </c>
      <c r="B18" s="227" t="s">
        <v>7</v>
      </c>
      <c r="C18" s="273">
        <v>29</v>
      </c>
      <c r="D18" s="189">
        <f>'Rate Impacts'!I16</f>
        <v>1.98E-3</v>
      </c>
      <c r="E18" s="182">
        <f>SUM(H18:I18)</f>
        <v>1.2369999999999998E-3</v>
      </c>
      <c r="F18" s="181">
        <f>IFERROR(E18/D18-1, "na")</f>
        <v>-0.37525252525252539</v>
      </c>
      <c r="H18" s="265">
        <f>ROUND('Rate Spread &amp; Design'!N15,6)</f>
        <v>1.6869999999999999E-3</v>
      </c>
      <c r="I18" s="265">
        <f>ROUND('Rate Spread &amp; Design'!$P$15,6)</f>
        <v>-4.4999999999999999E-4</v>
      </c>
      <c r="J18" s="265"/>
      <c r="K18" s="245" t="s">
        <v>85</v>
      </c>
      <c r="L18" s="245"/>
      <c r="M18" s="264">
        <f>SUM(H18:I18)-E18</f>
        <v>0</v>
      </c>
    </row>
    <row r="19" spans="1:13" x14ac:dyDescent="0.2">
      <c r="A19" s="88">
        <f t="shared" si="0"/>
        <v>10</v>
      </c>
      <c r="B19" s="228" t="s">
        <v>9</v>
      </c>
      <c r="C19" s="274"/>
      <c r="D19" s="192"/>
      <c r="E19" s="294"/>
      <c r="F19" s="89"/>
      <c r="H19" s="272"/>
      <c r="I19" s="272"/>
      <c r="K19" s="271"/>
      <c r="L19" s="245"/>
      <c r="M19" s="269"/>
    </row>
    <row r="20" spans="1:13" x14ac:dyDescent="0.2">
      <c r="A20" s="88">
        <f t="shared" si="0"/>
        <v>11</v>
      </c>
      <c r="B20" s="228"/>
      <c r="C20" s="274"/>
      <c r="D20" s="189"/>
      <c r="E20" s="182"/>
      <c r="F20" s="181"/>
      <c r="K20" s="245"/>
      <c r="L20" s="245"/>
      <c r="M20" s="269"/>
    </row>
    <row r="21" spans="1:13" x14ac:dyDescent="0.2">
      <c r="A21" s="88">
        <f t="shared" si="0"/>
        <v>12</v>
      </c>
      <c r="B21" s="226" t="s">
        <v>10</v>
      </c>
      <c r="C21" s="273"/>
      <c r="D21" s="189"/>
      <c r="E21" s="182"/>
      <c r="F21" s="181"/>
      <c r="K21" s="245"/>
      <c r="L21" s="245"/>
      <c r="M21" s="269"/>
    </row>
    <row r="22" spans="1:13" x14ac:dyDescent="0.2">
      <c r="A22" s="88">
        <f t="shared" si="0"/>
        <v>13</v>
      </c>
      <c r="B22" s="227" t="s">
        <v>14</v>
      </c>
      <c r="C22" s="273" t="s">
        <v>234</v>
      </c>
      <c r="D22" s="189">
        <f>'Rate Impacts'!I20</f>
        <v>1.7260000000000001E-3</v>
      </c>
      <c r="E22" s="182">
        <f>SUM(H22:I22)</f>
        <v>1.0309999999999998E-3</v>
      </c>
      <c r="F22" s="181">
        <f>IFERROR(E22/D22-1, "na")</f>
        <v>-0.40266512166859803</v>
      </c>
      <c r="H22" s="265">
        <f>ROUND('Rate Spread &amp; Design'!N20,6)</f>
        <v>1.4059999999999999E-3</v>
      </c>
      <c r="I22" s="265">
        <f>ROUND('Rate Spread &amp; Design'!P20,6)</f>
        <v>-3.7500000000000001E-4</v>
      </c>
      <c r="J22" s="265"/>
      <c r="K22" s="245" t="s">
        <v>85</v>
      </c>
      <c r="L22" s="245"/>
      <c r="M22" s="264">
        <f>SUM(H22:I22)-E22</f>
        <v>0</v>
      </c>
    </row>
    <row r="23" spans="1:13" x14ac:dyDescent="0.2">
      <c r="A23" s="88">
        <f t="shared" si="0"/>
        <v>14</v>
      </c>
      <c r="B23" s="227" t="s">
        <v>165</v>
      </c>
      <c r="C23" s="273">
        <v>35</v>
      </c>
      <c r="D23" s="189">
        <f>'Rate Impacts'!I21</f>
        <v>1.7260000000000001E-3</v>
      </c>
      <c r="E23" s="182">
        <f>SUM(H23:I23)</f>
        <v>1.0309999999999998E-3</v>
      </c>
      <c r="F23" s="181">
        <f>IFERROR(E23/D23-1, "na")</f>
        <v>-0.40266512166859803</v>
      </c>
      <c r="H23" s="262">
        <f>H22</f>
        <v>1.4059999999999999E-3</v>
      </c>
      <c r="I23" s="262">
        <f>I22</f>
        <v>-3.7500000000000001E-4</v>
      </c>
      <c r="J23" s="262"/>
      <c r="K23" s="245" t="s">
        <v>85</v>
      </c>
      <c r="L23" s="245"/>
      <c r="M23" s="264">
        <f>SUM(H23:I23)-E23</f>
        <v>0</v>
      </c>
    </row>
    <row r="24" spans="1:13" x14ac:dyDescent="0.2">
      <c r="A24" s="88">
        <f t="shared" si="0"/>
        <v>15</v>
      </c>
      <c r="B24" s="227" t="s">
        <v>166</v>
      </c>
      <c r="C24" s="273">
        <v>43</v>
      </c>
      <c r="D24" s="189">
        <f>'Rate Impacts'!I22</f>
        <v>1.529E-3</v>
      </c>
      <c r="E24" s="182">
        <f>SUM(H24:I24)</f>
        <v>9.5800000000000008E-4</v>
      </c>
      <c r="F24" s="181">
        <f>IFERROR(E24/D24-1, "na")</f>
        <v>-0.37344669718770429</v>
      </c>
      <c r="H24" s="265">
        <f>ROUND('Rate Spread &amp; Design'!N21,6)</f>
        <v>1.3060000000000001E-3</v>
      </c>
      <c r="I24" s="265">
        <f>ROUND('Rate Spread &amp; Design'!P21,6)</f>
        <v>-3.48E-4</v>
      </c>
      <c r="J24" s="265"/>
      <c r="K24" s="245" t="s">
        <v>86</v>
      </c>
      <c r="L24" s="245"/>
      <c r="M24" s="264">
        <f>SUM(H24:I24)-E24</f>
        <v>0</v>
      </c>
    </row>
    <row r="25" spans="1:13" x14ac:dyDescent="0.2">
      <c r="A25" s="88">
        <f t="shared" si="0"/>
        <v>16</v>
      </c>
      <c r="B25" s="228" t="s">
        <v>11</v>
      </c>
      <c r="C25" s="274"/>
      <c r="D25" s="192"/>
      <c r="E25" s="294"/>
      <c r="F25" s="89"/>
      <c r="H25" s="272"/>
      <c r="I25" s="272"/>
      <c r="K25" s="271"/>
      <c r="L25" s="245"/>
      <c r="M25" s="269"/>
    </row>
    <row r="26" spans="1:13" x14ac:dyDescent="0.2">
      <c r="A26" s="88">
        <f t="shared" si="0"/>
        <v>17</v>
      </c>
      <c r="B26" s="193"/>
      <c r="C26" s="275"/>
      <c r="D26" s="189"/>
      <c r="E26" s="182"/>
      <c r="F26" s="181"/>
      <c r="K26" s="245"/>
      <c r="L26" s="245"/>
      <c r="M26" s="269"/>
    </row>
    <row r="27" spans="1:13" x14ac:dyDescent="0.2">
      <c r="A27" s="88">
        <f t="shared" si="0"/>
        <v>18</v>
      </c>
      <c r="B27" s="226" t="s">
        <v>15</v>
      </c>
      <c r="C27" s="273"/>
      <c r="D27" s="189"/>
      <c r="E27" s="182"/>
      <c r="F27" s="181"/>
      <c r="K27" s="245"/>
      <c r="L27" s="245"/>
      <c r="M27" s="269"/>
    </row>
    <row r="28" spans="1:13" x14ac:dyDescent="0.2">
      <c r="A28" s="88">
        <f t="shared" si="0"/>
        <v>19</v>
      </c>
      <c r="B28" s="227" t="s">
        <v>167</v>
      </c>
      <c r="C28" s="273">
        <v>46</v>
      </c>
      <c r="D28" s="189">
        <f>'Rate Impacts'!I28</f>
        <v>9.5E-4</v>
      </c>
      <c r="E28" s="182">
        <f>SUM(H28:I28)</f>
        <v>5.6799999999999993E-4</v>
      </c>
      <c r="F28" s="181">
        <f>IFERROR(E28/D28-1, "na")</f>
        <v>-0.40210526315789485</v>
      </c>
      <c r="H28" s="265">
        <f>ROUND('Rate Spread &amp; Design'!N26,6)</f>
        <v>7.7499999999999997E-4</v>
      </c>
      <c r="I28" s="265">
        <f>ROUND('Rate Spread &amp; Design'!P26,6)</f>
        <v>-2.0699999999999999E-4</v>
      </c>
      <c r="J28" s="265"/>
      <c r="K28" s="245" t="s">
        <v>86</v>
      </c>
      <c r="L28" s="245"/>
      <c r="M28" s="264">
        <f>SUM(H28:I28)-E28</f>
        <v>0</v>
      </c>
    </row>
    <row r="29" spans="1:13" x14ac:dyDescent="0.2">
      <c r="A29" s="88">
        <f t="shared" si="0"/>
        <v>20</v>
      </c>
      <c r="B29" s="227" t="s">
        <v>14</v>
      </c>
      <c r="C29" s="273">
        <v>49</v>
      </c>
      <c r="D29" s="189">
        <f>'Rate Impacts'!I29</f>
        <v>9.5E-4</v>
      </c>
      <c r="E29" s="182">
        <f>SUM(H29:I29)</f>
        <v>5.6799999999999993E-4</v>
      </c>
      <c r="F29" s="181">
        <f>IFERROR(E29/D29-1, "na")</f>
        <v>-0.40210526315789485</v>
      </c>
      <c r="H29" s="263">
        <f>H28</f>
        <v>7.7499999999999997E-4</v>
      </c>
      <c r="I29" s="263">
        <f>I28</f>
        <v>-2.0699999999999999E-4</v>
      </c>
      <c r="J29" s="263"/>
      <c r="K29" s="245" t="s">
        <v>86</v>
      </c>
      <c r="L29" s="245"/>
      <c r="M29" s="264">
        <f>SUM(H29:I29)-E29</f>
        <v>0</v>
      </c>
    </row>
    <row r="30" spans="1:13" x14ac:dyDescent="0.2">
      <c r="A30" s="88">
        <f t="shared" si="0"/>
        <v>21</v>
      </c>
      <c r="B30" s="229" t="s">
        <v>12</v>
      </c>
      <c r="C30" s="274"/>
      <c r="D30" s="192"/>
      <c r="E30" s="294"/>
      <c r="F30" s="89"/>
      <c r="H30" s="272"/>
      <c r="I30" s="272"/>
      <c r="K30" s="271"/>
      <c r="L30" s="245"/>
      <c r="M30" s="269"/>
    </row>
    <row r="31" spans="1:13" x14ac:dyDescent="0.2">
      <c r="A31" s="88">
        <f t="shared" si="0"/>
        <v>22</v>
      </c>
      <c r="B31" s="226"/>
      <c r="C31" s="273"/>
      <c r="D31" s="189"/>
      <c r="E31" s="182"/>
      <c r="F31" s="181"/>
      <c r="K31" s="247"/>
      <c r="L31" s="247"/>
      <c r="M31" s="269"/>
    </row>
    <row r="32" spans="1:13" x14ac:dyDescent="0.2">
      <c r="A32" s="88">
        <f t="shared" si="0"/>
        <v>23</v>
      </c>
      <c r="B32" s="230" t="s">
        <v>168</v>
      </c>
      <c r="C32" s="273" t="s">
        <v>235</v>
      </c>
      <c r="D32" s="297"/>
      <c r="E32" s="297"/>
      <c r="F32" s="297"/>
      <c r="G32" s="298"/>
      <c r="H32" s="297"/>
      <c r="I32" s="297"/>
      <c r="J32" s="265"/>
      <c r="K32" s="245" t="s">
        <v>212</v>
      </c>
      <c r="L32" s="245"/>
      <c r="M32" s="264"/>
    </row>
    <row r="33" spans="1:13" x14ac:dyDescent="0.2">
      <c r="A33" s="88">
        <f t="shared" si="0"/>
        <v>24</v>
      </c>
      <c r="B33" s="226" t="s">
        <v>169</v>
      </c>
      <c r="C33" s="273" t="s">
        <v>78</v>
      </c>
      <c r="D33" s="189">
        <f>'Rate Impacts'!I25</f>
        <v>5.1500000000000005E-4</v>
      </c>
      <c r="E33" s="182">
        <f>SUM(H33:I33)</f>
        <v>3.1E-4</v>
      </c>
      <c r="F33" s="181">
        <f>IFERROR(E33/D33-1, "na")</f>
        <v>-0.39805825242718451</v>
      </c>
      <c r="H33" s="265">
        <f>ROUND('Rate Spread &amp; Design'!N24,6)</f>
        <v>4.2299999999999998E-4</v>
      </c>
      <c r="I33" s="265">
        <f>ROUND('Rate Spread &amp; Design'!P24,6)</f>
        <v>-1.13E-4</v>
      </c>
      <c r="J33" s="265"/>
      <c r="K33" s="245" t="s">
        <v>85</v>
      </c>
      <c r="L33" s="245"/>
      <c r="M33" s="267">
        <f>SUM(H33:I33)-E33</f>
        <v>0</v>
      </c>
    </row>
    <row r="34" spans="1:13" x14ac:dyDescent="0.2">
      <c r="A34" s="88">
        <f t="shared" si="0"/>
        <v>25</v>
      </c>
      <c r="B34" s="226" t="s">
        <v>13</v>
      </c>
      <c r="C34" s="273" t="s">
        <v>236</v>
      </c>
      <c r="D34" s="295">
        <f>'Rate Impacts'!I32</f>
        <v>8.5870000000000009E-3</v>
      </c>
      <c r="E34" s="295">
        <f>SUM(H34:I34)</f>
        <v>4.9940000000000002E-3</v>
      </c>
      <c r="F34" s="296">
        <f>IFERROR(E34/D34-1, "na")</f>
        <v>-0.41842319785722604</v>
      </c>
      <c r="H34" s="265">
        <f>ROUND('Rate Spread &amp; Design'!N28,6)</f>
        <v>6.8100000000000001E-3</v>
      </c>
      <c r="I34" s="265">
        <f>ROUND('Rate Spread &amp; Design'!P28,6)</f>
        <v>-1.8159999999999999E-3</v>
      </c>
      <c r="J34" s="265"/>
      <c r="K34" s="248" t="s">
        <v>211</v>
      </c>
      <c r="L34" s="248"/>
      <c r="M34" s="267">
        <f>SUM(H34:I34)-E34</f>
        <v>0</v>
      </c>
    </row>
    <row r="35" spans="1:13" x14ac:dyDescent="0.2">
      <c r="A35" s="88">
        <f t="shared" si="0"/>
        <v>26</v>
      </c>
      <c r="B35" s="190"/>
      <c r="C35" s="191"/>
      <c r="D35" s="189"/>
      <c r="E35" s="189"/>
      <c r="F35" s="181"/>
      <c r="G35" s="246"/>
      <c r="M35" s="268"/>
    </row>
    <row r="36" spans="1:13" x14ac:dyDescent="0.2">
      <c r="A36" s="88">
        <f t="shared" si="0"/>
        <v>27</v>
      </c>
      <c r="B36" s="91" t="s">
        <v>217</v>
      </c>
      <c r="C36" s="275"/>
      <c r="D36" s="192"/>
      <c r="E36" s="192"/>
      <c r="F36" s="89"/>
      <c r="G36" s="246"/>
      <c r="H36" s="272"/>
      <c r="I36" s="272"/>
      <c r="K36" s="272"/>
      <c r="L36" s="186"/>
      <c r="M36" s="268"/>
    </row>
    <row r="37" spans="1:13" x14ac:dyDescent="0.2">
      <c r="A37" s="88">
        <f t="shared" si="0"/>
        <v>28</v>
      </c>
      <c r="B37" s="190"/>
      <c r="C37" s="191"/>
      <c r="D37" s="189"/>
      <c r="E37" s="189"/>
      <c r="F37" s="181"/>
      <c r="G37" s="246"/>
      <c r="M37" s="268"/>
    </row>
    <row r="38" spans="1:13" x14ac:dyDescent="0.2">
      <c r="A38" s="88">
        <f t="shared" si="0"/>
        <v>29</v>
      </c>
      <c r="B38" s="190" t="s">
        <v>237</v>
      </c>
      <c r="C38" s="191">
        <v>5</v>
      </c>
      <c r="D38" s="297"/>
      <c r="E38" s="297"/>
      <c r="F38" s="297"/>
      <c r="G38" s="299"/>
      <c r="H38" s="297"/>
      <c r="I38" s="297"/>
      <c r="J38" s="102"/>
      <c r="K38" s="189"/>
      <c r="L38" s="189"/>
      <c r="M38" s="268"/>
    </row>
    <row r="39" spans="1:13" x14ac:dyDescent="0.2">
      <c r="A39" s="88">
        <f t="shared" si="0"/>
        <v>30</v>
      </c>
      <c r="B39" s="190"/>
      <c r="C39" s="87"/>
      <c r="D39" s="300"/>
      <c r="E39" s="300"/>
      <c r="F39" s="181"/>
      <c r="G39" s="299"/>
      <c r="H39" s="300"/>
      <c r="I39" s="300"/>
      <c r="K39" s="189"/>
      <c r="L39" s="189"/>
      <c r="M39" s="268"/>
    </row>
    <row r="40" spans="1:13" ht="10.8" thickBot="1" x14ac:dyDescent="0.25">
      <c r="A40" s="88">
        <f t="shared" si="0"/>
        <v>31</v>
      </c>
      <c r="B40" s="91" t="s">
        <v>220</v>
      </c>
      <c r="C40" s="180"/>
      <c r="D40" s="188"/>
      <c r="E40" s="188"/>
      <c r="F40" s="86"/>
      <c r="G40" s="246"/>
      <c r="H40" s="188"/>
      <c r="I40" s="188"/>
      <c r="K40" s="188"/>
      <c r="L40" s="189"/>
      <c r="M40" s="268"/>
    </row>
    <row r="41" spans="1:13" ht="10.8" thickTop="1" x14ac:dyDescent="0.2">
      <c r="A41" s="88">
        <f t="shared" si="0"/>
        <v>32</v>
      </c>
      <c r="B41" s="102"/>
      <c r="C41" s="87"/>
      <c r="D41" s="182"/>
      <c r="E41" s="182"/>
      <c r="F41" s="187"/>
      <c r="G41" s="246"/>
      <c r="H41" s="182"/>
      <c r="I41" s="182"/>
      <c r="K41" s="182"/>
      <c r="L41" s="182"/>
      <c r="M41" s="268"/>
    </row>
    <row r="42" spans="1:13" x14ac:dyDescent="0.2">
      <c r="A42" s="88">
        <f t="shared" si="0"/>
        <v>33</v>
      </c>
      <c r="B42" s="102"/>
      <c r="C42" s="87"/>
      <c r="D42" s="182"/>
      <c r="E42" s="182"/>
      <c r="F42" s="187"/>
      <c r="G42" s="246"/>
      <c r="H42" s="182"/>
      <c r="I42" s="182"/>
      <c r="K42" s="182"/>
      <c r="L42" s="182"/>
      <c r="M42" s="268"/>
    </row>
    <row r="43" spans="1:13" x14ac:dyDescent="0.2">
      <c r="A43" s="88">
        <f t="shared" ref="A43:A73" si="1">+A42+1</f>
        <v>34</v>
      </c>
      <c r="B43" s="90" t="s">
        <v>119</v>
      </c>
      <c r="C43" s="90"/>
      <c r="D43" s="186"/>
      <c r="E43" s="186"/>
      <c r="F43" s="186"/>
      <c r="G43" s="246"/>
      <c r="H43" s="186"/>
      <c r="I43" s="186"/>
      <c r="K43" s="186"/>
      <c r="L43" s="186"/>
      <c r="M43" s="268"/>
    </row>
    <row r="44" spans="1:13" x14ac:dyDescent="0.2">
      <c r="A44" s="88">
        <f t="shared" si="1"/>
        <v>35</v>
      </c>
      <c r="B44" s="231" t="str">
        <f>B11</f>
        <v>Residential</v>
      </c>
      <c r="C44" s="232" t="str">
        <f>C11</f>
        <v>7 (307) (317) (327)</v>
      </c>
      <c r="D44" s="233"/>
      <c r="E44" s="233"/>
      <c r="F44" s="234" t="str">
        <f>IFERROR(E44/D44-1, "n/a")</f>
        <v>n/a</v>
      </c>
      <c r="G44" s="246"/>
      <c r="H44" s="233"/>
      <c r="I44" s="233"/>
      <c r="K44" s="233"/>
      <c r="L44" s="235"/>
      <c r="M44" s="268"/>
    </row>
    <row r="45" spans="1:13" x14ac:dyDescent="0.2">
      <c r="A45" s="88">
        <f t="shared" si="1"/>
        <v>36</v>
      </c>
      <c r="B45" s="231"/>
      <c r="C45" s="232"/>
      <c r="D45" s="235"/>
      <c r="E45" s="235"/>
      <c r="F45" s="236"/>
      <c r="G45" s="246"/>
      <c r="H45" s="235"/>
      <c r="I45" s="235"/>
      <c r="K45" s="235"/>
      <c r="L45" s="235"/>
      <c r="M45" s="268"/>
    </row>
    <row r="46" spans="1:13" x14ac:dyDescent="0.2">
      <c r="A46" s="88">
        <f t="shared" si="1"/>
        <v>37</v>
      </c>
      <c r="B46" s="231" t="str">
        <f t="shared" ref="B46:B52" si="2">B13</f>
        <v>Secondary Voltage</v>
      </c>
      <c r="C46" s="232"/>
      <c r="D46" s="235"/>
      <c r="E46" s="235"/>
      <c r="F46" s="236"/>
      <c r="G46" s="246"/>
      <c r="H46" s="235"/>
      <c r="I46" s="235"/>
      <c r="K46" s="235"/>
      <c r="L46" s="235"/>
      <c r="M46" s="268"/>
    </row>
    <row r="47" spans="1:13" x14ac:dyDescent="0.2">
      <c r="A47" s="88">
        <f t="shared" si="1"/>
        <v>38</v>
      </c>
      <c r="B47" s="237" t="str">
        <f t="shared" si="2"/>
        <v>Demand &lt;= 50 kW</v>
      </c>
      <c r="C47" s="232" t="str">
        <f>C14</f>
        <v>08 (24) (324)</v>
      </c>
      <c r="D47" s="235"/>
      <c r="E47" s="235"/>
      <c r="F47" s="236" t="str">
        <f>IFERROR(E47/D47-1, "n/a")</f>
        <v>n/a</v>
      </c>
      <c r="G47" s="246"/>
      <c r="H47" s="235"/>
      <c r="I47" s="235"/>
      <c r="K47" s="235"/>
      <c r="L47" s="235"/>
      <c r="M47" s="268"/>
    </row>
    <row r="48" spans="1:13" x14ac:dyDescent="0.2">
      <c r="A48" s="88">
        <f t="shared" si="1"/>
        <v>39</v>
      </c>
      <c r="B48" s="237" t="str">
        <f t="shared" si="2"/>
        <v>Demand &gt; 50 kW but &lt;= 350 kW</v>
      </c>
      <c r="C48" s="232" t="str">
        <f>C15</f>
        <v>7A</v>
      </c>
      <c r="D48" s="235"/>
      <c r="E48" s="235"/>
      <c r="F48" s="236" t="str">
        <f>IFERROR(E48/D48-1, "n/a")</f>
        <v>n/a</v>
      </c>
      <c r="G48" s="246"/>
      <c r="H48" s="235"/>
      <c r="I48" s="235"/>
      <c r="K48" s="235"/>
      <c r="L48" s="235"/>
      <c r="M48" s="268"/>
    </row>
    <row r="49" spans="1:13" x14ac:dyDescent="0.2">
      <c r="A49" s="88">
        <f t="shared" si="1"/>
        <v>40</v>
      </c>
      <c r="B49" s="237" t="str">
        <f t="shared" si="2"/>
        <v>Demand &gt; 50 kW but &lt;= 350 kW</v>
      </c>
      <c r="C49" s="232" t="str">
        <f>C16</f>
        <v>11 / 25</v>
      </c>
      <c r="D49" s="235">
        <f>D48</f>
        <v>0</v>
      </c>
      <c r="E49" s="235">
        <f>E48</f>
        <v>0</v>
      </c>
      <c r="F49" s="236" t="str">
        <f>IFERROR(E49/D49-1, "n/a")</f>
        <v>n/a</v>
      </c>
      <c r="G49" s="246"/>
      <c r="H49" s="235"/>
      <c r="I49" s="235"/>
      <c r="K49" s="235"/>
      <c r="L49" s="235"/>
      <c r="M49" s="268"/>
    </row>
    <row r="50" spans="1:13" x14ac:dyDescent="0.2">
      <c r="A50" s="88">
        <f t="shared" si="1"/>
        <v>41</v>
      </c>
      <c r="B50" s="237" t="str">
        <f t="shared" si="2"/>
        <v>Demand &gt; 350 kW</v>
      </c>
      <c r="C50" s="232" t="str">
        <f>C17</f>
        <v>12 (26) (26P)</v>
      </c>
      <c r="D50" s="235"/>
      <c r="E50" s="235"/>
      <c r="F50" s="236" t="str">
        <f>IFERROR(E50/D50-1, "n/a")</f>
        <v>n/a</v>
      </c>
      <c r="G50" s="246"/>
      <c r="H50" s="235"/>
      <c r="I50" s="235"/>
      <c r="K50" s="235"/>
      <c r="L50" s="235"/>
      <c r="M50" s="268"/>
    </row>
    <row r="51" spans="1:13" x14ac:dyDescent="0.2">
      <c r="A51" s="88">
        <f t="shared" si="1"/>
        <v>42</v>
      </c>
      <c r="B51" s="237" t="str">
        <f t="shared" si="2"/>
        <v>Demand &gt; 50 kW but &lt;= 350 kW</v>
      </c>
      <c r="C51" s="232">
        <f>C18</f>
        <v>29</v>
      </c>
      <c r="D51" s="235"/>
      <c r="E51" s="235"/>
      <c r="F51" s="236" t="str">
        <f>IFERROR(E51/D51-1, "n/a")</f>
        <v>n/a</v>
      </c>
      <c r="G51" s="246"/>
      <c r="H51" s="235"/>
      <c r="I51" s="235"/>
      <c r="K51" s="235"/>
      <c r="L51" s="235"/>
      <c r="M51" s="268"/>
    </row>
    <row r="52" spans="1:13" x14ac:dyDescent="0.2">
      <c r="A52" s="88">
        <f t="shared" si="1"/>
        <v>43</v>
      </c>
      <c r="B52" s="238" t="str">
        <f t="shared" si="2"/>
        <v>Total Secondary Voltage</v>
      </c>
      <c r="C52" s="239"/>
      <c r="D52" s="233"/>
      <c r="E52" s="233"/>
      <c r="F52" s="234"/>
      <c r="G52" s="246"/>
      <c r="H52" s="233"/>
      <c r="I52" s="233"/>
      <c r="K52" s="233"/>
      <c r="L52" s="235"/>
      <c r="M52" s="268"/>
    </row>
    <row r="53" spans="1:13" x14ac:dyDescent="0.2">
      <c r="A53" s="88">
        <f t="shared" si="1"/>
        <v>44</v>
      </c>
      <c r="B53" s="238"/>
      <c r="C53" s="239"/>
      <c r="D53" s="235"/>
      <c r="E53" s="235"/>
      <c r="F53" s="236"/>
      <c r="G53" s="246"/>
      <c r="H53" s="235"/>
      <c r="I53" s="235"/>
      <c r="K53" s="235"/>
      <c r="L53" s="235"/>
      <c r="M53" s="268"/>
    </row>
    <row r="54" spans="1:13" x14ac:dyDescent="0.2">
      <c r="A54" s="88">
        <f t="shared" si="1"/>
        <v>45</v>
      </c>
      <c r="B54" s="231" t="str">
        <f>B21</f>
        <v>Primary Voltage</v>
      </c>
      <c r="C54" s="232"/>
      <c r="D54" s="235"/>
      <c r="E54" s="235"/>
      <c r="F54" s="236"/>
      <c r="G54" s="246"/>
      <c r="H54" s="235"/>
      <c r="I54" s="235"/>
      <c r="K54" s="235"/>
      <c r="L54" s="235"/>
      <c r="M54" s="268"/>
    </row>
    <row r="55" spans="1:13" x14ac:dyDescent="0.2">
      <c r="A55" s="88">
        <f t="shared" si="1"/>
        <v>46</v>
      </c>
      <c r="B55" s="237" t="str">
        <f>B22</f>
        <v>General Service</v>
      </c>
      <c r="C55" s="232" t="str">
        <f>C22</f>
        <v>10 (31)</v>
      </c>
      <c r="D55" s="235"/>
      <c r="E55" s="235"/>
      <c r="F55" s="236" t="str">
        <f>IFERROR(E55/D55-1, "n/a")</f>
        <v>n/a</v>
      </c>
      <c r="G55" s="246"/>
      <c r="H55" s="235"/>
      <c r="I55" s="235"/>
      <c r="K55" s="235"/>
      <c r="L55" s="235"/>
      <c r="M55" s="268"/>
    </row>
    <row r="56" spans="1:13" x14ac:dyDescent="0.2">
      <c r="A56" s="88">
        <f t="shared" si="1"/>
        <v>47</v>
      </c>
      <c r="B56" s="237" t="str">
        <f>B23</f>
        <v>Irrigation</v>
      </c>
      <c r="C56" s="232">
        <f>C23</f>
        <v>35</v>
      </c>
      <c r="D56" s="235"/>
      <c r="E56" s="235"/>
      <c r="F56" s="236" t="str">
        <f>IFERROR(E56/D56-1, "n/a")</f>
        <v>n/a</v>
      </c>
      <c r="G56" s="246"/>
      <c r="H56" s="235"/>
      <c r="I56" s="235"/>
      <c r="K56" s="235"/>
      <c r="L56" s="235"/>
      <c r="M56" s="268"/>
    </row>
    <row r="57" spans="1:13" x14ac:dyDescent="0.2">
      <c r="A57" s="88">
        <f t="shared" si="1"/>
        <v>48</v>
      </c>
      <c r="B57" s="237" t="str">
        <f>B24</f>
        <v>Interruptible Schools</v>
      </c>
      <c r="C57" s="232">
        <f>C24</f>
        <v>43</v>
      </c>
      <c r="D57" s="235"/>
      <c r="E57" s="235"/>
      <c r="F57" s="236" t="str">
        <f>IFERROR(E57/D57-1, "n/a")</f>
        <v>n/a</v>
      </c>
      <c r="G57" s="246"/>
      <c r="H57" s="235"/>
      <c r="I57" s="235"/>
      <c r="K57" s="235"/>
      <c r="L57" s="235"/>
      <c r="M57" s="268"/>
    </row>
    <row r="58" spans="1:13" x14ac:dyDescent="0.2">
      <c r="A58" s="88">
        <f t="shared" si="1"/>
        <v>49</v>
      </c>
      <c r="B58" s="238" t="str">
        <f>B25</f>
        <v>Total Primary Voltage</v>
      </c>
      <c r="C58" s="239"/>
      <c r="D58" s="233"/>
      <c r="E58" s="233"/>
      <c r="F58" s="234"/>
      <c r="G58" s="246"/>
      <c r="H58" s="233"/>
      <c r="I58" s="233"/>
      <c r="K58" s="233"/>
      <c r="L58" s="235"/>
      <c r="M58" s="268"/>
    </row>
    <row r="59" spans="1:13" x14ac:dyDescent="0.2">
      <c r="A59" s="88">
        <f t="shared" si="1"/>
        <v>50</v>
      </c>
      <c r="B59" s="238"/>
      <c r="C59" s="239"/>
      <c r="D59" s="235"/>
      <c r="E59" s="235"/>
      <c r="F59" s="236"/>
      <c r="G59" s="246"/>
      <c r="H59" s="235"/>
      <c r="I59" s="235"/>
      <c r="K59" s="235"/>
      <c r="L59" s="235"/>
      <c r="M59" s="268"/>
    </row>
    <row r="60" spans="1:13" x14ac:dyDescent="0.2">
      <c r="A60" s="88">
        <f t="shared" si="1"/>
        <v>51</v>
      </c>
      <c r="B60" s="231" t="str">
        <f>B27</f>
        <v>High Voltage</v>
      </c>
      <c r="C60" s="232"/>
      <c r="D60" s="235"/>
      <c r="E60" s="235"/>
      <c r="F60" s="236"/>
      <c r="G60" s="246"/>
      <c r="H60" s="235"/>
      <c r="I60" s="235"/>
      <c r="K60" s="235"/>
      <c r="L60" s="235"/>
      <c r="M60" s="268"/>
    </row>
    <row r="61" spans="1:13" x14ac:dyDescent="0.2">
      <c r="A61" s="88">
        <f t="shared" si="1"/>
        <v>52</v>
      </c>
      <c r="B61" s="237" t="str">
        <f>B28</f>
        <v>Interruptible Service</v>
      </c>
      <c r="C61" s="232">
        <f>C28</f>
        <v>46</v>
      </c>
      <c r="D61" s="235"/>
      <c r="E61" s="235"/>
      <c r="F61" s="236" t="str">
        <f>IFERROR(E61/D61-1, "n/a")</f>
        <v>n/a</v>
      </c>
      <c r="G61" s="246"/>
      <c r="H61" s="235"/>
      <c r="I61" s="235"/>
      <c r="K61" s="235"/>
      <c r="L61" s="235"/>
      <c r="M61" s="268"/>
    </row>
    <row r="62" spans="1:13" x14ac:dyDescent="0.2">
      <c r="A62" s="88">
        <f t="shared" si="1"/>
        <v>53</v>
      </c>
      <c r="B62" s="237" t="str">
        <f>B29</f>
        <v>General Service</v>
      </c>
      <c r="C62" s="232">
        <f>C29</f>
        <v>49</v>
      </c>
      <c r="D62" s="235"/>
      <c r="E62" s="235"/>
      <c r="F62" s="236" t="str">
        <f>IFERROR(E62/D62-1, "n/a")</f>
        <v>n/a</v>
      </c>
      <c r="G62" s="246"/>
      <c r="H62" s="235"/>
      <c r="I62" s="235"/>
      <c r="K62" s="235"/>
      <c r="L62" s="235"/>
      <c r="M62" s="268"/>
    </row>
    <row r="63" spans="1:13" x14ac:dyDescent="0.2">
      <c r="A63" s="88">
        <f t="shared" si="1"/>
        <v>54</v>
      </c>
      <c r="B63" s="240" t="str">
        <f>B30</f>
        <v>Total High Voltage</v>
      </c>
      <c r="C63" s="239"/>
      <c r="D63" s="233"/>
      <c r="E63" s="233"/>
      <c r="F63" s="234"/>
      <c r="G63" s="246"/>
      <c r="H63" s="233"/>
      <c r="I63" s="233"/>
      <c r="K63" s="233"/>
      <c r="L63" s="235"/>
      <c r="M63" s="268"/>
    </row>
    <row r="64" spans="1:13" x14ac:dyDescent="0.2">
      <c r="A64" s="88">
        <f t="shared" si="1"/>
        <v>55</v>
      </c>
      <c r="B64" s="183"/>
      <c r="C64" s="102"/>
      <c r="D64" s="184"/>
      <c r="E64" s="184"/>
      <c r="F64" s="181"/>
      <c r="G64" s="246"/>
      <c r="H64" s="184"/>
      <c r="I64" s="184"/>
      <c r="K64" s="184"/>
      <c r="L64" s="184"/>
      <c r="M64" s="268"/>
    </row>
    <row r="65" spans="1:13" x14ac:dyDescent="0.2">
      <c r="A65" s="88">
        <f t="shared" si="1"/>
        <v>56</v>
      </c>
      <c r="B65" s="185" t="str">
        <f t="shared" ref="B65:C67" si="3">B32</f>
        <v>Choice / Retail Wheeling</v>
      </c>
      <c r="C65" s="191" t="str">
        <f t="shared" si="3"/>
        <v>448 - 459</v>
      </c>
      <c r="D65" s="195">
        <f>'Rate Impacts'!I34</f>
        <v>9.9999999999999985E-3</v>
      </c>
      <c r="E65" s="195">
        <f>SUM(H65:I65)</f>
        <v>6.3770000000000007E-3</v>
      </c>
      <c r="F65" s="181">
        <f>IFERROR(E65/D65-1, "n/a")</f>
        <v>-0.36229999999999984</v>
      </c>
      <c r="H65" s="195">
        <f>ROUND('Rate Spread &amp; Design'!O30,6)</f>
        <v>8.6960000000000006E-3</v>
      </c>
      <c r="I65" s="195">
        <f>ROUND('Rate Spread &amp; Design'!Q30,6)</f>
        <v>-2.3189999999999999E-3</v>
      </c>
      <c r="J65" s="265"/>
      <c r="K65" s="279" t="s">
        <v>86</v>
      </c>
      <c r="L65" s="195"/>
      <c r="M65" s="264">
        <f>SUM(H65:I65)-E65</f>
        <v>0</v>
      </c>
    </row>
    <row r="66" spans="1:13" x14ac:dyDescent="0.2">
      <c r="A66" s="88">
        <f t="shared" si="1"/>
        <v>57</v>
      </c>
      <c r="B66" s="231" t="str">
        <f t="shared" si="3"/>
        <v>Special Contracts</v>
      </c>
      <c r="C66" s="232" t="str">
        <f t="shared" si="3"/>
        <v>Special Contract</v>
      </c>
      <c r="D66" s="235"/>
      <c r="E66" s="235"/>
      <c r="F66" s="236" t="str">
        <f>IFERROR(E66/D66-1, "n/a")</f>
        <v>n/a</v>
      </c>
      <c r="G66" s="246"/>
      <c r="H66" s="235"/>
      <c r="I66" s="235"/>
      <c r="K66" s="235"/>
      <c r="L66" s="235"/>
    </row>
    <row r="67" spans="1:13" x14ac:dyDescent="0.2">
      <c r="A67" s="88">
        <f t="shared" si="1"/>
        <v>58</v>
      </c>
      <c r="B67" s="231" t="str">
        <f t="shared" si="3"/>
        <v>Lighting</v>
      </c>
      <c r="C67" s="232" t="str">
        <f t="shared" si="3"/>
        <v>50 - 59</v>
      </c>
      <c r="D67" s="235"/>
      <c r="E67" s="235"/>
      <c r="F67" s="236" t="str">
        <f>IFERROR(E67/D67-1, "n/a")</f>
        <v>n/a</v>
      </c>
      <c r="G67" s="246"/>
      <c r="H67" s="235"/>
      <c r="I67" s="235"/>
      <c r="K67" s="235"/>
      <c r="L67" s="235"/>
    </row>
    <row r="68" spans="1:13" x14ac:dyDescent="0.2">
      <c r="A68" s="88">
        <f t="shared" si="1"/>
        <v>59</v>
      </c>
      <c r="B68" s="231"/>
      <c r="C68" s="232"/>
      <c r="D68" s="235"/>
      <c r="E68" s="235"/>
      <c r="F68" s="236"/>
      <c r="G68" s="246"/>
      <c r="H68" s="235"/>
      <c r="I68" s="235"/>
      <c r="K68" s="235"/>
      <c r="L68" s="235"/>
    </row>
    <row r="69" spans="1:13" x14ac:dyDescent="0.2">
      <c r="A69" s="88">
        <f t="shared" si="1"/>
        <v>60</v>
      </c>
      <c r="B69" s="240" t="str">
        <f>B36</f>
        <v>Total Retail Sales</v>
      </c>
      <c r="C69" s="239"/>
      <c r="D69" s="233"/>
      <c r="E69" s="233"/>
      <c r="F69" s="234"/>
      <c r="G69" s="246"/>
      <c r="H69" s="233"/>
      <c r="I69" s="233"/>
      <c r="K69" s="233"/>
      <c r="L69" s="235"/>
    </row>
    <row r="70" spans="1:13" x14ac:dyDescent="0.2">
      <c r="A70" s="88">
        <f t="shared" si="1"/>
        <v>61</v>
      </c>
      <c r="B70" s="231"/>
      <c r="C70" s="232"/>
      <c r="D70" s="235"/>
      <c r="E70" s="235"/>
      <c r="F70" s="236"/>
      <c r="G70" s="246"/>
      <c r="H70" s="235"/>
      <c r="I70" s="235"/>
      <c r="K70" s="235"/>
      <c r="L70" s="235"/>
    </row>
    <row r="71" spans="1:13" x14ac:dyDescent="0.2">
      <c r="A71" s="88">
        <f t="shared" si="1"/>
        <v>62</v>
      </c>
      <c r="B71" s="231" t="str">
        <f>B38</f>
        <v>Firm Resale</v>
      </c>
      <c r="C71" s="232">
        <f>C38</f>
        <v>5</v>
      </c>
      <c r="D71" s="235"/>
      <c r="E71" s="235"/>
      <c r="F71" s="236" t="str">
        <f>IFERROR(E71/D71-1, "n/a")</f>
        <v>n/a</v>
      </c>
      <c r="G71" s="246"/>
      <c r="H71" s="235"/>
      <c r="I71" s="235"/>
      <c r="K71" s="235"/>
      <c r="L71" s="235"/>
    </row>
    <row r="72" spans="1:13" x14ac:dyDescent="0.2">
      <c r="A72" s="88">
        <f t="shared" si="1"/>
        <v>63</v>
      </c>
      <c r="B72" s="231"/>
      <c r="C72" s="240"/>
      <c r="D72" s="241"/>
      <c r="E72" s="241"/>
      <c r="F72" s="236"/>
      <c r="G72" s="245"/>
      <c r="H72" s="241"/>
      <c r="I72" s="241"/>
      <c r="K72" s="241"/>
      <c r="L72" s="241"/>
    </row>
    <row r="73" spans="1:13" ht="10.8" thickBot="1" x14ac:dyDescent="0.25">
      <c r="A73" s="88">
        <f t="shared" si="1"/>
        <v>64</v>
      </c>
      <c r="B73" s="240" t="str">
        <f>B40</f>
        <v>Total Sales</v>
      </c>
      <c r="C73" s="242"/>
      <c r="D73" s="243"/>
      <c r="E73" s="243"/>
      <c r="F73" s="244"/>
      <c r="G73" s="245"/>
      <c r="H73" s="243"/>
      <c r="I73" s="243"/>
      <c r="K73" s="243"/>
      <c r="L73" s="241"/>
    </row>
    <row r="74" spans="1:13" ht="10.8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79998168889431442"/>
    <pageSetUpPr fitToPage="1"/>
  </sheetPr>
  <dimension ref="A1:G211"/>
  <sheetViews>
    <sheetView tabSelected="1" zoomScaleNormal="100" workbookViewId="0">
      <pane ySplit="7" topLeftCell="A164" activePane="bottomLeft" state="frozen"/>
      <selection pane="bottomLeft" activeCell="C133" sqref="C133"/>
    </sheetView>
  </sheetViews>
  <sheetFormatPr defaultColWidth="8.88671875" defaultRowHeight="10.199999999999999" x14ac:dyDescent="0.2"/>
  <cols>
    <col min="1" max="1" width="4.44140625" style="5" bestFit="1" customWidth="1"/>
    <col min="2" max="2" width="28.77734375" style="5" customWidth="1"/>
    <col min="3" max="3" width="12.6640625" style="5" customWidth="1"/>
    <col min="4" max="5" width="11.6640625" style="5" customWidth="1"/>
    <col min="6" max="6" width="13.109375" style="5" customWidth="1"/>
    <col min="7" max="7" width="14.6640625" style="2" bestFit="1" customWidth="1"/>
    <col min="8" max="16384" width="8.88671875" style="5"/>
  </cols>
  <sheetData>
    <row r="1" spans="1:7" s="76" customFormat="1" x14ac:dyDescent="0.2">
      <c r="A1" s="123" t="s">
        <v>124</v>
      </c>
      <c r="B1" s="158"/>
      <c r="C1" s="158"/>
      <c r="D1" s="158"/>
      <c r="E1" s="158"/>
      <c r="F1" s="158"/>
      <c r="G1" s="284"/>
    </row>
    <row r="2" spans="1:7" s="76" customFormat="1" x14ac:dyDescent="0.2">
      <c r="A2" s="158" t="s">
        <v>23</v>
      </c>
      <c r="B2" s="158"/>
      <c r="C2" s="158"/>
      <c r="D2" s="158"/>
      <c r="E2" s="158"/>
      <c r="F2" s="158"/>
      <c r="G2" s="284"/>
    </row>
    <row r="3" spans="1:7" s="76" customFormat="1" x14ac:dyDescent="0.2">
      <c r="A3" s="124" t="str">
        <f>Inputs!B2&amp;" Forecasted Rate-Year Ended "&amp;TEXT(Inputs!B4,"mmmm d, yyyy")</f>
        <v>F2023 Forecasted Rate-Year Ended April 30, 2025</v>
      </c>
      <c r="B3" s="123"/>
      <c r="C3" s="123"/>
      <c r="D3" s="123"/>
      <c r="E3" s="123"/>
      <c r="F3" s="123"/>
      <c r="G3" s="284"/>
    </row>
    <row r="4" spans="1:7" s="76" customFormat="1" x14ac:dyDescent="0.2">
      <c r="A4" s="124" t="str">
        <f>"Proposed Rate Effective "&amp;TEXT(Inputs!B1,"mmmm d, yyyy")</f>
        <v>Proposed Rate Effective May 1, 2024</v>
      </c>
      <c r="B4" s="123"/>
      <c r="C4" s="123"/>
      <c r="D4" s="123"/>
      <c r="E4" s="123"/>
      <c r="F4" s="123"/>
      <c r="G4" s="284"/>
    </row>
    <row r="5" spans="1:7" s="76" customFormat="1" x14ac:dyDescent="0.2">
      <c r="A5" s="158" t="s">
        <v>144</v>
      </c>
      <c r="B5" s="158"/>
      <c r="C5" s="158"/>
      <c r="D5" s="158"/>
      <c r="E5" s="158"/>
      <c r="F5" s="158"/>
      <c r="G5" s="284"/>
    </row>
    <row r="6" spans="1:7" s="76" customFormat="1" x14ac:dyDescent="0.2">
      <c r="A6" s="285" t="s">
        <v>125</v>
      </c>
      <c r="B6" s="158"/>
      <c r="C6" s="158"/>
      <c r="D6" s="285"/>
      <c r="E6" s="285"/>
      <c r="F6" s="285"/>
      <c r="G6" s="284"/>
    </row>
    <row r="7" spans="1:7" s="76" customFormat="1" ht="30.6" x14ac:dyDescent="0.2">
      <c r="A7" s="73" t="s">
        <v>0</v>
      </c>
      <c r="B7" s="73" t="s">
        <v>213</v>
      </c>
      <c r="C7" s="73" t="s">
        <v>29</v>
      </c>
      <c r="D7" s="74" t="s">
        <v>106</v>
      </c>
      <c r="E7" s="74" t="s">
        <v>107</v>
      </c>
      <c r="F7" s="74" t="s">
        <v>159</v>
      </c>
      <c r="G7" s="249" t="s">
        <v>84</v>
      </c>
    </row>
    <row r="8" spans="1:7" x14ac:dyDescent="0.2">
      <c r="A8" s="33"/>
      <c r="B8" s="47"/>
      <c r="C8" s="48"/>
      <c r="D8" s="50"/>
      <c r="E8" s="50"/>
      <c r="F8" s="9"/>
      <c r="G8" s="250"/>
    </row>
    <row r="9" spans="1:7" ht="12" x14ac:dyDescent="0.35">
      <c r="A9" s="33">
        <v>1</v>
      </c>
      <c r="B9" s="283" t="s">
        <v>173</v>
      </c>
      <c r="C9" s="4"/>
      <c r="D9" s="32"/>
      <c r="E9" s="32"/>
      <c r="F9" s="32"/>
      <c r="G9" s="250"/>
    </row>
    <row r="10" spans="1:7" x14ac:dyDescent="0.2">
      <c r="A10" s="33">
        <f>A9+1</f>
        <v>2</v>
      </c>
      <c r="B10" s="51" t="s">
        <v>182</v>
      </c>
      <c r="C10" s="53">
        <v>22</v>
      </c>
      <c r="D10" s="280">
        <f>ROUND('Lighting RD'!G11,2)</f>
        <v>0</v>
      </c>
      <c r="E10" s="280">
        <f>ROUND('Lighting RD'!H11,2)</f>
        <v>0</v>
      </c>
      <c r="F10" s="196">
        <f>SUM(D10:E10)</f>
        <v>0</v>
      </c>
      <c r="G10" s="246" t="s">
        <v>86</v>
      </c>
    </row>
    <row r="11" spans="1:7" x14ac:dyDescent="0.2">
      <c r="A11" s="33">
        <f t="shared" ref="A11:A77" si="0">A10+1</f>
        <v>3</v>
      </c>
      <c r="B11" s="12"/>
      <c r="C11" s="9"/>
      <c r="D11" s="281"/>
      <c r="E11" s="281"/>
      <c r="F11" s="32"/>
      <c r="G11" s="251"/>
    </row>
    <row r="12" spans="1:7" x14ac:dyDescent="0.2">
      <c r="A12" s="33">
        <f t="shared" si="0"/>
        <v>4</v>
      </c>
      <c r="B12" s="51" t="s">
        <v>183</v>
      </c>
      <c r="C12" s="58">
        <v>100</v>
      </c>
      <c r="D12" s="280">
        <f>ROUND('Lighting RD'!G13,2)</f>
        <v>0.02</v>
      </c>
      <c r="E12" s="280">
        <f>ROUND('Lighting RD'!H13,2)</f>
        <v>0</v>
      </c>
      <c r="F12" s="196">
        <f>SUM(D12:E12)</f>
        <v>0.02</v>
      </c>
      <c r="G12" s="246" t="s">
        <v>86</v>
      </c>
    </row>
    <row r="13" spans="1:7" x14ac:dyDescent="0.2">
      <c r="A13" s="33">
        <f t="shared" si="0"/>
        <v>5</v>
      </c>
      <c r="B13" s="51" t="s">
        <v>183</v>
      </c>
      <c r="C13" s="58">
        <v>175</v>
      </c>
      <c r="D13" s="280">
        <f>ROUND('Lighting RD'!G14,2)</f>
        <v>0.03</v>
      </c>
      <c r="E13" s="280">
        <f>ROUND('Lighting RD'!H14,2)</f>
        <v>-0.01</v>
      </c>
      <c r="F13" s="196">
        <f>SUM(D13:E13)</f>
        <v>1.9999999999999997E-2</v>
      </c>
      <c r="G13" s="246" t="s">
        <v>86</v>
      </c>
    </row>
    <row r="14" spans="1:7" x14ac:dyDescent="0.2">
      <c r="A14" s="33">
        <f t="shared" si="0"/>
        <v>6</v>
      </c>
      <c r="B14" s="51" t="s">
        <v>183</v>
      </c>
      <c r="C14" s="58">
        <v>400</v>
      </c>
      <c r="D14" s="280">
        <f>ROUND('Lighting RD'!G15,2)</f>
        <v>7.0000000000000007E-2</v>
      </c>
      <c r="E14" s="280">
        <f>ROUND('Lighting RD'!H15,2)</f>
        <v>-0.02</v>
      </c>
      <c r="F14" s="196">
        <f>SUM(D14:E14)</f>
        <v>0.05</v>
      </c>
      <c r="G14" s="246" t="s">
        <v>86</v>
      </c>
    </row>
    <row r="15" spans="1:7" x14ac:dyDescent="0.2">
      <c r="A15" s="33">
        <f t="shared" si="0"/>
        <v>7</v>
      </c>
      <c r="B15" s="51"/>
      <c r="C15" s="58"/>
      <c r="D15" s="282"/>
      <c r="E15" s="282"/>
      <c r="F15" s="56"/>
      <c r="G15" s="251"/>
    </row>
    <row r="16" spans="1:7" x14ac:dyDescent="0.2">
      <c r="A16" s="33">
        <f t="shared" si="0"/>
        <v>8</v>
      </c>
      <c r="B16" s="51" t="s">
        <v>184</v>
      </c>
      <c r="C16" s="58">
        <v>100</v>
      </c>
      <c r="D16" s="280">
        <f>ROUND('Lighting RD'!G17,2)</f>
        <v>0.02</v>
      </c>
      <c r="E16" s="280">
        <f>ROUND('Lighting RD'!H17,2)</f>
        <v>0</v>
      </c>
      <c r="F16" s="196">
        <f>SUM(D16:E16)</f>
        <v>0.02</v>
      </c>
      <c r="G16" s="246" t="s">
        <v>86</v>
      </c>
    </row>
    <row r="17" spans="1:7" x14ac:dyDescent="0.2">
      <c r="A17" s="33">
        <f t="shared" si="0"/>
        <v>9</v>
      </c>
      <c r="B17" s="51" t="s">
        <v>184</v>
      </c>
      <c r="C17" s="58">
        <v>175</v>
      </c>
      <c r="D17" s="280">
        <f>ROUND('Lighting RD'!G18,2)</f>
        <v>0.03</v>
      </c>
      <c r="E17" s="280">
        <f>ROUND('Lighting RD'!H18,2)</f>
        <v>-0.01</v>
      </c>
      <c r="F17" s="196">
        <f>SUM(D17:E17)</f>
        <v>1.9999999999999997E-2</v>
      </c>
      <c r="G17" s="246" t="s">
        <v>86</v>
      </c>
    </row>
    <row r="18" spans="1:7" x14ac:dyDescent="0.2">
      <c r="A18" s="33">
        <f t="shared" si="0"/>
        <v>10</v>
      </c>
      <c r="B18" s="51" t="s">
        <v>184</v>
      </c>
      <c r="C18" s="58">
        <v>400</v>
      </c>
      <c r="D18" s="280">
        <f>ROUND('Lighting RD'!G19,2)</f>
        <v>7.0000000000000007E-2</v>
      </c>
      <c r="E18" s="280">
        <f>ROUND('Lighting RD'!H19,2)</f>
        <v>-0.02</v>
      </c>
      <c r="F18" s="196">
        <f>SUM(D18:E18)</f>
        <v>0.05</v>
      </c>
      <c r="G18" s="246" t="s">
        <v>86</v>
      </c>
    </row>
    <row r="19" spans="1:7" x14ac:dyDescent="0.2">
      <c r="A19" s="33">
        <f t="shared" si="0"/>
        <v>11</v>
      </c>
      <c r="B19" s="51" t="s">
        <v>184</v>
      </c>
      <c r="C19" s="58">
        <v>700</v>
      </c>
      <c r="D19" s="280">
        <f>ROUND('Lighting RD'!G20,2)</f>
        <v>0.11</v>
      </c>
      <c r="E19" s="280">
        <f>ROUND('Lighting RD'!H20,2)</f>
        <v>-0.03</v>
      </c>
      <c r="F19" s="196">
        <f>SUM(D19:E19)</f>
        <v>0.08</v>
      </c>
      <c r="G19" s="246" t="s">
        <v>86</v>
      </c>
    </row>
    <row r="20" spans="1:7" x14ac:dyDescent="0.2">
      <c r="A20" s="33">
        <f t="shared" si="0"/>
        <v>12</v>
      </c>
      <c r="B20" s="51"/>
      <c r="C20" s="58"/>
      <c r="D20" s="280"/>
      <c r="E20" s="280"/>
      <c r="F20" s="196"/>
      <c r="G20" s="246"/>
    </row>
    <row r="21" spans="1:7" ht="12" x14ac:dyDescent="0.35">
      <c r="A21" s="33">
        <f t="shared" si="0"/>
        <v>13</v>
      </c>
      <c r="B21" s="283" t="s">
        <v>174</v>
      </c>
      <c r="C21" s="4"/>
      <c r="D21" s="281"/>
      <c r="E21" s="281"/>
      <c r="F21" s="32"/>
      <c r="G21" s="251"/>
    </row>
    <row r="22" spans="1:7" x14ac:dyDescent="0.2">
      <c r="A22" s="33">
        <f t="shared" si="0"/>
        <v>14</v>
      </c>
      <c r="B22" s="51" t="s">
        <v>185</v>
      </c>
      <c r="C22" s="61" t="s">
        <v>101</v>
      </c>
      <c r="D22" s="280">
        <f>ROUND('Lighting RD'!G22,2)</f>
        <v>0</v>
      </c>
      <c r="E22" s="280">
        <f>ROUND('Lighting RD'!H22,2)</f>
        <v>0</v>
      </c>
      <c r="F22" s="196">
        <f t="shared" ref="F22:F31" si="1">SUM(D22:E22)</f>
        <v>0</v>
      </c>
      <c r="G22" s="246" t="s">
        <v>87</v>
      </c>
    </row>
    <row r="23" spans="1:7" x14ac:dyDescent="0.2">
      <c r="A23" s="33">
        <f t="shared" si="0"/>
        <v>15</v>
      </c>
      <c r="B23" s="51" t="s">
        <v>185</v>
      </c>
      <c r="C23" s="61" t="s">
        <v>37</v>
      </c>
      <c r="D23" s="280">
        <f>ROUND('Lighting RD'!G23,2)</f>
        <v>0.01</v>
      </c>
      <c r="E23" s="280">
        <f>ROUND('Lighting RD'!H23,2)</f>
        <v>0</v>
      </c>
      <c r="F23" s="196">
        <f t="shared" si="1"/>
        <v>0.01</v>
      </c>
      <c r="G23" s="246" t="s">
        <v>87</v>
      </c>
    </row>
    <row r="24" spans="1:7" x14ac:dyDescent="0.2">
      <c r="A24" s="33">
        <f t="shared" si="0"/>
        <v>16</v>
      </c>
      <c r="B24" s="51" t="s">
        <v>185</v>
      </c>
      <c r="C24" s="58" t="s">
        <v>38</v>
      </c>
      <c r="D24" s="280">
        <f>ROUND('Lighting RD'!G24,2)</f>
        <v>0.01</v>
      </c>
      <c r="E24" s="280">
        <f>ROUND('Lighting RD'!H24,2)</f>
        <v>0</v>
      </c>
      <c r="F24" s="196">
        <f t="shared" si="1"/>
        <v>0.01</v>
      </c>
      <c r="G24" s="246" t="s">
        <v>87</v>
      </c>
    </row>
    <row r="25" spans="1:7" x14ac:dyDescent="0.2">
      <c r="A25" s="33">
        <f t="shared" si="0"/>
        <v>17</v>
      </c>
      <c r="B25" s="51" t="s">
        <v>185</v>
      </c>
      <c r="C25" s="58" t="s">
        <v>39</v>
      </c>
      <c r="D25" s="280">
        <f>ROUND('Lighting RD'!G25,2)</f>
        <v>0.02</v>
      </c>
      <c r="E25" s="280">
        <f>ROUND('Lighting RD'!H25,2)</f>
        <v>0</v>
      </c>
      <c r="F25" s="196">
        <f t="shared" si="1"/>
        <v>0.02</v>
      </c>
      <c r="G25" s="246" t="s">
        <v>87</v>
      </c>
    </row>
    <row r="26" spans="1:7" x14ac:dyDescent="0.2">
      <c r="A26" s="33">
        <f t="shared" si="0"/>
        <v>18</v>
      </c>
      <c r="B26" s="51" t="s">
        <v>185</v>
      </c>
      <c r="C26" s="58" t="s">
        <v>40</v>
      </c>
      <c r="D26" s="280">
        <f>ROUND('Lighting RD'!G26,2)</f>
        <v>0.03</v>
      </c>
      <c r="E26" s="280">
        <f>ROUND('Lighting RD'!H26,2)</f>
        <v>-0.01</v>
      </c>
      <c r="F26" s="196">
        <f t="shared" si="1"/>
        <v>1.9999999999999997E-2</v>
      </c>
      <c r="G26" s="246" t="s">
        <v>87</v>
      </c>
    </row>
    <row r="27" spans="1:7" x14ac:dyDescent="0.2">
      <c r="A27" s="33">
        <f t="shared" si="0"/>
        <v>19</v>
      </c>
      <c r="B27" s="51" t="s">
        <v>185</v>
      </c>
      <c r="C27" s="58" t="s">
        <v>41</v>
      </c>
      <c r="D27" s="280">
        <f>ROUND('Lighting RD'!G27,2)</f>
        <v>0.03</v>
      </c>
      <c r="E27" s="280">
        <f>ROUND('Lighting RD'!H27,2)</f>
        <v>-0.01</v>
      </c>
      <c r="F27" s="196">
        <f t="shared" si="1"/>
        <v>1.9999999999999997E-2</v>
      </c>
      <c r="G27" s="246" t="s">
        <v>87</v>
      </c>
    </row>
    <row r="28" spans="1:7" x14ac:dyDescent="0.2">
      <c r="A28" s="33">
        <f t="shared" si="0"/>
        <v>20</v>
      </c>
      <c r="B28" s="51" t="s">
        <v>185</v>
      </c>
      <c r="C28" s="58" t="s">
        <v>42</v>
      </c>
      <c r="D28" s="280">
        <f>ROUND('Lighting RD'!G28,2)</f>
        <v>0.04</v>
      </c>
      <c r="E28" s="280">
        <f>ROUND('Lighting RD'!H28,2)</f>
        <v>-0.01</v>
      </c>
      <c r="F28" s="196">
        <f t="shared" si="1"/>
        <v>0.03</v>
      </c>
      <c r="G28" s="246" t="s">
        <v>88</v>
      </c>
    </row>
    <row r="29" spans="1:7" x14ac:dyDescent="0.2">
      <c r="A29" s="33">
        <f t="shared" si="0"/>
        <v>21</v>
      </c>
      <c r="B29" s="51" t="s">
        <v>185</v>
      </c>
      <c r="C29" s="58" t="s">
        <v>43</v>
      </c>
      <c r="D29" s="280">
        <f>ROUND('Lighting RD'!G29,2)</f>
        <v>0.04</v>
      </c>
      <c r="E29" s="280">
        <f>ROUND('Lighting RD'!H29,2)</f>
        <v>-0.01</v>
      </c>
      <c r="F29" s="196">
        <f t="shared" si="1"/>
        <v>0.03</v>
      </c>
      <c r="G29" s="246" t="s">
        <v>88</v>
      </c>
    </row>
    <row r="30" spans="1:7" x14ac:dyDescent="0.2">
      <c r="A30" s="33">
        <f t="shared" si="0"/>
        <v>22</v>
      </c>
      <c r="B30" s="51" t="s">
        <v>185</v>
      </c>
      <c r="C30" s="58" t="s">
        <v>44</v>
      </c>
      <c r="D30" s="280">
        <f>ROUND('Lighting RD'!G30,2)</f>
        <v>0.04</v>
      </c>
      <c r="E30" s="280">
        <f>ROUND('Lighting RD'!H30,2)</f>
        <v>-0.01</v>
      </c>
      <c r="F30" s="196">
        <f t="shared" si="1"/>
        <v>0.03</v>
      </c>
      <c r="G30" s="246" t="s">
        <v>88</v>
      </c>
    </row>
    <row r="31" spans="1:7" x14ac:dyDescent="0.2">
      <c r="A31" s="33">
        <f t="shared" si="0"/>
        <v>23</v>
      </c>
      <c r="B31" s="51" t="s">
        <v>185</v>
      </c>
      <c r="C31" s="58" t="s">
        <v>45</v>
      </c>
      <c r="D31" s="280">
        <f>ROUND('Lighting RD'!G31,2)</f>
        <v>0.04</v>
      </c>
      <c r="E31" s="280">
        <f>ROUND('Lighting RD'!H31,2)</f>
        <v>-0.01</v>
      </c>
      <c r="F31" s="196">
        <f t="shared" si="1"/>
        <v>0.03</v>
      </c>
      <c r="G31" s="246" t="s">
        <v>88</v>
      </c>
    </row>
    <row r="32" spans="1:7" x14ac:dyDescent="0.2">
      <c r="A32" s="33">
        <f t="shared" si="0"/>
        <v>24</v>
      </c>
      <c r="B32" s="51"/>
      <c r="C32" s="58"/>
      <c r="D32" s="282"/>
      <c r="E32" s="282"/>
      <c r="F32" s="56"/>
      <c r="G32" s="246"/>
    </row>
    <row r="33" spans="1:7" x14ac:dyDescent="0.2">
      <c r="A33" s="33">
        <f t="shared" si="0"/>
        <v>25</v>
      </c>
      <c r="B33" s="51" t="s">
        <v>186</v>
      </c>
      <c r="C33" s="61" t="s">
        <v>115</v>
      </c>
      <c r="D33" s="266">
        <f>ROUND('Lighting RD'!G33,6)</f>
        <v>7.5550000000000001E-3</v>
      </c>
      <c r="E33" s="266">
        <f>ROUND('Lighting RD'!H33,6)</f>
        <v>-2.0149999999999999E-3</v>
      </c>
      <c r="F33" s="253">
        <f>SUM(D33:E33)</f>
        <v>5.5399999999999998E-3</v>
      </c>
      <c r="G33" s="246" t="s">
        <v>92</v>
      </c>
    </row>
    <row r="34" spans="1:7" x14ac:dyDescent="0.2">
      <c r="A34" s="33">
        <f t="shared" si="0"/>
        <v>26</v>
      </c>
      <c r="B34" s="51"/>
      <c r="C34" s="61"/>
      <c r="D34" s="266"/>
      <c r="E34" s="266"/>
      <c r="F34" s="253"/>
      <c r="G34" s="246"/>
    </row>
    <row r="35" spans="1:7" ht="12" x14ac:dyDescent="0.35">
      <c r="A35" s="33">
        <f t="shared" si="0"/>
        <v>27</v>
      </c>
      <c r="B35" s="283" t="s">
        <v>175</v>
      </c>
      <c r="C35" s="4"/>
      <c r="D35" s="281"/>
      <c r="E35" s="281"/>
      <c r="F35" s="32"/>
      <c r="G35" s="251"/>
    </row>
    <row r="36" spans="1:7" x14ac:dyDescent="0.2">
      <c r="A36" s="33">
        <f t="shared" si="0"/>
        <v>28</v>
      </c>
      <c r="B36" s="51" t="s">
        <v>187</v>
      </c>
      <c r="C36" s="39">
        <v>50</v>
      </c>
      <c r="D36" s="280">
        <f>ROUND('Lighting RD'!G35,2)</f>
        <v>0.01</v>
      </c>
      <c r="E36" s="280">
        <f>ROUND('Lighting RD'!H35,2)</f>
        <v>0</v>
      </c>
      <c r="F36" s="196">
        <f t="shared" ref="F36:F43" si="2">SUM(D36:E36)</f>
        <v>0.01</v>
      </c>
      <c r="G36" s="246" t="s">
        <v>89</v>
      </c>
    </row>
    <row r="37" spans="1:7" x14ac:dyDescent="0.2">
      <c r="A37" s="33">
        <f t="shared" si="0"/>
        <v>29</v>
      </c>
      <c r="B37" s="51" t="s">
        <v>187</v>
      </c>
      <c r="C37" s="39">
        <v>70</v>
      </c>
      <c r="D37" s="280">
        <f>ROUND('Lighting RD'!G36,2)</f>
        <v>0.01</v>
      </c>
      <c r="E37" s="280">
        <f>ROUND('Lighting RD'!H36,2)</f>
        <v>0</v>
      </c>
      <c r="F37" s="196">
        <f t="shared" si="2"/>
        <v>0.01</v>
      </c>
      <c r="G37" s="246" t="s">
        <v>89</v>
      </c>
    </row>
    <row r="38" spans="1:7" x14ac:dyDescent="0.2">
      <c r="A38" s="33">
        <f t="shared" si="0"/>
        <v>30</v>
      </c>
      <c r="B38" s="51" t="s">
        <v>187</v>
      </c>
      <c r="C38" s="39">
        <v>100</v>
      </c>
      <c r="D38" s="280">
        <f>ROUND('Lighting RD'!G37,2)</f>
        <v>0.02</v>
      </c>
      <c r="E38" s="280">
        <f>ROUND('Lighting RD'!H37,2)</f>
        <v>0</v>
      </c>
      <c r="F38" s="196">
        <f t="shared" si="2"/>
        <v>0.02</v>
      </c>
      <c r="G38" s="246" t="s">
        <v>89</v>
      </c>
    </row>
    <row r="39" spans="1:7" x14ac:dyDescent="0.2">
      <c r="A39" s="33">
        <f t="shared" si="0"/>
        <v>31</v>
      </c>
      <c r="B39" s="51" t="s">
        <v>187</v>
      </c>
      <c r="C39" s="39">
        <v>150</v>
      </c>
      <c r="D39" s="280">
        <f>ROUND('Lighting RD'!G38,2)</f>
        <v>0.03</v>
      </c>
      <c r="E39" s="280">
        <f>ROUND('Lighting RD'!H38,2)</f>
        <v>-0.01</v>
      </c>
      <c r="F39" s="196">
        <f t="shared" si="2"/>
        <v>1.9999999999999997E-2</v>
      </c>
      <c r="G39" s="246" t="s">
        <v>89</v>
      </c>
    </row>
    <row r="40" spans="1:7" x14ac:dyDescent="0.2">
      <c r="A40" s="33">
        <f t="shared" si="0"/>
        <v>32</v>
      </c>
      <c r="B40" s="51" t="s">
        <v>187</v>
      </c>
      <c r="C40" s="39">
        <v>200</v>
      </c>
      <c r="D40" s="280">
        <f>ROUND('Lighting RD'!G39,2)</f>
        <v>0.04</v>
      </c>
      <c r="E40" s="280">
        <f>ROUND('Lighting RD'!H39,2)</f>
        <v>-0.01</v>
      </c>
      <c r="F40" s="196">
        <f t="shared" si="2"/>
        <v>0.03</v>
      </c>
      <c r="G40" s="246" t="s">
        <v>89</v>
      </c>
    </row>
    <row r="41" spans="1:7" x14ac:dyDescent="0.2">
      <c r="A41" s="33">
        <f t="shared" si="0"/>
        <v>33</v>
      </c>
      <c r="B41" s="51" t="s">
        <v>187</v>
      </c>
      <c r="C41" s="39">
        <v>250</v>
      </c>
      <c r="D41" s="280">
        <f>ROUND('Lighting RD'!G40,2)</f>
        <v>0.04</v>
      </c>
      <c r="E41" s="280">
        <f>ROUND('Lighting RD'!H40,2)</f>
        <v>-0.01</v>
      </c>
      <c r="F41" s="196">
        <f t="shared" si="2"/>
        <v>0.03</v>
      </c>
      <c r="G41" s="246" t="s">
        <v>89</v>
      </c>
    </row>
    <row r="42" spans="1:7" x14ac:dyDescent="0.2">
      <c r="A42" s="33">
        <f t="shared" si="0"/>
        <v>34</v>
      </c>
      <c r="B42" s="51" t="s">
        <v>187</v>
      </c>
      <c r="C42" s="39">
        <v>310</v>
      </c>
      <c r="D42" s="280">
        <f>ROUND('Lighting RD'!G41,2)</f>
        <v>0.05</v>
      </c>
      <c r="E42" s="280">
        <f>ROUND('Lighting RD'!H41,2)</f>
        <v>-0.01</v>
      </c>
      <c r="F42" s="196">
        <f t="shared" si="2"/>
        <v>0.04</v>
      </c>
      <c r="G42" s="246" t="s">
        <v>89</v>
      </c>
    </row>
    <row r="43" spans="1:7" x14ac:dyDescent="0.2">
      <c r="A43" s="33">
        <f t="shared" si="0"/>
        <v>35</v>
      </c>
      <c r="B43" s="51" t="s">
        <v>187</v>
      </c>
      <c r="C43" s="39">
        <v>400</v>
      </c>
      <c r="D43" s="280">
        <f>ROUND('Lighting RD'!G42,2)</f>
        <v>7.0000000000000007E-2</v>
      </c>
      <c r="E43" s="280">
        <f>ROUND('Lighting RD'!H42,2)</f>
        <v>-0.02</v>
      </c>
      <c r="F43" s="196">
        <f t="shared" si="2"/>
        <v>0.05</v>
      </c>
      <c r="G43" s="246" t="s">
        <v>89</v>
      </c>
    </row>
    <row r="44" spans="1:7" x14ac:dyDescent="0.2">
      <c r="A44" s="33">
        <f t="shared" si="0"/>
        <v>36</v>
      </c>
      <c r="B44" s="63"/>
      <c r="C44" s="39"/>
      <c r="D44" s="281"/>
      <c r="E44" s="281"/>
      <c r="F44" s="32"/>
      <c r="G44" s="246"/>
    </row>
    <row r="45" spans="1:7" x14ac:dyDescent="0.2">
      <c r="A45" s="33">
        <f t="shared" si="0"/>
        <v>37</v>
      </c>
      <c r="B45" s="51" t="s">
        <v>188</v>
      </c>
      <c r="C45" s="39">
        <v>70</v>
      </c>
      <c r="D45" s="280">
        <f>ROUND('Lighting RD'!G44,2)</f>
        <v>0.01</v>
      </c>
      <c r="E45" s="280">
        <f>ROUND('Lighting RD'!H44,2)</f>
        <v>0</v>
      </c>
      <c r="F45" s="196">
        <f t="shared" ref="F45:F51" si="3">SUM(D45:E45)</f>
        <v>0.01</v>
      </c>
      <c r="G45" s="246" t="s">
        <v>89</v>
      </c>
    </row>
    <row r="46" spans="1:7" x14ac:dyDescent="0.2">
      <c r="A46" s="33">
        <f t="shared" si="0"/>
        <v>38</v>
      </c>
      <c r="B46" s="51" t="s">
        <v>188</v>
      </c>
      <c r="C46" s="39">
        <v>100</v>
      </c>
      <c r="D46" s="280">
        <f>ROUND('Lighting RD'!G45,2)</f>
        <v>0.02</v>
      </c>
      <c r="E46" s="280">
        <f>ROUND('Lighting RD'!H45,2)</f>
        <v>0</v>
      </c>
      <c r="F46" s="196">
        <f t="shared" si="3"/>
        <v>0.02</v>
      </c>
      <c r="G46" s="246" t="s">
        <v>89</v>
      </c>
    </row>
    <row r="47" spans="1:7" x14ac:dyDescent="0.2">
      <c r="A47" s="33">
        <f t="shared" si="0"/>
        <v>39</v>
      </c>
      <c r="B47" s="51" t="s">
        <v>188</v>
      </c>
      <c r="C47" s="39">
        <v>150</v>
      </c>
      <c r="D47" s="280">
        <f>ROUND('Lighting RD'!G46,2)</f>
        <v>0.03</v>
      </c>
      <c r="E47" s="280">
        <f>ROUND('Lighting RD'!H46,2)</f>
        <v>-0.01</v>
      </c>
      <c r="F47" s="196">
        <f t="shared" si="3"/>
        <v>1.9999999999999997E-2</v>
      </c>
      <c r="G47" s="246" t="s">
        <v>89</v>
      </c>
    </row>
    <row r="48" spans="1:7" x14ac:dyDescent="0.2">
      <c r="A48" s="33">
        <f t="shared" si="0"/>
        <v>40</v>
      </c>
      <c r="B48" s="51" t="s">
        <v>188</v>
      </c>
      <c r="C48" s="39">
        <v>175</v>
      </c>
      <c r="D48" s="280">
        <f>ROUND('Lighting RD'!G47,2)</f>
        <v>0.03</v>
      </c>
      <c r="E48" s="280">
        <f>ROUND('Lighting RD'!H47,2)</f>
        <v>-0.01</v>
      </c>
      <c r="F48" s="196">
        <f t="shared" si="3"/>
        <v>1.9999999999999997E-2</v>
      </c>
      <c r="G48" s="246" t="s">
        <v>89</v>
      </c>
    </row>
    <row r="49" spans="1:7" x14ac:dyDescent="0.2">
      <c r="A49" s="33">
        <f t="shared" si="0"/>
        <v>41</v>
      </c>
      <c r="B49" s="51" t="s">
        <v>188</v>
      </c>
      <c r="C49" s="39">
        <v>250</v>
      </c>
      <c r="D49" s="280">
        <f>ROUND('Lighting RD'!G48,2)</f>
        <v>0.04</v>
      </c>
      <c r="E49" s="280">
        <f>ROUND('Lighting RD'!H48,2)</f>
        <v>-0.01</v>
      </c>
      <c r="F49" s="196">
        <f t="shared" si="3"/>
        <v>0.03</v>
      </c>
      <c r="G49" s="246" t="s">
        <v>89</v>
      </c>
    </row>
    <row r="50" spans="1:7" x14ac:dyDescent="0.2">
      <c r="A50" s="33">
        <f t="shared" si="0"/>
        <v>42</v>
      </c>
      <c r="B50" s="51" t="s">
        <v>188</v>
      </c>
      <c r="C50" s="39">
        <v>400</v>
      </c>
      <c r="D50" s="280">
        <f>ROUND('Lighting RD'!G49,2)</f>
        <v>7.0000000000000007E-2</v>
      </c>
      <c r="E50" s="280">
        <f>ROUND('Lighting RD'!H49,2)</f>
        <v>-0.02</v>
      </c>
      <c r="F50" s="196">
        <f t="shared" si="3"/>
        <v>0.05</v>
      </c>
      <c r="G50" s="246" t="s">
        <v>89</v>
      </c>
    </row>
    <row r="51" spans="1:7" x14ac:dyDescent="0.2">
      <c r="A51" s="33">
        <f t="shared" si="0"/>
        <v>43</v>
      </c>
      <c r="B51" s="51" t="s">
        <v>188</v>
      </c>
      <c r="C51" s="39">
        <v>1000</v>
      </c>
      <c r="D51" s="280">
        <f>ROUND('Lighting RD'!G50,2)</f>
        <v>0.17</v>
      </c>
      <c r="E51" s="280">
        <f>ROUND('Lighting RD'!H50,2)</f>
        <v>-0.04</v>
      </c>
      <c r="F51" s="196">
        <f t="shared" si="3"/>
        <v>0.13</v>
      </c>
      <c r="G51" s="246" t="s">
        <v>89</v>
      </c>
    </row>
    <row r="52" spans="1:7" x14ac:dyDescent="0.2">
      <c r="A52" s="33">
        <f t="shared" si="0"/>
        <v>44</v>
      </c>
      <c r="B52" s="51"/>
      <c r="C52" s="39"/>
      <c r="D52" s="280"/>
      <c r="E52" s="280"/>
      <c r="F52" s="196"/>
      <c r="G52" s="246"/>
    </row>
    <row r="53" spans="1:7" ht="12" x14ac:dyDescent="0.35">
      <c r="A53" s="33">
        <f t="shared" si="0"/>
        <v>45</v>
      </c>
      <c r="B53" s="283" t="s">
        <v>176</v>
      </c>
      <c r="C53" s="4"/>
      <c r="D53" s="281"/>
      <c r="E53" s="281"/>
      <c r="F53" s="32"/>
      <c r="G53" s="246"/>
    </row>
    <row r="54" spans="1:7" x14ac:dyDescent="0.2">
      <c r="A54" s="33">
        <f t="shared" si="0"/>
        <v>46</v>
      </c>
      <c r="B54" s="51" t="s">
        <v>195</v>
      </c>
      <c r="C54" s="39">
        <v>50</v>
      </c>
      <c r="D54" s="280">
        <f>ROUND('Lighting RD'!G52,2)</f>
        <v>0.47</v>
      </c>
      <c r="E54" s="280">
        <f>ROUND('Lighting RD'!H52,2)</f>
        <v>-0.12</v>
      </c>
      <c r="F54" s="196">
        <f t="shared" ref="F54:F62" si="4">SUM(D54:E54)</f>
        <v>0.35</v>
      </c>
      <c r="G54" s="246" t="s">
        <v>89</v>
      </c>
    </row>
    <row r="55" spans="1:7" x14ac:dyDescent="0.2">
      <c r="A55" s="33">
        <f t="shared" si="0"/>
        <v>47</v>
      </c>
      <c r="B55" s="51" t="s">
        <v>195</v>
      </c>
      <c r="C55" s="39">
        <v>70</v>
      </c>
      <c r="D55" s="280">
        <f>ROUND('Lighting RD'!G53,2)</f>
        <v>0.5</v>
      </c>
      <c r="E55" s="280">
        <f>ROUND('Lighting RD'!H53,2)</f>
        <v>-0.13</v>
      </c>
      <c r="F55" s="196">
        <f t="shared" si="4"/>
        <v>0.37</v>
      </c>
      <c r="G55" s="246" t="s">
        <v>89</v>
      </c>
    </row>
    <row r="56" spans="1:7" x14ac:dyDescent="0.2">
      <c r="A56" s="33">
        <f t="shared" si="0"/>
        <v>48</v>
      </c>
      <c r="B56" s="51" t="s">
        <v>195</v>
      </c>
      <c r="C56" s="39">
        <v>100</v>
      </c>
      <c r="D56" s="280">
        <f>ROUND('Lighting RD'!G54,2)</f>
        <v>0.48</v>
      </c>
      <c r="E56" s="280">
        <f>ROUND('Lighting RD'!H54,2)</f>
        <v>-0.13</v>
      </c>
      <c r="F56" s="196">
        <f t="shared" si="4"/>
        <v>0.35</v>
      </c>
      <c r="G56" s="246" t="s">
        <v>89</v>
      </c>
    </row>
    <row r="57" spans="1:7" x14ac:dyDescent="0.2">
      <c r="A57" s="33">
        <f t="shared" si="0"/>
        <v>49</v>
      </c>
      <c r="B57" s="51" t="s">
        <v>195</v>
      </c>
      <c r="C57" s="39">
        <v>150</v>
      </c>
      <c r="D57" s="280">
        <f>ROUND('Lighting RD'!G55,2)</f>
        <v>0.49</v>
      </c>
      <c r="E57" s="280">
        <f>ROUND('Lighting RD'!H55,2)</f>
        <v>-0.13</v>
      </c>
      <c r="F57" s="196">
        <f t="shared" si="4"/>
        <v>0.36</v>
      </c>
      <c r="G57" s="246" t="s">
        <v>89</v>
      </c>
    </row>
    <row r="58" spans="1:7" x14ac:dyDescent="0.2">
      <c r="A58" s="33">
        <f t="shared" si="0"/>
        <v>50</v>
      </c>
      <c r="B58" s="51" t="s">
        <v>195</v>
      </c>
      <c r="C58" s="39">
        <v>200</v>
      </c>
      <c r="D58" s="280">
        <f>ROUND('Lighting RD'!G56,2)</f>
        <v>0.53</v>
      </c>
      <c r="E58" s="280">
        <f>ROUND('Lighting RD'!H56,2)</f>
        <v>-0.14000000000000001</v>
      </c>
      <c r="F58" s="196">
        <f t="shared" si="4"/>
        <v>0.39</v>
      </c>
      <c r="G58" s="246" t="s">
        <v>89</v>
      </c>
    </row>
    <row r="59" spans="1:7" x14ac:dyDescent="0.2">
      <c r="A59" s="33">
        <f t="shared" si="0"/>
        <v>51</v>
      </c>
      <c r="B59" s="51" t="s">
        <v>195</v>
      </c>
      <c r="C59" s="39">
        <v>250</v>
      </c>
      <c r="D59" s="280">
        <f>ROUND('Lighting RD'!G57,2)</f>
        <v>0.55000000000000004</v>
      </c>
      <c r="E59" s="280">
        <f>ROUND('Lighting RD'!H57,2)</f>
        <v>-0.15</v>
      </c>
      <c r="F59" s="196">
        <f t="shared" si="4"/>
        <v>0.4</v>
      </c>
      <c r="G59" s="246" t="s">
        <v>89</v>
      </c>
    </row>
    <row r="60" spans="1:7" x14ac:dyDescent="0.2">
      <c r="A60" s="33">
        <f t="shared" si="0"/>
        <v>52</v>
      </c>
      <c r="B60" s="51" t="s">
        <v>195</v>
      </c>
      <c r="C60" s="39">
        <v>310</v>
      </c>
      <c r="D60" s="280">
        <f>ROUND('Lighting RD'!G58,2)</f>
        <v>0.56999999999999995</v>
      </c>
      <c r="E60" s="280">
        <f>ROUND('Lighting RD'!H58,2)</f>
        <v>-0.15</v>
      </c>
      <c r="F60" s="196">
        <f t="shared" si="4"/>
        <v>0.41999999999999993</v>
      </c>
      <c r="G60" s="246" t="s">
        <v>89</v>
      </c>
    </row>
    <row r="61" spans="1:7" x14ac:dyDescent="0.2">
      <c r="A61" s="33">
        <f t="shared" si="0"/>
        <v>53</v>
      </c>
      <c r="B61" s="51" t="s">
        <v>195</v>
      </c>
      <c r="C61" s="39">
        <v>400</v>
      </c>
      <c r="D61" s="280">
        <f>ROUND('Lighting RD'!G59,2)</f>
        <v>0.62</v>
      </c>
      <c r="E61" s="280">
        <f>ROUND('Lighting RD'!H59,2)</f>
        <v>-0.17</v>
      </c>
      <c r="F61" s="196">
        <f t="shared" si="4"/>
        <v>0.44999999999999996</v>
      </c>
      <c r="G61" s="246" t="s">
        <v>89</v>
      </c>
    </row>
    <row r="62" spans="1:7" x14ac:dyDescent="0.2">
      <c r="A62" s="33">
        <f t="shared" si="0"/>
        <v>54</v>
      </c>
      <c r="B62" s="51" t="s">
        <v>195</v>
      </c>
      <c r="C62" s="39">
        <v>1000</v>
      </c>
      <c r="D62" s="280">
        <f>ROUND('Lighting RD'!G60,2)</f>
        <v>0.86</v>
      </c>
      <c r="E62" s="280">
        <f>ROUND('Lighting RD'!H60,2)</f>
        <v>-0.23</v>
      </c>
      <c r="F62" s="196">
        <f t="shared" si="4"/>
        <v>0.63</v>
      </c>
      <c r="G62" s="246" t="s">
        <v>89</v>
      </c>
    </row>
    <row r="63" spans="1:7" x14ac:dyDescent="0.2">
      <c r="A63" s="33">
        <f t="shared" si="0"/>
        <v>55</v>
      </c>
      <c r="B63" s="51"/>
      <c r="C63" s="39"/>
      <c r="D63" s="281"/>
      <c r="E63" s="281"/>
      <c r="F63" s="32"/>
      <c r="G63" s="246"/>
    </row>
    <row r="64" spans="1:7" x14ac:dyDescent="0.2">
      <c r="A64" s="33">
        <f t="shared" si="0"/>
        <v>56</v>
      </c>
      <c r="B64" s="51" t="s">
        <v>196</v>
      </c>
      <c r="C64" s="39">
        <v>70</v>
      </c>
      <c r="D64" s="280">
        <f>ROUND('Lighting RD'!G62,2)</f>
        <v>0.45</v>
      </c>
      <c r="E64" s="280">
        <f>ROUND('Lighting RD'!H62,2)</f>
        <v>-0.12</v>
      </c>
      <c r="F64" s="196">
        <f>SUM(D64:E64)</f>
        <v>0.33</v>
      </c>
      <c r="G64" s="246" t="s">
        <v>90</v>
      </c>
    </row>
    <row r="65" spans="1:7" x14ac:dyDescent="0.2">
      <c r="A65" s="33">
        <f t="shared" si="0"/>
        <v>57</v>
      </c>
      <c r="B65" s="51" t="s">
        <v>196</v>
      </c>
      <c r="C65" s="39">
        <v>100</v>
      </c>
      <c r="D65" s="280">
        <f>ROUND('Lighting RD'!G63,2)</f>
        <v>0.46</v>
      </c>
      <c r="E65" s="280">
        <f>ROUND('Lighting RD'!H63,2)</f>
        <v>-0.12</v>
      </c>
      <c r="F65" s="196">
        <f>SUM(D65:E65)</f>
        <v>0.34</v>
      </c>
      <c r="G65" s="246" t="s">
        <v>90</v>
      </c>
    </row>
    <row r="66" spans="1:7" x14ac:dyDescent="0.2">
      <c r="A66" s="33">
        <f t="shared" si="0"/>
        <v>58</v>
      </c>
      <c r="B66" s="51" t="s">
        <v>196</v>
      </c>
      <c r="C66" s="39">
        <v>150</v>
      </c>
      <c r="D66" s="280">
        <f>ROUND('Lighting RD'!G64,2)</f>
        <v>0.48</v>
      </c>
      <c r="E66" s="280">
        <f>ROUND('Lighting RD'!H64,2)</f>
        <v>-0.13</v>
      </c>
      <c r="F66" s="196">
        <f>SUM(D66:E66)</f>
        <v>0.35</v>
      </c>
      <c r="G66" s="246" t="s">
        <v>90</v>
      </c>
    </row>
    <row r="67" spans="1:7" x14ac:dyDescent="0.2">
      <c r="A67" s="33">
        <f t="shared" si="0"/>
        <v>59</v>
      </c>
      <c r="B67" s="51" t="s">
        <v>196</v>
      </c>
      <c r="C67" s="39">
        <v>250</v>
      </c>
      <c r="D67" s="280">
        <f>ROUND('Lighting RD'!G65,2)</f>
        <v>0.54</v>
      </c>
      <c r="E67" s="280">
        <f>ROUND('Lighting RD'!H65,2)</f>
        <v>-0.14000000000000001</v>
      </c>
      <c r="F67" s="196">
        <f>SUM(D67:E67)</f>
        <v>0.4</v>
      </c>
      <c r="G67" s="246" t="s">
        <v>90</v>
      </c>
    </row>
    <row r="68" spans="1:7" x14ac:dyDescent="0.2">
      <c r="A68" s="33">
        <f t="shared" si="0"/>
        <v>60</v>
      </c>
      <c r="B68" s="51" t="s">
        <v>196</v>
      </c>
      <c r="C68" s="39">
        <v>400</v>
      </c>
      <c r="D68" s="280">
        <f>ROUND('Lighting RD'!G66,2)</f>
        <v>0.56000000000000005</v>
      </c>
      <c r="E68" s="280">
        <f>ROUND('Lighting RD'!H66,2)</f>
        <v>-0.15</v>
      </c>
      <c r="F68" s="196">
        <f>SUM(D68:E68)</f>
        <v>0.41000000000000003</v>
      </c>
      <c r="G68" s="246" t="s">
        <v>90</v>
      </c>
    </row>
    <row r="69" spans="1:7" x14ac:dyDescent="0.2">
      <c r="A69" s="33">
        <f t="shared" si="0"/>
        <v>61</v>
      </c>
      <c r="B69" s="51"/>
      <c r="C69" s="39"/>
      <c r="D69" s="281"/>
      <c r="E69" s="281"/>
      <c r="F69" s="32"/>
      <c r="G69" s="246"/>
    </row>
    <row r="70" spans="1:7" x14ac:dyDescent="0.2">
      <c r="A70" s="33">
        <f t="shared" si="0"/>
        <v>62</v>
      </c>
      <c r="B70" s="51" t="s">
        <v>197</v>
      </c>
      <c r="C70" s="61" t="s">
        <v>101</v>
      </c>
      <c r="D70" s="280">
        <f>ROUND('Lighting RD'!G68,2)</f>
        <v>0.48</v>
      </c>
      <c r="E70" s="280">
        <f>ROUND('Lighting RD'!H68,2)</f>
        <v>-0.13</v>
      </c>
      <c r="F70" s="196">
        <f t="shared" ref="F70:F79" si="5">SUM(D70:E70)</f>
        <v>0.35</v>
      </c>
      <c r="G70" s="246" t="s">
        <v>91</v>
      </c>
    </row>
    <row r="71" spans="1:7" x14ac:dyDescent="0.2">
      <c r="A71" s="33">
        <f t="shared" si="0"/>
        <v>63</v>
      </c>
      <c r="B71" s="51" t="s">
        <v>197</v>
      </c>
      <c r="C71" s="61" t="s">
        <v>37</v>
      </c>
      <c r="D71" s="280">
        <f>ROUND('Lighting RD'!G69,2)</f>
        <v>0.48</v>
      </c>
      <c r="E71" s="280">
        <f>ROUND('Lighting RD'!H69,2)</f>
        <v>-0.13</v>
      </c>
      <c r="F71" s="196">
        <f t="shared" si="5"/>
        <v>0.35</v>
      </c>
      <c r="G71" s="246" t="s">
        <v>91</v>
      </c>
    </row>
    <row r="72" spans="1:7" x14ac:dyDescent="0.2">
      <c r="A72" s="33">
        <f t="shared" si="0"/>
        <v>64</v>
      </c>
      <c r="B72" s="51" t="s">
        <v>197</v>
      </c>
      <c r="C72" s="58" t="s">
        <v>38</v>
      </c>
      <c r="D72" s="280">
        <f>ROUND('Lighting RD'!G70,2)</f>
        <v>0.48</v>
      </c>
      <c r="E72" s="280">
        <f>ROUND('Lighting RD'!H70,2)</f>
        <v>-0.13</v>
      </c>
      <c r="F72" s="196">
        <f t="shared" si="5"/>
        <v>0.35</v>
      </c>
      <c r="G72" s="246" t="s">
        <v>91</v>
      </c>
    </row>
    <row r="73" spans="1:7" x14ac:dyDescent="0.2">
      <c r="A73" s="33">
        <f t="shared" si="0"/>
        <v>65</v>
      </c>
      <c r="B73" s="51" t="s">
        <v>197</v>
      </c>
      <c r="C73" s="58" t="s">
        <v>39</v>
      </c>
      <c r="D73" s="280">
        <f>ROUND('Lighting RD'!G71,2)</f>
        <v>0.51</v>
      </c>
      <c r="E73" s="280">
        <f>ROUND('Lighting RD'!H71,2)</f>
        <v>-0.14000000000000001</v>
      </c>
      <c r="F73" s="196">
        <f t="shared" si="5"/>
        <v>0.37</v>
      </c>
      <c r="G73" s="246" t="s">
        <v>91</v>
      </c>
    </row>
    <row r="74" spans="1:7" x14ac:dyDescent="0.2">
      <c r="A74" s="33">
        <f t="shared" si="0"/>
        <v>66</v>
      </c>
      <c r="B74" s="51" t="s">
        <v>197</v>
      </c>
      <c r="C74" s="58" t="s">
        <v>40</v>
      </c>
      <c r="D74" s="280">
        <f>ROUND('Lighting RD'!G72,2)</f>
        <v>0.53</v>
      </c>
      <c r="E74" s="280">
        <f>ROUND('Lighting RD'!H72,2)</f>
        <v>-0.14000000000000001</v>
      </c>
      <c r="F74" s="196">
        <f t="shared" si="5"/>
        <v>0.39</v>
      </c>
      <c r="G74" s="246" t="s">
        <v>91</v>
      </c>
    </row>
    <row r="75" spans="1:7" x14ac:dyDescent="0.2">
      <c r="A75" s="33">
        <f t="shared" si="0"/>
        <v>67</v>
      </c>
      <c r="B75" s="51" t="s">
        <v>197</v>
      </c>
      <c r="C75" s="58" t="s">
        <v>41</v>
      </c>
      <c r="D75" s="280">
        <f>ROUND('Lighting RD'!G73,2)</f>
        <v>0.52</v>
      </c>
      <c r="E75" s="280">
        <f>ROUND('Lighting RD'!H73,2)</f>
        <v>-0.14000000000000001</v>
      </c>
      <c r="F75" s="196">
        <f t="shared" si="5"/>
        <v>0.38</v>
      </c>
      <c r="G75" s="246" t="s">
        <v>91</v>
      </c>
    </row>
    <row r="76" spans="1:7" x14ac:dyDescent="0.2">
      <c r="A76" s="33">
        <f t="shared" si="0"/>
        <v>68</v>
      </c>
      <c r="B76" s="51" t="s">
        <v>197</v>
      </c>
      <c r="C76" s="58" t="s">
        <v>42</v>
      </c>
      <c r="D76" s="280">
        <f>ROUND('Lighting RD'!G74,2)</f>
        <v>0.53</v>
      </c>
      <c r="E76" s="280">
        <f>ROUND('Lighting RD'!H74,2)</f>
        <v>-0.14000000000000001</v>
      </c>
      <c r="F76" s="196">
        <f t="shared" si="5"/>
        <v>0.39</v>
      </c>
      <c r="G76" s="246" t="s">
        <v>92</v>
      </c>
    </row>
    <row r="77" spans="1:7" x14ac:dyDescent="0.2">
      <c r="A77" s="33">
        <f t="shared" si="0"/>
        <v>69</v>
      </c>
      <c r="B77" s="51" t="s">
        <v>197</v>
      </c>
      <c r="C77" s="58" t="s">
        <v>43</v>
      </c>
      <c r="D77" s="280">
        <f>ROUND('Lighting RD'!G75,2)</f>
        <v>0.54</v>
      </c>
      <c r="E77" s="280">
        <f>ROUND('Lighting RD'!H75,2)</f>
        <v>-0.14000000000000001</v>
      </c>
      <c r="F77" s="196">
        <f t="shared" si="5"/>
        <v>0.4</v>
      </c>
      <c r="G77" s="246" t="s">
        <v>92</v>
      </c>
    </row>
    <row r="78" spans="1:7" x14ac:dyDescent="0.2">
      <c r="A78" s="33">
        <f t="shared" ref="A78:A143" si="6">A77+1</f>
        <v>70</v>
      </c>
      <c r="B78" s="51" t="s">
        <v>197</v>
      </c>
      <c r="C78" s="58" t="s">
        <v>44</v>
      </c>
      <c r="D78" s="280">
        <f>ROUND('Lighting RD'!G76,2)</f>
        <v>0.54</v>
      </c>
      <c r="E78" s="280">
        <f>ROUND('Lighting RD'!H76,2)</f>
        <v>-0.14000000000000001</v>
      </c>
      <c r="F78" s="196">
        <f t="shared" si="5"/>
        <v>0.4</v>
      </c>
      <c r="G78" s="246" t="s">
        <v>92</v>
      </c>
    </row>
    <row r="79" spans="1:7" x14ac:dyDescent="0.2">
      <c r="A79" s="33">
        <f t="shared" si="6"/>
        <v>71</v>
      </c>
      <c r="B79" s="51" t="s">
        <v>197</v>
      </c>
      <c r="C79" s="58" t="s">
        <v>45</v>
      </c>
      <c r="D79" s="280">
        <f>ROUND('Lighting RD'!G77,2)</f>
        <v>0.55000000000000004</v>
      </c>
      <c r="E79" s="280">
        <f>ROUND('Lighting RD'!H77,2)</f>
        <v>-0.15</v>
      </c>
      <c r="F79" s="196">
        <f t="shared" si="5"/>
        <v>0.4</v>
      </c>
      <c r="G79" s="246" t="s">
        <v>92</v>
      </c>
    </row>
    <row r="80" spans="1:7" x14ac:dyDescent="0.2">
      <c r="A80" s="33">
        <f t="shared" si="6"/>
        <v>72</v>
      </c>
      <c r="B80" s="51"/>
      <c r="C80" s="58"/>
      <c r="D80" s="282"/>
      <c r="E80" s="282"/>
      <c r="F80" s="56"/>
      <c r="G80" s="246"/>
    </row>
    <row r="81" spans="1:7" x14ac:dyDescent="0.2">
      <c r="A81" s="33">
        <f t="shared" si="6"/>
        <v>73</v>
      </c>
      <c r="B81" s="51" t="s">
        <v>198</v>
      </c>
      <c r="C81" s="61" t="s">
        <v>115</v>
      </c>
      <c r="D81" s="266">
        <f>ROUND('Lighting RD'!G79,6)</f>
        <v>7.5550000000000001E-3</v>
      </c>
      <c r="E81" s="266">
        <f>ROUND('Lighting RD'!H79,6)</f>
        <v>-2.0149999999999999E-3</v>
      </c>
      <c r="F81" s="253">
        <f>SUM(D81:E81)</f>
        <v>5.5399999999999998E-3</v>
      </c>
      <c r="G81" s="246" t="s">
        <v>92</v>
      </c>
    </row>
    <row r="82" spans="1:7" x14ac:dyDescent="0.2">
      <c r="A82" s="33">
        <f t="shared" si="6"/>
        <v>74</v>
      </c>
      <c r="B82" s="51"/>
      <c r="C82" s="39"/>
      <c r="D82" s="281"/>
      <c r="E82" s="281"/>
      <c r="F82" s="32"/>
      <c r="G82" s="246"/>
    </row>
    <row r="83" spans="1:7" x14ac:dyDescent="0.2">
      <c r="A83" s="33">
        <f t="shared" si="6"/>
        <v>75</v>
      </c>
      <c r="B83" s="51" t="s">
        <v>199</v>
      </c>
      <c r="C83" s="39">
        <v>50</v>
      </c>
      <c r="D83" s="280">
        <f>ROUND('Lighting RD'!G81,2)</f>
        <v>0.01</v>
      </c>
      <c r="E83" s="280">
        <f>ROUND('Lighting RD'!H81,2)</f>
        <v>0</v>
      </c>
      <c r="F83" s="196">
        <f t="shared" ref="F83:F91" si="7">SUM(D83:E83)</f>
        <v>0.01</v>
      </c>
      <c r="G83" s="246" t="s">
        <v>90</v>
      </c>
    </row>
    <row r="84" spans="1:7" x14ac:dyDescent="0.2">
      <c r="A84" s="33">
        <f t="shared" si="6"/>
        <v>76</v>
      </c>
      <c r="B84" s="51" t="s">
        <v>199</v>
      </c>
      <c r="C84" s="39">
        <v>70</v>
      </c>
      <c r="D84" s="280">
        <f>ROUND('Lighting RD'!G82,2)</f>
        <v>0.01</v>
      </c>
      <c r="E84" s="280">
        <f>ROUND('Lighting RD'!H82,2)</f>
        <v>0</v>
      </c>
      <c r="F84" s="196">
        <f t="shared" si="7"/>
        <v>0.01</v>
      </c>
      <c r="G84" s="246" t="s">
        <v>90</v>
      </c>
    </row>
    <row r="85" spans="1:7" x14ac:dyDescent="0.2">
      <c r="A85" s="33">
        <f t="shared" si="6"/>
        <v>77</v>
      </c>
      <c r="B85" s="51" t="s">
        <v>199</v>
      </c>
      <c r="C85" s="39">
        <v>100</v>
      </c>
      <c r="D85" s="280">
        <f>ROUND('Lighting RD'!G83,2)</f>
        <v>0.02</v>
      </c>
      <c r="E85" s="280">
        <f>ROUND('Lighting RD'!H83,2)</f>
        <v>0</v>
      </c>
      <c r="F85" s="196">
        <f t="shared" si="7"/>
        <v>0.02</v>
      </c>
      <c r="G85" s="246" t="s">
        <v>90</v>
      </c>
    </row>
    <row r="86" spans="1:7" x14ac:dyDescent="0.2">
      <c r="A86" s="33">
        <f t="shared" si="6"/>
        <v>78</v>
      </c>
      <c r="B86" s="51" t="s">
        <v>199</v>
      </c>
      <c r="C86" s="39">
        <v>150</v>
      </c>
      <c r="D86" s="280">
        <f>ROUND('Lighting RD'!G84,2)</f>
        <v>0.03</v>
      </c>
      <c r="E86" s="280">
        <f>ROUND('Lighting RD'!H84,2)</f>
        <v>-0.01</v>
      </c>
      <c r="F86" s="196">
        <f t="shared" si="7"/>
        <v>1.9999999999999997E-2</v>
      </c>
      <c r="G86" s="246" t="s">
        <v>90</v>
      </c>
    </row>
    <row r="87" spans="1:7" x14ac:dyDescent="0.2">
      <c r="A87" s="33">
        <f t="shared" si="6"/>
        <v>79</v>
      </c>
      <c r="B87" s="51" t="s">
        <v>199</v>
      </c>
      <c r="C87" s="39">
        <v>200</v>
      </c>
      <c r="D87" s="280">
        <f>ROUND('Lighting RD'!G85,2)</f>
        <v>0.04</v>
      </c>
      <c r="E87" s="280">
        <f>ROUND('Lighting RD'!H85,2)</f>
        <v>-0.01</v>
      </c>
      <c r="F87" s="196">
        <f t="shared" si="7"/>
        <v>0.03</v>
      </c>
      <c r="G87" s="246" t="s">
        <v>90</v>
      </c>
    </row>
    <row r="88" spans="1:7" x14ac:dyDescent="0.2">
      <c r="A88" s="33">
        <f t="shared" si="6"/>
        <v>80</v>
      </c>
      <c r="B88" s="51" t="s">
        <v>199</v>
      </c>
      <c r="C88" s="39">
        <v>250</v>
      </c>
      <c r="D88" s="280">
        <f>ROUND('Lighting RD'!G86,2)</f>
        <v>0.04</v>
      </c>
      <c r="E88" s="280">
        <f>ROUND('Lighting RD'!H86,2)</f>
        <v>-0.01</v>
      </c>
      <c r="F88" s="196">
        <f t="shared" si="7"/>
        <v>0.03</v>
      </c>
      <c r="G88" s="246" t="s">
        <v>90</v>
      </c>
    </row>
    <row r="89" spans="1:7" x14ac:dyDescent="0.2">
      <c r="A89" s="33">
        <f t="shared" si="6"/>
        <v>81</v>
      </c>
      <c r="B89" s="51" t="s">
        <v>199</v>
      </c>
      <c r="C89" s="39">
        <v>310</v>
      </c>
      <c r="D89" s="280">
        <f>ROUND('Lighting RD'!G87,2)</f>
        <v>0.05</v>
      </c>
      <c r="E89" s="280">
        <f>ROUND('Lighting RD'!H87,2)</f>
        <v>-0.01</v>
      </c>
      <c r="F89" s="196">
        <f t="shared" si="7"/>
        <v>0.04</v>
      </c>
      <c r="G89" s="246" t="s">
        <v>90</v>
      </c>
    </row>
    <row r="90" spans="1:7" x14ac:dyDescent="0.2">
      <c r="A90" s="33">
        <f t="shared" si="6"/>
        <v>82</v>
      </c>
      <c r="B90" s="51" t="s">
        <v>199</v>
      </c>
      <c r="C90" s="39">
        <v>400</v>
      </c>
      <c r="D90" s="280">
        <f>ROUND('Lighting RD'!G88,2)</f>
        <v>7.0000000000000007E-2</v>
      </c>
      <c r="E90" s="280">
        <f>ROUND('Lighting RD'!H88,2)</f>
        <v>-0.02</v>
      </c>
      <c r="F90" s="196">
        <f t="shared" si="7"/>
        <v>0.05</v>
      </c>
      <c r="G90" s="246" t="s">
        <v>90</v>
      </c>
    </row>
    <row r="91" spans="1:7" x14ac:dyDescent="0.2">
      <c r="A91" s="33">
        <f t="shared" si="6"/>
        <v>83</v>
      </c>
      <c r="B91" s="51" t="s">
        <v>199</v>
      </c>
      <c r="C91" s="39">
        <v>1000</v>
      </c>
      <c r="D91" s="280">
        <f>ROUND('Lighting RD'!G89,2)</f>
        <v>0.17</v>
      </c>
      <c r="E91" s="280">
        <f>ROUND('Lighting RD'!H89,2)</f>
        <v>-0.04</v>
      </c>
      <c r="F91" s="196">
        <f t="shared" si="7"/>
        <v>0.13</v>
      </c>
      <c r="G91" s="246" t="s">
        <v>90</v>
      </c>
    </row>
    <row r="92" spans="1:7" x14ac:dyDescent="0.2">
      <c r="A92" s="33">
        <f t="shared" si="6"/>
        <v>84</v>
      </c>
      <c r="B92" s="51"/>
      <c r="C92" s="39"/>
      <c r="D92" s="281"/>
      <c r="E92" s="281"/>
      <c r="F92" s="32"/>
      <c r="G92" s="246"/>
    </row>
    <row r="93" spans="1:7" x14ac:dyDescent="0.2">
      <c r="A93" s="33">
        <f t="shared" si="6"/>
        <v>85</v>
      </c>
      <c r="B93" s="51" t="s">
        <v>200</v>
      </c>
      <c r="C93" s="39">
        <v>70</v>
      </c>
      <c r="D93" s="280">
        <f>ROUND('Lighting RD'!G91,2)</f>
        <v>0.01</v>
      </c>
      <c r="E93" s="280">
        <f>ROUND('Lighting RD'!H91,2)</f>
        <v>0</v>
      </c>
      <c r="F93" s="196">
        <f t="shared" ref="F93:F98" si="8">SUM(D93:E93)</f>
        <v>0.01</v>
      </c>
      <c r="G93" s="246" t="s">
        <v>90</v>
      </c>
    </row>
    <row r="94" spans="1:7" x14ac:dyDescent="0.2">
      <c r="A94" s="33">
        <f t="shared" si="6"/>
        <v>86</v>
      </c>
      <c r="B94" s="51" t="s">
        <v>200</v>
      </c>
      <c r="C94" s="39">
        <v>100</v>
      </c>
      <c r="D94" s="280">
        <f>ROUND('Lighting RD'!G92,2)</f>
        <v>0.02</v>
      </c>
      <c r="E94" s="280">
        <f>ROUND('Lighting RD'!H92,2)</f>
        <v>0</v>
      </c>
      <c r="F94" s="196">
        <f t="shared" si="8"/>
        <v>0.02</v>
      </c>
      <c r="G94" s="246" t="s">
        <v>90</v>
      </c>
    </row>
    <row r="95" spans="1:7" x14ac:dyDescent="0.2">
      <c r="A95" s="33">
        <f t="shared" si="6"/>
        <v>87</v>
      </c>
      <c r="B95" s="51" t="s">
        <v>200</v>
      </c>
      <c r="C95" s="39">
        <v>150</v>
      </c>
      <c r="D95" s="280">
        <f>ROUND('Lighting RD'!G93,2)</f>
        <v>0.03</v>
      </c>
      <c r="E95" s="280">
        <f>ROUND('Lighting RD'!H93,2)</f>
        <v>-0.01</v>
      </c>
      <c r="F95" s="196">
        <f t="shared" si="8"/>
        <v>1.9999999999999997E-2</v>
      </c>
      <c r="G95" s="246" t="s">
        <v>90</v>
      </c>
    </row>
    <row r="96" spans="1:7" x14ac:dyDescent="0.2">
      <c r="A96" s="33">
        <f t="shared" si="6"/>
        <v>88</v>
      </c>
      <c r="B96" s="51" t="s">
        <v>200</v>
      </c>
      <c r="C96" s="39">
        <v>175</v>
      </c>
      <c r="D96" s="280">
        <f>ROUND('Lighting RD'!G94,2)</f>
        <v>0.03</v>
      </c>
      <c r="E96" s="280">
        <f>ROUND('Lighting RD'!H94,2)</f>
        <v>-0.01</v>
      </c>
      <c r="F96" s="196">
        <f t="shared" si="8"/>
        <v>1.9999999999999997E-2</v>
      </c>
      <c r="G96" s="246" t="s">
        <v>90</v>
      </c>
    </row>
    <row r="97" spans="1:7" x14ac:dyDescent="0.2">
      <c r="A97" s="33">
        <f t="shared" si="6"/>
        <v>89</v>
      </c>
      <c r="B97" s="51" t="s">
        <v>200</v>
      </c>
      <c r="C97" s="39">
        <v>250</v>
      </c>
      <c r="D97" s="280">
        <f>ROUND('Lighting RD'!G95,2)</f>
        <v>0.04</v>
      </c>
      <c r="E97" s="280">
        <f>ROUND('Lighting RD'!H95,2)</f>
        <v>-0.01</v>
      </c>
      <c r="F97" s="196">
        <f t="shared" si="8"/>
        <v>0.03</v>
      </c>
      <c r="G97" s="246" t="s">
        <v>90</v>
      </c>
    </row>
    <row r="98" spans="1:7" x14ac:dyDescent="0.2">
      <c r="A98" s="33">
        <f t="shared" si="6"/>
        <v>90</v>
      </c>
      <c r="B98" s="51" t="s">
        <v>200</v>
      </c>
      <c r="C98" s="39">
        <v>400</v>
      </c>
      <c r="D98" s="280">
        <f>ROUND('Lighting RD'!G96,2)</f>
        <v>7.0000000000000007E-2</v>
      </c>
      <c r="E98" s="280">
        <f>ROUND('Lighting RD'!H96,2)</f>
        <v>-0.02</v>
      </c>
      <c r="F98" s="196">
        <f t="shared" si="8"/>
        <v>0.05</v>
      </c>
      <c r="G98" s="246" t="s">
        <v>90</v>
      </c>
    </row>
    <row r="99" spans="1:7" x14ac:dyDescent="0.2">
      <c r="A99" s="33">
        <f t="shared" si="6"/>
        <v>91</v>
      </c>
      <c r="B99" s="51"/>
      <c r="C99" s="39"/>
      <c r="D99" s="281"/>
      <c r="E99" s="281"/>
      <c r="F99" s="32"/>
      <c r="G99" s="246"/>
    </row>
    <row r="100" spans="1:7" x14ac:dyDescent="0.2">
      <c r="A100" s="33">
        <f t="shared" si="6"/>
        <v>92</v>
      </c>
      <c r="B100" s="51" t="s">
        <v>201</v>
      </c>
      <c r="C100" s="61" t="s">
        <v>101</v>
      </c>
      <c r="D100" s="280">
        <f>ROUND('Lighting RD'!G98,2)</f>
        <v>0</v>
      </c>
      <c r="E100" s="280">
        <f>ROUND('Lighting RD'!H98,2)</f>
        <v>0</v>
      </c>
      <c r="F100" s="196">
        <f t="shared" ref="F100:F109" si="9">SUM(D100:E100)</f>
        <v>0</v>
      </c>
      <c r="G100" s="246" t="s">
        <v>87</v>
      </c>
    </row>
    <row r="101" spans="1:7" x14ac:dyDescent="0.2">
      <c r="A101" s="33">
        <f t="shared" si="6"/>
        <v>93</v>
      </c>
      <c r="B101" s="51" t="s">
        <v>201</v>
      </c>
      <c r="C101" s="61" t="s">
        <v>37</v>
      </c>
      <c r="D101" s="280">
        <f>ROUND('Lighting RD'!G99,2)</f>
        <v>0.01</v>
      </c>
      <c r="E101" s="280">
        <f>ROUND('Lighting RD'!H99,2)</f>
        <v>0</v>
      </c>
      <c r="F101" s="196">
        <f t="shared" si="9"/>
        <v>0.01</v>
      </c>
      <c r="G101" s="246" t="s">
        <v>87</v>
      </c>
    </row>
    <row r="102" spans="1:7" x14ac:dyDescent="0.2">
      <c r="A102" s="33">
        <f t="shared" si="6"/>
        <v>94</v>
      </c>
      <c r="B102" s="51" t="s">
        <v>201</v>
      </c>
      <c r="C102" s="58" t="s">
        <v>38</v>
      </c>
      <c r="D102" s="280">
        <f>ROUND('Lighting RD'!G100,2)</f>
        <v>0.01</v>
      </c>
      <c r="E102" s="280">
        <f>ROUND('Lighting RD'!H100,2)</f>
        <v>0</v>
      </c>
      <c r="F102" s="196">
        <f t="shared" si="9"/>
        <v>0.01</v>
      </c>
      <c r="G102" s="246" t="s">
        <v>87</v>
      </c>
    </row>
    <row r="103" spans="1:7" x14ac:dyDescent="0.2">
      <c r="A103" s="33">
        <f t="shared" si="6"/>
        <v>95</v>
      </c>
      <c r="B103" s="51" t="s">
        <v>201</v>
      </c>
      <c r="C103" s="58" t="s">
        <v>39</v>
      </c>
      <c r="D103" s="280">
        <f>ROUND('Lighting RD'!G101,2)</f>
        <v>0.02</v>
      </c>
      <c r="E103" s="280">
        <f>ROUND('Lighting RD'!H101,2)</f>
        <v>0</v>
      </c>
      <c r="F103" s="196">
        <f t="shared" si="9"/>
        <v>0.02</v>
      </c>
      <c r="G103" s="246" t="s">
        <v>87</v>
      </c>
    </row>
    <row r="104" spans="1:7" x14ac:dyDescent="0.2">
      <c r="A104" s="33">
        <f t="shared" si="6"/>
        <v>96</v>
      </c>
      <c r="B104" s="51" t="s">
        <v>201</v>
      </c>
      <c r="C104" s="58" t="s">
        <v>40</v>
      </c>
      <c r="D104" s="280">
        <f>ROUND('Lighting RD'!G102,2)</f>
        <v>0.03</v>
      </c>
      <c r="E104" s="280">
        <f>ROUND('Lighting RD'!H102,2)</f>
        <v>-0.01</v>
      </c>
      <c r="F104" s="196">
        <f t="shared" si="9"/>
        <v>1.9999999999999997E-2</v>
      </c>
      <c r="G104" s="246" t="s">
        <v>87</v>
      </c>
    </row>
    <row r="105" spans="1:7" x14ac:dyDescent="0.2">
      <c r="A105" s="33">
        <f t="shared" si="6"/>
        <v>97</v>
      </c>
      <c r="B105" s="51" t="s">
        <v>201</v>
      </c>
      <c r="C105" s="58" t="s">
        <v>41</v>
      </c>
      <c r="D105" s="280">
        <f>ROUND('Lighting RD'!G103,2)</f>
        <v>0.03</v>
      </c>
      <c r="E105" s="280">
        <f>ROUND('Lighting RD'!H103,2)</f>
        <v>-0.01</v>
      </c>
      <c r="F105" s="196">
        <f t="shared" si="9"/>
        <v>1.9999999999999997E-2</v>
      </c>
      <c r="G105" s="246" t="s">
        <v>87</v>
      </c>
    </row>
    <row r="106" spans="1:7" x14ac:dyDescent="0.2">
      <c r="A106" s="33">
        <f t="shared" si="6"/>
        <v>98</v>
      </c>
      <c r="B106" s="51" t="s">
        <v>201</v>
      </c>
      <c r="C106" s="58" t="s">
        <v>42</v>
      </c>
      <c r="D106" s="280">
        <f>ROUND('Lighting RD'!G104,2)</f>
        <v>0.04</v>
      </c>
      <c r="E106" s="280">
        <f>ROUND('Lighting RD'!H104,2)</f>
        <v>-0.01</v>
      </c>
      <c r="F106" s="196">
        <f t="shared" si="9"/>
        <v>0.03</v>
      </c>
      <c r="G106" s="246" t="s">
        <v>88</v>
      </c>
    </row>
    <row r="107" spans="1:7" x14ac:dyDescent="0.2">
      <c r="A107" s="33">
        <f t="shared" si="6"/>
        <v>99</v>
      </c>
      <c r="B107" s="51" t="s">
        <v>201</v>
      </c>
      <c r="C107" s="58" t="s">
        <v>43</v>
      </c>
      <c r="D107" s="280">
        <f>ROUND('Lighting RD'!G105,2)</f>
        <v>0.04</v>
      </c>
      <c r="E107" s="280">
        <f>ROUND('Lighting RD'!H105,2)</f>
        <v>-0.01</v>
      </c>
      <c r="F107" s="196">
        <f t="shared" si="9"/>
        <v>0.03</v>
      </c>
      <c r="G107" s="246" t="s">
        <v>88</v>
      </c>
    </row>
    <row r="108" spans="1:7" x14ac:dyDescent="0.2">
      <c r="A108" s="33">
        <f t="shared" si="6"/>
        <v>100</v>
      </c>
      <c r="B108" s="51" t="s">
        <v>201</v>
      </c>
      <c r="C108" s="58" t="s">
        <v>44</v>
      </c>
      <c r="D108" s="280">
        <f>ROUND('Lighting RD'!G106,2)</f>
        <v>0.04</v>
      </c>
      <c r="E108" s="280">
        <f>ROUND('Lighting RD'!H106,2)</f>
        <v>-0.01</v>
      </c>
      <c r="F108" s="196">
        <f t="shared" si="9"/>
        <v>0.03</v>
      </c>
      <c r="G108" s="246" t="s">
        <v>88</v>
      </c>
    </row>
    <row r="109" spans="1:7" x14ac:dyDescent="0.2">
      <c r="A109" s="33">
        <f t="shared" si="6"/>
        <v>101</v>
      </c>
      <c r="B109" s="51" t="s">
        <v>201</v>
      </c>
      <c r="C109" s="58" t="s">
        <v>45</v>
      </c>
      <c r="D109" s="280">
        <f>ROUND('Lighting RD'!G107,2)</f>
        <v>0.04</v>
      </c>
      <c r="E109" s="280">
        <f>ROUND('Lighting RD'!H107,2)</f>
        <v>-0.01</v>
      </c>
      <c r="F109" s="196">
        <f t="shared" si="9"/>
        <v>0.03</v>
      </c>
      <c r="G109" s="246" t="s">
        <v>88</v>
      </c>
    </row>
    <row r="110" spans="1:7" x14ac:dyDescent="0.2">
      <c r="A110" s="33">
        <f t="shared" si="6"/>
        <v>102</v>
      </c>
      <c r="B110" s="51"/>
      <c r="C110" s="58"/>
      <c r="D110" s="280"/>
      <c r="E110" s="280"/>
      <c r="F110" s="196"/>
      <c r="G110" s="246"/>
    </row>
    <row r="111" spans="1:7" ht="12" x14ac:dyDescent="0.35">
      <c r="A111" s="33">
        <f t="shared" si="6"/>
        <v>103</v>
      </c>
      <c r="B111" s="283" t="s">
        <v>177</v>
      </c>
      <c r="C111" s="4"/>
      <c r="D111" s="281"/>
      <c r="E111" s="281"/>
      <c r="F111" s="32"/>
      <c r="G111" s="246"/>
    </row>
    <row r="112" spans="1:7" x14ac:dyDescent="0.2">
      <c r="A112" s="33">
        <f t="shared" si="6"/>
        <v>104</v>
      </c>
      <c r="B112" s="51" t="s">
        <v>189</v>
      </c>
      <c r="C112" s="39">
        <v>50</v>
      </c>
      <c r="D112" s="280">
        <f>ROUND('Lighting RD'!G109,2)</f>
        <v>0.01</v>
      </c>
      <c r="E112" s="280">
        <f>ROUND('Lighting RD'!H109,2)</f>
        <v>0</v>
      </c>
      <c r="F112" s="196">
        <f t="shared" ref="F112:F120" si="10">SUM(D112:E112)</f>
        <v>0.01</v>
      </c>
      <c r="G112" s="246" t="s">
        <v>93</v>
      </c>
    </row>
    <row r="113" spans="1:7" x14ac:dyDescent="0.2">
      <c r="A113" s="33">
        <f t="shared" si="6"/>
        <v>105</v>
      </c>
      <c r="B113" s="51" t="s">
        <v>189</v>
      </c>
      <c r="C113" s="39">
        <v>70</v>
      </c>
      <c r="D113" s="280">
        <f>ROUND('Lighting RD'!G110,2)</f>
        <v>0.01</v>
      </c>
      <c r="E113" s="280">
        <f>ROUND('Lighting RD'!H110,2)</f>
        <v>0</v>
      </c>
      <c r="F113" s="196">
        <f t="shared" si="10"/>
        <v>0.01</v>
      </c>
      <c r="G113" s="246" t="s">
        <v>93</v>
      </c>
    </row>
    <row r="114" spans="1:7" x14ac:dyDescent="0.2">
      <c r="A114" s="33">
        <f t="shared" si="6"/>
        <v>106</v>
      </c>
      <c r="B114" s="51" t="s">
        <v>189</v>
      </c>
      <c r="C114" s="39">
        <v>100</v>
      </c>
      <c r="D114" s="280">
        <f>ROUND('Lighting RD'!G111,2)</f>
        <v>0.02</v>
      </c>
      <c r="E114" s="280">
        <f>ROUND('Lighting RD'!H111,2)</f>
        <v>0</v>
      </c>
      <c r="F114" s="196">
        <f t="shared" si="10"/>
        <v>0.02</v>
      </c>
      <c r="G114" s="246" t="s">
        <v>93</v>
      </c>
    </row>
    <row r="115" spans="1:7" x14ac:dyDescent="0.2">
      <c r="A115" s="33">
        <f t="shared" si="6"/>
        <v>107</v>
      </c>
      <c r="B115" s="51" t="s">
        <v>189</v>
      </c>
      <c r="C115" s="39">
        <v>150</v>
      </c>
      <c r="D115" s="280">
        <f>ROUND('Lighting RD'!G112,2)</f>
        <v>0.03</v>
      </c>
      <c r="E115" s="280">
        <f>ROUND('Lighting RD'!H112,2)</f>
        <v>-0.01</v>
      </c>
      <c r="F115" s="196">
        <f t="shared" si="10"/>
        <v>1.9999999999999997E-2</v>
      </c>
      <c r="G115" s="246" t="s">
        <v>93</v>
      </c>
    </row>
    <row r="116" spans="1:7" x14ac:dyDescent="0.2">
      <c r="A116" s="33">
        <f t="shared" si="6"/>
        <v>108</v>
      </c>
      <c r="B116" s="51" t="s">
        <v>189</v>
      </c>
      <c r="C116" s="39">
        <v>200</v>
      </c>
      <c r="D116" s="280">
        <f>ROUND('Lighting RD'!G113,2)</f>
        <v>0.04</v>
      </c>
      <c r="E116" s="280">
        <f>ROUND('Lighting RD'!H113,2)</f>
        <v>-0.01</v>
      </c>
      <c r="F116" s="196">
        <f t="shared" si="10"/>
        <v>0.03</v>
      </c>
      <c r="G116" s="246" t="s">
        <v>93</v>
      </c>
    </row>
    <row r="117" spans="1:7" x14ac:dyDescent="0.2">
      <c r="A117" s="33">
        <f t="shared" si="6"/>
        <v>109</v>
      </c>
      <c r="B117" s="51" t="s">
        <v>189</v>
      </c>
      <c r="C117" s="39">
        <v>250</v>
      </c>
      <c r="D117" s="280">
        <f>ROUND('Lighting RD'!G114,2)</f>
        <v>0.04</v>
      </c>
      <c r="E117" s="280">
        <f>ROUND('Lighting RD'!H114,2)</f>
        <v>-0.01</v>
      </c>
      <c r="F117" s="196">
        <f t="shared" si="10"/>
        <v>0.03</v>
      </c>
      <c r="G117" s="246" t="s">
        <v>93</v>
      </c>
    </row>
    <row r="118" spans="1:7" x14ac:dyDescent="0.2">
      <c r="A118" s="33">
        <f t="shared" si="6"/>
        <v>110</v>
      </c>
      <c r="B118" s="51" t="s">
        <v>189</v>
      </c>
      <c r="C118" s="39">
        <v>310</v>
      </c>
      <c r="D118" s="280">
        <f>ROUND('Lighting RD'!G115,2)</f>
        <v>0.05</v>
      </c>
      <c r="E118" s="280">
        <f>ROUND('Lighting RD'!H115,2)</f>
        <v>-0.01</v>
      </c>
      <c r="F118" s="196">
        <f t="shared" si="10"/>
        <v>0.04</v>
      </c>
      <c r="G118" s="246" t="s">
        <v>93</v>
      </c>
    </row>
    <row r="119" spans="1:7" x14ac:dyDescent="0.2">
      <c r="A119" s="33">
        <f t="shared" si="6"/>
        <v>111</v>
      </c>
      <c r="B119" s="51" t="s">
        <v>189</v>
      </c>
      <c r="C119" s="39">
        <v>400</v>
      </c>
      <c r="D119" s="280">
        <f>ROUND('Lighting RD'!G116,2)</f>
        <v>7.0000000000000007E-2</v>
      </c>
      <c r="E119" s="280">
        <f>ROUND('Lighting RD'!H116,2)</f>
        <v>-0.02</v>
      </c>
      <c r="F119" s="196">
        <f t="shared" si="10"/>
        <v>0.05</v>
      </c>
      <c r="G119" s="246" t="s">
        <v>93</v>
      </c>
    </row>
    <row r="120" spans="1:7" x14ac:dyDescent="0.2">
      <c r="A120" s="33">
        <f t="shared" si="6"/>
        <v>112</v>
      </c>
      <c r="B120" s="51" t="s">
        <v>189</v>
      </c>
      <c r="C120" s="39">
        <v>1000</v>
      </c>
      <c r="D120" s="280">
        <f>ROUND('Lighting RD'!G117,2)</f>
        <v>0.17</v>
      </c>
      <c r="E120" s="280">
        <f>ROUND('Lighting RD'!H117,2)</f>
        <v>-0.04</v>
      </c>
      <c r="F120" s="196">
        <f t="shared" si="10"/>
        <v>0.13</v>
      </c>
      <c r="G120" s="246" t="s">
        <v>93</v>
      </c>
    </row>
    <row r="121" spans="1:7" x14ac:dyDescent="0.2">
      <c r="A121" s="33">
        <f t="shared" si="6"/>
        <v>113</v>
      </c>
      <c r="B121" s="64"/>
      <c r="C121" s="39"/>
      <c r="D121" s="281"/>
      <c r="E121" s="281"/>
      <c r="F121" s="32"/>
      <c r="G121" s="246"/>
    </row>
    <row r="122" spans="1:7" x14ac:dyDescent="0.2">
      <c r="A122" s="33">
        <f t="shared" si="6"/>
        <v>114</v>
      </c>
      <c r="B122" s="51" t="s">
        <v>190</v>
      </c>
      <c r="C122" s="61" t="s">
        <v>101</v>
      </c>
      <c r="D122" s="280">
        <f>ROUND('Lighting RD'!G119,2)</f>
        <v>0</v>
      </c>
      <c r="E122" s="280">
        <f>ROUND('Lighting RD'!H119,2)</f>
        <v>0</v>
      </c>
      <c r="F122" s="196">
        <f t="shared" ref="F122:F131" si="11">SUM(D122:E122)</f>
        <v>0</v>
      </c>
      <c r="G122" s="246" t="s">
        <v>87</v>
      </c>
    </row>
    <row r="123" spans="1:7" x14ac:dyDescent="0.2">
      <c r="A123" s="33">
        <f t="shared" si="6"/>
        <v>115</v>
      </c>
      <c r="B123" s="51" t="s">
        <v>190</v>
      </c>
      <c r="C123" s="58" t="s">
        <v>37</v>
      </c>
      <c r="D123" s="280">
        <f>ROUND('Lighting RD'!G120,2)</f>
        <v>0.01</v>
      </c>
      <c r="E123" s="280">
        <f>ROUND('Lighting RD'!H120,2)</f>
        <v>0</v>
      </c>
      <c r="F123" s="196">
        <f t="shared" si="11"/>
        <v>0.01</v>
      </c>
      <c r="G123" s="246" t="s">
        <v>87</v>
      </c>
    </row>
    <row r="124" spans="1:7" x14ac:dyDescent="0.2">
      <c r="A124" s="33">
        <f t="shared" si="6"/>
        <v>116</v>
      </c>
      <c r="B124" s="51" t="s">
        <v>190</v>
      </c>
      <c r="C124" s="58" t="s">
        <v>38</v>
      </c>
      <c r="D124" s="280">
        <f>ROUND('Lighting RD'!G121,2)</f>
        <v>0.01</v>
      </c>
      <c r="E124" s="280">
        <f>ROUND('Lighting RD'!H121,2)</f>
        <v>0</v>
      </c>
      <c r="F124" s="196">
        <f t="shared" si="11"/>
        <v>0.01</v>
      </c>
      <c r="G124" s="246" t="s">
        <v>87</v>
      </c>
    </row>
    <row r="125" spans="1:7" x14ac:dyDescent="0.2">
      <c r="A125" s="33">
        <f t="shared" si="6"/>
        <v>117</v>
      </c>
      <c r="B125" s="51" t="s">
        <v>190</v>
      </c>
      <c r="C125" s="58" t="s">
        <v>39</v>
      </c>
      <c r="D125" s="280">
        <f>ROUND('Lighting RD'!G122,2)</f>
        <v>0.02</v>
      </c>
      <c r="E125" s="280">
        <f>ROUND('Lighting RD'!H122,2)</f>
        <v>0</v>
      </c>
      <c r="F125" s="196">
        <f t="shared" si="11"/>
        <v>0.02</v>
      </c>
      <c r="G125" s="246" t="s">
        <v>87</v>
      </c>
    </row>
    <row r="126" spans="1:7" x14ac:dyDescent="0.2">
      <c r="A126" s="33">
        <f t="shared" si="6"/>
        <v>118</v>
      </c>
      <c r="B126" s="51" t="s">
        <v>190</v>
      </c>
      <c r="C126" s="58" t="s">
        <v>40</v>
      </c>
      <c r="D126" s="280">
        <f>ROUND('Lighting RD'!G123,2)</f>
        <v>0.03</v>
      </c>
      <c r="E126" s="280">
        <f>ROUND('Lighting RD'!H123,2)</f>
        <v>-0.01</v>
      </c>
      <c r="F126" s="196">
        <f t="shared" si="11"/>
        <v>1.9999999999999997E-2</v>
      </c>
      <c r="G126" s="246" t="s">
        <v>87</v>
      </c>
    </row>
    <row r="127" spans="1:7" x14ac:dyDescent="0.2">
      <c r="A127" s="33">
        <f t="shared" si="6"/>
        <v>119</v>
      </c>
      <c r="B127" s="51" t="s">
        <v>190</v>
      </c>
      <c r="C127" s="58" t="s">
        <v>41</v>
      </c>
      <c r="D127" s="280">
        <f>ROUND('Lighting RD'!G124,2)</f>
        <v>0.03</v>
      </c>
      <c r="E127" s="280">
        <f>ROUND('Lighting RD'!H124,2)</f>
        <v>-0.01</v>
      </c>
      <c r="F127" s="196">
        <f t="shared" si="11"/>
        <v>1.9999999999999997E-2</v>
      </c>
      <c r="G127" s="246" t="s">
        <v>87</v>
      </c>
    </row>
    <row r="128" spans="1:7" x14ac:dyDescent="0.2">
      <c r="A128" s="33">
        <f t="shared" si="6"/>
        <v>120</v>
      </c>
      <c r="B128" s="51" t="s">
        <v>190</v>
      </c>
      <c r="C128" s="58" t="s">
        <v>42</v>
      </c>
      <c r="D128" s="280">
        <f>ROUND('Lighting RD'!G125,2)</f>
        <v>0.04</v>
      </c>
      <c r="E128" s="280">
        <f>ROUND('Lighting RD'!H125,2)</f>
        <v>-0.01</v>
      </c>
      <c r="F128" s="196">
        <f t="shared" si="11"/>
        <v>0.03</v>
      </c>
      <c r="G128" s="246" t="s">
        <v>88</v>
      </c>
    </row>
    <row r="129" spans="1:7" x14ac:dyDescent="0.2">
      <c r="A129" s="33">
        <f t="shared" si="6"/>
        <v>121</v>
      </c>
      <c r="B129" s="51" t="s">
        <v>190</v>
      </c>
      <c r="C129" s="58" t="s">
        <v>43</v>
      </c>
      <c r="D129" s="280">
        <f>ROUND('Lighting RD'!G126,2)</f>
        <v>0.04</v>
      </c>
      <c r="E129" s="280">
        <f>ROUND('Lighting RD'!H126,2)</f>
        <v>-0.01</v>
      </c>
      <c r="F129" s="196">
        <f t="shared" si="11"/>
        <v>0.03</v>
      </c>
      <c r="G129" s="246" t="s">
        <v>88</v>
      </c>
    </row>
    <row r="130" spans="1:7" x14ac:dyDescent="0.2">
      <c r="A130" s="33">
        <f t="shared" si="6"/>
        <v>122</v>
      </c>
      <c r="B130" s="51" t="s">
        <v>190</v>
      </c>
      <c r="C130" s="58" t="s">
        <v>44</v>
      </c>
      <c r="D130" s="280">
        <f>ROUND('Lighting RD'!G127,2)</f>
        <v>0.04</v>
      </c>
      <c r="E130" s="280">
        <f>ROUND('Lighting RD'!H127,2)</f>
        <v>-0.01</v>
      </c>
      <c r="F130" s="196">
        <f t="shared" si="11"/>
        <v>0.03</v>
      </c>
      <c r="G130" s="246" t="s">
        <v>88</v>
      </c>
    </row>
    <row r="131" spans="1:7" x14ac:dyDescent="0.2">
      <c r="A131" s="33">
        <f t="shared" si="6"/>
        <v>123</v>
      </c>
      <c r="B131" s="51" t="s">
        <v>190</v>
      </c>
      <c r="C131" s="58" t="s">
        <v>45</v>
      </c>
      <c r="D131" s="280">
        <f>ROUND('Lighting RD'!G128,2)</f>
        <v>0.04</v>
      </c>
      <c r="E131" s="280">
        <f>ROUND('Lighting RD'!H128,2)</f>
        <v>-0.01</v>
      </c>
      <c r="F131" s="196">
        <f t="shared" si="11"/>
        <v>0.03</v>
      </c>
      <c r="G131" s="246" t="s">
        <v>88</v>
      </c>
    </row>
    <row r="132" spans="1:7" x14ac:dyDescent="0.2">
      <c r="A132" s="33">
        <f t="shared" si="6"/>
        <v>124</v>
      </c>
      <c r="B132" s="51"/>
      <c r="C132" s="58"/>
      <c r="D132" s="280"/>
      <c r="E132" s="280"/>
      <c r="F132" s="196"/>
      <c r="G132" s="246"/>
    </row>
    <row r="133" spans="1:7" ht="12" x14ac:dyDescent="0.35">
      <c r="A133" s="33">
        <f t="shared" si="6"/>
        <v>125</v>
      </c>
      <c r="B133" s="283" t="s">
        <v>178</v>
      </c>
      <c r="C133" s="39"/>
      <c r="D133" s="281"/>
      <c r="E133" s="281"/>
      <c r="F133" s="32"/>
      <c r="G133" s="246"/>
    </row>
    <row r="134" spans="1:7" x14ac:dyDescent="0.2">
      <c r="A134" s="33">
        <f t="shared" si="6"/>
        <v>126</v>
      </c>
      <c r="B134" s="51" t="s">
        <v>191</v>
      </c>
      <c r="C134" s="39">
        <v>70</v>
      </c>
      <c r="D134" s="280">
        <f>ROUND('Lighting RD'!G130,2)</f>
        <v>0.5</v>
      </c>
      <c r="E134" s="280">
        <f>ROUND('Lighting RD'!H130,2)</f>
        <v>-0.13</v>
      </c>
      <c r="F134" s="196">
        <f t="shared" ref="F134:F139" si="12">SUM(D134:E134)</f>
        <v>0.37</v>
      </c>
      <c r="G134" s="246" t="s">
        <v>93</v>
      </c>
    </row>
    <row r="135" spans="1:7" x14ac:dyDescent="0.2">
      <c r="A135" s="33">
        <f t="shared" si="6"/>
        <v>127</v>
      </c>
      <c r="B135" s="64" t="s">
        <v>191</v>
      </c>
      <c r="C135" s="39">
        <v>100</v>
      </c>
      <c r="D135" s="280">
        <f>ROUND('Lighting RD'!G131,2)</f>
        <v>0.48</v>
      </c>
      <c r="E135" s="280">
        <f>ROUND('Lighting RD'!H131,2)</f>
        <v>-0.13</v>
      </c>
      <c r="F135" s="196">
        <f t="shared" si="12"/>
        <v>0.35</v>
      </c>
      <c r="G135" s="246" t="s">
        <v>93</v>
      </c>
    </row>
    <row r="136" spans="1:7" x14ac:dyDescent="0.2">
      <c r="A136" s="33">
        <f t="shared" si="6"/>
        <v>128</v>
      </c>
      <c r="B136" s="64" t="s">
        <v>191</v>
      </c>
      <c r="C136" s="39">
        <v>150</v>
      </c>
      <c r="D136" s="280">
        <f>ROUND('Lighting RD'!G132,2)</f>
        <v>0.49</v>
      </c>
      <c r="E136" s="280">
        <f>ROUND('Lighting RD'!H132,2)</f>
        <v>-0.13</v>
      </c>
      <c r="F136" s="196">
        <f t="shared" si="12"/>
        <v>0.36</v>
      </c>
      <c r="G136" s="246" t="s">
        <v>93</v>
      </c>
    </row>
    <row r="137" spans="1:7" x14ac:dyDescent="0.2">
      <c r="A137" s="33">
        <f t="shared" si="6"/>
        <v>129</v>
      </c>
      <c r="B137" s="64" t="s">
        <v>191</v>
      </c>
      <c r="C137" s="39">
        <v>200</v>
      </c>
      <c r="D137" s="280">
        <f>ROUND('Lighting RD'!G133,2)</f>
        <v>0.53</v>
      </c>
      <c r="E137" s="280">
        <f>ROUND('Lighting RD'!H133,2)</f>
        <v>-0.14000000000000001</v>
      </c>
      <c r="F137" s="196">
        <f t="shared" si="12"/>
        <v>0.39</v>
      </c>
      <c r="G137" s="246" t="s">
        <v>93</v>
      </c>
    </row>
    <row r="138" spans="1:7" x14ac:dyDescent="0.2">
      <c r="A138" s="33">
        <f t="shared" si="6"/>
        <v>130</v>
      </c>
      <c r="B138" s="64" t="s">
        <v>191</v>
      </c>
      <c r="C138" s="39">
        <v>250</v>
      </c>
      <c r="D138" s="280">
        <f>ROUND('Lighting RD'!G134,2)</f>
        <v>0.55000000000000004</v>
      </c>
      <c r="E138" s="280">
        <f>ROUND('Lighting RD'!H134,2)</f>
        <v>-0.15</v>
      </c>
      <c r="F138" s="196">
        <f t="shared" si="12"/>
        <v>0.4</v>
      </c>
      <c r="G138" s="246" t="s">
        <v>93</v>
      </c>
    </row>
    <row r="139" spans="1:7" x14ac:dyDescent="0.2">
      <c r="A139" s="33">
        <f t="shared" si="6"/>
        <v>131</v>
      </c>
      <c r="B139" s="64" t="s">
        <v>191</v>
      </c>
      <c r="C139" s="39">
        <v>400</v>
      </c>
      <c r="D139" s="280">
        <f>ROUND('Lighting RD'!G135,2)</f>
        <v>0.62</v>
      </c>
      <c r="E139" s="280">
        <f>ROUND('Lighting RD'!H135,2)</f>
        <v>-0.17</v>
      </c>
      <c r="F139" s="196">
        <f t="shared" si="12"/>
        <v>0.44999999999999996</v>
      </c>
      <c r="G139" s="246" t="s">
        <v>93</v>
      </c>
    </row>
    <row r="140" spans="1:7" x14ac:dyDescent="0.2">
      <c r="A140" s="33">
        <f t="shared" si="6"/>
        <v>132</v>
      </c>
      <c r="B140" s="64"/>
      <c r="C140" s="39"/>
      <c r="D140" s="281"/>
      <c r="E140" s="281"/>
      <c r="F140" s="32"/>
      <c r="G140" s="251"/>
    </row>
    <row r="141" spans="1:7" x14ac:dyDescent="0.2">
      <c r="A141" s="33">
        <f t="shared" si="6"/>
        <v>133</v>
      </c>
      <c r="B141" s="64" t="s">
        <v>192</v>
      </c>
      <c r="C141" s="39">
        <v>250</v>
      </c>
      <c r="D141" s="280">
        <f>ROUND('Lighting RD'!G137,2)</f>
        <v>0.54</v>
      </c>
      <c r="E141" s="280">
        <f>ROUND('Lighting RD'!H137,2)</f>
        <v>-0.14000000000000001</v>
      </c>
      <c r="F141" s="196">
        <f>SUM(D141:E141)</f>
        <v>0.4</v>
      </c>
      <c r="G141" s="246" t="s">
        <v>94</v>
      </c>
    </row>
    <row r="142" spans="1:7" x14ac:dyDescent="0.2">
      <c r="A142" s="33">
        <f t="shared" si="6"/>
        <v>134</v>
      </c>
      <c r="B142" s="64"/>
      <c r="C142" s="39"/>
      <c r="D142" s="281"/>
      <c r="E142" s="281"/>
      <c r="F142" s="32"/>
      <c r="G142" s="251"/>
    </row>
    <row r="143" spans="1:7" x14ac:dyDescent="0.2">
      <c r="A143" s="33">
        <f t="shared" si="6"/>
        <v>135</v>
      </c>
      <c r="B143" s="64" t="s">
        <v>193</v>
      </c>
      <c r="C143" s="61" t="s">
        <v>101</v>
      </c>
      <c r="D143" s="280">
        <f>ROUND('Lighting RD'!G139,2)</f>
        <v>0.38</v>
      </c>
      <c r="E143" s="280">
        <f>ROUND('Lighting RD'!H139,2)</f>
        <v>-0.1</v>
      </c>
      <c r="F143" s="196">
        <f t="shared" ref="F143:F152" si="13">SUM(D143:E143)</f>
        <v>0.28000000000000003</v>
      </c>
      <c r="G143" s="246" t="s">
        <v>94</v>
      </c>
    </row>
    <row r="144" spans="1:7" x14ac:dyDescent="0.2">
      <c r="A144" s="33">
        <f t="shared" ref="A144:A199" si="14">A143+1</f>
        <v>136</v>
      </c>
      <c r="B144" s="64" t="s">
        <v>193</v>
      </c>
      <c r="C144" s="61" t="s">
        <v>37</v>
      </c>
      <c r="D144" s="280">
        <f>ROUND('Lighting RD'!G140,2)</f>
        <v>0.44</v>
      </c>
      <c r="E144" s="280">
        <f>ROUND('Lighting RD'!H140,2)</f>
        <v>-0.12</v>
      </c>
      <c r="F144" s="196">
        <f t="shared" si="13"/>
        <v>0.32</v>
      </c>
      <c r="G144" s="246" t="s">
        <v>94</v>
      </c>
    </row>
    <row r="145" spans="1:7" x14ac:dyDescent="0.2">
      <c r="A145" s="33">
        <f t="shared" si="14"/>
        <v>137</v>
      </c>
      <c r="B145" s="64" t="s">
        <v>193</v>
      </c>
      <c r="C145" s="58" t="s">
        <v>38</v>
      </c>
      <c r="D145" s="280">
        <f>ROUND('Lighting RD'!G141,2)</f>
        <v>0.59</v>
      </c>
      <c r="E145" s="280">
        <f>ROUND('Lighting RD'!H141,2)</f>
        <v>-0.16</v>
      </c>
      <c r="F145" s="196">
        <f t="shared" si="13"/>
        <v>0.42999999999999994</v>
      </c>
      <c r="G145" s="246" t="s">
        <v>94</v>
      </c>
    </row>
    <row r="146" spans="1:7" x14ac:dyDescent="0.2">
      <c r="A146" s="33">
        <f t="shared" si="14"/>
        <v>138</v>
      </c>
      <c r="B146" s="64" t="s">
        <v>193</v>
      </c>
      <c r="C146" s="58" t="s">
        <v>39</v>
      </c>
      <c r="D146" s="280">
        <f>ROUND('Lighting RD'!G142,2)</f>
        <v>0.61</v>
      </c>
      <c r="E146" s="280">
        <f>ROUND('Lighting RD'!H142,2)</f>
        <v>-0.16</v>
      </c>
      <c r="F146" s="196">
        <f t="shared" si="13"/>
        <v>0.44999999999999996</v>
      </c>
      <c r="G146" s="246" t="s">
        <v>94</v>
      </c>
    </row>
    <row r="147" spans="1:7" x14ac:dyDescent="0.2">
      <c r="A147" s="33">
        <f t="shared" si="14"/>
        <v>139</v>
      </c>
      <c r="B147" s="64" t="s">
        <v>193</v>
      </c>
      <c r="C147" s="58" t="s">
        <v>40</v>
      </c>
      <c r="D147" s="280">
        <f>ROUND('Lighting RD'!G143,2)</f>
        <v>0.71</v>
      </c>
      <c r="E147" s="280">
        <f>ROUND('Lighting RD'!H143,2)</f>
        <v>-0.19</v>
      </c>
      <c r="F147" s="196">
        <f t="shared" si="13"/>
        <v>0.52</v>
      </c>
      <c r="G147" s="246" t="s">
        <v>94</v>
      </c>
    </row>
    <row r="148" spans="1:7" x14ac:dyDescent="0.2">
      <c r="A148" s="33">
        <f t="shared" si="14"/>
        <v>140</v>
      </c>
      <c r="B148" s="64" t="s">
        <v>193</v>
      </c>
      <c r="C148" s="58" t="s">
        <v>41</v>
      </c>
      <c r="D148" s="280">
        <f>ROUND('Lighting RD'!G144,2)</f>
        <v>0.8</v>
      </c>
      <c r="E148" s="280">
        <f>ROUND('Lighting RD'!H144,2)</f>
        <v>-0.21</v>
      </c>
      <c r="F148" s="196">
        <f t="shared" si="13"/>
        <v>0.59000000000000008</v>
      </c>
      <c r="G148" s="246" t="s">
        <v>94</v>
      </c>
    </row>
    <row r="149" spans="1:7" x14ac:dyDescent="0.2">
      <c r="A149" s="33">
        <f t="shared" si="14"/>
        <v>141</v>
      </c>
      <c r="B149" s="64" t="s">
        <v>193</v>
      </c>
      <c r="C149" s="58" t="s">
        <v>42</v>
      </c>
      <c r="D149" s="280">
        <f>ROUND('Lighting RD'!G145,2)</f>
        <v>0.89</v>
      </c>
      <c r="E149" s="280">
        <f>ROUND('Lighting RD'!H145,2)</f>
        <v>-0.24</v>
      </c>
      <c r="F149" s="196">
        <f t="shared" si="13"/>
        <v>0.65</v>
      </c>
      <c r="G149" s="246" t="s">
        <v>94</v>
      </c>
    </row>
    <row r="150" spans="1:7" x14ac:dyDescent="0.2">
      <c r="A150" s="33">
        <f t="shared" si="14"/>
        <v>142</v>
      </c>
      <c r="B150" s="64" t="s">
        <v>193</v>
      </c>
      <c r="C150" s="58" t="s">
        <v>43</v>
      </c>
      <c r="D150" s="280">
        <f>ROUND('Lighting RD'!G146,2)</f>
        <v>0.97</v>
      </c>
      <c r="E150" s="280">
        <f>ROUND('Lighting RD'!H146,2)</f>
        <v>-0.26</v>
      </c>
      <c r="F150" s="196">
        <f t="shared" si="13"/>
        <v>0.71</v>
      </c>
      <c r="G150" s="246" t="s">
        <v>94</v>
      </c>
    </row>
    <row r="151" spans="1:7" x14ac:dyDescent="0.2">
      <c r="A151" s="33">
        <f t="shared" si="14"/>
        <v>143</v>
      </c>
      <c r="B151" s="64" t="s">
        <v>193</v>
      </c>
      <c r="C151" s="58" t="s">
        <v>44</v>
      </c>
      <c r="D151" s="280">
        <f>ROUND('Lighting RD'!G147,2)</f>
        <v>1.06</v>
      </c>
      <c r="E151" s="280">
        <f>ROUND('Lighting RD'!H147,2)</f>
        <v>-0.28000000000000003</v>
      </c>
      <c r="F151" s="196">
        <f t="shared" si="13"/>
        <v>0.78</v>
      </c>
      <c r="G151" s="246" t="s">
        <v>94</v>
      </c>
    </row>
    <row r="152" spans="1:7" x14ac:dyDescent="0.2">
      <c r="A152" s="33">
        <f t="shared" si="14"/>
        <v>144</v>
      </c>
      <c r="B152" s="64" t="s">
        <v>193</v>
      </c>
      <c r="C152" s="58" t="s">
        <v>45</v>
      </c>
      <c r="D152" s="280">
        <f>ROUND('Lighting RD'!G148,2)</f>
        <v>1.1399999999999999</v>
      </c>
      <c r="E152" s="280">
        <f>ROUND('Lighting RD'!H148,2)</f>
        <v>-0.31</v>
      </c>
      <c r="F152" s="196">
        <f t="shared" si="13"/>
        <v>0.82999999999999985</v>
      </c>
      <c r="G152" s="246" t="s">
        <v>94</v>
      </c>
    </row>
    <row r="153" spans="1:7" x14ac:dyDescent="0.2">
      <c r="A153" s="33">
        <f t="shared" si="14"/>
        <v>145</v>
      </c>
      <c r="B153" s="64"/>
      <c r="C153" s="58"/>
      <c r="D153" s="280"/>
      <c r="E153" s="280"/>
      <c r="F153" s="196"/>
      <c r="G153" s="246"/>
    </row>
    <row r="154" spans="1:7" x14ac:dyDescent="0.2">
      <c r="A154" s="33">
        <f t="shared" si="14"/>
        <v>146</v>
      </c>
      <c r="B154" s="51" t="s">
        <v>179</v>
      </c>
      <c r="C154" s="39">
        <v>0</v>
      </c>
      <c r="D154" s="280">
        <f>ROUND('Lighting RD'!G191,2)</f>
        <v>0.52</v>
      </c>
      <c r="E154" s="280">
        <f>ROUND('Lighting RD'!H191,2)</f>
        <v>-0.14000000000000001</v>
      </c>
      <c r="F154" s="196">
        <f>SUM(D154:E154)</f>
        <v>0.38</v>
      </c>
      <c r="G154" s="246" t="s">
        <v>94</v>
      </c>
    </row>
    <row r="155" spans="1:7" x14ac:dyDescent="0.2">
      <c r="A155" s="33">
        <f t="shared" si="14"/>
        <v>147</v>
      </c>
      <c r="B155" s="51" t="s">
        <v>180</v>
      </c>
      <c r="C155" s="39">
        <v>0</v>
      </c>
      <c r="D155" s="280">
        <f>ROUND('Lighting RD'!G192,2)</f>
        <v>1.04</v>
      </c>
      <c r="E155" s="280">
        <f>ROUND('Lighting RD'!H192,2)</f>
        <v>-0.28000000000000003</v>
      </c>
      <c r="F155" s="196">
        <f>SUM(D155:E155)</f>
        <v>0.76</v>
      </c>
      <c r="G155" s="246" t="s">
        <v>94</v>
      </c>
    </row>
    <row r="156" spans="1:7" x14ac:dyDescent="0.2">
      <c r="A156" s="33">
        <f t="shared" si="14"/>
        <v>148</v>
      </c>
      <c r="B156" s="64"/>
      <c r="C156" s="58"/>
      <c r="D156" s="280"/>
      <c r="E156" s="280"/>
      <c r="F156" s="196"/>
      <c r="G156" s="246"/>
    </row>
    <row r="157" spans="1:7" ht="12" x14ac:dyDescent="0.35">
      <c r="A157" s="33">
        <f t="shared" si="14"/>
        <v>149</v>
      </c>
      <c r="B157" s="283" t="s">
        <v>66</v>
      </c>
      <c r="C157" s="39"/>
      <c r="D157" s="281"/>
      <c r="E157" s="281"/>
      <c r="F157" s="32"/>
      <c r="G157" s="246"/>
    </row>
    <row r="158" spans="1:7" x14ac:dyDescent="0.2">
      <c r="A158" s="33">
        <f t="shared" si="14"/>
        <v>150</v>
      </c>
      <c r="B158" s="64" t="s">
        <v>67</v>
      </c>
      <c r="C158" s="39" t="s">
        <v>206</v>
      </c>
      <c r="D158" s="318">
        <f>ROUND('Lighting RD'!G188,5)</f>
        <v>1.8000000000000001E-4</v>
      </c>
      <c r="E158" s="318">
        <f>ROUND('Lighting RD'!H188,5)</f>
        <v>-5.0000000000000002E-5</v>
      </c>
      <c r="F158" s="319">
        <f>SUM(D158:E158)</f>
        <v>1.3000000000000002E-4</v>
      </c>
      <c r="G158" s="246" t="s">
        <v>95</v>
      </c>
    </row>
    <row r="159" spans="1:7" x14ac:dyDescent="0.2">
      <c r="A159" s="33">
        <f t="shared" si="14"/>
        <v>151</v>
      </c>
      <c r="B159" s="64"/>
      <c r="C159" s="58"/>
      <c r="D159" s="280"/>
      <c r="E159" s="280"/>
      <c r="F159" s="196"/>
      <c r="G159" s="246"/>
    </row>
    <row r="160" spans="1:7" ht="12" x14ac:dyDescent="0.35">
      <c r="A160" s="33">
        <f t="shared" si="14"/>
        <v>152</v>
      </c>
      <c r="B160" s="283" t="s">
        <v>56</v>
      </c>
      <c r="C160" s="39"/>
      <c r="D160" s="281"/>
      <c r="E160" s="281"/>
      <c r="F160" s="32"/>
      <c r="G160" s="246"/>
    </row>
    <row r="161" spans="1:7" x14ac:dyDescent="0.2">
      <c r="A161" s="33">
        <f t="shared" si="14"/>
        <v>153</v>
      </c>
      <c r="B161" s="51" t="s">
        <v>202</v>
      </c>
      <c r="C161" s="39">
        <v>70</v>
      </c>
      <c r="D161" s="280">
        <f>ROUND('Lighting RD'!G150,2)</f>
        <v>0.5</v>
      </c>
      <c r="E161" s="280">
        <f>ROUND('Lighting RD'!H150,2)</f>
        <v>-0.13</v>
      </c>
      <c r="F161" s="196">
        <f t="shared" ref="F161:F166" si="15">SUM(D161:E161)</f>
        <v>0.37</v>
      </c>
      <c r="G161" s="246" t="s">
        <v>95</v>
      </c>
    </row>
    <row r="162" spans="1:7" x14ac:dyDescent="0.2">
      <c r="A162" s="33">
        <f t="shared" si="14"/>
        <v>154</v>
      </c>
      <c r="B162" s="64" t="s">
        <v>202</v>
      </c>
      <c r="C162" s="39">
        <v>100</v>
      </c>
      <c r="D162" s="280">
        <f>ROUND('Lighting RD'!G151,2)</f>
        <v>0.48</v>
      </c>
      <c r="E162" s="280">
        <f>ROUND('Lighting RD'!H151,2)</f>
        <v>-0.13</v>
      </c>
      <c r="F162" s="196">
        <f t="shared" si="15"/>
        <v>0.35</v>
      </c>
      <c r="G162" s="246" t="s">
        <v>95</v>
      </c>
    </row>
    <row r="163" spans="1:7" x14ac:dyDescent="0.2">
      <c r="A163" s="33">
        <f t="shared" si="14"/>
        <v>155</v>
      </c>
      <c r="B163" s="64" t="s">
        <v>202</v>
      </c>
      <c r="C163" s="39">
        <v>150</v>
      </c>
      <c r="D163" s="280">
        <f>ROUND('Lighting RD'!G152,2)</f>
        <v>0.49</v>
      </c>
      <c r="E163" s="280">
        <f>ROUND('Lighting RD'!H152,2)</f>
        <v>-0.13</v>
      </c>
      <c r="F163" s="196">
        <f t="shared" si="15"/>
        <v>0.36</v>
      </c>
      <c r="G163" s="246" t="s">
        <v>95</v>
      </c>
    </row>
    <row r="164" spans="1:7" x14ac:dyDescent="0.2">
      <c r="A164" s="33">
        <f t="shared" si="14"/>
        <v>156</v>
      </c>
      <c r="B164" s="64" t="s">
        <v>202</v>
      </c>
      <c r="C164" s="39">
        <v>200</v>
      </c>
      <c r="D164" s="280">
        <f>ROUND('Lighting RD'!G153,2)</f>
        <v>0.53</v>
      </c>
      <c r="E164" s="280">
        <f>ROUND('Lighting RD'!H153,2)</f>
        <v>-0.14000000000000001</v>
      </c>
      <c r="F164" s="196">
        <f t="shared" si="15"/>
        <v>0.39</v>
      </c>
      <c r="G164" s="246" t="s">
        <v>95</v>
      </c>
    </row>
    <row r="165" spans="1:7" x14ac:dyDescent="0.2">
      <c r="A165" s="33">
        <f t="shared" si="14"/>
        <v>157</v>
      </c>
      <c r="B165" s="64" t="s">
        <v>202</v>
      </c>
      <c r="C165" s="39">
        <v>250</v>
      </c>
      <c r="D165" s="280">
        <f>ROUND('Lighting RD'!G154,2)</f>
        <v>0.55000000000000004</v>
      </c>
      <c r="E165" s="280">
        <f>ROUND('Lighting RD'!H154,2)</f>
        <v>-0.15</v>
      </c>
      <c r="F165" s="196">
        <f t="shared" si="15"/>
        <v>0.4</v>
      </c>
      <c r="G165" s="246" t="s">
        <v>95</v>
      </c>
    </row>
    <row r="166" spans="1:7" x14ac:dyDescent="0.2">
      <c r="A166" s="33">
        <f t="shared" si="14"/>
        <v>158</v>
      </c>
      <c r="B166" s="64" t="s">
        <v>202</v>
      </c>
      <c r="C166" s="39">
        <v>400</v>
      </c>
      <c r="D166" s="280">
        <f>ROUND('Lighting RD'!G155,2)</f>
        <v>0.62</v>
      </c>
      <c r="E166" s="280">
        <f>ROUND('Lighting RD'!H155,2)</f>
        <v>-0.17</v>
      </c>
      <c r="F166" s="196">
        <f t="shared" si="15"/>
        <v>0.44999999999999996</v>
      </c>
      <c r="G166" s="246" t="s">
        <v>95</v>
      </c>
    </row>
    <row r="167" spans="1:7" x14ac:dyDescent="0.2">
      <c r="A167" s="33">
        <f t="shared" si="14"/>
        <v>159</v>
      </c>
      <c r="B167" s="64"/>
      <c r="C167" s="39"/>
      <c r="D167" s="281"/>
      <c r="E167" s="281"/>
      <c r="F167" s="32"/>
      <c r="G167" s="246"/>
    </row>
    <row r="168" spans="1:7" x14ac:dyDescent="0.2">
      <c r="A168" s="33">
        <f t="shared" si="14"/>
        <v>160</v>
      </c>
      <c r="B168" s="51" t="s">
        <v>203</v>
      </c>
      <c r="C168" s="39">
        <v>100</v>
      </c>
      <c r="D168" s="280">
        <f>ROUND('Lighting RD'!G157,2)</f>
        <v>0.48</v>
      </c>
      <c r="E168" s="280">
        <f>ROUND('Lighting RD'!H157,2)</f>
        <v>-0.13</v>
      </c>
      <c r="F168" s="196">
        <f>SUM(D168:E168)</f>
        <v>0.35</v>
      </c>
      <c r="G168" s="246" t="s">
        <v>96</v>
      </c>
    </row>
    <row r="169" spans="1:7" x14ac:dyDescent="0.2">
      <c r="A169" s="33">
        <f t="shared" si="14"/>
        <v>161</v>
      </c>
      <c r="B169" s="64" t="s">
        <v>203</v>
      </c>
      <c r="C169" s="39">
        <v>150</v>
      </c>
      <c r="D169" s="280">
        <f>ROUND('Lighting RD'!G158,2)</f>
        <v>0.49</v>
      </c>
      <c r="E169" s="280">
        <f>ROUND('Lighting RD'!H158,2)</f>
        <v>-0.13</v>
      </c>
      <c r="F169" s="196">
        <f>SUM(D169:E169)</f>
        <v>0.36</v>
      </c>
      <c r="G169" s="246" t="s">
        <v>96</v>
      </c>
    </row>
    <row r="170" spans="1:7" x14ac:dyDescent="0.2">
      <c r="A170" s="33">
        <f t="shared" si="14"/>
        <v>162</v>
      </c>
      <c r="B170" s="64" t="s">
        <v>203</v>
      </c>
      <c r="C170" s="39">
        <v>200</v>
      </c>
      <c r="D170" s="280">
        <f>ROUND('Lighting RD'!G159,2)</f>
        <v>0.53</v>
      </c>
      <c r="E170" s="280">
        <f>ROUND('Lighting RD'!H159,2)</f>
        <v>-0.14000000000000001</v>
      </c>
      <c r="F170" s="196">
        <f>SUM(D170:E170)</f>
        <v>0.39</v>
      </c>
      <c r="G170" s="246" t="s">
        <v>96</v>
      </c>
    </row>
    <row r="171" spans="1:7" x14ac:dyDescent="0.2">
      <c r="A171" s="33">
        <f t="shared" si="14"/>
        <v>163</v>
      </c>
      <c r="B171" s="64" t="s">
        <v>203</v>
      </c>
      <c r="C171" s="39">
        <v>250</v>
      </c>
      <c r="D171" s="280">
        <f>ROUND('Lighting RD'!G160,2)</f>
        <v>0.55000000000000004</v>
      </c>
      <c r="E171" s="280">
        <f>ROUND('Lighting RD'!H160,2)</f>
        <v>-0.15</v>
      </c>
      <c r="F171" s="196">
        <f>SUM(D171:E171)</f>
        <v>0.4</v>
      </c>
      <c r="G171" s="246" t="s">
        <v>96</v>
      </c>
    </row>
    <row r="172" spans="1:7" x14ac:dyDescent="0.2">
      <c r="A172" s="33">
        <f t="shared" si="14"/>
        <v>164</v>
      </c>
      <c r="B172" s="64" t="s">
        <v>203</v>
      </c>
      <c r="C172" s="39">
        <v>400</v>
      </c>
      <c r="D172" s="280">
        <f>ROUND('Lighting RD'!G161,2)</f>
        <v>0.62</v>
      </c>
      <c r="E172" s="280">
        <f>ROUND('Lighting RD'!H161,2)</f>
        <v>-0.17</v>
      </c>
      <c r="F172" s="196">
        <f>SUM(D172:E172)</f>
        <v>0.44999999999999996</v>
      </c>
      <c r="G172" s="246" t="s">
        <v>96</v>
      </c>
    </row>
    <row r="173" spans="1:7" x14ac:dyDescent="0.2">
      <c r="A173" s="33">
        <f t="shared" si="14"/>
        <v>165</v>
      </c>
      <c r="B173" s="64"/>
      <c r="C173" s="39"/>
      <c r="D173" s="281"/>
      <c r="E173" s="281"/>
      <c r="F173" s="32"/>
      <c r="G173" s="246"/>
    </row>
    <row r="174" spans="1:7" x14ac:dyDescent="0.2">
      <c r="A174" s="33">
        <f t="shared" si="14"/>
        <v>166</v>
      </c>
      <c r="B174" s="64" t="s">
        <v>204</v>
      </c>
      <c r="C174" s="39">
        <v>175</v>
      </c>
      <c r="D174" s="280">
        <f>ROUND('Lighting RD'!G163,2)</f>
        <v>0.49</v>
      </c>
      <c r="E174" s="280">
        <f>ROUND('Lighting RD'!H163,2)</f>
        <v>-0.13</v>
      </c>
      <c r="F174" s="196">
        <f>SUM(D174:E174)</f>
        <v>0.36</v>
      </c>
      <c r="G174" s="246" t="s">
        <v>95</v>
      </c>
    </row>
    <row r="175" spans="1:7" x14ac:dyDescent="0.2">
      <c r="A175" s="33">
        <f t="shared" si="14"/>
        <v>167</v>
      </c>
      <c r="B175" s="64" t="s">
        <v>204</v>
      </c>
      <c r="C175" s="39">
        <v>250</v>
      </c>
      <c r="D175" s="280">
        <f>ROUND('Lighting RD'!G164,2)</f>
        <v>0.54</v>
      </c>
      <c r="E175" s="280">
        <f>ROUND('Lighting RD'!H164,2)</f>
        <v>-0.14000000000000001</v>
      </c>
      <c r="F175" s="196">
        <f>SUM(D175:E175)</f>
        <v>0.4</v>
      </c>
      <c r="G175" s="246" t="s">
        <v>95</v>
      </c>
    </row>
    <row r="176" spans="1:7" x14ac:dyDescent="0.2">
      <c r="A176" s="33">
        <f t="shared" si="14"/>
        <v>168</v>
      </c>
      <c r="B176" s="64" t="s">
        <v>204</v>
      </c>
      <c r="C176" s="39">
        <v>400</v>
      </c>
      <c r="D176" s="280">
        <f>ROUND('Lighting RD'!G165,2)</f>
        <v>0.56000000000000005</v>
      </c>
      <c r="E176" s="280">
        <f>ROUND('Lighting RD'!H165,2)</f>
        <v>-0.15</v>
      </c>
      <c r="F176" s="196">
        <f>SUM(D176:E176)</f>
        <v>0.41000000000000003</v>
      </c>
      <c r="G176" s="246" t="s">
        <v>95</v>
      </c>
    </row>
    <row r="177" spans="1:7" x14ac:dyDescent="0.2">
      <c r="A177" s="33">
        <f t="shared" si="14"/>
        <v>169</v>
      </c>
      <c r="B177" s="64" t="s">
        <v>204</v>
      </c>
      <c r="C177" s="39">
        <v>1000</v>
      </c>
      <c r="D177" s="280">
        <f>ROUND('Lighting RD'!G166,2)</f>
        <v>0.84</v>
      </c>
      <c r="E177" s="280">
        <f>ROUND('Lighting RD'!H166,2)</f>
        <v>-0.23</v>
      </c>
      <c r="F177" s="196">
        <f>SUM(D177:E177)</f>
        <v>0.61</v>
      </c>
      <c r="G177" s="246" t="s">
        <v>95</v>
      </c>
    </row>
    <row r="178" spans="1:7" x14ac:dyDescent="0.2">
      <c r="A178" s="33">
        <f t="shared" si="14"/>
        <v>170</v>
      </c>
      <c r="B178" s="64"/>
      <c r="C178" s="39"/>
      <c r="D178" s="281"/>
      <c r="E178" s="281"/>
      <c r="F178" s="32"/>
      <c r="G178" s="246"/>
    </row>
    <row r="179" spans="1:7" x14ac:dyDescent="0.2">
      <c r="A179" s="33">
        <f t="shared" si="14"/>
        <v>171</v>
      </c>
      <c r="B179" s="64" t="s">
        <v>205</v>
      </c>
      <c r="C179" s="39">
        <v>250</v>
      </c>
      <c r="D179" s="280">
        <f>ROUND('Lighting RD'!G168,2)</f>
        <v>0.54</v>
      </c>
      <c r="E179" s="280">
        <f>ROUND('Lighting RD'!H168,2)</f>
        <v>-0.14000000000000001</v>
      </c>
      <c r="F179" s="196">
        <f>SUM(D179:E179)</f>
        <v>0.4</v>
      </c>
      <c r="G179" s="246" t="s">
        <v>98</v>
      </c>
    </row>
    <row r="180" spans="1:7" x14ac:dyDescent="0.2">
      <c r="A180" s="33">
        <f t="shared" si="14"/>
        <v>172</v>
      </c>
      <c r="B180" s="64" t="s">
        <v>205</v>
      </c>
      <c r="C180" s="39">
        <v>400</v>
      </c>
      <c r="D180" s="280">
        <f>ROUND('Lighting RD'!G169,2)</f>
        <v>0.56000000000000005</v>
      </c>
      <c r="E180" s="280">
        <f>ROUND('Lighting RD'!H169,2)</f>
        <v>-0.15</v>
      </c>
      <c r="F180" s="196">
        <f>SUM(D180:E180)</f>
        <v>0.41000000000000003</v>
      </c>
      <c r="G180" s="246" t="s">
        <v>98</v>
      </c>
    </row>
    <row r="181" spans="1:7" x14ac:dyDescent="0.2">
      <c r="A181" s="33">
        <f t="shared" si="14"/>
        <v>173</v>
      </c>
      <c r="B181" s="64"/>
      <c r="C181" s="39"/>
      <c r="D181" s="281"/>
      <c r="E181" s="281"/>
      <c r="F181" s="32"/>
      <c r="G181" s="246"/>
    </row>
    <row r="182" spans="1:7" x14ac:dyDescent="0.2">
      <c r="A182" s="33">
        <f t="shared" si="14"/>
        <v>174</v>
      </c>
      <c r="B182" s="64" t="s">
        <v>194</v>
      </c>
      <c r="C182" s="61" t="s">
        <v>101</v>
      </c>
      <c r="D182" s="280">
        <f>ROUND('Lighting RD'!G171,2)</f>
        <v>0.41</v>
      </c>
      <c r="E182" s="280">
        <f>ROUND('Lighting RD'!H171,2)</f>
        <v>-0.11</v>
      </c>
      <c r="F182" s="196">
        <f t="shared" ref="F182:F197" si="16">SUM(D182:E182)</f>
        <v>0.3</v>
      </c>
      <c r="G182" s="246" t="s">
        <v>96</v>
      </c>
    </row>
    <row r="183" spans="1:7" x14ac:dyDescent="0.2">
      <c r="A183" s="33">
        <f t="shared" si="14"/>
        <v>175</v>
      </c>
      <c r="B183" s="64" t="s">
        <v>194</v>
      </c>
      <c r="C183" s="61" t="s">
        <v>37</v>
      </c>
      <c r="D183" s="280">
        <f>ROUND('Lighting RD'!G172,2)</f>
        <v>0.5</v>
      </c>
      <c r="E183" s="280">
        <f>ROUND('Lighting RD'!H172,2)</f>
        <v>-0.13</v>
      </c>
      <c r="F183" s="196">
        <f t="shared" si="16"/>
        <v>0.37</v>
      </c>
      <c r="G183" s="246" t="s">
        <v>96</v>
      </c>
    </row>
    <row r="184" spans="1:7" x14ac:dyDescent="0.2">
      <c r="A184" s="33">
        <f t="shared" si="14"/>
        <v>176</v>
      </c>
      <c r="B184" s="64" t="s">
        <v>194</v>
      </c>
      <c r="C184" s="58" t="s">
        <v>38</v>
      </c>
      <c r="D184" s="280">
        <f>ROUND('Lighting RD'!G173,2)</f>
        <v>0.59</v>
      </c>
      <c r="E184" s="280">
        <f>ROUND('Lighting RD'!H173,2)</f>
        <v>-0.16</v>
      </c>
      <c r="F184" s="196">
        <f t="shared" si="16"/>
        <v>0.42999999999999994</v>
      </c>
      <c r="G184" s="246" t="s">
        <v>96</v>
      </c>
    </row>
    <row r="185" spans="1:7" x14ac:dyDescent="0.2">
      <c r="A185" s="33">
        <f t="shared" si="14"/>
        <v>177</v>
      </c>
      <c r="B185" s="64" t="s">
        <v>194</v>
      </c>
      <c r="C185" s="58" t="s">
        <v>39</v>
      </c>
      <c r="D185" s="280">
        <f>ROUND('Lighting RD'!G174,2)</f>
        <v>0.69</v>
      </c>
      <c r="E185" s="280">
        <f>ROUND('Lighting RD'!H174,2)</f>
        <v>-0.18</v>
      </c>
      <c r="F185" s="196">
        <f t="shared" si="16"/>
        <v>0.51</v>
      </c>
      <c r="G185" s="246" t="s">
        <v>96</v>
      </c>
    </row>
    <row r="186" spans="1:7" x14ac:dyDescent="0.2">
      <c r="A186" s="33">
        <f t="shared" si="14"/>
        <v>178</v>
      </c>
      <c r="B186" s="64" t="s">
        <v>194</v>
      </c>
      <c r="C186" s="58" t="s">
        <v>40</v>
      </c>
      <c r="D186" s="280">
        <f>ROUND('Lighting RD'!G175,2)</f>
        <v>0.77</v>
      </c>
      <c r="E186" s="280">
        <f>ROUND('Lighting RD'!H175,2)</f>
        <v>-0.21</v>
      </c>
      <c r="F186" s="196">
        <f t="shared" si="16"/>
        <v>0.56000000000000005</v>
      </c>
      <c r="G186" s="246" t="s">
        <v>96</v>
      </c>
    </row>
    <row r="187" spans="1:7" x14ac:dyDescent="0.2">
      <c r="A187" s="33">
        <f t="shared" si="14"/>
        <v>179</v>
      </c>
      <c r="B187" s="64" t="s">
        <v>194</v>
      </c>
      <c r="C187" s="58" t="s">
        <v>41</v>
      </c>
      <c r="D187" s="280">
        <f>ROUND('Lighting RD'!G176,2)</f>
        <v>0.86</v>
      </c>
      <c r="E187" s="280">
        <f>ROUND('Lighting RD'!H176,2)</f>
        <v>-0.23</v>
      </c>
      <c r="F187" s="196">
        <f t="shared" si="16"/>
        <v>0.63</v>
      </c>
      <c r="G187" s="246" t="s">
        <v>96</v>
      </c>
    </row>
    <row r="188" spans="1:7" x14ac:dyDescent="0.2">
      <c r="A188" s="33">
        <f t="shared" si="14"/>
        <v>180</v>
      </c>
      <c r="B188" s="64" t="s">
        <v>194</v>
      </c>
      <c r="C188" s="58" t="s">
        <v>42</v>
      </c>
      <c r="D188" s="280">
        <f>ROUND('Lighting RD'!G177,2)</f>
        <v>0.95</v>
      </c>
      <c r="E188" s="280">
        <f>ROUND('Lighting RD'!H177,2)</f>
        <v>-0.25</v>
      </c>
      <c r="F188" s="196">
        <f t="shared" si="16"/>
        <v>0.7</v>
      </c>
      <c r="G188" s="246" t="s">
        <v>96</v>
      </c>
    </row>
    <row r="189" spans="1:7" x14ac:dyDescent="0.2">
      <c r="A189" s="33">
        <f t="shared" si="14"/>
        <v>181</v>
      </c>
      <c r="B189" s="64" t="s">
        <v>194</v>
      </c>
      <c r="C189" s="58" t="s">
        <v>43</v>
      </c>
      <c r="D189" s="280">
        <f>ROUND('Lighting RD'!G178,2)</f>
        <v>1.04</v>
      </c>
      <c r="E189" s="280">
        <f>ROUND('Lighting RD'!H178,2)</f>
        <v>-0.28000000000000003</v>
      </c>
      <c r="F189" s="196">
        <f t="shared" si="16"/>
        <v>0.76</v>
      </c>
      <c r="G189" s="246" t="s">
        <v>96</v>
      </c>
    </row>
    <row r="190" spans="1:7" x14ac:dyDescent="0.2">
      <c r="A190" s="33">
        <f t="shared" si="14"/>
        <v>182</v>
      </c>
      <c r="B190" s="64" t="s">
        <v>194</v>
      </c>
      <c r="C190" s="58" t="s">
        <v>44</v>
      </c>
      <c r="D190" s="280">
        <f>ROUND('Lighting RD'!G179,2)</f>
        <v>1.1299999999999999</v>
      </c>
      <c r="E190" s="280">
        <f>ROUND('Lighting RD'!H179,2)</f>
        <v>-0.3</v>
      </c>
      <c r="F190" s="196">
        <f t="shared" si="16"/>
        <v>0.82999999999999985</v>
      </c>
      <c r="G190" s="246" t="s">
        <v>96</v>
      </c>
    </row>
    <row r="191" spans="1:7" x14ac:dyDescent="0.2">
      <c r="A191" s="33">
        <f t="shared" si="14"/>
        <v>183</v>
      </c>
      <c r="B191" s="64" t="s">
        <v>194</v>
      </c>
      <c r="C191" s="58" t="s">
        <v>45</v>
      </c>
      <c r="D191" s="280">
        <f>ROUND('Lighting RD'!G180,2)</f>
        <v>1.21</v>
      </c>
      <c r="E191" s="280">
        <f>ROUND('Lighting RD'!H180,2)</f>
        <v>-0.32</v>
      </c>
      <c r="F191" s="196">
        <f t="shared" si="16"/>
        <v>0.8899999999999999</v>
      </c>
      <c r="G191" s="246" t="s">
        <v>97</v>
      </c>
    </row>
    <row r="192" spans="1:7" x14ac:dyDescent="0.2">
      <c r="A192" s="33">
        <f t="shared" si="14"/>
        <v>184</v>
      </c>
      <c r="B192" s="64" t="s">
        <v>194</v>
      </c>
      <c r="C192" s="58" t="s">
        <v>60</v>
      </c>
      <c r="D192" s="280">
        <f>ROUND('Lighting RD'!G181,2)</f>
        <v>1.41</v>
      </c>
      <c r="E192" s="280">
        <f>ROUND('Lighting RD'!H181,2)</f>
        <v>-0.38</v>
      </c>
      <c r="F192" s="196">
        <f t="shared" si="16"/>
        <v>1.0299999999999998</v>
      </c>
      <c r="G192" s="246" t="s">
        <v>97</v>
      </c>
    </row>
    <row r="193" spans="1:7" x14ac:dyDescent="0.2">
      <c r="A193" s="33">
        <f t="shared" si="14"/>
        <v>185</v>
      </c>
      <c r="B193" s="64" t="s">
        <v>194</v>
      </c>
      <c r="C193" s="58" t="s">
        <v>61</v>
      </c>
      <c r="D193" s="280">
        <f>ROUND('Lighting RD'!G182,2)</f>
        <v>1.7</v>
      </c>
      <c r="E193" s="280">
        <f>ROUND('Lighting RD'!H182,2)</f>
        <v>-0.45</v>
      </c>
      <c r="F193" s="196">
        <f t="shared" si="16"/>
        <v>1.25</v>
      </c>
      <c r="G193" s="246" t="s">
        <v>97</v>
      </c>
    </row>
    <row r="194" spans="1:7" x14ac:dyDescent="0.2">
      <c r="A194" s="33">
        <f t="shared" si="14"/>
        <v>186</v>
      </c>
      <c r="B194" s="64" t="s">
        <v>194</v>
      </c>
      <c r="C194" s="58" t="s">
        <v>62</v>
      </c>
      <c r="D194" s="280">
        <f>ROUND('Lighting RD'!G183,2)</f>
        <v>2</v>
      </c>
      <c r="E194" s="280">
        <f>ROUND('Lighting RD'!H183,2)</f>
        <v>-0.53</v>
      </c>
      <c r="F194" s="196">
        <f t="shared" si="16"/>
        <v>1.47</v>
      </c>
      <c r="G194" s="246" t="s">
        <v>97</v>
      </c>
    </row>
    <row r="195" spans="1:7" x14ac:dyDescent="0.2">
      <c r="A195" s="33">
        <f t="shared" si="14"/>
        <v>187</v>
      </c>
      <c r="B195" s="64" t="s">
        <v>194</v>
      </c>
      <c r="C195" s="58" t="s">
        <v>63</v>
      </c>
      <c r="D195" s="280">
        <f>ROUND('Lighting RD'!G184,2)</f>
        <v>2.29</v>
      </c>
      <c r="E195" s="280">
        <f>ROUND('Lighting RD'!H184,2)</f>
        <v>-0.61</v>
      </c>
      <c r="F195" s="196">
        <f t="shared" si="16"/>
        <v>1.6800000000000002</v>
      </c>
      <c r="G195" s="246" t="s">
        <v>97</v>
      </c>
    </row>
    <row r="196" spans="1:7" x14ac:dyDescent="0.2">
      <c r="A196" s="33">
        <f t="shared" si="14"/>
        <v>188</v>
      </c>
      <c r="B196" s="64" t="s">
        <v>194</v>
      </c>
      <c r="C196" s="58" t="s">
        <v>64</v>
      </c>
      <c r="D196" s="280">
        <f>ROUND('Lighting RD'!G185,2)</f>
        <v>2.59</v>
      </c>
      <c r="E196" s="280">
        <f>ROUND('Lighting RD'!H185,2)</f>
        <v>-0.69</v>
      </c>
      <c r="F196" s="196">
        <f t="shared" si="16"/>
        <v>1.9</v>
      </c>
      <c r="G196" s="246" t="s">
        <v>97</v>
      </c>
    </row>
    <row r="197" spans="1:7" x14ac:dyDescent="0.2">
      <c r="A197" s="33">
        <f t="shared" si="14"/>
        <v>189</v>
      </c>
      <c r="B197" s="64" t="s">
        <v>194</v>
      </c>
      <c r="C197" s="58" t="s">
        <v>65</v>
      </c>
      <c r="D197" s="280">
        <f>ROUND('Lighting RD'!G186,2)</f>
        <v>2.88</v>
      </c>
      <c r="E197" s="280">
        <f>ROUND('Lighting RD'!H186,2)</f>
        <v>-0.77</v>
      </c>
      <c r="F197" s="196">
        <f t="shared" si="16"/>
        <v>2.11</v>
      </c>
      <c r="G197" s="246" t="s">
        <v>97</v>
      </c>
    </row>
    <row r="198" spans="1:7" x14ac:dyDescent="0.2">
      <c r="A198" s="33">
        <f t="shared" si="14"/>
        <v>190</v>
      </c>
      <c r="B198" s="51"/>
      <c r="C198" s="4"/>
      <c r="D198" s="281"/>
      <c r="E198" s="281"/>
      <c r="F198" s="32"/>
      <c r="G198" s="246"/>
    </row>
    <row r="199" spans="1:7" x14ac:dyDescent="0.2">
      <c r="A199" s="33">
        <f t="shared" si="14"/>
        <v>191</v>
      </c>
      <c r="B199" s="51" t="s">
        <v>181</v>
      </c>
      <c r="C199" s="39">
        <v>0</v>
      </c>
      <c r="D199" s="280">
        <f>ROUND('Lighting RD'!G194,2)</f>
        <v>1.04</v>
      </c>
      <c r="E199" s="280">
        <f>ROUND('Lighting RD'!H194,2)</f>
        <v>-0.28000000000000003</v>
      </c>
      <c r="F199" s="196">
        <f>SUM(D199:E199)</f>
        <v>0.76</v>
      </c>
      <c r="G199" s="246" t="s">
        <v>98</v>
      </c>
    </row>
    <row r="200" spans="1:7" x14ac:dyDescent="0.2">
      <c r="A200" s="33"/>
      <c r="B200" s="4"/>
      <c r="C200" s="4"/>
      <c r="D200" s="32"/>
      <c r="E200" s="32"/>
      <c r="F200" s="32"/>
      <c r="G200" s="252"/>
    </row>
    <row r="201" spans="1:7" x14ac:dyDescent="0.2">
      <c r="G201" s="252"/>
    </row>
    <row r="202" spans="1:7" x14ac:dyDescent="0.2">
      <c r="G202" s="252"/>
    </row>
    <row r="203" spans="1:7" x14ac:dyDescent="0.2">
      <c r="G203" s="252"/>
    </row>
    <row r="204" spans="1:7" x14ac:dyDescent="0.2">
      <c r="G204" s="252"/>
    </row>
    <row r="205" spans="1:7" x14ac:dyDescent="0.2">
      <c r="G205" s="252"/>
    </row>
    <row r="206" spans="1:7" x14ac:dyDescent="0.2">
      <c r="G206" s="252"/>
    </row>
    <row r="208" spans="1:7" x14ac:dyDescent="0.2">
      <c r="A208" s="33"/>
      <c r="B208" s="35"/>
      <c r="C208" s="4"/>
      <c r="D208" s="32"/>
      <c r="E208" s="32"/>
      <c r="F208" s="32"/>
    </row>
    <row r="209" spans="1:6" x14ac:dyDescent="0.2">
      <c r="A209" s="33"/>
      <c r="B209" s="4"/>
      <c r="C209" s="4"/>
      <c r="D209" s="32"/>
      <c r="E209" s="32"/>
      <c r="F209" s="32"/>
    </row>
    <row r="210" spans="1:6" x14ac:dyDescent="0.2">
      <c r="A210" s="33"/>
      <c r="B210" s="52"/>
      <c r="C210" s="4"/>
      <c r="D210" s="66"/>
      <c r="E210" s="66"/>
      <c r="F210" s="56"/>
    </row>
    <row r="211" spans="1:6" x14ac:dyDescent="0.2">
      <c r="A211" s="33"/>
      <c r="B211" s="4"/>
      <c r="C211" s="4"/>
      <c r="D211" s="66"/>
      <c r="E211" s="66"/>
      <c r="F211" s="56"/>
    </row>
  </sheetData>
  <printOptions horizontalCentered="1"/>
  <pageMargins left="0.7" right="0.7" top="0.75" bottom="0.75" header="0.3" footer="0.3"/>
  <pageSetup scale="66" fitToHeight="0" orientation="landscape" r:id="rId1"/>
  <headerFooter alignWithMargins="0"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79998168889431442"/>
    <pageSetUpPr fitToPage="1"/>
  </sheetPr>
  <dimension ref="A1:S44"/>
  <sheetViews>
    <sheetView zoomScaleNormal="100" workbookViewId="0"/>
  </sheetViews>
  <sheetFormatPr defaultColWidth="5.6640625" defaultRowHeight="10.199999999999999" x14ac:dyDescent="0.2"/>
  <cols>
    <col min="1" max="1" width="6.6640625" style="7" bestFit="1" customWidth="1"/>
    <col min="2" max="2" width="43.44140625" style="7" bestFit="1" customWidth="1"/>
    <col min="3" max="3" width="6.21875" style="7" customWidth="1"/>
    <col min="4" max="5" width="6.77734375" style="7" customWidth="1"/>
    <col min="6" max="6" width="7.77734375" style="7" bestFit="1" customWidth="1"/>
    <col min="7" max="7" width="11.5546875" style="7" bestFit="1" customWidth="1"/>
    <col min="8" max="8" width="8.44140625" style="7" bestFit="1" customWidth="1"/>
    <col min="9" max="9" width="4.21875" style="7" customWidth="1"/>
    <col min="10" max="10" width="5.33203125" style="7" bestFit="1" customWidth="1"/>
    <col min="11" max="11" width="9.5546875" style="7" customWidth="1"/>
    <col min="12" max="12" width="8.6640625" style="7" customWidth="1"/>
    <col min="13" max="13" width="7.77734375" style="7" bestFit="1" customWidth="1"/>
    <col min="14" max="14" width="16.44140625" style="7" bestFit="1" customWidth="1"/>
    <col min="15" max="15" width="10.5546875" style="7" customWidth="1"/>
    <col min="16" max="16" width="9.33203125" style="7" customWidth="1"/>
    <col min="17" max="18" width="5.6640625" style="7"/>
    <col min="19" max="19" width="11.5546875" style="7" bestFit="1" customWidth="1"/>
    <col min="20" max="16384" width="5.6640625" style="7"/>
  </cols>
  <sheetData>
    <row r="1" spans="1:19" s="69" customFormat="1" x14ac:dyDescent="0.2">
      <c r="A1" s="123" t="s">
        <v>124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9" s="69" customFormat="1" x14ac:dyDescent="0.2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9" s="69" customFormat="1" x14ac:dyDescent="0.2">
      <c r="A3" s="124" t="str">
        <f>Inputs!B2&amp;" Forecasted Rate-Year Ended "&amp;TEXT(Inputs!B4,"mmmm d, yyyy")</f>
        <v>F2023 Forecasted Rate-Year Ended April 30, 2025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9" s="69" customFormat="1" x14ac:dyDescent="0.2">
      <c r="A4" s="124" t="str">
        <f>"Proposed Rate Effective "&amp;TEXT(Inputs!B1,"mmmm d, yyyy")</f>
        <v>Proposed Rate Effective May 1, 2024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9" s="69" customFormat="1" x14ac:dyDescent="0.2">
      <c r="A5" s="123" t="s">
        <v>150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9" s="69" customFormat="1" x14ac:dyDescent="0.2">
      <c r="A6" s="123" t="s">
        <v>125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9" s="75" customFormat="1" ht="61.2" x14ac:dyDescent="0.2">
      <c r="A7" s="73" t="s">
        <v>0</v>
      </c>
      <c r="B7" s="73" t="s">
        <v>126</v>
      </c>
      <c r="C7" s="125" t="s">
        <v>2</v>
      </c>
      <c r="D7" s="126"/>
      <c r="E7" s="125"/>
      <c r="F7" s="125"/>
      <c r="G7" s="74" t="str">
        <f>'Rate Spread &amp; Design'!K7</f>
        <v>F2023 Forecasted Rate-Year Energy (kWh)</v>
      </c>
      <c r="H7" s="74" t="str">
        <f>'Rate Spread &amp; Design'!L7</f>
        <v>F2023 Forecasted Rate-Year Demand (kVA)</v>
      </c>
      <c r="I7" s="77" t="s">
        <v>117</v>
      </c>
      <c r="J7" s="72"/>
      <c r="K7" s="74" t="s">
        <v>118</v>
      </c>
      <c r="L7" s="197" t="s">
        <v>160</v>
      </c>
      <c r="M7" s="197"/>
      <c r="N7" s="118" t="s">
        <v>135</v>
      </c>
      <c r="O7" s="77" t="s">
        <v>100</v>
      </c>
      <c r="P7" s="77"/>
    </row>
    <row r="8" spans="1:19" s="8" customFormat="1" ht="20.399999999999999" x14ac:dyDescent="0.2">
      <c r="A8" s="127"/>
      <c r="B8" s="303" t="s">
        <v>121</v>
      </c>
      <c r="C8" s="305" t="s">
        <v>127</v>
      </c>
      <c r="D8" s="305"/>
      <c r="E8" s="305"/>
      <c r="F8" s="305"/>
      <c r="G8" s="304" t="s">
        <v>128</v>
      </c>
      <c r="H8" s="304" t="s">
        <v>129</v>
      </c>
      <c r="I8" s="305" t="s">
        <v>157</v>
      </c>
      <c r="J8" s="305"/>
      <c r="K8" s="303" t="s">
        <v>164</v>
      </c>
      <c r="L8" s="306" t="s">
        <v>171</v>
      </c>
      <c r="M8" s="306"/>
      <c r="N8" s="304" t="s">
        <v>227</v>
      </c>
      <c r="O8" s="303" t="s">
        <v>225</v>
      </c>
      <c r="P8" s="303" t="s">
        <v>226</v>
      </c>
    </row>
    <row r="9" spans="1:19" s="8" customFormat="1" x14ac:dyDescent="0.2">
      <c r="A9" s="12">
        <v>1</v>
      </c>
      <c r="C9" s="134" t="s">
        <v>125</v>
      </c>
      <c r="D9" s="135"/>
      <c r="E9" s="134"/>
      <c r="F9" s="134"/>
      <c r="G9" s="14"/>
      <c r="H9" s="14"/>
      <c r="I9" s="204" t="s">
        <v>125</v>
      </c>
      <c r="J9" s="204"/>
      <c r="K9" s="15"/>
      <c r="L9" s="198" t="s">
        <v>125</v>
      </c>
      <c r="M9" s="198"/>
      <c r="N9" s="15"/>
      <c r="O9" s="14"/>
      <c r="P9" s="14"/>
    </row>
    <row r="10" spans="1:19" x14ac:dyDescent="0.2">
      <c r="A10" s="8">
        <f>A9+1</f>
        <v>2</v>
      </c>
      <c r="B10" s="226" t="s">
        <v>4</v>
      </c>
      <c r="C10" s="134" t="str">
        <f>'Sch 140 Rates'!$C$11</f>
        <v>7 (307) (317) (327)</v>
      </c>
      <c r="D10" s="135"/>
      <c r="E10" s="134"/>
      <c r="F10" s="134"/>
      <c r="G10" s="173">
        <v>11203510559.836071</v>
      </c>
      <c r="H10" s="173"/>
      <c r="I10" s="205">
        <v>2.6120000000000002E-3</v>
      </c>
      <c r="J10" s="205"/>
      <c r="K10" s="176">
        <f>'Sch 140 Rates'!E11</f>
        <v>1.598E-3</v>
      </c>
      <c r="L10" s="199">
        <v>1558248424.9742928</v>
      </c>
      <c r="M10" s="199"/>
      <c r="N10" s="140">
        <f>L10+G10*(K10-I10)</f>
        <v>1546888065.266619</v>
      </c>
      <c r="O10" s="138">
        <f>+N10-L10</f>
        <v>-11360359.707673788</v>
      </c>
      <c r="P10" s="139">
        <f>IF(L10=0,"n/a",+O10/L10)</f>
        <v>-7.2904676337864462E-3</v>
      </c>
      <c r="S10" s="46"/>
    </row>
    <row r="11" spans="1:19" x14ac:dyDescent="0.2">
      <c r="A11" s="8">
        <f>A10+1</f>
        <v>3</v>
      </c>
      <c r="B11" s="226"/>
      <c r="C11" s="134" t="s">
        <v>125</v>
      </c>
      <c r="D11" s="135"/>
      <c r="E11" s="134"/>
      <c r="F11" s="134"/>
      <c r="G11" s="143"/>
      <c r="H11" s="143"/>
      <c r="I11" s="206" t="s">
        <v>125</v>
      </c>
      <c r="J11" s="206"/>
      <c r="K11" s="145"/>
      <c r="L11" s="198" t="s">
        <v>125</v>
      </c>
      <c r="M11" s="198"/>
      <c r="N11" s="141"/>
      <c r="O11" s="144"/>
      <c r="P11" s="146"/>
    </row>
    <row r="12" spans="1:19" x14ac:dyDescent="0.2">
      <c r="A12" s="8">
        <f>A11+1</f>
        <v>4</v>
      </c>
      <c r="B12" s="226" t="s">
        <v>5</v>
      </c>
      <c r="C12" s="134" t="s">
        <v>125</v>
      </c>
      <c r="D12" s="135"/>
      <c r="E12" s="134"/>
      <c r="F12" s="134"/>
      <c r="G12" s="21"/>
      <c r="H12" s="39"/>
      <c r="I12" s="207" t="s">
        <v>125</v>
      </c>
      <c r="J12" s="207"/>
      <c r="K12" s="23"/>
      <c r="L12" s="198" t="s">
        <v>125</v>
      </c>
      <c r="M12" s="198"/>
      <c r="N12" s="141"/>
      <c r="O12" s="22"/>
      <c r="P12" s="80"/>
    </row>
    <row r="13" spans="1:19" x14ac:dyDescent="0.2">
      <c r="A13" s="8">
        <f>A12+1</f>
        <v>5</v>
      </c>
      <c r="B13" s="312" t="s">
        <v>215</v>
      </c>
      <c r="C13" s="134" t="str">
        <f>'Sch 140 Rates'!$C$14</f>
        <v>08 (24) (324)</v>
      </c>
      <c r="D13" s="135"/>
      <c r="E13" s="134"/>
      <c r="F13" s="134"/>
      <c r="G13" s="174">
        <v>2760323642.6246891</v>
      </c>
      <c r="H13" s="174"/>
      <c r="I13" s="208">
        <v>2.0930000000000002E-3</v>
      </c>
      <c r="J13" s="208"/>
      <c r="K13" s="177">
        <f>'Sch 140 Rates'!E14</f>
        <v>1.3259999999999999E-3</v>
      </c>
      <c r="L13" s="200">
        <v>371358282.71703464</v>
      </c>
      <c r="M13" s="200"/>
      <c r="N13" s="142">
        <f>L13+G13*(K13-I13)</f>
        <v>369241114.48314148</v>
      </c>
      <c r="O13" s="22">
        <f>+N13-L13</f>
        <v>-2117168.2338931561</v>
      </c>
      <c r="P13" s="80">
        <f>IF(L13=0,"n/a",+O13/L13)</f>
        <v>-5.7011472004958163E-3</v>
      </c>
      <c r="S13" s="46"/>
    </row>
    <row r="14" spans="1:19" x14ac:dyDescent="0.2">
      <c r="A14" s="8">
        <f>A13+1</f>
        <v>6</v>
      </c>
      <c r="B14" s="313" t="s">
        <v>216</v>
      </c>
      <c r="C14" s="134" t="str">
        <f>'Sch 140 Rates'!$C$15&amp;", "&amp;'Sch 140 Rates'!$C$16</f>
        <v>7A, 11 / 25</v>
      </c>
      <c r="D14" s="135"/>
      <c r="E14" s="134"/>
      <c r="F14" s="134"/>
      <c r="G14" s="174">
        <v>2959045827.7728415</v>
      </c>
      <c r="H14" s="174"/>
      <c r="I14" s="208">
        <v>1.98E-3</v>
      </c>
      <c r="J14" s="208"/>
      <c r="K14" s="177">
        <f>'Sch 140 Rates'!E15</f>
        <v>1.2369999999999998E-3</v>
      </c>
      <c r="L14" s="200">
        <v>390500905.10427451</v>
      </c>
      <c r="M14" s="200"/>
      <c r="N14" s="142">
        <f>L14+G14*(K14-I14)</f>
        <v>388302334.05423927</v>
      </c>
      <c r="O14" s="22">
        <f>+N14-L14</f>
        <v>-2198571.0500352383</v>
      </c>
      <c r="P14" s="80">
        <f>IF(L14=0,"n/a",+O14/L14)</f>
        <v>-5.6301304844560071E-3</v>
      </c>
      <c r="S14" s="46"/>
    </row>
    <row r="15" spans="1:19" x14ac:dyDescent="0.2">
      <c r="A15" s="8">
        <f t="shared" ref="A15:A44" si="0">+A14+1</f>
        <v>7</v>
      </c>
      <c r="B15" s="313" t="s">
        <v>221</v>
      </c>
      <c r="C15" s="134" t="str">
        <f>'Sch 140 Rates'!$C$17</f>
        <v>12 (26) (26P)</v>
      </c>
      <c r="D15" s="135"/>
      <c r="E15" s="134"/>
      <c r="F15" s="134"/>
      <c r="G15" s="174">
        <v>1976059702.4320197</v>
      </c>
      <c r="H15" s="174"/>
      <c r="I15" s="208">
        <v>1.7149999999999999E-3</v>
      </c>
      <c r="J15" s="208"/>
      <c r="K15" s="177">
        <f>'Sch 140 Rates'!E17</f>
        <v>1.0119999999999999E-3</v>
      </c>
      <c r="L15" s="200">
        <v>237477248.70210776</v>
      </c>
      <c r="M15" s="200"/>
      <c r="N15" s="142">
        <f>L15+G15*(K15-I15)</f>
        <v>236088078.73129806</v>
      </c>
      <c r="O15" s="22">
        <f>+N15-L15</f>
        <v>-1389169.9708096981</v>
      </c>
      <c r="P15" s="80">
        <f>IF(L15=0,"n/a",+O15/L15)</f>
        <v>-5.8496970905717264E-3</v>
      </c>
      <c r="S15" s="46"/>
    </row>
    <row r="16" spans="1:19" ht="12" x14ac:dyDescent="0.35">
      <c r="A16" s="8">
        <f t="shared" si="0"/>
        <v>8</v>
      </c>
      <c r="B16" s="311" t="s">
        <v>222</v>
      </c>
      <c r="C16" s="134">
        <f>'Sch 140 Rates'!$C$18</f>
        <v>29</v>
      </c>
      <c r="D16" s="135"/>
      <c r="E16" s="134"/>
      <c r="F16" s="134"/>
      <c r="G16" s="174">
        <v>15030637.337107176</v>
      </c>
      <c r="H16" s="174"/>
      <c r="I16" s="208">
        <v>1.98E-3</v>
      </c>
      <c r="J16" s="208"/>
      <c r="K16" s="177">
        <f>'Sch 140 Rates'!E18</f>
        <v>1.2369999999999998E-3</v>
      </c>
      <c r="L16" s="200">
        <v>1798525.9109019253</v>
      </c>
      <c r="M16" s="200"/>
      <c r="N16" s="142">
        <f>L16+G16*(K16-I16)</f>
        <v>1787358.1473604545</v>
      </c>
      <c r="O16" s="22">
        <f>+N16-L16</f>
        <v>-11167.763541470747</v>
      </c>
      <c r="P16" s="80">
        <f>IF(L16=0,"n/a",+O16/L16)</f>
        <v>-6.2093981931404781E-3</v>
      </c>
      <c r="S16" s="46"/>
    </row>
    <row r="17" spans="1:19" x14ac:dyDescent="0.2">
      <c r="A17" s="8">
        <f t="shared" si="0"/>
        <v>9</v>
      </c>
      <c r="B17" s="25" t="s">
        <v>9</v>
      </c>
      <c r="C17" s="134" t="s">
        <v>125</v>
      </c>
      <c r="D17" s="135"/>
      <c r="E17" s="134"/>
      <c r="F17" s="134"/>
      <c r="G17" s="18">
        <f>SUM(G13:G16)</f>
        <v>7710459810.1666565</v>
      </c>
      <c r="H17" s="18"/>
      <c r="I17" s="209" t="s">
        <v>125</v>
      </c>
      <c r="J17" s="209"/>
      <c r="K17" s="20"/>
      <c r="L17" s="201">
        <f>SUM(L13:L16)</f>
        <v>1001134962.4343188</v>
      </c>
      <c r="M17" s="201"/>
      <c r="N17" s="140">
        <f>SUM(N13:N16)</f>
        <v>995418885.41603923</v>
      </c>
      <c r="O17" s="19">
        <f>SUM(O13:O16)</f>
        <v>-5716077.0182795636</v>
      </c>
      <c r="P17" s="79">
        <f>IF(L17=0,"n/a",+O17/L17)</f>
        <v>-5.7095968403506605E-3</v>
      </c>
    </row>
    <row r="18" spans="1:19" x14ac:dyDescent="0.2">
      <c r="A18" s="8">
        <f t="shared" si="0"/>
        <v>10</v>
      </c>
      <c r="B18" s="25"/>
      <c r="C18" s="134" t="s">
        <v>125</v>
      </c>
      <c r="D18" s="135"/>
      <c r="E18" s="134"/>
      <c r="F18" s="134"/>
      <c r="G18" s="21"/>
      <c r="H18" s="39"/>
      <c r="I18" s="207" t="s">
        <v>125</v>
      </c>
      <c r="J18" s="207"/>
      <c r="K18" s="23"/>
      <c r="L18" s="198" t="s">
        <v>125</v>
      </c>
      <c r="M18" s="198"/>
      <c r="N18" s="141"/>
      <c r="O18" s="22"/>
      <c r="P18" s="80"/>
    </row>
    <row r="19" spans="1:19" x14ac:dyDescent="0.2">
      <c r="A19" s="8">
        <f t="shared" si="0"/>
        <v>11</v>
      </c>
      <c r="B19" s="7" t="s">
        <v>10</v>
      </c>
      <c r="C19" s="134" t="s">
        <v>125</v>
      </c>
      <c r="D19" s="135"/>
      <c r="E19" s="134"/>
      <c r="F19" s="134"/>
      <c r="G19" s="21"/>
      <c r="H19" s="39"/>
      <c r="I19" s="207" t="s">
        <v>125</v>
      </c>
      <c r="J19" s="207"/>
      <c r="K19" s="23"/>
      <c r="L19" s="198" t="s">
        <v>125</v>
      </c>
      <c r="M19" s="198"/>
      <c r="N19" s="141"/>
      <c r="O19" s="22"/>
      <c r="P19" s="80"/>
    </row>
    <row r="20" spans="1:19" x14ac:dyDescent="0.2">
      <c r="A20" s="8">
        <f t="shared" si="0"/>
        <v>12</v>
      </c>
      <c r="B20" s="313" t="s">
        <v>14</v>
      </c>
      <c r="C20" s="134" t="str">
        <f>'Sch 140 Rates'!$C$22</f>
        <v>10 (31)</v>
      </c>
      <c r="D20" s="135"/>
      <c r="E20" s="134"/>
      <c r="F20" s="134"/>
      <c r="G20" s="174">
        <v>1414726531.7689974</v>
      </c>
      <c r="H20" s="174"/>
      <c r="I20" s="208">
        <v>1.7260000000000001E-3</v>
      </c>
      <c r="J20" s="208"/>
      <c r="K20" s="178">
        <f>'Sch 140 Rates'!E22</f>
        <v>1.0309999999999998E-3</v>
      </c>
      <c r="L20" s="200">
        <v>164933196.06561378</v>
      </c>
      <c r="M20" s="200"/>
      <c r="N20" s="141">
        <f>L20+G20*(K20-I20)</f>
        <v>163949961.12603432</v>
      </c>
      <c r="O20" s="22">
        <f>+N20-L20</f>
        <v>-983234.93957945704</v>
      </c>
      <c r="P20" s="80">
        <f>IF(L20=0,"n/a",+O20/L20)</f>
        <v>-5.9614132450832164E-3</v>
      </c>
      <c r="S20" s="46"/>
    </row>
    <row r="21" spans="1:19" x14ac:dyDescent="0.2">
      <c r="A21" s="8">
        <f t="shared" si="0"/>
        <v>13</v>
      </c>
      <c r="B21" s="310" t="s">
        <v>223</v>
      </c>
      <c r="C21" s="134">
        <f>'Sch 140 Rates'!$C$23</f>
        <v>35</v>
      </c>
      <c r="D21" s="135"/>
      <c r="E21" s="134"/>
      <c r="F21" s="134"/>
      <c r="G21" s="174">
        <v>4440266.6219169199</v>
      </c>
      <c r="H21" s="174"/>
      <c r="I21" s="208">
        <v>1.7260000000000001E-3</v>
      </c>
      <c r="J21" s="208"/>
      <c r="K21" s="178">
        <f>'Sch 140 Rates'!E23</f>
        <v>1.0309999999999998E-3</v>
      </c>
      <c r="L21" s="200">
        <v>426250.90523892164</v>
      </c>
      <c r="M21" s="200"/>
      <c r="N21" s="141">
        <f>L21+G21*(K21-I21)</f>
        <v>423164.91993668937</v>
      </c>
      <c r="O21" s="22">
        <f>+N21-L21</f>
        <v>-3085.9853022322641</v>
      </c>
      <c r="P21" s="80">
        <f>IF(L21=0,"n/a",+O21/L21)</f>
        <v>-7.239832840947309E-3</v>
      </c>
      <c r="S21" s="46"/>
    </row>
    <row r="22" spans="1:19" ht="12" x14ac:dyDescent="0.35">
      <c r="A22" s="8">
        <f t="shared" si="0"/>
        <v>14</v>
      </c>
      <c r="B22" s="311" t="s">
        <v>218</v>
      </c>
      <c r="C22" s="134">
        <f>'Sch 140 Rates'!$C$24</f>
        <v>43</v>
      </c>
      <c r="D22" s="135"/>
      <c r="E22" s="134"/>
      <c r="F22" s="134"/>
      <c r="G22" s="174">
        <v>122744427.38210531</v>
      </c>
      <c r="H22" s="174"/>
      <c r="I22" s="208">
        <v>1.529E-3</v>
      </c>
      <c r="J22" s="208"/>
      <c r="K22" s="178">
        <f>'Sch 140 Rates'!E24</f>
        <v>9.5800000000000008E-4</v>
      </c>
      <c r="L22" s="200">
        <v>14580163.945268542</v>
      </c>
      <c r="M22" s="200"/>
      <c r="N22" s="141">
        <f>L22+G22*(K22-I22)</f>
        <v>14510076.87723336</v>
      </c>
      <c r="O22" s="22">
        <f>+N22-L22</f>
        <v>-70087.068035181612</v>
      </c>
      <c r="P22" s="80">
        <f>IF(L22=0,"n/a",+O22/L22)</f>
        <v>-4.8070150855831634E-3</v>
      </c>
      <c r="S22" s="46"/>
    </row>
    <row r="23" spans="1:19" x14ac:dyDescent="0.2">
      <c r="A23" s="8">
        <f t="shared" si="0"/>
        <v>15</v>
      </c>
      <c r="B23" s="17" t="s">
        <v>11</v>
      </c>
      <c r="C23" s="134" t="s">
        <v>125</v>
      </c>
      <c r="D23" s="135"/>
      <c r="E23" s="134"/>
      <c r="F23" s="134"/>
      <c r="G23" s="18">
        <f>SUM(G20:G22)</f>
        <v>1541911225.7730198</v>
      </c>
      <c r="H23" s="18"/>
      <c r="I23" s="209" t="s">
        <v>125</v>
      </c>
      <c r="J23" s="209"/>
      <c r="K23" s="20"/>
      <c r="L23" s="201">
        <f>SUM(L20:L22)</f>
        <v>179939610.91612124</v>
      </c>
      <c r="M23" s="201"/>
      <c r="N23" s="140">
        <f>SUM(N20:N22)</f>
        <v>178883202.92320436</v>
      </c>
      <c r="O23" s="19">
        <f>SUM(O20:O22)</f>
        <v>-1056407.9929168709</v>
      </c>
      <c r="P23" s="79">
        <f>IF(L23=0,"n/a",+O23/L23)</f>
        <v>-5.8709029520426989E-3</v>
      </c>
    </row>
    <row r="24" spans="1:19" x14ac:dyDescent="0.2">
      <c r="A24" s="8">
        <f t="shared" si="0"/>
        <v>16</v>
      </c>
      <c r="C24" s="134" t="s">
        <v>125</v>
      </c>
      <c r="D24" s="135"/>
      <c r="E24" s="134"/>
      <c r="F24" s="134"/>
      <c r="G24" s="1"/>
      <c r="H24" s="1"/>
      <c r="I24" s="210" t="s">
        <v>125</v>
      </c>
      <c r="J24" s="210"/>
      <c r="K24" s="27"/>
      <c r="L24" s="198" t="s">
        <v>125</v>
      </c>
      <c r="M24" s="198"/>
      <c r="N24" s="67"/>
      <c r="O24" s="26"/>
      <c r="P24" s="81"/>
    </row>
    <row r="25" spans="1:19" x14ac:dyDescent="0.2">
      <c r="A25" s="8">
        <f t="shared" si="0"/>
        <v>17</v>
      </c>
      <c r="B25" s="316" t="s">
        <v>78</v>
      </c>
      <c r="C25" s="309" t="str">
        <f>'Sch 140 Rates'!$C$33</f>
        <v>Special Contract</v>
      </c>
      <c r="D25" s="135"/>
      <c r="E25" s="134"/>
      <c r="F25" s="134"/>
      <c r="G25" s="175">
        <v>304684283.88728809</v>
      </c>
      <c r="H25" s="175"/>
      <c r="I25" s="211">
        <v>5.1500000000000005E-4</v>
      </c>
      <c r="J25" s="211"/>
      <c r="K25" s="179">
        <f>'Sch 140 Rates'!$E$33</f>
        <v>3.1E-4</v>
      </c>
      <c r="L25" s="199">
        <v>6245198.954628231</v>
      </c>
      <c r="M25" s="199"/>
      <c r="N25" s="140">
        <f>L25+G25*(K25-I25)</f>
        <v>6182738.6764313374</v>
      </c>
      <c r="O25" s="19">
        <f>+N25-L25</f>
        <v>-62460.278196893632</v>
      </c>
      <c r="P25" s="79">
        <f>IF(L25=0,"n/a",+O25/L25)</f>
        <v>-1.0001327203612173E-2</v>
      </c>
      <c r="S25" s="46"/>
    </row>
    <row r="26" spans="1:19" x14ac:dyDescent="0.2">
      <c r="A26" s="8">
        <f t="shared" si="0"/>
        <v>18</v>
      </c>
      <c r="C26" s="134" t="s">
        <v>125</v>
      </c>
      <c r="D26" s="135"/>
      <c r="E26" s="134"/>
      <c r="F26" s="134"/>
      <c r="G26" s="1"/>
      <c r="H26" s="1"/>
      <c r="I26" s="210" t="s">
        <v>125</v>
      </c>
      <c r="J26" s="210"/>
      <c r="K26" s="27"/>
      <c r="L26" s="198" t="s">
        <v>125</v>
      </c>
      <c r="M26" s="198"/>
      <c r="N26" s="67"/>
      <c r="O26" s="26"/>
      <c r="P26" s="81"/>
    </row>
    <row r="27" spans="1:19" x14ac:dyDescent="0.2">
      <c r="A27" s="8">
        <f t="shared" si="0"/>
        <v>19</v>
      </c>
      <c r="B27" s="7" t="s">
        <v>15</v>
      </c>
      <c r="C27" s="134" t="s">
        <v>125</v>
      </c>
      <c r="D27" s="135"/>
      <c r="E27" s="134"/>
      <c r="F27" s="134"/>
      <c r="G27" s="1"/>
      <c r="H27" s="1"/>
      <c r="I27" s="210" t="s">
        <v>125</v>
      </c>
      <c r="J27" s="210"/>
      <c r="K27" s="27"/>
      <c r="L27" s="198" t="s">
        <v>125</v>
      </c>
      <c r="M27" s="198"/>
      <c r="N27" s="67"/>
      <c r="O27" s="26"/>
      <c r="P27" s="81"/>
    </row>
    <row r="28" spans="1:19" x14ac:dyDescent="0.2">
      <c r="A28" s="8">
        <f t="shared" si="0"/>
        <v>20</v>
      </c>
      <c r="B28" s="314" t="s">
        <v>167</v>
      </c>
      <c r="C28" s="134">
        <f>'Sch 140 Rates'!$C$28</f>
        <v>46</v>
      </c>
      <c r="D28" s="135"/>
      <c r="E28" s="134"/>
      <c r="F28" s="134"/>
      <c r="G28" s="174">
        <v>96942309.823676795</v>
      </c>
      <c r="H28" s="174"/>
      <c r="I28" s="212">
        <v>9.5E-4</v>
      </c>
      <c r="J28" s="212"/>
      <c r="K28" s="178">
        <f>'Sch 140 Rates'!E28</f>
        <v>5.6799999999999993E-4</v>
      </c>
      <c r="L28" s="200">
        <v>8491307.2348099165</v>
      </c>
      <c r="M28" s="200"/>
      <c r="N28" s="141">
        <f>L28+G28*(K28-I28)</f>
        <v>8454275.2724572718</v>
      </c>
      <c r="O28" s="22">
        <f>+N28-L28</f>
        <v>-37031.962352644652</v>
      </c>
      <c r="P28" s="80">
        <f>IF(L28=0,"n/a",+O28/L28)</f>
        <v>-4.3611615183152229E-3</v>
      </c>
      <c r="S28" s="46"/>
    </row>
    <row r="29" spans="1:19" ht="12" x14ac:dyDescent="0.35">
      <c r="A29" s="8">
        <f t="shared" si="0"/>
        <v>21</v>
      </c>
      <c r="B29" s="315" t="s">
        <v>14</v>
      </c>
      <c r="C29" s="134">
        <f>'Sch 140 Rates'!$C$29</f>
        <v>49</v>
      </c>
      <c r="D29" s="135"/>
      <c r="E29" s="134"/>
      <c r="F29" s="134"/>
      <c r="G29" s="174">
        <v>534795351.78868973</v>
      </c>
      <c r="H29" s="174"/>
      <c r="I29" s="212">
        <v>9.5E-4</v>
      </c>
      <c r="J29" s="212"/>
      <c r="K29" s="178">
        <f>'Sch 140 Rates'!E29</f>
        <v>5.6799999999999993E-4</v>
      </c>
      <c r="L29" s="200">
        <v>48820063.769156851</v>
      </c>
      <c r="M29" s="200"/>
      <c r="N29" s="141">
        <f>L29+G29*(K29-I29)</f>
        <v>48615771.94477357</v>
      </c>
      <c r="O29" s="22">
        <f>+N29-L29</f>
        <v>-204291.82438328117</v>
      </c>
      <c r="P29" s="80">
        <f>IF(L29=0,"n/a",+O29/L29)</f>
        <v>-4.1845874136761576E-3</v>
      </c>
      <c r="S29" s="46"/>
    </row>
    <row r="30" spans="1:19" x14ac:dyDescent="0.2">
      <c r="A30" s="8">
        <f t="shared" si="0"/>
        <v>22</v>
      </c>
      <c r="B30" s="25" t="s">
        <v>12</v>
      </c>
      <c r="C30" s="134" t="s">
        <v>125</v>
      </c>
      <c r="D30" s="135"/>
      <c r="E30" s="134"/>
      <c r="F30" s="134"/>
      <c r="G30" s="18">
        <f>SUM(G28:G29)</f>
        <v>631737661.61236656</v>
      </c>
      <c r="H30" s="18"/>
      <c r="I30" s="209" t="s">
        <v>125</v>
      </c>
      <c r="J30" s="209"/>
      <c r="K30" s="20"/>
      <c r="L30" s="201">
        <f>SUM(L28:L29)</f>
        <v>57311371.003966764</v>
      </c>
      <c r="M30" s="201"/>
      <c r="N30" s="140">
        <f>SUM(N28:N29)</f>
        <v>57070047.217230842</v>
      </c>
      <c r="O30" s="19">
        <f>SUM(O28:O29)</f>
        <v>-241323.78673592582</v>
      </c>
      <c r="P30" s="79">
        <f>IF(L30=0,"n/a",+O30/L30)</f>
        <v>-4.2107488009530038E-3</v>
      </c>
    </row>
    <row r="31" spans="1:19" x14ac:dyDescent="0.2">
      <c r="A31" s="8">
        <f t="shared" si="0"/>
        <v>23</v>
      </c>
      <c r="C31" s="134" t="s">
        <v>125</v>
      </c>
      <c r="D31" s="135"/>
      <c r="E31" s="134"/>
      <c r="F31" s="134"/>
      <c r="G31" s="1"/>
      <c r="H31" s="1"/>
      <c r="I31" s="210" t="s">
        <v>125</v>
      </c>
      <c r="J31" s="210"/>
      <c r="K31" s="27"/>
      <c r="L31" s="198" t="s">
        <v>125</v>
      </c>
      <c r="M31" s="198"/>
      <c r="N31" s="67"/>
      <c r="O31" s="26"/>
      <c r="P31" s="81"/>
    </row>
    <row r="32" spans="1:19" ht="11.4" x14ac:dyDescent="0.2">
      <c r="A32" s="8">
        <f t="shared" si="0"/>
        <v>24</v>
      </c>
      <c r="B32" s="7" t="s">
        <v>224</v>
      </c>
      <c r="C32" s="134" t="str">
        <f>'Sch 140 Rates'!$C$34</f>
        <v>50 - 59</v>
      </c>
      <c r="D32" s="135"/>
      <c r="E32" s="134"/>
      <c r="F32" s="134"/>
      <c r="G32" s="175">
        <v>67443601.461170837</v>
      </c>
      <c r="H32" s="175"/>
      <c r="I32" s="211">
        <v>8.5870000000000009E-3</v>
      </c>
      <c r="J32" s="211"/>
      <c r="K32" s="179">
        <f>'Sch 140 Rates'!$E$34</f>
        <v>4.9940000000000002E-3</v>
      </c>
      <c r="L32" s="199">
        <v>23248217.114451002</v>
      </c>
      <c r="M32" s="199"/>
      <c r="N32" s="140">
        <f>L32+G32*(K32-I32)</f>
        <v>23005892.254401017</v>
      </c>
      <c r="O32" s="19">
        <f>+N32-L32</f>
        <v>-242324.86004998535</v>
      </c>
      <c r="P32" s="79">
        <f>IF(L32=0,"n/a",+O32/L32)</f>
        <v>-1.0423373923988224E-2</v>
      </c>
      <c r="S32" s="46"/>
    </row>
    <row r="33" spans="1:19" x14ac:dyDescent="0.2">
      <c r="A33" s="8">
        <f t="shared" si="0"/>
        <v>25</v>
      </c>
      <c r="C33" s="134" t="s">
        <v>125</v>
      </c>
      <c r="D33" s="135"/>
      <c r="E33" s="134"/>
      <c r="F33" s="134"/>
      <c r="G33" s="1"/>
      <c r="H33" s="1"/>
      <c r="I33" s="210" t="s">
        <v>125</v>
      </c>
      <c r="J33" s="210"/>
      <c r="K33" s="27"/>
      <c r="L33" s="198" t="s">
        <v>125</v>
      </c>
      <c r="M33" s="198"/>
      <c r="N33" s="67"/>
      <c r="O33" s="26"/>
      <c r="P33" s="81"/>
    </row>
    <row r="34" spans="1:19" x14ac:dyDescent="0.2">
      <c r="A34" s="8">
        <f t="shared" si="0"/>
        <v>26</v>
      </c>
      <c r="B34" s="17" t="s">
        <v>168</v>
      </c>
      <c r="C34" s="134" t="str">
        <f>'Sch 140 Rates'!$C$32</f>
        <v>448 - 459</v>
      </c>
      <c r="D34" s="135"/>
      <c r="E34" s="134"/>
      <c r="F34" s="134"/>
      <c r="G34" s="175">
        <v>0</v>
      </c>
      <c r="H34" s="175">
        <v>3429433.3616452147</v>
      </c>
      <c r="I34" s="211">
        <v>9.9999999999999985E-3</v>
      </c>
      <c r="J34" s="211"/>
      <c r="K34" s="179">
        <f>'Sch 140 Rates'!$E$65</f>
        <v>6.3770000000000007E-3</v>
      </c>
      <c r="L34" s="199">
        <v>12591348.984712183</v>
      </c>
      <c r="M34" s="199"/>
      <c r="N34" s="140">
        <f>L34+H34*(K34-I34)</f>
        <v>12578924.147642942</v>
      </c>
      <c r="O34" s="19">
        <f>+N34-L34</f>
        <v>-12424.83706924133</v>
      </c>
      <c r="P34" s="79">
        <f>IF(L34=0,"n/a",+O34/L34)</f>
        <v>-9.8677568895334214E-4</v>
      </c>
      <c r="S34" s="46"/>
    </row>
    <row r="35" spans="1:19" x14ac:dyDescent="0.2">
      <c r="A35" s="8">
        <f t="shared" si="0"/>
        <v>27</v>
      </c>
      <c r="C35" s="134" t="s">
        <v>125</v>
      </c>
      <c r="D35" s="135"/>
      <c r="E35" s="134"/>
      <c r="F35" s="134"/>
      <c r="G35" s="1"/>
      <c r="H35" s="1"/>
      <c r="I35" s="210" t="s">
        <v>125</v>
      </c>
      <c r="J35" s="210"/>
      <c r="K35" s="27"/>
      <c r="L35" s="198" t="s">
        <v>125</v>
      </c>
      <c r="M35" s="198"/>
      <c r="N35" s="67"/>
      <c r="O35" s="26"/>
      <c r="P35" s="81"/>
    </row>
    <row r="36" spans="1:19" ht="10.8" thickBot="1" x14ac:dyDescent="0.25">
      <c r="A36" s="8">
        <f t="shared" si="0"/>
        <v>28</v>
      </c>
      <c r="B36" s="308" t="s">
        <v>217</v>
      </c>
      <c r="C36" s="136" t="s">
        <v>125</v>
      </c>
      <c r="D36" s="137"/>
      <c r="E36" s="136"/>
      <c r="F36" s="136"/>
      <c r="G36" s="28">
        <f>SUM(G10,G17,G23,G25,G30,G32,G34)</f>
        <v>21459747142.736572</v>
      </c>
      <c r="H36" s="28">
        <f>SUM(H10,H17,H23,H25,H30,H32,H34)</f>
        <v>3429433.3616452147</v>
      </c>
      <c r="I36" s="213" t="s">
        <v>125</v>
      </c>
      <c r="J36" s="213"/>
      <c r="K36" s="30"/>
      <c r="L36" s="202">
        <f>SUM(L10,L17,L23,L28,L30,L34,L32)</f>
        <v>2840965242.6626725</v>
      </c>
      <c r="M36" s="202"/>
      <c r="N36" s="307">
        <f>SUM(N10,N17,N23,N25,N30,N32,N34)</f>
        <v>2820027755.9015689</v>
      </c>
      <c r="O36" s="29">
        <f>SUM(O10,O17,O23,O25,O30,O32,O34)</f>
        <v>-18691378.480922267</v>
      </c>
      <c r="P36" s="82">
        <f>IF(L36=0,"n/a",+O36/L36)</f>
        <v>-6.5792351839559704E-3</v>
      </c>
      <c r="S36" s="46"/>
    </row>
    <row r="37" spans="1:19" ht="10.8" thickTop="1" x14ac:dyDescent="0.2">
      <c r="A37" s="8">
        <f t="shared" si="0"/>
        <v>29</v>
      </c>
      <c r="C37" s="134" t="s">
        <v>125</v>
      </c>
      <c r="D37" s="135"/>
      <c r="E37" s="134"/>
      <c r="F37" s="134"/>
      <c r="G37" s="10">
        <v>0</v>
      </c>
      <c r="H37" s="10"/>
      <c r="I37" s="214" t="s">
        <v>125</v>
      </c>
      <c r="J37" s="210"/>
      <c r="L37" s="215" t="s">
        <v>125</v>
      </c>
      <c r="M37" s="215"/>
      <c r="O37" s="46"/>
    </row>
    <row r="38" spans="1:19" x14ac:dyDescent="0.2">
      <c r="A38" s="8">
        <f t="shared" si="0"/>
        <v>30</v>
      </c>
      <c r="B38" s="25"/>
      <c r="C38" s="134" t="s">
        <v>125</v>
      </c>
      <c r="D38" s="135"/>
      <c r="E38" s="134"/>
      <c r="F38" s="134"/>
      <c r="I38" s="215" t="s">
        <v>125</v>
      </c>
      <c r="J38" s="215"/>
      <c r="L38" s="215" t="s">
        <v>125</v>
      </c>
      <c r="M38" s="215"/>
    </row>
    <row r="39" spans="1:19" ht="12" x14ac:dyDescent="0.2">
      <c r="A39" s="8">
        <f t="shared" si="0"/>
        <v>31</v>
      </c>
      <c r="B39" s="261" t="s">
        <v>130</v>
      </c>
      <c r="C39" s="108"/>
      <c r="D39" s="108"/>
      <c r="E39" s="119"/>
      <c r="F39" s="119"/>
      <c r="G39" s="120"/>
      <c r="H39" s="120"/>
      <c r="I39" s="120"/>
      <c r="J39" s="119"/>
      <c r="K39" s="119"/>
      <c r="L39" s="120"/>
      <c r="M39" s="120"/>
      <c r="N39" s="120"/>
      <c r="O39" s="119"/>
      <c r="P39" s="119"/>
    </row>
    <row r="40" spans="1:19" ht="12" x14ac:dyDescent="0.35">
      <c r="A40" s="8">
        <f t="shared" si="0"/>
        <v>32</v>
      </c>
      <c r="B40" s="109"/>
      <c r="C40" s="110" t="s">
        <v>79</v>
      </c>
      <c r="D40" s="110"/>
      <c r="E40" s="110"/>
      <c r="F40" s="110"/>
      <c r="G40" s="110"/>
      <c r="H40" s="110"/>
      <c r="I40" s="203"/>
      <c r="J40" s="110" t="s">
        <v>80</v>
      </c>
      <c r="K40" s="111"/>
      <c r="L40" s="111"/>
      <c r="M40" s="111"/>
      <c r="N40" s="111"/>
      <c r="O40" s="112"/>
      <c r="P40" s="112"/>
    </row>
    <row r="41" spans="1:19" ht="24" x14ac:dyDescent="0.35">
      <c r="A41" s="8">
        <f t="shared" si="0"/>
        <v>33</v>
      </c>
      <c r="B41" s="4"/>
      <c r="C41" s="113" t="s">
        <v>81</v>
      </c>
      <c r="D41" s="113" t="s">
        <v>82</v>
      </c>
      <c r="E41" s="113" t="s">
        <v>83</v>
      </c>
      <c r="F41" s="113" t="s">
        <v>161</v>
      </c>
      <c r="G41" s="301" t="s">
        <v>162</v>
      </c>
      <c r="H41" s="301"/>
      <c r="I41" s="113"/>
      <c r="J41" s="113" t="s">
        <v>81</v>
      </c>
      <c r="K41" s="113" t="s">
        <v>82</v>
      </c>
      <c r="L41" s="113" t="s">
        <v>83</v>
      </c>
      <c r="M41" s="113" t="s">
        <v>161</v>
      </c>
      <c r="N41" s="114" t="s">
        <v>131</v>
      </c>
      <c r="O41" s="114" t="s">
        <v>132</v>
      </c>
      <c r="P41" s="114" t="s">
        <v>133</v>
      </c>
    </row>
    <row r="42" spans="1:19" x14ac:dyDescent="0.2">
      <c r="A42" s="8">
        <f t="shared" si="0"/>
        <v>34</v>
      </c>
      <c r="B42" s="152" t="s">
        <v>134</v>
      </c>
      <c r="C42" s="115">
        <v>7.49</v>
      </c>
      <c r="D42" s="115">
        <v>53.66</v>
      </c>
      <c r="E42" s="115">
        <v>21.77</v>
      </c>
      <c r="F42" s="115">
        <v>26.21</v>
      </c>
      <c r="G42" s="302">
        <f>SUM(C42:F42)</f>
        <v>109.13</v>
      </c>
      <c r="H42" s="302"/>
      <c r="I42" s="121"/>
      <c r="J42" s="121">
        <f>C42</f>
        <v>7.49</v>
      </c>
      <c r="K42" s="121">
        <f>D42</f>
        <v>53.66</v>
      </c>
      <c r="L42" s="121">
        <f>E42</f>
        <v>21.77</v>
      </c>
      <c r="M42" s="121">
        <f>ROUND(F42+($K$10-$I$10)*800,2)</f>
        <v>25.4</v>
      </c>
      <c r="N42" s="116">
        <f>SUM(J42:M42)</f>
        <v>108.32</v>
      </c>
      <c r="O42" s="122">
        <f>N42-G42</f>
        <v>-0.81000000000000227</v>
      </c>
      <c r="P42" s="117">
        <f>O42/G42</f>
        <v>-7.4223403280491368E-3</v>
      </c>
    </row>
    <row r="43" spans="1:19" x14ac:dyDescent="0.2">
      <c r="A43" s="8">
        <f t="shared" si="0"/>
        <v>35</v>
      </c>
    </row>
    <row r="44" spans="1:19" x14ac:dyDescent="0.2">
      <c r="A44" s="8">
        <f t="shared" si="0"/>
        <v>36</v>
      </c>
      <c r="B44" s="317" t="s">
        <v>116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</row>
  </sheetData>
  <mergeCells count="1">
    <mergeCell ref="B44:P44"/>
  </mergeCells>
  <printOptions horizontalCentered="1"/>
  <pageMargins left="0.7" right="0.7" top="0.75" bottom="0.75" header="0.3" footer="0.3"/>
  <pageSetup scale="97" orientation="landscape" r:id="rId1"/>
  <headerFooter alignWithMargins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2" x14ac:dyDescent="0.25"/>
  <cols>
    <col min="1" max="16384" width="8.88671875" style="220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79998168889431442"/>
    <pageSetUpPr fitToPage="1"/>
  </sheetPr>
  <dimension ref="A1:M207"/>
  <sheetViews>
    <sheetView zoomScaleNormal="100" workbookViewId="0">
      <pane xSplit="5" ySplit="9" topLeftCell="F10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defaultColWidth="8.88671875" defaultRowHeight="10.199999999999999" x14ac:dyDescent="0.2"/>
  <cols>
    <col min="1" max="1" width="4.44140625" style="5" bestFit="1" customWidth="1"/>
    <col min="2" max="2" width="4.44140625" style="5" customWidth="1"/>
    <col min="3" max="3" width="29.6640625" style="5" bestFit="1" customWidth="1"/>
    <col min="4" max="4" width="18.6640625" style="5" bestFit="1" customWidth="1"/>
    <col min="5" max="5" width="12.33203125" style="5" bestFit="1" customWidth="1"/>
    <col min="6" max="12" width="13.109375" style="5" customWidth="1"/>
    <col min="13" max="16384" width="8.88671875" style="5"/>
  </cols>
  <sheetData>
    <row r="1" spans="1:12" s="76" customFormat="1" x14ac:dyDescent="0.2">
      <c r="A1" s="123" t="s">
        <v>124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76" customFormat="1" x14ac:dyDescent="0.2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s="76" customFormat="1" x14ac:dyDescent="0.2">
      <c r="A3" s="124" t="str">
        <f>Inputs!B2&amp;" Forecasted Rate-Year Ended "&amp;TEXT(Inputs!B4,"mmmm d, yyyy")</f>
        <v>F2023 Forecasted Rate-Year Ended April 30, 2025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s="76" customFormat="1" x14ac:dyDescent="0.2">
      <c r="A4" s="124" t="str">
        <f>"Proposed Rate Effective "&amp;TEXT(Inputs!B1,"mmmm d, yyyy")</f>
        <v>Proposed Rate Effective May 1, 2024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s="76" customFormat="1" x14ac:dyDescent="0.2">
      <c r="A5" s="70" t="s">
        <v>144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s="76" customFormat="1" x14ac:dyDescent="0.2">
      <c r="A6" s="84"/>
      <c r="B6" s="84"/>
      <c r="C6" s="83"/>
      <c r="D6" s="83"/>
      <c r="E6" s="83"/>
      <c r="F6" s="83"/>
      <c r="G6" s="83"/>
      <c r="H6" s="83"/>
      <c r="I6" s="31"/>
      <c r="J6" s="31"/>
      <c r="K6" s="31"/>
      <c r="L6" s="31"/>
    </row>
    <row r="7" spans="1:12" s="76" customFormat="1" ht="42" x14ac:dyDescent="0.2">
      <c r="A7" s="73" t="s">
        <v>0</v>
      </c>
      <c r="B7" s="73"/>
      <c r="C7" s="73" t="s">
        <v>2</v>
      </c>
      <c r="D7" s="73" t="s">
        <v>24</v>
      </c>
      <c r="E7" s="73" t="s">
        <v>29</v>
      </c>
      <c r="F7" s="74" t="s">
        <v>146</v>
      </c>
      <c r="G7" s="74" t="s">
        <v>106</v>
      </c>
      <c r="H7" s="74" t="s">
        <v>107</v>
      </c>
      <c r="I7" s="74" t="s">
        <v>145</v>
      </c>
      <c r="J7" s="74" t="s">
        <v>110</v>
      </c>
      <c r="K7" s="74" t="s">
        <v>111</v>
      </c>
      <c r="L7" s="74" t="s">
        <v>112</v>
      </c>
    </row>
    <row r="8" spans="1:12" x14ac:dyDescent="0.2">
      <c r="A8" s="33"/>
      <c r="B8" s="33"/>
      <c r="C8" s="47"/>
      <c r="D8" s="47"/>
      <c r="E8" s="48"/>
      <c r="F8" s="47" t="s">
        <v>19</v>
      </c>
      <c r="G8" s="48" t="s">
        <v>17</v>
      </c>
      <c r="H8" s="49" t="s">
        <v>21</v>
      </c>
      <c r="I8" s="47" t="s">
        <v>18</v>
      </c>
      <c r="J8" s="49" t="s">
        <v>20</v>
      </c>
      <c r="K8" s="49" t="s">
        <v>16</v>
      </c>
      <c r="L8" s="49" t="s">
        <v>28</v>
      </c>
    </row>
    <row r="9" spans="1:12" x14ac:dyDescent="0.2">
      <c r="A9" s="33"/>
      <c r="B9" s="33"/>
      <c r="C9" s="47"/>
      <c r="D9" s="47"/>
      <c r="E9" s="48"/>
      <c r="F9" s="48"/>
      <c r="G9" s="48"/>
      <c r="H9" s="48"/>
      <c r="I9" s="32"/>
      <c r="J9" s="50" t="s">
        <v>148</v>
      </c>
      <c r="K9" s="50" t="s">
        <v>149</v>
      </c>
      <c r="L9" s="9" t="s">
        <v>74</v>
      </c>
    </row>
    <row r="10" spans="1:12" x14ac:dyDescent="0.2">
      <c r="A10" s="33">
        <v>1</v>
      </c>
      <c r="B10" s="4" t="s">
        <v>30</v>
      </c>
      <c r="D10" s="4"/>
      <c r="E10" s="4"/>
      <c r="F10" s="4"/>
      <c r="G10" s="4"/>
      <c r="H10" s="4"/>
      <c r="I10" s="32"/>
      <c r="J10" s="32"/>
      <c r="K10" s="32"/>
      <c r="L10" s="32"/>
    </row>
    <row r="11" spans="1:12" x14ac:dyDescent="0.2">
      <c r="A11" s="33">
        <f>A10+1</f>
        <v>2</v>
      </c>
      <c r="B11" s="33"/>
      <c r="C11" s="51" t="s">
        <v>31</v>
      </c>
      <c r="D11" s="52" t="s">
        <v>102</v>
      </c>
      <c r="E11" s="53">
        <v>22</v>
      </c>
      <c r="F11" s="167">
        <v>0</v>
      </c>
      <c r="G11" s="54">
        <f>F11*$J$201</f>
        <v>0</v>
      </c>
      <c r="H11" s="54">
        <f>F11*$K$201</f>
        <v>0</v>
      </c>
      <c r="I11" s="55">
        <v>649</v>
      </c>
      <c r="J11" s="56">
        <f>I11*G11</f>
        <v>0</v>
      </c>
      <c r="K11" s="56">
        <f>I11*H11</f>
        <v>0</v>
      </c>
      <c r="L11" s="56">
        <f>SUM(J11:K11)</f>
        <v>0</v>
      </c>
    </row>
    <row r="12" spans="1:12" x14ac:dyDescent="0.2">
      <c r="A12" s="33">
        <f t="shared" ref="A12:A66" si="0">A11+1</f>
        <v>3</v>
      </c>
      <c r="B12" s="33"/>
      <c r="C12" s="12"/>
      <c r="D12" s="48"/>
      <c r="E12" s="9"/>
      <c r="F12" s="168"/>
      <c r="G12" s="2"/>
      <c r="H12" s="2"/>
      <c r="I12" s="3"/>
      <c r="J12" s="3"/>
      <c r="K12" s="3"/>
      <c r="L12" s="32"/>
    </row>
    <row r="13" spans="1:12" x14ac:dyDescent="0.2">
      <c r="A13" s="33">
        <f t="shared" si="0"/>
        <v>4</v>
      </c>
      <c r="B13" s="33"/>
      <c r="C13" s="51" t="s">
        <v>32</v>
      </c>
      <c r="D13" s="57" t="s">
        <v>25</v>
      </c>
      <c r="E13" s="58">
        <v>100</v>
      </c>
      <c r="F13" s="167">
        <v>0.02</v>
      </c>
      <c r="G13" s="54">
        <f>F13*$J$201</f>
        <v>1.7597205540837383E-2</v>
      </c>
      <c r="H13" s="54">
        <f>F13*$K$201</f>
        <v>-4.6932801406422949E-3</v>
      </c>
      <c r="I13" s="55">
        <v>33</v>
      </c>
      <c r="J13" s="56">
        <f>I13*G13</f>
        <v>0.58070778284763369</v>
      </c>
      <c r="K13" s="56">
        <f>I13*H13</f>
        <v>-0.15487824464119573</v>
      </c>
      <c r="L13" s="56">
        <f>SUM(J13:K13)</f>
        <v>0.42582953820643799</v>
      </c>
    </row>
    <row r="14" spans="1:12" x14ac:dyDescent="0.2">
      <c r="A14" s="33">
        <f t="shared" si="0"/>
        <v>5</v>
      </c>
      <c r="B14" s="33"/>
      <c r="C14" s="51" t="str">
        <f>+C13</f>
        <v>50E-A</v>
      </c>
      <c r="D14" s="57" t="str">
        <f>+D13</f>
        <v>Mercury Vapor</v>
      </c>
      <c r="E14" s="58">
        <v>175</v>
      </c>
      <c r="F14" s="167">
        <v>0.03</v>
      </c>
      <c r="G14" s="54">
        <f>F14*$J$201</f>
        <v>2.6395808311256076E-2</v>
      </c>
      <c r="H14" s="54">
        <f>F14*$K$201</f>
        <v>-7.0399202109634419E-3</v>
      </c>
      <c r="I14" s="55">
        <v>228</v>
      </c>
      <c r="J14" s="56">
        <f>I14*G14</f>
        <v>6.0182442949663857</v>
      </c>
      <c r="K14" s="56">
        <f>I14*H14</f>
        <v>-1.6051018080996649</v>
      </c>
      <c r="L14" s="56">
        <f>SUM(J14:K14)</f>
        <v>4.4131424868667208</v>
      </c>
    </row>
    <row r="15" spans="1:12" x14ac:dyDescent="0.2">
      <c r="A15" s="33">
        <f t="shared" si="0"/>
        <v>6</v>
      </c>
      <c r="B15" s="33"/>
      <c r="C15" s="51" t="str">
        <f>+C14</f>
        <v>50E-A</v>
      </c>
      <c r="D15" s="57" t="str">
        <f>+D14</f>
        <v>Mercury Vapor</v>
      </c>
      <c r="E15" s="58">
        <v>400</v>
      </c>
      <c r="F15" s="167">
        <v>0.08</v>
      </c>
      <c r="G15" s="54">
        <f>F15*$J$201</f>
        <v>7.0388822163349532E-2</v>
      </c>
      <c r="H15" s="54">
        <f>F15*$K$201</f>
        <v>-1.877312056256918E-2</v>
      </c>
      <c r="I15" s="55">
        <v>229</v>
      </c>
      <c r="J15" s="56">
        <f>I15*G15</f>
        <v>16.119040275407041</v>
      </c>
      <c r="K15" s="56">
        <f>I15*H15</f>
        <v>-4.2990446088283418</v>
      </c>
      <c r="L15" s="56">
        <f>SUM(J15:K15)</f>
        <v>11.819995666578698</v>
      </c>
    </row>
    <row r="16" spans="1:12" x14ac:dyDescent="0.2">
      <c r="A16" s="33">
        <f t="shared" si="0"/>
        <v>7</v>
      </c>
      <c r="B16" s="33"/>
      <c r="C16" s="51"/>
      <c r="D16" s="57"/>
      <c r="E16" s="58"/>
      <c r="F16" s="169"/>
      <c r="G16" s="54"/>
      <c r="H16" s="54"/>
      <c r="I16" s="55"/>
      <c r="J16" s="56"/>
      <c r="K16" s="56"/>
      <c r="L16" s="56"/>
    </row>
    <row r="17" spans="1:12" x14ac:dyDescent="0.2">
      <c r="A17" s="33">
        <f t="shared" si="0"/>
        <v>8</v>
      </c>
      <c r="B17" s="33"/>
      <c r="C17" s="51" t="s">
        <v>33</v>
      </c>
      <c r="D17" s="57" t="str">
        <f>+D15</f>
        <v>Mercury Vapor</v>
      </c>
      <c r="E17" s="58">
        <v>100</v>
      </c>
      <c r="F17" s="167">
        <v>0.02</v>
      </c>
      <c r="G17" s="54">
        <f>F17*$J$201</f>
        <v>1.7597205540837383E-2</v>
      </c>
      <c r="H17" s="54">
        <f>F17*$K$201</f>
        <v>-4.6932801406422949E-3</v>
      </c>
      <c r="I17" s="55">
        <v>0</v>
      </c>
      <c r="J17" s="56">
        <f>I17*G17</f>
        <v>0</v>
      </c>
      <c r="K17" s="56">
        <f>I17*H17</f>
        <v>0</v>
      </c>
      <c r="L17" s="56">
        <f>SUM(J17:K17)</f>
        <v>0</v>
      </c>
    </row>
    <row r="18" spans="1:12" x14ac:dyDescent="0.2">
      <c r="A18" s="33">
        <f t="shared" si="0"/>
        <v>9</v>
      </c>
      <c r="B18" s="33"/>
      <c r="C18" s="51" t="str">
        <f t="shared" ref="C18:D20" si="1">+C17</f>
        <v>50E-B</v>
      </c>
      <c r="D18" s="57" t="str">
        <f t="shared" si="1"/>
        <v>Mercury Vapor</v>
      </c>
      <c r="E18" s="58">
        <v>175</v>
      </c>
      <c r="F18" s="167">
        <v>0.03</v>
      </c>
      <c r="G18" s="54">
        <f>F18*$J$201</f>
        <v>2.6395808311256076E-2</v>
      </c>
      <c r="H18" s="54">
        <f>F18*$K$201</f>
        <v>-7.0399202109634419E-3</v>
      </c>
      <c r="I18" s="55">
        <v>12</v>
      </c>
      <c r="J18" s="56">
        <f>I18*G18</f>
        <v>0.31674969973507294</v>
      </c>
      <c r="K18" s="56">
        <f>I18*H18</f>
        <v>-8.4479042531561299E-2</v>
      </c>
      <c r="L18" s="56">
        <f>SUM(J18:K18)</f>
        <v>0.23227065720351164</v>
      </c>
    </row>
    <row r="19" spans="1:12" x14ac:dyDescent="0.2">
      <c r="A19" s="33">
        <f t="shared" si="0"/>
        <v>10</v>
      </c>
      <c r="B19" s="33"/>
      <c r="C19" s="51" t="str">
        <f t="shared" si="1"/>
        <v>50E-B</v>
      </c>
      <c r="D19" s="57" t="str">
        <f t="shared" si="1"/>
        <v>Mercury Vapor</v>
      </c>
      <c r="E19" s="58">
        <v>400</v>
      </c>
      <c r="F19" s="167">
        <v>0.08</v>
      </c>
      <c r="G19" s="54">
        <f>F19*$J$201</f>
        <v>7.0388822163349532E-2</v>
      </c>
      <c r="H19" s="54">
        <f>F19*$K$201</f>
        <v>-1.877312056256918E-2</v>
      </c>
      <c r="I19" s="55">
        <v>0</v>
      </c>
      <c r="J19" s="56">
        <f>I19*G19</f>
        <v>0</v>
      </c>
      <c r="K19" s="56">
        <f>I19*H19</f>
        <v>0</v>
      </c>
      <c r="L19" s="56">
        <f>SUM(J19:K19)</f>
        <v>0</v>
      </c>
    </row>
    <row r="20" spans="1:12" x14ac:dyDescent="0.2">
      <c r="A20" s="33">
        <f t="shared" si="0"/>
        <v>11</v>
      </c>
      <c r="B20" s="33"/>
      <c r="C20" s="51" t="str">
        <f t="shared" si="1"/>
        <v>50E-B</v>
      </c>
      <c r="D20" s="57" t="str">
        <f t="shared" si="1"/>
        <v>Mercury Vapor</v>
      </c>
      <c r="E20" s="58">
        <v>700</v>
      </c>
      <c r="F20" s="167">
        <v>0.13</v>
      </c>
      <c r="G20" s="54">
        <f>F20*$J$201</f>
        <v>0.11438183601544299</v>
      </c>
      <c r="H20" s="54">
        <f>F20*$K$201</f>
        <v>-3.0506320914174916E-2</v>
      </c>
      <c r="I20" s="55">
        <v>0</v>
      </c>
      <c r="J20" s="56">
        <f>I20*G20</f>
        <v>0</v>
      </c>
      <c r="K20" s="56">
        <f>I20*H20</f>
        <v>0</v>
      </c>
      <c r="L20" s="56">
        <f>SUM(J20:K20)</f>
        <v>0</v>
      </c>
    </row>
    <row r="21" spans="1:12" x14ac:dyDescent="0.2">
      <c r="A21" s="33">
        <f t="shared" si="0"/>
        <v>12</v>
      </c>
      <c r="B21" s="59" t="s">
        <v>34</v>
      </c>
      <c r="D21" s="60"/>
      <c r="E21" s="4"/>
      <c r="F21" s="170"/>
      <c r="G21" s="2"/>
      <c r="H21" s="2"/>
      <c r="I21" s="3"/>
      <c r="J21" s="3"/>
      <c r="K21" s="3"/>
      <c r="L21" s="32"/>
    </row>
    <row r="22" spans="1:12" x14ac:dyDescent="0.2">
      <c r="A22" s="33">
        <f t="shared" si="0"/>
        <v>13</v>
      </c>
      <c r="B22" s="59"/>
      <c r="C22" s="51" t="s">
        <v>35</v>
      </c>
      <c r="D22" s="57" t="s">
        <v>36</v>
      </c>
      <c r="E22" s="61" t="s">
        <v>101</v>
      </c>
      <c r="F22" s="167">
        <v>0</v>
      </c>
      <c r="G22" s="54">
        <f t="shared" ref="G22:G31" si="2">F22*$J$201</f>
        <v>0</v>
      </c>
      <c r="H22" s="54">
        <f t="shared" ref="H22:H31" si="3">F22*$K$201</f>
        <v>0</v>
      </c>
      <c r="I22" s="55">
        <v>408</v>
      </c>
      <c r="J22" s="56">
        <f t="shared" ref="J22:J31" si="4">I22*G22</f>
        <v>0</v>
      </c>
      <c r="K22" s="56">
        <f t="shared" ref="K22:K31" si="5">I22*H22</f>
        <v>0</v>
      </c>
      <c r="L22" s="56">
        <f t="shared" ref="L22:L31" si="6">SUM(J22:K22)</f>
        <v>0</v>
      </c>
    </row>
    <row r="23" spans="1:12" x14ac:dyDescent="0.2">
      <c r="A23" s="33">
        <f t="shared" si="0"/>
        <v>14</v>
      </c>
      <c r="B23" s="33"/>
      <c r="C23" s="51" t="s">
        <v>35</v>
      </c>
      <c r="D23" s="57" t="s">
        <v>36</v>
      </c>
      <c r="E23" s="61" t="s">
        <v>37</v>
      </c>
      <c r="F23" s="167">
        <v>0.01</v>
      </c>
      <c r="G23" s="54">
        <f t="shared" si="2"/>
        <v>8.7986027704186915E-3</v>
      </c>
      <c r="H23" s="54">
        <f t="shared" si="3"/>
        <v>-2.3466400703211474E-3</v>
      </c>
      <c r="I23" s="55">
        <v>62884</v>
      </c>
      <c r="J23" s="56">
        <f t="shared" si="4"/>
        <v>553.29133661500896</v>
      </c>
      <c r="K23" s="56">
        <f t="shared" si="5"/>
        <v>-147.56611418207504</v>
      </c>
      <c r="L23" s="56">
        <f t="shared" si="6"/>
        <v>405.72522243293395</v>
      </c>
    </row>
    <row r="24" spans="1:12" x14ac:dyDescent="0.2">
      <c r="A24" s="33">
        <f t="shared" si="0"/>
        <v>15</v>
      </c>
      <c r="B24" s="33"/>
      <c r="C24" s="51" t="s">
        <v>35</v>
      </c>
      <c r="D24" s="57" t="s">
        <v>36</v>
      </c>
      <c r="E24" s="58" t="s">
        <v>38</v>
      </c>
      <c r="F24" s="167">
        <v>0.01</v>
      </c>
      <c r="G24" s="54">
        <f t="shared" si="2"/>
        <v>8.7986027704186915E-3</v>
      </c>
      <c r="H24" s="54">
        <f t="shared" si="3"/>
        <v>-2.3466400703211474E-3</v>
      </c>
      <c r="I24" s="55">
        <v>35897</v>
      </c>
      <c r="J24" s="56">
        <f t="shared" si="4"/>
        <v>315.84344364971975</v>
      </c>
      <c r="K24" s="56">
        <f t="shared" si="5"/>
        <v>-84.237338604318225</v>
      </c>
      <c r="L24" s="56">
        <f>SUM(J24:K24)</f>
        <v>231.60610504540153</v>
      </c>
    </row>
    <row r="25" spans="1:12" x14ac:dyDescent="0.2">
      <c r="A25" s="33">
        <f t="shared" si="0"/>
        <v>16</v>
      </c>
      <c r="B25" s="33"/>
      <c r="C25" s="51" t="s">
        <v>35</v>
      </c>
      <c r="D25" s="57" t="s">
        <v>36</v>
      </c>
      <c r="E25" s="58" t="s">
        <v>39</v>
      </c>
      <c r="F25" s="167">
        <v>0.02</v>
      </c>
      <c r="G25" s="54">
        <f t="shared" si="2"/>
        <v>1.7597205540837383E-2</v>
      </c>
      <c r="H25" s="54">
        <f t="shared" si="3"/>
        <v>-4.6932801406422949E-3</v>
      </c>
      <c r="I25" s="55">
        <v>15040</v>
      </c>
      <c r="J25" s="56">
        <f t="shared" si="4"/>
        <v>264.66197133419422</v>
      </c>
      <c r="K25" s="56">
        <f t="shared" si="5"/>
        <v>-70.586933315260111</v>
      </c>
      <c r="L25" s="56">
        <f t="shared" si="6"/>
        <v>194.07503801893409</v>
      </c>
    </row>
    <row r="26" spans="1:12" x14ac:dyDescent="0.2">
      <c r="A26" s="33">
        <f t="shared" si="0"/>
        <v>17</v>
      </c>
      <c r="B26" s="33"/>
      <c r="C26" s="51" t="s">
        <v>35</v>
      </c>
      <c r="D26" s="57" t="s">
        <v>36</v>
      </c>
      <c r="E26" s="58" t="s">
        <v>40</v>
      </c>
      <c r="F26" s="167">
        <v>0.03</v>
      </c>
      <c r="G26" s="54">
        <f t="shared" si="2"/>
        <v>2.6395808311256076E-2</v>
      </c>
      <c r="H26" s="54">
        <f t="shared" si="3"/>
        <v>-7.0399202109634419E-3</v>
      </c>
      <c r="I26" s="55">
        <v>7113</v>
      </c>
      <c r="J26" s="56">
        <f t="shared" si="4"/>
        <v>187.75338451796446</v>
      </c>
      <c r="K26" s="56">
        <f t="shared" si="5"/>
        <v>-50.074952460582963</v>
      </c>
      <c r="L26" s="56">
        <f t="shared" si="6"/>
        <v>137.67843205738149</v>
      </c>
    </row>
    <row r="27" spans="1:12" x14ac:dyDescent="0.2">
      <c r="A27" s="33">
        <f t="shared" si="0"/>
        <v>18</v>
      </c>
      <c r="B27" s="33"/>
      <c r="C27" s="51" t="s">
        <v>35</v>
      </c>
      <c r="D27" s="57" t="s">
        <v>36</v>
      </c>
      <c r="E27" s="58" t="s">
        <v>41</v>
      </c>
      <c r="F27" s="167">
        <v>0.03</v>
      </c>
      <c r="G27" s="54">
        <f t="shared" si="2"/>
        <v>2.6395808311256076E-2</v>
      </c>
      <c r="H27" s="54">
        <f t="shared" si="3"/>
        <v>-7.0399202109634419E-3</v>
      </c>
      <c r="I27" s="55">
        <v>905</v>
      </c>
      <c r="J27" s="56">
        <f t="shared" si="4"/>
        <v>23.888206521686747</v>
      </c>
      <c r="K27" s="56">
        <f t="shared" si="5"/>
        <v>-6.3711277909219151</v>
      </c>
      <c r="L27" s="56">
        <f t="shared" si="6"/>
        <v>17.517078730764833</v>
      </c>
    </row>
    <row r="28" spans="1:12" x14ac:dyDescent="0.2">
      <c r="A28" s="33">
        <f t="shared" si="0"/>
        <v>19</v>
      </c>
      <c r="B28" s="33"/>
      <c r="C28" s="51" t="s">
        <v>35</v>
      </c>
      <c r="D28" s="57" t="s">
        <v>36</v>
      </c>
      <c r="E28" s="58" t="s">
        <v>42</v>
      </c>
      <c r="F28" s="167">
        <v>0.04</v>
      </c>
      <c r="G28" s="54">
        <f t="shared" si="2"/>
        <v>3.5194411081674766E-2</v>
      </c>
      <c r="H28" s="54">
        <f t="shared" si="3"/>
        <v>-9.3865602812845898E-3</v>
      </c>
      <c r="I28" s="55">
        <v>2319</v>
      </c>
      <c r="J28" s="56">
        <f t="shared" si="4"/>
        <v>81.615839298403785</v>
      </c>
      <c r="K28" s="56">
        <f t="shared" si="5"/>
        <v>-21.767433292298964</v>
      </c>
      <c r="L28" s="56">
        <f t="shared" si="6"/>
        <v>59.848406006104824</v>
      </c>
    </row>
    <row r="29" spans="1:12" x14ac:dyDescent="0.2">
      <c r="A29" s="33">
        <f t="shared" si="0"/>
        <v>20</v>
      </c>
      <c r="B29" s="33"/>
      <c r="C29" s="51" t="s">
        <v>35</v>
      </c>
      <c r="D29" s="57" t="s">
        <v>36</v>
      </c>
      <c r="E29" s="58" t="s">
        <v>43</v>
      </c>
      <c r="F29" s="167">
        <v>0.04</v>
      </c>
      <c r="G29" s="54">
        <f t="shared" si="2"/>
        <v>3.5194411081674766E-2</v>
      </c>
      <c r="H29" s="54">
        <f t="shared" si="3"/>
        <v>-9.3865602812845898E-3</v>
      </c>
      <c r="I29" s="55">
        <v>959</v>
      </c>
      <c r="J29" s="56">
        <f t="shared" si="4"/>
        <v>33.7514402273261</v>
      </c>
      <c r="K29" s="56">
        <f t="shared" si="5"/>
        <v>-9.0017113097519221</v>
      </c>
      <c r="L29" s="56">
        <f t="shared" si="6"/>
        <v>24.749728917574178</v>
      </c>
    </row>
    <row r="30" spans="1:12" x14ac:dyDescent="0.2">
      <c r="A30" s="33">
        <f t="shared" si="0"/>
        <v>21</v>
      </c>
      <c r="B30" s="33"/>
      <c r="C30" s="51" t="s">
        <v>35</v>
      </c>
      <c r="D30" s="57" t="s">
        <v>36</v>
      </c>
      <c r="E30" s="58" t="s">
        <v>44</v>
      </c>
      <c r="F30" s="167">
        <v>0.05</v>
      </c>
      <c r="G30" s="54">
        <f t="shared" si="2"/>
        <v>4.3993013852093463E-2</v>
      </c>
      <c r="H30" s="54">
        <f t="shared" si="3"/>
        <v>-1.1733200351605737E-2</v>
      </c>
      <c r="I30" s="55">
        <v>74</v>
      </c>
      <c r="J30" s="56">
        <f t="shared" si="4"/>
        <v>3.2554830250549163</v>
      </c>
      <c r="K30" s="56">
        <f t="shared" si="5"/>
        <v>-0.86825682601882448</v>
      </c>
      <c r="L30" s="56">
        <f t="shared" si="6"/>
        <v>2.3872261990360917</v>
      </c>
    </row>
    <row r="31" spans="1:12" x14ac:dyDescent="0.2">
      <c r="A31" s="33">
        <f t="shared" si="0"/>
        <v>22</v>
      </c>
      <c r="B31" s="33"/>
      <c r="C31" s="51" t="s">
        <v>35</v>
      </c>
      <c r="D31" s="57" t="s">
        <v>36</v>
      </c>
      <c r="E31" s="58" t="s">
        <v>45</v>
      </c>
      <c r="F31" s="167">
        <v>0.05</v>
      </c>
      <c r="G31" s="54">
        <f t="shared" si="2"/>
        <v>4.3993013852093463E-2</v>
      </c>
      <c r="H31" s="54">
        <f t="shared" si="3"/>
        <v>-1.1733200351605737E-2</v>
      </c>
      <c r="I31" s="55">
        <v>947</v>
      </c>
      <c r="J31" s="56">
        <f t="shared" si="4"/>
        <v>41.661384117932506</v>
      </c>
      <c r="K31" s="56">
        <f t="shared" si="5"/>
        <v>-11.111340732970632</v>
      </c>
      <c r="L31" s="56">
        <f t="shared" si="6"/>
        <v>30.550043384961874</v>
      </c>
    </row>
    <row r="32" spans="1:12" x14ac:dyDescent="0.2">
      <c r="A32" s="33">
        <f t="shared" si="0"/>
        <v>23</v>
      </c>
      <c r="B32" s="33"/>
      <c r="C32" s="51"/>
      <c r="D32" s="57"/>
      <c r="E32" s="58"/>
      <c r="F32" s="169"/>
      <c r="G32" s="54"/>
      <c r="H32" s="54"/>
      <c r="I32" s="55"/>
      <c r="J32" s="56"/>
      <c r="K32" s="56"/>
      <c r="L32" s="56"/>
    </row>
    <row r="33" spans="1:12" x14ac:dyDescent="0.2">
      <c r="A33" s="33">
        <f t="shared" si="0"/>
        <v>24</v>
      </c>
      <c r="B33" s="33"/>
      <c r="C33" s="51" t="s">
        <v>35</v>
      </c>
      <c r="D33" s="57" t="s">
        <v>99</v>
      </c>
      <c r="E33" s="61" t="s">
        <v>115</v>
      </c>
      <c r="F33" s="171">
        <v>8.5869999999999991E-3</v>
      </c>
      <c r="G33" s="78">
        <f>F33*$J$201</f>
        <v>7.5553601989585299E-3</v>
      </c>
      <c r="H33" s="78">
        <f>F33*$K$201</f>
        <v>-2.0150598283847692E-3</v>
      </c>
      <c r="I33" s="55">
        <v>152499</v>
      </c>
      <c r="J33" s="56">
        <f>I33*G33</f>
        <v>1152.1848749809769</v>
      </c>
      <c r="K33" s="56">
        <f>I33*H33</f>
        <v>-307.29460876884895</v>
      </c>
      <c r="L33" s="56">
        <f>SUM(J33:K33)</f>
        <v>844.89026621212793</v>
      </c>
    </row>
    <row r="34" spans="1:12" x14ac:dyDescent="0.2">
      <c r="A34" s="33">
        <f t="shared" si="0"/>
        <v>25</v>
      </c>
      <c r="B34" s="59" t="s">
        <v>46</v>
      </c>
      <c r="D34" s="4"/>
      <c r="E34" s="4"/>
      <c r="F34" s="170"/>
      <c r="G34" s="2"/>
      <c r="H34" s="2"/>
      <c r="I34" s="3"/>
      <c r="J34" s="3"/>
      <c r="K34" s="3"/>
      <c r="L34" s="32"/>
    </row>
    <row r="35" spans="1:12" x14ac:dyDescent="0.2">
      <c r="A35" s="33">
        <f t="shared" si="0"/>
        <v>26</v>
      </c>
      <c r="B35" s="33"/>
      <c r="C35" s="51" t="s">
        <v>47</v>
      </c>
      <c r="D35" s="39" t="s">
        <v>26</v>
      </c>
      <c r="E35" s="39">
        <v>50</v>
      </c>
      <c r="F35" s="167">
        <v>0.01</v>
      </c>
      <c r="G35" s="54">
        <f t="shared" ref="G35:G42" si="7">F35*$J$201</f>
        <v>8.7986027704186915E-3</v>
      </c>
      <c r="H35" s="54">
        <f t="shared" ref="H35:H42" si="8">F35*$K$201</f>
        <v>-2.3466400703211474E-3</v>
      </c>
      <c r="I35" s="55">
        <v>0</v>
      </c>
      <c r="J35" s="56">
        <f t="shared" ref="J35:J42" si="9">I35*G35</f>
        <v>0</v>
      </c>
      <c r="K35" s="56">
        <f t="shared" ref="K35:K42" si="10">I35*H35</f>
        <v>0</v>
      </c>
      <c r="L35" s="56">
        <f t="shared" ref="L35:L42" si="11">SUM(J35:K35)</f>
        <v>0</v>
      </c>
    </row>
    <row r="36" spans="1:12" x14ac:dyDescent="0.2">
      <c r="A36" s="33">
        <f t="shared" si="0"/>
        <v>27</v>
      </c>
      <c r="B36" s="33"/>
      <c r="C36" s="51" t="str">
        <f t="shared" ref="C36:C42" si="12">+C35</f>
        <v xml:space="preserve">52E </v>
      </c>
      <c r="D36" s="39" t="s">
        <v>26</v>
      </c>
      <c r="E36" s="39">
        <v>70</v>
      </c>
      <c r="F36" s="167">
        <v>0.01</v>
      </c>
      <c r="G36" s="54">
        <f t="shared" si="7"/>
        <v>8.7986027704186915E-3</v>
      </c>
      <c r="H36" s="54">
        <f t="shared" si="8"/>
        <v>-2.3466400703211474E-3</v>
      </c>
      <c r="I36" s="55">
        <v>7987</v>
      </c>
      <c r="J36" s="56">
        <f t="shared" si="9"/>
        <v>70.274440327334091</v>
      </c>
      <c r="K36" s="56">
        <f t="shared" si="10"/>
        <v>-18.742614241655005</v>
      </c>
      <c r="L36" s="56">
        <f t="shared" si="11"/>
        <v>51.531826085679086</v>
      </c>
    </row>
    <row r="37" spans="1:12" x14ac:dyDescent="0.2">
      <c r="A37" s="33">
        <f t="shared" si="0"/>
        <v>28</v>
      </c>
      <c r="B37" s="33"/>
      <c r="C37" s="51" t="str">
        <f t="shared" si="12"/>
        <v xml:space="preserve">52E </v>
      </c>
      <c r="D37" s="39" t="s">
        <v>26</v>
      </c>
      <c r="E37" s="39">
        <v>100</v>
      </c>
      <c r="F37" s="167">
        <v>0.02</v>
      </c>
      <c r="G37" s="54">
        <f t="shared" si="7"/>
        <v>1.7597205540837383E-2</v>
      </c>
      <c r="H37" s="54">
        <f t="shared" si="8"/>
        <v>-4.6932801406422949E-3</v>
      </c>
      <c r="I37" s="55">
        <v>112813</v>
      </c>
      <c r="J37" s="56">
        <f t="shared" si="9"/>
        <v>1985.1935486784878</v>
      </c>
      <c r="K37" s="56">
        <f t="shared" si="10"/>
        <v>-529.46301250627926</v>
      </c>
      <c r="L37" s="56">
        <f t="shared" si="11"/>
        <v>1455.7305361722085</v>
      </c>
    </row>
    <row r="38" spans="1:12" x14ac:dyDescent="0.2">
      <c r="A38" s="33">
        <f t="shared" si="0"/>
        <v>29</v>
      </c>
      <c r="B38" s="33"/>
      <c r="C38" s="51" t="str">
        <f t="shared" si="12"/>
        <v xml:space="preserve">52E </v>
      </c>
      <c r="D38" s="39" t="s">
        <v>26</v>
      </c>
      <c r="E38" s="39">
        <v>150</v>
      </c>
      <c r="F38" s="167">
        <v>0.03</v>
      </c>
      <c r="G38" s="54">
        <f t="shared" si="7"/>
        <v>2.6395808311256076E-2</v>
      </c>
      <c r="H38" s="54">
        <f t="shared" si="8"/>
        <v>-7.0399202109634419E-3</v>
      </c>
      <c r="I38" s="55">
        <v>52631</v>
      </c>
      <c r="J38" s="56">
        <f t="shared" si="9"/>
        <v>1389.2377872297186</v>
      </c>
      <c r="K38" s="56">
        <f t="shared" si="10"/>
        <v>-370.5180406232169</v>
      </c>
      <c r="L38" s="56">
        <f t="shared" si="11"/>
        <v>1018.7197466065018</v>
      </c>
    </row>
    <row r="39" spans="1:12" x14ac:dyDescent="0.2">
      <c r="A39" s="33">
        <f t="shared" si="0"/>
        <v>30</v>
      </c>
      <c r="B39" s="33"/>
      <c r="C39" s="51" t="str">
        <f t="shared" si="12"/>
        <v xml:space="preserve">52E </v>
      </c>
      <c r="D39" s="39" t="s">
        <v>26</v>
      </c>
      <c r="E39" s="39">
        <v>200</v>
      </c>
      <c r="F39" s="167">
        <v>0.04</v>
      </c>
      <c r="G39" s="54">
        <f t="shared" si="7"/>
        <v>3.5194411081674766E-2</v>
      </c>
      <c r="H39" s="54">
        <f t="shared" si="8"/>
        <v>-9.3865602812845898E-3</v>
      </c>
      <c r="I39" s="55">
        <v>10988</v>
      </c>
      <c r="J39" s="56">
        <f t="shared" si="9"/>
        <v>386.71618896544231</v>
      </c>
      <c r="K39" s="56">
        <f t="shared" si="10"/>
        <v>-103.13952437075507</v>
      </c>
      <c r="L39" s="56">
        <f t="shared" si="11"/>
        <v>283.57666459468726</v>
      </c>
    </row>
    <row r="40" spans="1:12" x14ac:dyDescent="0.2">
      <c r="A40" s="33">
        <f t="shared" si="0"/>
        <v>31</v>
      </c>
      <c r="B40" s="33"/>
      <c r="C40" s="51" t="str">
        <f t="shared" si="12"/>
        <v xml:space="preserve">52E </v>
      </c>
      <c r="D40" s="39" t="s">
        <v>26</v>
      </c>
      <c r="E40" s="39">
        <v>250</v>
      </c>
      <c r="F40" s="167">
        <v>0.05</v>
      </c>
      <c r="G40" s="54">
        <f t="shared" si="7"/>
        <v>4.3993013852093463E-2</v>
      </c>
      <c r="H40" s="54">
        <f t="shared" si="8"/>
        <v>-1.1733200351605737E-2</v>
      </c>
      <c r="I40" s="55">
        <v>16314</v>
      </c>
      <c r="J40" s="56">
        <f t="shared" si="9"/>
        <v>717.70202798305274</v>
      </c>
      <c r="K40" s="56">
        <f t="shared" si="10"/>
        <v>-191.41543053609598</v>
      </c>
      <c r="L40" s="56">
        <f t="shared" si="11"/>
        <v>526.28659744695676</v>
      </c>
    </row>
    <row r="41" spans="1:12" x14ac:dyDescent="0.2">
      <c r="A41" s="33">
        <f t="shared" si="0"/>
        <v>32</v>
      </c>
      <c r="B41" s="33"/>
      <c r="C41" s="51" t="str">
        <f t="shared" si="12"/>
        <v xml:space="preserve">52E </v>
      </c>
      <c r="D41" s="39" t="s">
        <v>26</v>
      </c>
      <c r="E41" s="39">
        <v>310</v>
      </c>
      <c r="F41" s="167">
        <v>0.06</v>
      </c>
      <c r="G41" s="54">
        <f t="shared" si="7"/>
        <v>5.2791616622512152E-2</v>
      </c>
      <c r="H41" s="54">
        <f t="shared" si="8"/>
        <v>-1.4079840421926884E-2</v>
      </c>
      <c r="I41" s="55">
        <v>1679</v>
      </c>
      <c r="J41" s="56">
        <f t="shared" si="9"/>
        <v>88.637124309197901</v>
      </c>
      <c r="K41" s="56">
        <f t="shared" si="10"/>
        <v>-23.640052068415237</v>
      </c>
      <c r="L41" s="56">
        <f t="shared" si="11"/>
        <v>64.997072240782671</v>
      </c>
    </row>
    <row r="42" spans="1:12" x14ac:dyDescent="0.2">
      <c r="A42" s="33">
        <f t="shared" si="0"/>
        <v>33</v>
      </c>
      <c r="B42" s="33"/>
      <c r="C42" s="51" t="str">
        <f t="shared" si="12"/>
        <v xml:space="preserve">52E </v>
      </c>
      <c r="D42" s="39" t="s">
        <v>26</v>
      </c>
      <c r="E42" s="39">
        <v>400</v>
      </c>
      <c r="F42" s="167">
        <v>0.08</v>
      </c>
      <c r="G42" s="54">
        <f t="shared" si="7"/>
        <v>7.0388822163349532E-2</v>
      </c>
      <c r="H42" s="54">
        <f t="shared" si="8"/>
        <v>-1.877312056256918E-2</v>
      </c>
      <c r="I42" s="55">
        <v>6867</v>
      </c>
      <c r="J42" s="56">
        <f t="shared" si="9"/>
        <v>483.36004179572126</v>
      </c>
      <c r="K42" s="56">
        <f t="shared" si="10"/>
        <v>-128.91501890316255</v>
      </c>
      <c r="L42" s="56">
        <f t="shared" si="11"/>
        <v>354.44502289255871</v>
      </c>
    </row>
    <row r="43" spans="1:12" x14ac:dyDescent="0.2">
      <c r="A43" s="33">
        <f t="shared" si="0"/>
        <v>34</v>
      </c>
      <c r="B43" s="33"/>
      <c r="C43" s="63"/>
      <c r="D43" s="39"/>
      <c r="E43" s="39"/>
      <c r="F43" s="170"/>
      <c r="G43" s="2"/>
      <c r="H43" s="2"/>
      <c r="I43" s="3"/>
      <c r="J43" s="3"/>
      <c r="K43" s="3"/>
      <c r="L43" s="32"/>
    </row>
    <row r="44" spans="1:12" x14ac:dyDescent="0.2">
      <c r="A44" s="33">
        <f t="shared" si="0"/>
        <v>35</v>
      </c>
      <c r="B44" s="33"/>
      <c r="C44" s="51" t="str">
        <f>+C39</f>
        <v xml:space="preserve">52E </v>
      </c>
      <c r="D44" s="39" t="s">
        <v>48</v>
      </c>
      <c r="E44" s="39">
        <v>70</v>
      </c>
      <c r="F44" s="167">
        <v>0.01</v>
      </c>
      <c r="G44" s="54">
        <f t="shared" ref="G44:G50" si="13">F44*$J$201</f>
        <v>8.7986027704186915E-3</v>
      </c>
      <c r="H44" s="54">
        <f t="shared" ref="H44:H50" si="14">F44*$K$201</f>
        <v>-2.3466400703211474E-3</v>
      </c>
      <c r="I44" s="55">
        <v>838</v>
      </c>
      <c r="J44" s="56">
        <f t="shared" ref="J44:J50" si="15">I44*G44</f>
        <v>7.3732291216108639</v>
      </c>
      <c r="K44" s="56">
        <f t="shared" ref="K44:K50" si="16">I44*H44</f>
        <v>-1.9664843789291215</v>
      </c>
      <c r="L44" s="56">
        <f t="shared" ref="L44:L50" si="17">SUM(J44:K44)</f>
        <v>5.4067447426817425</v>
      </c>
    </row>
    <row r="45" spans="1:12" x14ac:dyDescent="0.2">
      <c r="A45" s="33">
        <f t="shared" si="0"/>
        <v>36</v>
      </c>
      <c r="B45" s="33"/>
      <c r="C45" s="51" t="str">
        <f>+C40</f>
        <v xml:space="preserve">52E </v>
      </c>
      <c r="D45" s="39" t="s">
        <v>48</v>
      </c>
      <c r="E45" s="39">
        <v>100</v>
      </c>
      <c r="F45" s="167">
        <v>0.02</v>
      </c>
      <c r="G45" s="54">
        <f t="shared" si="13"/>
        <v>1.7597205540837383E-2</v>
      </c>
      <c r="H45" s="54">
        <f t="shared" si="14"/>
        <v>-4.6932801406422949E-3</v>
      </c>
      <c r="I45" s="55">
        <v>50</v>
      </c>
      <c r="J45" s="56">
        <f t="shared" si="15"/>
        <v>0.8798602770418692</v>
      </c>
      <c r="K45" s="56">
        <f t="shared" si="16"/>
        <v>-0.23466400703211474</v>
      </c>
      <c r="L45" s="56">
        <f t="shared" si="17"/>
        <v>0.64519627000975444</v>
      </c>
    </row>
    <row r="46" spans="1:12" x14ac:dyDescent="0.2">
      <c r="A46" s="33">
        <f t="shared" si="0"/>
        <v>37</v>
      </c>
      <c r="B46" s="33"/>
      <c r="C46" s="51" t="str">
        <f>+C41</f>
        <v xml:space="preserve">52E </v>
      </c>
      <c r="D46" s="39" t="s">
        <v>48</v>
      </c>
      <c r="E46" s="39">
        <v>150</v>
      </c>
      <c r="F46" s="167">
        <v>0.03</v>
      </c>
      <c r="G46" s="54">
        <f t="shared" si="13"/>
        <v>2.6395808311256076E-2</v>
      </c>
      <c r="H46" s="54">
        <f t="shared" si="14"/>
        <v>-7.0399202109634419E-3</v>
      </c>
      <c r="I46" s="55">
        <v>2364</v>
      </c>
      <c r="J46" s="56">
        <f t="shared" si="15"/>
        <v>62.399690847809367</v>
      </c>
      <c r="K46" s="56">
        <f t="shared" si="16"/>
        <v>-16.642371378717577</v>
      </c>
      <c r="L46" s="56">
        <f t="shared" si="17"/>
        <v>45.75731946909179</v>
      </c>
    </row>
    <row r="47" spans="1:12" x14ac:dyDescent="0.2">
      <c r="A47" s="33">
        <f t="shared" si="0"/>
        <v>38</v>
      </c>
      <c r="B47" s="33"/>
      <c r="C47" s="51" t="str">
        <f>+C42</f>
        <v xml:space="preserve">52E </v>
      </c>
      <c r="D47" s="39" t="s">
        <v>48</v>
      </c>
      <c r="E47" s="39">
        <v>175</v>
      </c>
      <c r="F47" s="167">
        <v>0.03</v>
      </c>
      <c r="G47" s="54">
        <f t="shared" si="13"/>
        <v>2.6395808311256076E-2</v>
      </c>
      <c r="H47" s="54">
        <f t="shared" si="14"/>
        <v>-7.0399202109634419E-3</v>
      </c>
      <c r="I47" s="55">
        <v>2450</v>
      </c>
      <c r="J47" s="56">
        <f t="shared" si="15"/>
        <v>64.669730362577383</v>
      </c>
      <c r="K47" s="56">
        <f t="shared" si="16"/>
        <v>-17.247804516860434</v>
      </c>
      <c r="L47" s="56">
        <f t="shared" si="17"/>
        <v>47.421925845716949</v>
      </c>
    </row>
    <row r="48" spans="1:12" x14ac:dyDescent="0.2">
      <c r="A48" s="33">
        <f t="shared" si="0"/>
        <v>39</v>
      </c>
      <c r="B48" s="33"/>
      <c r="C48" s="51" t="str">
        <f t="shared" ref="C48:D50" si="18">+C47</f>
        <v xml:space="preserve">52E </v>
      </c>
      <c r="D48" s="39" t="str">
        <f t="shared" si="18"/>
        <v>Metal Halide</v>
      </c>
      <c r="E48" s="39">
        <v>250</v>
      </c>
      <c r="F48" s="167">
        <v>0.05</v>
      </c>
      <c r="G48" s="54">
        <f t="shared" si="13"/>
        <v>4.3993013852093463E-2</v>
      </c>
      <c r="H48" s="54">
        <f t="shared" si="14"/>
        <v>-1.1733200351605737E-2</v>
      </c>
      <c r="I48" s="55">
        <v>404</v>
      </c>
      <c r="J48" s="56">
        <f t="shared" si="15"/>
        <v>17.773177596245759</v>
      </c>
      <c r="K48" s="56">
        <f t="shared" si="16"/>
        <v>-4.7402129420487178</v>
      </c>
      <c r="L48" s="56">
        <f t="shared" si="17"/>
        <v>13.032964654197041</v>
      </c>
    </row>
    <row r="49" spans="1:12" x14ac:dyDescent="0.2">
      <c r="A49" s="33">
        <f t="shared" si="0"/>
        <v>40</v>
      </c>
      <c r="B49" s="33"/>
      <c r="C49" s="51" t="str">
        <f t="shared" si="18"/>
        <v xml:space="preserve">52E </v>
      </c>
      <c r="D49" s="39" t="str">
        <f t="shared" si="18"/>
        <v>Metal Halide</v>
      </c>
      <c r="E49" s="39">
        <v>400</v>
      </c>
      <c r="F49" s="167">
        <v>0.08</v>
      </c>
      <c r="G49" s="54">
        <f t="shared" si="13"/>
        <v>7.0388822163349532E-2</v>
      </c>
      <c r="H49" s="54">
        <f t="shared" si="14"/>
        <v>-1.877312056256918E-2</v>
      </c>
      <c r="I49" s="55">
        <v>684</v>
      </c>
      <c r="J49" s="56">
        <f t="shared" si="15"/>
        <v>48.145954359731078</v>
      </c>
      <c r="K49" s="56">
        <f t="shared" si="16"/>
        <v>-12.840814464797319</v>
      </c>
      <c r="L49" s="56">
        <f t="shared" si="17"/>
        <v>35.30513989493376</v>
      </c>
    </row>
    <row r="50" spans="1:12" x14ac:dyDescent="0.2">
      <c r="A50" s="33">
        <f t="shared" si="0"/>
        <v>41</v>
      </c>
      <c r="B50" s="33"/>
      <c r="C50" s="51" t="str">
        <f t="shared" si="18"/>
        <v xml:space="preserve">52E </v>
      </c>
      <c r="D50" s="39" t="str">
        <f t="shared" si="18"/>
        <v>Metal Halide</v>
      </c>
      <c r="E50" s="39">
        <v>1000</v>
      </c>
      <c r="F50" s="167">
        <v>0.19</v>
      </c>
      <c r="G50" s="54">
        <f t="shared" si="13"/>
        <v>0.16717345263795516</v>
      </c>
      <c r="H50" s="54">
        <f t="shared" si="14"/>
        <v>-4.4586161336101798E-2</v>
      </c>
      <c r="I50" s="55">
        <v>216</v>
      </c>
      <c r="J50" s="56">
        <f t="shared" si="15"/>
        <v>36.109465769798312</v>
      </c>
      <c r="K50" s="56">
        <f t="shared" si="16"/>
        <v>-9.6306108485979891</v>
      </c>
      <c r="L50" s="56">
        <f t="shared" si="17"/>
        <v>26.478854921200323</v>
      </c>
    </row>
    <row r="51" spans="1:12" x14ac:dyDescent="0.2">
      <c r="A51" s="33">
        <f t="shared" si="0"/>
        <v>42</v>
      </c>
      <c r="B51" s="59" t="s">
        <v>49</v>
      </c>
      <c r="D51" s="4"/>
      <c r="E51" s="4"/>
      <c r="F51" s="170"/>
      <c r="G51" s="2"/>
      <c r="H51" s="2"/>
      <c r="I51" s="3"/>
      <c r="J51" s="3"/>
      <c r="K51" s="3"/>
      <c r="L51" s="32"/>
    </row>
    <row r="52" spans="1:12" x14ac:dyDescent="0.2">
      <c r="A52" s="33">
        <f t="shared" si="0"/>
        <v>43</v>
      </c>
      <c r="B52" s="33"/>
      <c r="C52" s="51" t="s">
        <v>50</v>
      </c>
      <c r="D52" s="39" t="s">
        <v>26</v>
      </c>
      <c r="E52" s="39">
        <v>50</v>
      </c>
      <c r="F52" s="167">
        <v>0.53</v>
      </c>
      <c r="G52" s="54">
        <f t="shared" ref="G52:G60" si="19">F52*$J$201</f>
        <v>0.4663259468321907</v>
      </c>
      <c r="H52" s="54">
        <f t="shared" ref="H52:H60" si="20">F52*$K$201</f>
        <v>-0.12437192372702081</v>
      </c>
      <c r="I52" s="55">
        <v>0</v>
      </c>
      <c r="J52" s="56">
        <f t="shared" ref="J52:J60" si="21">I52*G52</f>
        <v>0</v>
      </c>
      <c r="K52" s="56">
        <f t="shared" ref="K52:K60" si="22">I52*H52</f>
        <v>0</v>
      </c>
      <c r="L52" s="56">
        <f t="shared" ref="L52:L60" si="23">SUM(J52:K52)</f>
        <v>0</v>
      </c>
    </row>
    <row r="53" spans="1:12" x14ac:dyDescent="0.2">
      <c r="A53" s="33">
        <f t="shared" si="0"/>
        <v>44</v>
      </c>
      <c r="B53" s="33"/>
      <c r="C53" s="51" t="str">
        <f t="shared" ref="C53:C60" si="24">+C52</f>
        <v>53E - Company Owned</v>
      </c>
      <c r="D53" s="39" t="s">
        <v>26</v>
      </c>
      <c r="E53" s="39">
        <v>70</v>
      </c>
      <c r="F53" s="167">
        <v>0.56999999999999995</v>
      </c>
      <c r="G53" s="54">
        <f t="shared" si="19"/>
        <v>0.5015203579138654</v>
      </c>
      <c r="H53" s="54">
        <f t="shared" si="20"/>
        <v>-0.13375848400830539</v>
      </c>
      <c r="I53" s="55">
        <v>41973</v>
      </c>
      <c r="J53" s="56">
        <f t="shared" si="21"/>
        <v>21050.313982718671</v>
      </c>
      <c r="K53" s="56">
        <f t="shared" si="22"/>
        <v>-5614.2448492806025</v>
      </c>
      <c r="L53" s="56">
        <f t="shared" si="23"/>
        <v>15436.069133438068</v>
      </c>
    </row>
    <row r="54" spans="1:12" x14ac:dyDescent="0.2">
      <c r="A54" s="33">
        <f t="shared" si="0"/>
        <v>45</v>
      </c>
      <c r="B54" s="33"/>
      <c r="C54" s="51" t="str">
        <f t="shared" si="24"/>
        <v>53E - Company Owned</v>
      </c>
      <c r="D54" s="39" t="s">
        <v>26</v>
      </c>
      <c r="E54" s="39">
        <v>100</v>
      </c>
      <c r="F54" s="167">
        <v>0.55000000000000004</v>
      </c>
      <c r="G54" s="54">
        <f t="shared" si="19"/>
        <v>0.48392315237302808</v>
      </c>
      <c r="H54" s="54">
        <f t="shared" si="20"/>
        <v>-0.12906520386766313</v>
      </c>
      <c r="I54" s="55">
        <v>322780</v>
      </c>
      <c r="J54" s="56">
        <f t="shared" si="21"/>
        <v>156200.71512296601</v>
      </c>
      <c r="K54" s="56">
        <f t="shared" si="22"/>
        <v>-41659.666504404304</v>
      </c>
      <c r="L54" s="56">
        <f t="shared" si="23"/>
        <v>114541.0486185617</v>
      </c>
    </row>
    <row r="55" spans="1:12" x14ac:dyDescent="0.2">
      <c r="A55" s="33">
        <f t="shared" si="0"/>
        <v>46</v>
      </c>
      <c r="B55" s="33"/>
      <c r="C55" s="51" t="str">
        <f t="shared" si="24"/>
        <v>53E - Company Owned</v>
      </c>
      <c r="D55" s="39" t="s">
        <v>26</v>
      </c>
      <c r="E55" s="39">
        <v>150</v>
      </c>
      <c r="F55" s="167">
        <v>0.56000000000000005</v>
      </c>
      <c r="G55" s="54">
        <f t="shared" si="19"/>
        <v>0.49272175514344679</v>
      </c>
      <c r="H55" s="54">
        <f t="shared" si="20"/>
        <v>-0.13141184393798427</v>
      </c>
      <c r="I55" s="55">
        <v>38071</v>
      </c>
      <c r="J55" s="56">
        <f t="shared" si="21"/>
        <v>18758.409940066162</v>
      </c>
      <c r="K55" s="56">
        <f t="shared" si="22"/>
        <v>-5002.980310562999</v>
      </c>
      <c r="L55" s="56">
        <f t="shared" si="23"/>
        <v>13755.429629503164</v>
      </c>
    </row>
    <row r="56" spans="1:12" x14ac:dyDescent="0.2">
      <c r="A56" s="33">
        <f t="shared" si="0"/>
        <v>47</v>
      </c>
      <c r="B56" s="33"/>
      <c r="C56" s="51" t="str">
        <f t="shared" si="24"/>
        <v>53E - Company Owned</v>
      </c>
      <c r="D56" s="39" t="s">
        <v>26</v>
      </c>
      <c r="E56" s="39">
        <v>200</v>
      </c>
      <c r="F56" s="167">
        <v>0.6</v>
      </c>
      <c r="G56" s="54">
        <f t="shared" si="19"/>
        <v>0.5279161662251215</v>
      </c>
      <c r="H56" s="54">
        <f t="shared" si="20"/>
        <v>-0.14079840421926884</v>
      </c>
      <c r="I56" s="55">
        <v>47769</v>
      </c>
      <c r="J56" s="56">
        <f t="shared" si="21"/>
        <v>25218.02734440783</v>
      </c>
      <c r="K56" s="56">
        <f t="shared" si="22"/>
        <v>-6725.7989711502532</v>
      </c>
      <c r="L56" s="56">
        <f t="shared" si="23"/>
        <v>18492.228373257578</v>
      </c>
    </row>
    <row r="57" spans="1:12" x14ac:dyDescent="0.2">
      <c r="A57" s="33">
        <f t="shared" si="0"/>
        <v>48</v>
      </c>
      <c r="B57" s="33"/>
      <c r="C57" s="51" t="str">
        <f t="shared" si="24"/>
        <v>53E - Company Owned</v>
      </c>
      <c r="D57" s="39" t="s">
        <v>26</v>
      </c>
      <c r="E57" s="39">
        <v>250</v>
      </c>
      <c r="F57" s="167">
        <v>0.62</v>
      </c>
      <c r="G57" s="54">
        <f t="shared" si="19"/>
        <v>0.54551337176595893</v>
      </c>
      <c r="H57" s="54">
        <f t="shared" si="20"/>
        <v>-0.14549168435991114</v>
      </c>
      <c r="I57" s="55">
        <v>18199</v>
      </c>
      <c r="J57" s="56">
        <f t="shared" si="21"/>
        <v>9927.7978527686864</v>
      </c>
      <c r="K57" s="56">
        <f t="shared" si="22"/>
        <v>-2647.803163666023</v>
      </c>
      <c r="L57" s="56">
        <f t="shared" si="23"/>
        <v>7279.994689102663</v>
      </c>
    </row>
    <row r="58" spans="1:12" x14ac:dyDescent="0.2">
      <c r="A58" s="33">
        <f t="shared" si="0"/>
        <v>49</v>
      </c>
      <c r="B58" s="33"/>
      <c r="C58" s="51" t="str">
        <f t="shared" si="24"/>
        <v>53E - Company Owned</v>
      </c>
      <c r="D58" s="39" t="s">
        <v>26</v>
      </c>
      <c r="E58" s="39">
        <v>310</v>
      </c>
      <c r="F58" s="167">
        <v>0.65</v>
      </c>
      <c r="G58" s="54">
        <f t="shared" si="19"/>
        <v>0.57190918007721503</v>
      </c>
      <c r="H58" s="54">
        <f t="shared" si="20"/>
        <v>-0.15253160457087458</v>
      </c>
      <c r="I58" s="55">
        <v>188</v>
      </c>
      <c r="J58" s="56">
        <f t="shared" si="21"/>
        <v>107.51892585451643</v>
      </c>
      <c r="K58" s="56">
        <f t="shared" si="22"/>
        <v>-28.675941659324423</v>
      </c>
      <c r="L58" s="56">
        <f t="shared" si="23"/>
        <v>78.842984195192003</v>
      </c>
    </row>
    <row r="59" spans="1:12" x14ac:dyDescent="0.2">
      <c r="A59" s="33">
        <f t="shared" si="0"/>
        <v>50</v>
      </c>
      <c r="B59" s="33"/>
      <c r="C59" s="51" t="str">
        <f t="shared" si="24"/>
        <v>53E - Company Owned</v>
      </c>
      <c r="D59" s="39" t="s">
        <v>26</v>
      </c>
      <c r="E59" s="39">
        <v>400</v>
      </c>
      <c r="F59" s="167">
        <v>0.71</v>
      </c>
      <c r="G59" s="54">
        <f t="shared" si="19"/>
        <v>0.62470079669972711</v>
      </c>
      <c r="H59" s="54">
        <f t="shared" si="20"/>
        <v>-0.16661144499280145</v>
      </c>
      <c r="I59" s="55">
        <v>9884</v>
      </c>
      <c r="J59" s="56">
        <f t="shared" si="21"/>
        <v>6174.5426745801024</v>
      </c>
      <c r="K59" s="56">
        <f t="shared" si="22"/>
        <v>-1646.7875223088495</v>
      </c>
      <c r="L59" s="56">
        <f t="shared" si="23"/>
        <v>4527.7551522712529</v>
      </c>
    </row>
    <row r="60" spans="1:12" x14ac:dyDescent="0.2">
      <c r="A60" s="33">
        <f t="shared" si="0"/>
        <v>51</v>
      </c>
      <c r="B60" s="33"/>
      <c r="C60" s="51" t="str">
        <f t="shared" si="24"/>
        <v>53E - Company Owned</v>
      </c>
      <c r="D60" s="39" t="s">
        <v>26</v>
      </c>
      <c r="E60" s="39">
        <v>1000</v>
      </c>
      <c r="F60" s="167">
        <v>0.98</v>
      </c>
      <c r="G60" s="54">
        <f t="shared" si="19"/>
        <v>0.86226307150103176</v>
      </c>
      <c r="H60" s="54">
        <f t="shared" si="20"/>
        <v>-0.22997072689147244</v>
      </c>
      <c r="I60" s="55">
        <v>0</v>
      </c>
      <c r="J60" s="56">
        <f t="shared" si="21"/>
        <v>0</v>
      </c>
      <c r="K60" s="56">
        <f t="shared" si="22"/>
        <v>0</v>
      </c>
      <c r="L60" s="56">
        <f t="shared" si="23"/>
        <v>0</v>
      </c>
    </row>
    <row r="61" spans="1:12" x14ac:dyDescent="0.2">
      <c r="A61" s="33">
        <f t="shared" si="0"/>
        <v>52</v>
      </c>
      <c r="B61" s="33"/>
      <c r="C61" s="51"/>
      <c r="D61" s="39"/>
      <c r="E61" s="39"/>
      <c r="F61" s="170"/>
      <c r="G61" s="2"/>
      <c r="H61" s="2"/>
      <c r="I61" s="3"/>
      <c r="J61" s="3"/>
      <c r="K61" s="3"/>
      <c r="L61" s="32"/>
    </row>
    <row r="62" spans="1:12" x14ac:dyDescent="0.2">
      <c r="A62" s="33">
        <f t="shared" si="0"/>
        <v>53</v>
      </c>
      <c r="B62" s="33"/>
      <c r="C62" s="51" t="str">
        <f>+C60</f>
        <v>53E - Company Owned</v>
      </c>
      <c r="D62" s="39" t="s">
        <v>48</v>
      </c>
      <c r="E62" s="39">
        <v>70</v>
      </c>
      <c r="F62" s="167">
        <v>0.51</v>
      </c>
      <c r="G62" s="54">
        <f>F62*$J$201</f>
        <v>0.44872874129135332</v>
      </c>
      <c r="H62" s="54">
        <f>F62*$K$201</f>
        <v>-0.11967864358637852</v>
      </c>
      <c r="I62" s="55">
        <v>0</v>
      </c>
      <c r="J62" s="56">
        <f>I62*G62</f>
        <v>0</v>
      </c>
      <c r="K62" s="56">
        <f>I62*H62</f>
        <v>0</v>
      </c>
      <c r="L62" s="56">
        <f>SUM(J62:K62)</f>
        <v>0</v>
      </c>
    </row>
    <row r="63" spans="1:12" x14ac:dyDescent="0.2">
      <c r="A63" s="33">
        <f t="shared" si="0"/>
        <v>54</v>
      </c>
      <c r="B63" s="33"/>
      <c r="C63" s="51" t="str">
        <f>+C62</f>
        <v>53E - Company Owned</v>
      </c>
      <c r="D63" s="39" t="s">
        <v>48</v>
      </c>
      <c r="E63" s="39">
        <v>100</v>
      </c>
      <c r="F63" s="167">
        <v>0.52</v>
      </c>
      <c r="G63" s="54">
        <f>F63*$J$201</f>
        <v>0.45752734406177198</v>
      </c>
      <c r="H63" s="54">
        <f>F63*$K$201</f>
        <v>-0.12202528365669967</v>
      </c>
      <c r="I63" s="55">
        <v>0</v>
      </c>
      <c r="J63" s="56">
        <f>I63*G63</f>
        <v>0</v>
      </c>
      <c r="K63" s="56">
        <f>I63*H63</f>
        <v>0</v>
      </c>
      <c r="L63" s="56">
        <f>SUM(J63:K63)</f>
        <v>0</v>
      </c>
    </row>
    <row r="64" spans="1:12" x14ac:dyDescent="0.2">
      <c r="A64" s="33">
        <f t="shared" si="0"/>
        <v>55</v>
      </c>
      <c r="B64" s="33"/>
      <c r="C64" s="51" t="str">
        <f>+C63</f>
        <v>53E - Company Owned</v>
      </c>
      <c r="D64" s="39" t="s">
        <v>48</v>
      </c>
      <c r="E64" s="39">
        <v>150</v>
      </c>
      <c r="F64" s="167">
        <v>0.55000000000000004</v>
      </c>
      <c r="G64" s="54">
        <f>F64*$J$201</f>
        <v>0.48392315237302808</v>
      </c>
      <c r="H64" s="54">
        <f>F64*$K$201</f>
        <v>-0.12906520386766313</v>
      </c>
      <c r="I64" s="55">
        <v>0</v>
      </c>
      <c r="J64" s="56">
        <f>I64*G64</f>
        <v>0</v>
      </c>
      <c r="K64" s="56">
        <f>I64*H64</f>
        <v>0</v>
      </c>
      <c r="L64" s="56">
        <f>SUM(J64:K64)</f>
        <v>0</v>
      </c>
    </row>
    <row r="65" spans="1:12" x14ac:dyDescent="0.2">
      <c r="A65" s="33">
        <f t="shared" si="0"/>
        <v>56</v>
      </c>
      <c r="B65" s="33"/>
      <c r="C65" s="51" t="str">
        <f>C64</f>
        <v>53E - Company Owned</v>
      </c>
      <c r="D65" s="39" t="s">
        <v>48</v>
      </c>
      <c r="E65" s="39">
        <v>250</v>
      </c>
      <c r="F65" s="167">
        <v>0.61</v>
      </c>
      <c r="G65" s="54">
        <f>F65*$J$201</f>
        <v>0.53671476899554016</v>
      </c>
      <c r="H65" s="54">
        <f>F65*$K$201</f>
        <v>-0.14314504428958999</v>
      </c>
      <c r="I65" s="55">
        <v>0</v>
      </c>
      <c r="J65" s="56">
        <f>I65*G65</f>
        <v>0</v>
      </c>
      <c r="K65" s="56">
        <f>I65*H65</f>
        <v>0</v>
      </c>
      <c r="L65" s="56">
        <f>SUM(J65:K65)</f>
        <v>0</v>
      </c>
    </row>
    <row r="66" spans="1:12" x14ac:dyDescent="0.2">
      <c r="A66" s="33">
        <f t="shared" si="0"/>
        <v>57</v>
      </c>
      <c r="B66" s="33"/>
      <c r="C66" s="51" t="str">
        <f>C65</f>
        <v>53E - Company Owned</v>
      </c>
      <c r="D66" s="39" t="s">
        <v>48</v>
      </c>
      <c r="E66" s="39">
        <v>400</v>
      </c>
      <c r="F66" s="167">
        <v>0.64</v>
      </c>
      <c r="G66" s="54">
        <f>F66*$J$201</f>
        <v>0.56311057730679626</v>
      </c>
      <c r="H66" s="54">
        <f>F66*$K$201</f>
        <v>-0.15018496450055344</v>
      </c>
      <c r="I66" s="55">
        <v>0</v>
      </c>
      <c r="J66" s="56">
        <f>I66*G66</f>
        <v>0</v>
      </c>
      <c r="K66" s="56">
        <f>I66*H66</f>
        <v>0</v>
      </c>
      <c r="L66" s="56">
        <f>SUM(J66:K66)</f>
        <v>0</v>
      </c>
    </row>
    <row r="67" spans="1:12" x14ac:dyDescent="0.2">
      <c r="A67" s="33">
        <f t="shared" ref="A67:A121" si="25">A66+1</f>
        <v>58</v>
      </c>
      <c r="B67" s="33"/>
      <c r="C67" s="51"/>
      <c r="D67" s="39"/>
      <c r="E67" s="39"/>
      <c r="F67" s="170"/>
      <c r="G67" s="2"/>
      <c r="H67" s="2"/>
      <c r="I67" s="3"/>
      <c r="J67" s="3"/>
      <c r="K67" s="3"/>
      <c r="L67" s="32"/>
    </row>
    <row r="68" spans="1:12" x14ac:dyDescent="0.2">
      <c r="A68" s="33">
        <f t="shared" si="25"/>
        <v>59</v>
      </c>
      <c r="B68" s="33"/>
      <c r="C68" s="51" t="str">
        <f>+C65</f>
        <v>53E - Company Owned</v>
      </c>
      <c r="D68" s="39" t="s">
        <v>36</v>
      </c>
      <c r="E68" s="61" t="s">
        <v>101</v>
      </c>
      <c r="F68" s="167">
        <v>0.54</v>
      </c>
      <c r="G68" s="54">
        <f t="shared" ref="G68:G77" si="26">F68*$J$201</f>
        <v>0.47512454960260941</v>
      </c>
      <c r="H68" s="54">
        <f t="shared" ref="H68:H77" si="27">F68*$K$201</f>
        <v>-0.12671856379734198</v>
      </c>
      <c r="I68" s="55">
        <v>907</v>
      </c>
      <c r="J68" s="56">
        <f t="shared" ref="J68:J77" si="28">I68*G68</f>
        <v>430.93796648956675</v>
      </c>
      <c r="K68" s="56">
        <f t="shared" ref="K68:K77" si="29">I68*H68</f>
        <v>-114.93373736418917</v>
      </c>
      <c r="L68" s="56">
        <f t="shared" ref="L68:L77" si="30">SUM(J68:K68)</f>
        <v>316.00422912537761</v>
      </c>
    </row>
    <row r="69" spans="1:12" x14ac:dyDescent="0.2">
      <c r="A69" s="33">
        <f t="shared" si="25"/>
        <v>60</v>
      </c>
      <c r="B69" s="33"/>
      <c r="C69" s="51" t="str">
        <f>+C66</f>
        <v>53E - Company Owned</v>
      </c>
      <c r="D69" s="39" t="s">
        <v>36</v>
      </c>
      <c r="E69" s="61" t="s">
        <v>37</v>
      </c>
      <c r="F69" s="167">
        <v>0.54</v>
      </c>
      <c r="G69" s="54">
        <f t="shared" si="26"/>
        <v>0.47512454960260941</v>
      </c>
      <c r="H69" s="54">
        <f t="shared" si="27"/>
        <v>-0.12671856379734198</v>
      </c>
      <c r="I69" s="55">
        <v>222552</v>
      </c>
      <c r="J69" s="56">
        <f t="shared" si="28"/>
        <v>105739.91876315993</v>
      </c>
      <c r="K69" s="56">
        <f t="shared" si="29"/>
        <v>-28201.469810226052</v>
      </c>
      <c r="L69" s="56">
        <f t="shared" si="30"/>
        <v>77538.44895293389</v>
      </c>
    </row>
    <row r="70" spans="1:12" x14ac:dyDescent="0.2">
      <c r="A70" s="33">
        <f t="shared" si="25"/>
        <v>61</v>
      </c>
      <c r="B70" s="33"/>
      <c r="C70" s="51" t="str">
        <f>C69</f>
        <v>53E - Company Owned</v>
      </c>
      <c r="D70" s="39" t="s">
        <v>36</v>
      </c>
      <c r="E70" s="58" t="s">
        <v>38</v>
      </c>
      <c r="F70" s="167">
        <v>0.54</v>
      </c>
      <c r="G70" s="54">
        <f t="shared" si="26"/>
        <v>0.47512454960260941</v>
      </c>
      <c r="H70" s="54">
        <f t="shared" si="27"/>
        <v>-0.12671856379734198</v>
      </c>
      <c r="I70" s="55">
        <v>7321</v>
      </c>
      <c r="J70" s="56">
        <f t="shared" si="28"/>
        <v>3478.3868276407034</v>
      </c>
      <c r="K70" s="56">
        <f t="shared" si="29"/>
        <v>-927.70660556034056</v>
      </c>
      <c r="L70" s="56">
        <f t="shared" si="30"/>
        <v>2550.6802220803629</v>
      </c>
    </row>
    <row r="71" spans="1:12" x14ac:dyDescent="0.2">
      <c r="A71" s="33">
        <f t="shared" si="25"/>
        <v>62</v>
      </c>
      <c r="B71" s="33"/>
      <c r="C71" s="51" t="str">
        <f t="shared" ref="C71:C77" si="31">C70</f>
        <v>53E - Company Owned</v>
      </c>
      <c r="D71" s="39" t="s">
        <v>36</v>
      </c>
      <c r="E71" s="58" t="s">
        <v>39</v>
      </c>
      <c r="F71" s="167">
        <v>0.57999999999999996</v>
      </c>
      <c r="G71" s="54">
        <f t="shared" si="26"/>
        <v>0.51031896068428406</v>
      </c>
      <c r="H71" s="54">
        <f t="shared" si="27"/>
        <v>-0.13610512407862654</v>
      </c>
      <c r="I71" s="55">
        <v>23855</v>
      </c>
      <c r="J71" s="56">
        <f t="shared" si="28"/>
        <v>12173.658807123596</v>
      </c>
      <c r="K71" s="56">
        <f t="shared" si="29"/>
        <v>-3246.7877348956363</v>
      </c>
      <c r="L71" s="56">
        <f t="shared" si="30"/>
        <v>8926.8710722279611</v>
      </c>
    </row>
    <row r="72" spans="1:12" x14ac:dyDescent="0.2">
      <c r="A72" s="33">
        <f t="shared" si="25"/>
        <v>63</v>
      </c>
      <c r="B72" s="33"/>
      <c r="C72" s="51" t="str">
        <f t="shared" si="31"/>
        <v>53E - Company Owned</v>
      </c>
      <c r="D72" s="39" t="s">
        <v>36</v>
      </c>
      <c r="E72" s="58" t="s">
        <v>40</v>
      </c>
      <c r="F72" s="167">
        <v>0.6</v>
      </c>
      <c r="G72" s="54">
        <f t="shared" si="26"/>
        <v>0.5279161662251215</v>
      </c>
      <c r="H72" s="54">
        <f t="shared" si="27"/>
        <v>-0.14079840421926884</v>
      </c>
      <c r="I72" s="55">
        <v>20114</v>
      </c>
      <c r="J72" s="56">
        <f t="shared" si="28"/>
        <v>10618.505767452094</v>
      </c>
      <c r="K72" s="56">
        <f t="shared" si="29"/>
        <v>-2832.0191024663736</v>
      </c>
      <c r="L72" s="56">
        <f t="shared" si="30"/>
        <v>7786.4866649857204</v>
      </c>
    </row>
    <row r="73" spans="1:12" x14ac:dyDescent="0.2">
      <c r="A73" s="33">
        <f t="shared" si="25"/>
        <v>64</v>
      </c>
      <c r="B73" s="33"/>
      <c r="C73" s="51" t="str">
        <f t="shared" si="31"/>
        <v>53E - Company Owned</v>
      </c>
      <c r="D73" s="39" t="s">
        <v>36</v>
      </c>
      <c r="E73" s="58" t="s">
        <v>41</v>
      </c>
      <c r="F73" s="167">
        <v>0.59</v>
      </c>
      <c r="G73" s="54">
        <f t="shared" si="26"/>
        <v>0.51911756345470284</v>
      </c>
      <c r="H73" s="54">
        <f t="shared" si="27"/>
        <v>-0.13845176414894769</v>
      </c>
      <c r="I73" s="55">
        <v>1351</v>
      </c>
      <c r="J73" s="56">
        <f t="shared" si="28"/>
        <v>701.32782822730348</v>
      </c>
      <c r="K73" s="56">
        <f t="shared" si="29"/>
        <v>-187.04833336522833</v>
      </c>
      <c r="L73" s="56">
        <f t="shared" si="30"/>
        <v>514.27949486207513</v>
      </c>
    </row>
    <row r="74" spans="1:12" x14ac:dyDescent="0.2">
      <c r="A74" s="33">
        <f t="shared" si="25"/>
        <v>65</v>
      </c>
      <c r="B74" s="33"/>
      <c r="C74" s="51" t="str">
        <f t="shared" si="31"/>
        <v>53E - Company Owned</v>
      </c>
      <c r="D74" s="39" t="s">
        <v>36</v>
      </c>
      <c r="E74" s="58" t="s">
        <v>42</v>
      </c>
      <c r="F74" s="167">
        <v>0.6</v>
      </c>
      <c r="G74" s="54">
        <f t="shared" si="26"/>
        <v>0.5279161662251215</v>
      </c>
      <c r="H74" s="54">
        <f t="shared" si="27"/>
        <v>-0.14079840421926884</v>
      </c>
      <c r="I74" s="55">
        <v>4327</v>
      </c>
      <c r="J74" s="56">
        <f t="shared" si="28"/>
        <v>2284.2932512561006</v>
      </c>
      <c r="K74" s="56">
        <f t="shared" si="29"/>
        <v>-609.23469505677633</v>
      </c>
      <c r="L74" s="56">
        <f t="shared" si="30"/>
        <v>1675.0585561993244</v>
      </c>
    </row>
    <row r="75" spans="1:12" x14ac:dyDescent="0.2">
      <c r="A75" s="33">
        <f t="shared" si="25"/>
        <v>66</v>
      </c>
      <c r="B75" s="33"/>
      <c r="C75" s="51" t="str">
        <f t="shared" si="31"/>
        <v>53E - Company Owned</v>
      </c>
      <c r="D75" s="39" t="s">
        <v>36</v>
      </c>
      <c r="E75" s="58" t="s">
        <v>43</v>
      </c>
      <c r="F75" s="167">
        <v>0.61</v>
      </c>
      <c r="G75" s="54">
        <f t="shared" si="26"/>
        <v>0.53671476899554016</v>
      </c>
      <c r="H75" s="54">
        <f t="shared" si="27"/>
        <v>-0.14314504428958999</v>
      </c>
      <c r="I75" s="55">
        <v>778</v>
      </c>
      <c r="J75" s="56">
        <f t="shared" si="28"/>
        <v>417.56409027853022</v>
      </c>
      <c r="K75" s="56">
        <f t="shared" si="29"/>
        <v>-111.36684445730101</v>
      </c>
      <c r="L75" s="56">
        <f t="shared" si="30"/>
        <v>306.19724582122922</v>
      </c>
    </row>
    <row r="76" spans="1:12" x14ac:dyDescent="0.2">
      <c r="A76" s="33">
        <f t="shared" si="25"/>
        <v>67</v>
      </c>
      <c r="B76" s="33"/>
      <c r="C76" s="51" t="str">
        <f t="shared" si="31"/>
        <v>53E - Company Owned</v>
      </c>
      <c r="D76" s="39" t="s">
        <v>36</v>
      </c>
      <c r="E76" s="58" t="s">
        <v>44</v>
      </c>
      <c r="F76" s="167">
        <v>0.61</v>
      </c>
      <c r="G76" s="54">
        <f t="shared" si="26"/>
        <v>0.53671476899554016</v>
      </c>
      <c r="H76" s="54">
        <f t="shared" si="27"/>
        <v>-0.14314504428958999</v>
      </c>
      <c r="I76" s="55">
        <v>266</v>
      </c>
      <c r="J76" s="56">
        <f t="shared" si="28"/>
        <v>142.76612855281368</v>
      </c>
      <c r="K76" s="56">
        <f t="shared" si="29"/>
        <v>-38.076581781030939</v>
      </c>
      <c r="L76" s="56">
        <f t="shared" si="30"/>
        <v>104.68954677178274</v>
      </c>
    </row>
    <row r="77" spans="1:12" x14ac:dyDescent="0.2">
      <c r="A77" s="33">
        <f t="shared" si="25"/>
        <v>68</v>
      </c>
      <c r="B77" s="33"/>
      <c r="C77" s="51" t="str">
        <f t="shared" si="31"/>
        <v>53E - Company Owned</v>
      </c>
      <c r="D77" s="39" t="s">
        <v>36</v>
      </c>
      <c r="E77" s="58" t="s">
        <v>45</v>
      </c>
      <c r="F77" s="167">
        <v>0.62</v>
      </c>
      <c r="G77" s="54">
        <f t="shared" si="26"/>
        <v>0.54551337176595893</v>
      </c>
      <c r="H77" s="54">
        <f t="shared" si="27"/>
        <v>-0.14549168435991114</v>
      </c>
      <c r="I77" s="55">
        <v>1790</v>
      </c>
      <c r="J77" s="56">
        <f t="shared" si="28"/>
        <v>976.46893546106651</v>
      </c>
      <c r="K77" s="56">
        <f t="shared" si="29"/>
        <v>-260.43011500424092</v>
      </c>
      <c r="L77" s="56">
        <f t="shared" si="30"/>
        <v>716.03882045682553</v>
      </c>
    </row>
    <row r="78" spans="1:12" x14ac:dyDescent="0.2">
      <c r="A78" s="33">
        <f t="shared" si="25"/>
        <v>69</v>
      </c>
      <c r="B78" s="33"/>
      <c r="C78" s="51"/>
      <c r="D78" s="39"/>
      <c r="E78" s="58"/>
      <c r="F78" s="169"/>
      <c r="G78" s="54"/>
      <c r="H78" s="54"/>
      <c r="I78" s="55"/>
      <c r="J78" s="56"/>
      <c r="K78" s="56"/>
      <c r="L78" s="56"/>
    </row>
    <row r="79" spans="1:12" x14ac:dyDescent="0.2">
      <c r="A79" s="33">
        <f t="shared" si="25"/>
        <v>70</v>
      </c>
      <c r="B79" s="33"/>
      <c r="C79" s="51" t="str">
        <f>C69</f>
        <v>53E - Company Owned</v>
      </c>
      <c r="D79" s="57" t="s">
        <v>99</v>
      </c>
      <c r="E79" s="61" t="s">
        <v>115</v>
      </c>
      <c r="F79" s="171">
        <v>8.5869999999999991E-3</v>
      </c>
      <c r="G79" s="62">
        <f>F79*$J$201</f>
        <v>7.5553601989585299E-3</v>
      </c>
      <c r="H79" s="62">
        <f>F79*$K$201</f>
        <v>-2.0150598283847692E-3</v>
      </c>
      <c r="I79" s="55">
        <v>2016760</v>
      </c>
      <c r="J79" s="56">
        <f>I79*G79</f>
        <v>15237.348234851605</v>
      </c>
      <c r="K79" s="56">
        <f>I79*H79</f>
        <v>-4063.8920594932674</v>
      </c>
      <c r="L79" s="56">
        <f>SUM(J79:K79)</f>
        <v>11173.456175358337</v>
      </c>
    </row>
    <row r="80" spans="1:12" x14ac:dyDescent="0.2">
      <c r="A80" s="33">
        <f t="shared" si="25"/>
        <v>71</v>
      </c>
      <c r="B80" s="33"/>
      <c r="C80" s="51"/>
      <c r="D80" s="39"/>
      <c r="E80" s="39"/>
      <c r="F80" s="170"/>
      <c r="G80" s="2"/>
      <c r="H80" s="2"/>
      <c r="I80" s="3"/>
      <c r="J80" s="3"/>
      <c r="K80" s="3"/>
      <c r="L80" s="32"/>
    </row>
    <row r="81" spans="1:12" x14ac:dyDescent="0.2">
      <c r="A81" s="33">
        <f t="shared" si="25"/>
        <v>72</v>
      </c>
      <c r="B81" s="33"/>
      <c r="C81" s="51" t="s">
        <v>51</v>
      </c>
      <c r="D81" s="39" t="s">
        <v>26</v>
      </c>
      <c r="E81" s="39">
        <v>50</v>
      </c>
      <c r="F81" s="167">
        <v>0.01</v>
      </c>
      <c r="G81" s="54">
        <f t="shared" ref="G81:G89" si="32">F81*$J$201</f>
        <v>8.7986027704186915E-3</v>
      </c>
      <c r="H81" s="54">
        <f t="shared" ref="H81:H89" si="33">F81*$K$201</f>
        <v>-2.3466400703211474E-3</v>
      </c>
      <c r="I81" s="55">
        <v>0</v>
      </c>
      <c r="J81" s="56">
        <f t="shared" ref="J81:J89" si="34">I81*G81</f>
        <v>0</v>
      </c>
      <c r="K81" s="56">
        <f t="shared" ref="K81:K89" si="35">I81*H81</f>
        <v>0</v>
      </c>
      <c r="L81" s="56">
        <f t="shared" ref="L81:L89" si="36">SUM(J81:K81)</f>
        <v>0</v>
      </c>
    </row>
    <row r="82" spans="1:12" x14ac:dyDescent="0.2">
      <c r="A82" s="33">
        <f t="shared" si="25"/>
        <v>73</v>
      </c>
      <c r="B82" s="33"/>
      <c r="C82" s="51" t="str">
        <f t="shared" ref="C82:C89" si="37">+C81</f>
        <v>53E - Customer Owned</v>
      </c>
      <c r="D82" s="39" t="s">
        <v>26</v>
      </c>
      <c r="E82" s="39">
        <v>70</v>
      </c>
      <c r="F82" s="167">
        <v>0.01</v>
      </c>
      <c r="G82" s="54">
        <f t="shared" si="32"/>
        <v>8.7986027704186915E-3</v>
      </c>
      <c r="H82" s="54">
        <f t="shared" si="33"/>
        <v>-2.3466400703211474E-3</v>
      </c>
      <c r="I82" s="55">
        <v>586</v>
      </c>
      <c r="J82" s="56">
        <f t="shared" si="34"/>
        <v>5.1559812234653535</v>
      </c>
      <c r="K82" s="56">
        <f t="shared" si="35"/>
        <v>-1.3751310812081925</v>
      </c>
      <c r="L82" s="56">
        <f t="shared" si="36"/>
        <v>3.7808501422571608</v>
      </c>
    </row>
    <row r="83" spans="1:12" x14ac:dyDescent="0.2">
      <c r="A83" s="33">
        <f t="shared" si="25"/>
        <v>74</v>
      </c>
      <c r="B83" s="33"/>
      <c r="C83" s="51" t="str">
        <f t="shared" si="37"/>
        <v>53E - Customer Owned</v>
      </c>
      <c r="D83" s="39" t="s">
        <v>26</v>
      </c>
      <c r="E83" s="39">
        <v>100</v>
      </c>
      <c r="F83" s="167">
        <v>0.02</v>
      </c>
      <c r="G83" s="54">
        <f t="shared" si="32"/>
        <v>1.7597205540837383E-2</v>
      </c>
      <c r="H83" s="54">
        <f t="shared" si="33"/>
        <v>-4.6932801406422949E-3</v>
      </c>
      <c r="I83" s="55">
        <v>2241</v>
      </c>
      <c r="J83" s="56">
        <f t="shared" si="34"/>
        <v>39.435337617016579</v>
      </c>
      <c r="K83" s="56">
        <f t="shared" si="35"/>
        <v>-10.517640795179382</v>
      </c>
      <c r="L83" s="56">
        <f t="shared" si="36"/>
        <v>28.917696821837197</v>
      </c>
    </row>
    <row r="84" spans="1:12" x14ac:dyDescent="0.2">
      <c r="A84" s="33">
        <f t="shared" si="25"/>
        <v>75</v>
      </c>
      <c r="B84" s="33"/>
      <c r="C84" s="51" t="str">
        <f t="shared" si="37"/>
        <v>53E - Customer Owned</v>
      </c>
      <c r="D84" s="39" t="s">
        <v>26</v>
      </c>
      <c r="E84" s="39">
        <v>150</v>
      </c>
      <c r="F84" s="167">
        <v>0.03</v>
      </c>
      <c r="G84" s="54">
        <f t="shared" si="32"/>
        <v>2.6395808311256076E-2</v>
      </c>
      <c r="H84" s="54">
        <f t="shared" si="33"/>
        <v>-7.0399202109634419E-3</v>
      </c>
      <c r="I84" s="55">
        <v>1097</v>
      </c>
      <c r="J84" s="56">
        <f t="shared" si="34"/>
        <v>28.956201717447914</v>
      </c>
      <c r="K84" s="56">
        <f t="shared" si="35"/>
        <v>-7.7227924714268958</v>
      </c>
      <c r="L84" s="56">
        <f t="shared" si="36"/>
        <v>21.233409246021019</v>
      </c>
    </row>
    <row r="85" spans="1:12" x14ac:dyDescent="0.2">
      <c r="A85" s="33">
        <f t="shared" si="25"/>
        <v>76</v>
      </c>
      <c r="B85" s="33"/>
      <c r="C85" s="51" t="str">
        <f t="shared" si="37"/>
        <v>53E - Customer Owned</v>
      </c>
      <c r="D85" s="39" t="s">
        <v>26</v>
      </c>
      <c r="E85" s="39">
        <v>200</v>
      </c>
      <c r="F85" s="167">
        <v>0.04</v>
      </c>
      <c r="G85" s="54">
        <f t="shared" si="32"/>
        <v>3.5194411081674766E-2</v>
      </c>
      <c r="H85" s="54">
        <f t="shared" si="33"/>
        <v>-9.3865602812845898E-3</v>
      </c>
      <c r="I85" s="55">
        <v>4675</v>
      </c>
      <c r="J85" s="56">
        <f t="shared" si="34"/>
        <v>164.53387180682952</v>
      </c>
      <c r="K85" s="56">
        <f t="shared" si="35"/>
        <v>-43.882169315005456</v>
      </c>
      <c r="L85" s="56">
        <f t="shared" si="36"/>
        <v>120.65170249182407</v>
      </c>
    </row>
    <row r="86" spans="1:12" x14ac:dyDescent="0.2">
      <c r="A86" s="33">
        <f t="shared" si="25"/>
        <v>77</v>
      </c>
      <c r="B86" s="33"/>
      <c r="C86" s="51" t="str">
        <f t="shared" si="37"/>
        <v>53E - Customer Owned</v>
      </c>
      <c r="D86" s="39" t="s">
        <v>26</v>
      </c>
      <c r="E86" s="39">
        <v>250</v>
      </c>
      <c r="F86" s="167">
        <v>0.05</v>
      </c>
      <c r="G86" s="54">
        <f t="shared" si="32"/>
        <v>4.3993013852093463E-2</v>
      </c>
      <c r="H86" s="54">
        <f t="shared" si="33"/>
        <v>-1.1733200351605737E-2</v>
      </c>
      <c r="I86" s="55">
        <v>2780</v>
      </c>
      <c r="J86" s="56">
        <f t="shared" si="34"/>
        <v>122.30057850881983</v>
      </c>
      <c r="K86" s="56">
        <f t="shared" si="35"/>
        <v>-32.618296977463949</v>
      </c>
      <c r="L86" s="56">
        <f t="shared" si="36"/>
        <v>89.682281531355869</v>
      </c>
    </row>
    <row r="87" spans="1:12" x14ac:dyDescent="0.2">
      <c r="A87" s="33">
        <f t="shared" si="25"/>
        <v>78</v>
      </c>
      <c r="B87" s="33"/>
      <c r="C87" s="51" t="str">
        <f t="shared" si="37"/>
        <v>53E - Customer Owned</v>
      </c>
      <c r="D87" s="39" t="s">
        <v>26</v>
      </c>
      <c r="E87" s="39">
        <v>310</v>
      </c>
      <c r="F87" s="167">
        <v>0.06</v>
      </c>
      <c r="G87" s="54">
        <f t="shared" si="32"/>
        <v>5.2791616622512152E-2</v>
      </c>
      <c r="H87" s="54">
        <f t="shared" si="33"/>
        <v>-1.4079840421926884E-2</v>
      </c>
      <c r="I87" s="55">
        <v>47</v>
      </c>
      <c r="J87" s="56">
        <f t="shared" si="34"/>
        <v>2.4812059812580713</v>
      </c>
      <c r="K87" s="56">
        <f t="shared" si="35"/>
        <v>-0.6617524998305635</v>
      </c>
      <c r="L87" s="56">
        <f t="shared" si="36"/>
        <v>1.8194534814275078</v>
      </c>
    </row>
    <row r="88" spans="1:12" x14ac:dyDescent="0.2">
      <c r="A88" s="33">
        <f t="shared" si="25"/>
        <v>79</v>
      </c>
      <c r="B88" s="33"/>
      <c r="C88" s="51" t="str">
        <f t="shared" si="37"/>
        <v>53E - Customer Owned</v>
      </c>
      <c r="D88" s="39" t="s">
        <v>26</v>
      </c>
      <c r="E88" s="39">
        <v>400</v>
      </c>
      <c r="F88" s="167">
        <v>0.08</v>
      </c>
      <c r="G88" s="54">
        <f t="shared" si="32"/>
        <v>7.0388822163349532E-2</v>
      </c>
      <c r="H88" s="54">
        <f t="shared" si="33"/>
        <v>-1.877312056256918E-2</v>
      </c>
      <c r="I88" s="55">
        <v>4547</v>
      </c>
      <c r="J88" s="56">
        <f t="shared" si="34"/>
        <v>320.05797437675034</v>
      </c>
      <c r="K88" s="56">
        <f t="shared" si="35"/>
        <v>-85.361379198002055</v>
      </c>
      <c r="L88" s="56">
        <f t="shared" si="36"/>
        <v>234.69659517874828</v>
      </c>
    </row>
    <row r="89" spans="1:12" x14ac:dyDescent="0.2">
      <c r="A89" s="33">
        <f t="shared" si="25"/>
        <v>80</v>
      </c>
      <c r="B89" s="33"/>
      <c r="C89" s="51" t="str">
        <f t="shared" si="37"/>
        <v>53E - Customer Owned</v>
      </c>
      <c r="D89" s="39" t="s">
        <v>26</v>
      </c>
      <c r="E89" s="39">
        <v>1000</v>
      </c>
      <c r="F89" s="167">
        <v>0.19</v>
      </c>
      <c r="G89" s="54">
        <f t="shared" si="32"/>
        <v>0.16717345263795516</v>
      </c>
      <c r="H89" s="54">
        <f t="shared" si="33"/>
        <v>-4.4586161336101798E-2</v>
      </c>
      <c r="I89" s="55">
        <v>0</v>
      </c>
      <c r="J89" s="56">
        <f t="shared" si="34"/>
        <v>0</v>
      </c>
      <c r="K89" s="56">
        <f t="shared" si="35"/>
        <v>0</v>
      </c>
      <c r="L89" s="56">
        <f t="shared" si="36"/>
        <v>0</v>
      </c>
    </row>
    <row r="90" spans="1:12" x14ac:dyDescent="0.2">
      <c r="A90" s="33">
        <f t="shared" si="25"/>
        <v>81</v>
      </c>
      <c r="B90" s="33"/>
      <c r="C90" s="51"/>
      <c r="D90" s="39"/>
      <c r="E90" s="39"/>
      <c r="F90" s="170"/>
      <c r="G90" s="2"/>
      <c r="H90" s="2"/>
      <c r="I90" s="3"/>
      <c r="J90" s="3"/>
      <c r="K90" s="3"/>
      <c r="L90" s="32"/>
    </row>
    <row r="91" spans="1:12" x14ac:dyDescent="0.2">
      <c r="A91" s="33">
        <f t="shared" si="25"/>
        <v>82</v>
      </c>
      <c r="B91" s="33"/>
      <c r="C91" s="51" t="str">
        <f>+C89</f>
        <v>53E - Customer Owned</v>
      </c>
      <c r="D91" s="39" t="s">
        <v>48</v>
      </c>
      <c r="E91" s="39">
        <v>70</v>
      </c>
      <c r="F91" s="167">
        <v>0.01</v>
      </c>
      <c r="G91" s="54">
        <f t="shared" ref="G91:G96" si="38">F91*$J$201</f>
        <v>8.7986027704186915E-3</v>
      </c>
      <c r="H91" s="54">
        <f t="shared" ref="H91:H96" si="39">F91*$K$201</f>
        <v>-2.3466400703211474E-3</v>
      </c>
      <c r="I91" s="55">
        <v>0</v>
      </c>
      <c r="J91" s="56">
        <f t="shared" ref="J91:J96" si="40">I91*G91</f>
        <v>0</v>
      </c>
      <c r="K91" s="56">
        <f t="shared" ref="K91:K96" si="41">I91*H91</f>
        <v>0</v>
      </c>
      <c r="L91" s="56">
        <f t="shared" ref="L91:L96" si="42">SUM(J91:K91)</f>
        <v>0</v>
      </c>
    </row>
    <row r="92" spans="1:12" x14ac:dyDescent="0.2">
      <c r="A92" s="33">
        <f t="shared" si="25"/>
        <v>83</v>
      </c>
      <c r="B92" s="33"/>
      <c r="C92" s="51" t="str">
        <f>+C91</f>
        <v>53E - Customer Owned</v>
      </c>
      <c r="D92" s="39" t="s">
        <v>48</v>
      </c>
      <c r="E92" s="39">
        <v>100</v>
      </c>
      <c r="F92" s="167">
        <v>0.02</v>
      </c>
      <c r="G92" s="54">
        <f t="shared" si="38"/>
        <v>1.7597205540837383E-2</v>
      </c>
      <c r="H92" s="54">
        <f t="shared" si="39"/>
        <v>-4.6932801406422949E-3</v>
      </c>
      <c r="I92" s="55">
        <v>0</v>
      </c>
      <c r="J92" s="56">
        <f t="shared" si="40"/>
        <v>0</v>
      </c>
      <c r="K92" s="56">
        <f t="shared" si="41"/>
        <v>0</v>
      </c>
      <c r="L92" s="56">
        <f t="shared" si="42"/>
        <v>0</v>
      </c>
    </row>
    <row r="93" spans="1:12" x14ac:dyDescent="0.2">
      <c r="A93" s="33">
        <f t="shared" si="25"/>
        <v>84</v>
      </c>
      <c r="B93" s="33"/>
      <c r="C93" s="51" t="str">
        <f>+C92</f>
        <v>53E - Customer Owned</v>
      </c>
      <c r="D93" s="39" t="s">
        <v>48</v>
      </c>
      <c r="E93" s="39">
        <v>150</v>
      </c>
      <c r="F93" s="167">
        <v>0.03</v>
      </c>
      <c r="G93" s="54">
        <f t="shared" si="38"/>
        <v>2.6395808311256076E-2</v>
      </c>
      <c r="H93" s="54">
        <f t="shared" si="39"/>
        <v>-7.0399202109634419E-3</v>
      </c>
      <c r="I93" s="55">
        <v>0</v>
      </c>
      <c r="J93" s="56">
        <f t="shared" si="40"/>
        <v>0</v>
      </c>
      <c r="K93" s="56">
        <f t="shared" si="41"/>
        <v>0</v>
      </c>
      <c r="L93" s="56">
        <f t="shared" si="42"/>
        <v>0</v>
      </c>
    </row>
    <row r="94" spans="1:12" x14ac:dyDescent="0.2">
      <c r="A94" s="33">
        <f t="shared" si="25"/>
        <v>85</v>
      </c>
      <c r="B94" s="33"/>
      <c r="C94" s="51" t="str">
        <f>+C93</f>
        <v>53E - Customer Owned</v>
      </c>
      <c r="D94" s="39" t="s">
        <v>48</v>
      </c>
      <c r="E94" s="39">
        <v>175</v>
      </c>
      <c r="F94" s="167">
        <v>0.03</v>
      </c>
      <c r="G94" s="54">
        <f t="shared" si="38"/>
        <v>2.6395808311256076E-2</v>
      </c>
      <c r="H94" s="54">
        <f t="shared" si="39"/>
        <v>-7.0399202109634419E-3</v>
      </c>
      <c r="I94" s="55">
        <v>48</v>
      </c>
      <c r="J94" s="56">
        <f t="shared" si="40"/>
        <v>1.2669987989402918</v>
      </c>
      <c r="K94" s="56">
        <f t="shared" si="41"/>
        <v>-0.3379161701262452</v>
      </c>
      <c r="L94" s="56">
        <f t="shared" si="42"/>
        <v>0.92908262881404657</v>
      </c>
    </row>
    <row r="95" spans="1:12" x14ac:dyDescent="0.2">
      <c r="A95" s="33">
        <f t="shared" si="25"/>
        <v>86</v>
      </c>
      <c r="B95" s="33"/>
      <c r="C95" s="51" t="str">
        <f>+C94</f>
        <v>53E - Customer Owned</v>
      </c>
      <c r="D95" s="39" t="s">
        <v>48</v>
      </c>
      <c r="E95" s="39">
        <v>250</v>
      </c>
      <c r="F95" s="167">
        <v>0.05</v>
      </c>
      <c r="G95" s="54">
        <f t="shared" si="38"/>
        <v>4.3993013852093463E-2</v>
      </c>
      <c r="H95" s="54">
        <f t="shared" si="39"/>
        <v>-1.1733200351605737E-2</v>
      </c>
      <c r="I95" s="55">
        <v>0</v>
      </c>
      <c r="J95" s="56">
        <f t="shared" si="40"/>
        <v>0</v>
      </c>
      <c r="K95" s="56">
        <f t="shared" si="41"/>
        <v>0</v>
      </c>
      <c r="L95" s="56">
        <f t="shared" si="42"/>
        <v>0</v>
      </c>
    </row>
    <row r="96" spans="1:12" x14ac:dyDescent="0.2">
      <c r="A96" s="33">
        <f t="shared" si="25"/>
        <v>87</v>
      </c>
      <c r="B96" s="33"/>
      <c r="C96" s="51" t="str">
        <f>+C95</f>
        <v>53E - Customer Owned</v>
      </c>
      <c r="D96" s="39" t="s">
        <v>48</v>
      </c>
      <c r="E96" s="39">
        <v>400</v>
      </c>
      <c r="F96" s="167">
        <v>0.08</v>
      </c>
      <c r="G96" s="54">
        <f t="shared" si="38"/>
        <v>7.0388822163349532E-2</v>
      </c>
      <c r="H96" s="54">
        <f t="shared" si="39"/>
        <v>-1.877312056256918E-2</v>
      </c>
      <c r="I96" s="55">
        <v>0</v>
      </c>
      <c r="J96" s="56">
        <f t="shared" si="40"/>
        <v>0</v>
      </c>
      <c r="K96" s="56">
        <f t="shared" si="41"/>
        <v>0</v>
      </c>
      <c r="L96" s="56">
        <f t="shared" si="42"/>
        <v>0</v>
      </c>
    </row>
    <row r="97" spans="1:12" x14ac:dyDescent="0.2">
      <c r="A97" s="33">
        <f t="shared" si="25"/>
        <v>88</v>
      </c>
      <c r="B97" s="33"/>
      <c r="C97" s="51"/>
      <c r="D97" s="39"/>
      <c r="E97" s="39"/>
      <c r="F97" s="170"/>
      <c r="G97" s="2"/>
      <c r="H97" s="2"/>
      <c r="I97" s="3"/>
      <c r="J97" s="3"/>
      <c r="K97" s="3"/>
      <c r="L97" s="32"/>
    </row>
    <row r="98" spans="1:12" x14ac:dyDescent="0.2">
      <c r="A98" s="33">
        <f t="shared" si="25"/>
        <v>89</v>
      </c>
      <c r="B98" s="33"/>
      <c r="C98" s="51" t="str">
        <f>+C95</f>
        <v>53E - Customer Owned</v>
      </c>
      <c r="D98" s="39" t="s">
        <v>36</v>
      </c>
      <c r="E98" s="61" t="s">
        <v>101</v>
      </c>
      <c r="F98" s="167">
        <v>0</v>
      </c>
      <c r="G98" s="54">
        <f t="shared" ref="G98:G107" si="43">F98*$J$201</f>
        <v>0</v>
      </c>
      <c r="H98" s="54">
        <f t="shared" ref="H98:H107" si="44">F98*$K$201</f>
        <v>0</v>
      </c>
      <c r="I98" s="3">
        <v>688</v>
      </c>
      <c r="J98" s="56">
        <f t="shared" ref="J98:J107" si="45">I98*G98</f>
        <v>0</v>
      </c>
      <c r="K98" s="56">
        <f t="shared" ref="K98:K107" si="46">I98*H98</f>
        <v>0</v>
      </c>
      <c r="L98" s="32">
        <f t="shared" ref="L98:L107" si="47">SUM(J98:K98)</f>
        <v>0</v>
      </c>
    </row>
    <row r="99" spans="1:12" x14ac:dyDescent="0.2">
      <c r="A99" s="33">
        <f t="shared" si="25"/>
        <v>90</v>
      </c>
      <c r="B99" s="33"/>
      <c r="C99" s="51" t="str">
        <f>+C96</f>
        <v>53E - Customer Owned</v>
      </c>
      <c r="D99" s="39" t="s">
        <v>36</v>
      </c>
      <c r="E99" s="61" t="s">
        <v>37</v>
      </c>
      <c r="F99" s="167">
        <v>0.01</v>
      </c>
      <c r="G99" s="54">
        <f t="shared" si="43"/>
        <v>8.7986027704186915E-3</v>
      </c>
      <c r="H99" s="54">
        <f t="shared" si="44"/>
        <v>-2.3466400703211474E-3</v>
      </c>
      <c r="I99" s="55">
        <v>7682</v>
      </c>
      <c r="J99" s="56">
        <f t="shared" si="45"/>
        <v>67.59086648235639</v>
      </c>
      <c r="K99" s="56">
        <f t="shared" si="46"/>
        <v>-18.026889020207054</v>
      </c>
      <c r="L99" s="56">
        <f t="shared" si="47"/>
        <v>49.563977462149339</v>
      </c>
    </row>
    <row r="100" spans="1:12" x14ac:dyDescent="0.2">
      <c r="A100" s="33">
        <f t="shared" si="25"/>
        <v>91</v>
      </c>
      <c r="B100" s="33"/>
      <c r="C100" s="51" t="str">
        <f>C99</f>
        <v>53E - Customer Owned</v>
      </c>
      <c r="D100" s="39" t="s">
        <v>36</v>
      </c>
      <c r="E100" s="58" t="s">
        <v>38</v>
      </c>
      <c r="F100" s="167">
        <v>0.01</v>
      </c>
      <c r="G100" s="54">
        <f t="shared" si="43"/>
        <v>8.7986027704186915E-3</v>
      </c>
      <c r="H100" s="54">
        <f t="shared" si="44"/>
        <v>-2.3466400703211474E-3</v>
      </c>
      <c r="I100" s="55">
        <v>7677</v>
      </c>
      <c r="J100" s="56">
        <f t="shared" si="45"/>
        <v>67.546873468504302</v>
      </c>
      <c r="K100" s="56">
        <f t="shared" si="46"/>
        <v>-18.015155819855448</v>
      </c>
      <c r="L100" s="56">
        <f t="shared" si="47"/>
        <v>49.531717648648851</v>
      </c>
    </row>
    <row r="101" spans="1:12" x14ac:dyDescent="0.2">
      <c r="A101" s="33">
        <f t="shared" si="25"/>
        <v>92</v>
      </c>
      <c r="B101" s="33"/>
      <c r="C101" s="51" t="str">
        <f t="shared" ref="C101:C107" si="48">C100</f>
        <v>53E - Customer Owned</v>
      </c>
      <c r="D101" s="39" t="s">
        <v>36</v>
      </c>
      <c r="E101" s="58" t="s">
        <v>39</v>
      </c>
      <c r="F101" s="167">
        <v>0.02</v>
      </c>
      <c r="G101" s="54">
        <f t="shared" si="43"/>
        <v>1.7597205540837383E-2</v>
      </c>
      <c r="H101" s="54">
        <f t="shared" si="44"/>
        <v>-4.6932801406422949E-3</v>
      </c>
      <c r="I101" s="55">
        <v>10622</v>
      </c>
      <c r="J101" s="56">
        <f t="shared" si="45"/>
        <v>186.91751725477468</v>
      </c>
      <c r="K101" s="56">
        <f t="shared" si="46"/>
        <v>-49.852021653902455</v>
      </c>
      <c r="L101" s="56">
        <f t="shared" si="47"/>
        <v>137.06549560087223</v>
      </c>
    </row>
    <row r="102" spans="1:12" x14ac:dyDescent="0.2">
      <c r="A102" s="33">
        <f t="shared" si="25"/>
        <v>93</v>
      </c>
      <c r="B102" s="33"/>
      <c r="C102" s="51" t="str">
        <f t="shared" si="48"/>
        <v>53E - Customer Owned</v>
      </c>
      <c r="D102" s="39" t="s">
        <v>36</v>
      </c>
      <c r="E102" s="58" t="s">
        <v>40</v>
      </c>
      <c r="F102" s="167">
        <v>0.03</v>
      </c>
      <c r="G102" s="54">
        <f t="shared" si="43"/>
        <v>2.6395808311256076E-2</v>
      </c>
      <c r="H102" s="54">
        <f t="shared" si="44"/>
        <v>-7.0399202109634419E-3</v>
      </c>
      <c r="I102" s="55">
        <v>1142</v>
      </c>
      <c r="J102" s="56">
        <f t="shared" si="45"/>
        <v>30.14401309145444</v>
      </c>
      <c r="K102" s="56">
        <f t="shared" si="46"/>
        <v>-8.0395888809202507</v>
      </c>
      <c r="L102" s="56">
        <f t="shared" si="47"/>
        <v>22.104424210534191</v>
      </c>
    </row>
    <row r="103" spans="1:12" x14ac:dyDescent="0.2">
      <c r="A103" s="33">
        <f t="shared" si="25"/>
        <v>94</v>
      </c>
      <c r="B103" s="33"/>
      <c r="C103" s="51" t="str">
        <f t="shared" si="48"/>
        <v>53E - Customer Owned</v>
      </c>
      <c r="D103" s="39" t="s">
        <v>36</v>
      </c>
      <c r="E103" s="58" t="s">
        <v>41</v>
      </c>
      <c r="F103" s="167">
        <v>0.03</v>
      </c>
      <c r="G103" s="54">
        <f t="shared" si="43"/>
        <v>2.6395808311256076E-2</v>
      </c>
      <c r="H103" s="54">
        <f t="shared" si="44"/>
        <v>-7.0399202109634419E-3</v>
      </c>
      <c r="I103" s="55">
        <v>16003</v>
      </c>
      <c r="J103" s="56">
        <f t="shared" si="45"/>
        <v>422.41212040503098</v>
      </c>
      <c r="K103" s="56">
        <f t="shared" si="46"/>
        <v>-112.65984313604795</v>
      </c>
      <c r="L103" s="56">
        <f t="shared" si="47"/>
        <v>309.75227726898299</v>
      </c>
    </row>
    <row r="104" spans="1:12" x14ac:dyDescent="0.2">
      <c r="A104" s="33">
        <f t="shared" si="25"/>
        <v>95</v>
      </c>
      <c r="B104" s="33"/>
      <c r="C104" s="51" t="str">
        <f t="shared" si="48"/>
        <v>53E - Customer Owned</v>
      </c>
      <c r="D104" s="39" t="s">
        <v>36</v>
      </c>
      <c r="E104" s="58" t="s">
        <v>42</v>
      </c>
      <c r="F104" s="167">
        <v>0.04</v>
      </c>
      <c r="G104" s="54">
        <f t="shared" si="43"/>
        <v>3.5194411081674766E-2</v>
      </c>
      <c r="H104" s="54">
        <f t="shared" si="44"/>
        <v>-9.3865602812845898E-3</v>
      </c>
      <c r="I104" s="55">
        <v>1225</v>
      </c>
      <c r="J104" s="56">
        <f t="shared" si="45"/>
        <v>43.113153575051591</v>
      </c>
      <c r="K104" s="56">
        <f t="shared" si="46"/>
        <v>-11.498536344573623</v>
      </c>
      <c r="L104" s="56">
        <f t="shared" si="47"/>
        <v>31.614617230477968</v>
      </c>
    </row>
    <row r="105" spans="1:12" x14ac:dyDescent="0.2">
      <c r="A105" s="33">
        <f t="shared" si="25"/>
        <v>96</v>
      </c>
      <c r="B105" s="33"/>
      <c r="C105" s="51" t="str">
        <f t="shared" si="48"/>
        <v>53E - Customer Owned</v>
      </c>
      <c r="D105" s="39" t="s">
        <v>36</v>
      </c>
      <c r="E105" s="58" t="s">
        <v>43</v>
      </c>
      <c r="F105" s="167">
        <v>0.04</v>
      </c>
      <c r="G105" s="54">
        <f t="shared" si="43"/>
        <v>3.5194411081674766E-2</v>
      </c>
      <c r="H105" s="54">
        <f t="shared" si="44"/>
        <v>-9.3865602812845898E-3</v>
      </c>
      <c r="I105" s="55">
        <v>0</v>
      </c>
      <c r="J105" s="56">
        <f t="shared" si="45"/>
        <v>0</v>
      </c>
      <c r="K105" s="56">
        <f t="shared" si="46"/>
        <v>0</v>
      </c>
      <c r="L105" s="56">
        <f t="shared" si="47"/>
        <v>0</v>
      </c>
    </row>
    <row r="106" spans="1:12" x14ac:dyDescent="0.2">
      <c r="A106" s="33">
        <f t="shared" si="25"/>
        <v>97</v>
      </c>
      <c r="B106" s="33"/>
      <c r="C106" s="51" t="str">
        <f t="shared" si="48"/>
        <v>53E - Customer Owned</v>
      </c>
      <c r="D106" s="39" t="s">
        <v>36</v>
      </c>
      <c r="E106" s="58" t="s">
        <v>44</v>
      </c>
      <c r="F106" s="167">
        <v>0.05</v>
      </c>
      <c r="G106" s="54">
        <f t="shared" si="43"/>
        <v>4.3993013852093463E-2</v>
      </c>
      <c r="H106" s="54">
        <f t="shared" si="44"/>
        <v>-1.1733200351605737E-2</v>
      </c>
      <c r="I106" s="55">
        <v>24</v>
      </c>
      <c r="J106" s="56">
        <f t="shared" si="45"/>
        <v>1.055832332450243</v>
      </c>
      <c r="K106" s="56">
        <f t="shared" si="46"/>
        <v>-0.28159680843853768</v>
      </c>
      <c r="L106" s="56">
        <f t="shared" si="47"/>
        <v>0.77423552401170537</v>
      </c>
    </row>
    <row r="107" spans="1:12" x14ac:dyDescent="0.2">
      <c r="A107" s="33">
        <f t="shared" si="25"/>
        <v>98</v>
      </c>
      <c r="B107" s="33"/>
      <c r="C107" s="51" t="str">
        <f t="shared" si="48"/>
        <v>53E - Customer Owned</v>
      </c>
      <c r="D107" s="39" t="s">
        <v>36</v>
      </c>
      <c r="E107" s="58" t="s">
        <v>45</v>
      </c>
      <c r="F107" s="167">
        <v>0.05</v>
      </c>
      <c r="G107" s="54">
        <f t="shared" si="43"/>
        <v>4.3993013852093463E-2</v>
      </c>
      <c r="H107" s="54">
        <f t="shared" si="44"/>
        <v>-1.1733200351605737E-2</v>
      </c>
      <c r="I107" s="55">
        <v>0</v>
      </c>
      <c r="J107" s="56">
        <f t="shared" si="45"/>
        <v>0</v>
      </c>
      <c r="K107" s="56">
        <f t="shared" si="46"/>
        <v>0</v>
      </c>
      <c r="L107" s="56">
        <f t="shared" si="47"/>
        <v>0</v>
      </c>
    </row>
    <row r="108" spans="1:12" x14ac:dyDescent="0.2">
      <c r="A108" s="33">
        <f t="shared" si="25"/>
        <v>99</v>
      </c>
      <c r="B108" s="4" t="s">
        <v>52</v>
      </c>
      <c r="D108" s="4"/>
      <c r="E108" s="4"/>
      <c r="F108" s="170"/>
      <c r="G108" s="2"/>
      <c r="H108" s="2"/>
      <c r="I108" s="3"/>
      <c r="J108" s="3"/>
      <c r="K108" s="3"/>
      <c r="L108" s="32"/>
    </row>
    <row r="109" spans="1:12" x14ac:dyDescent="0.2">
      <c r="A109" s="33">
        <f t="shared" si="25"/>
        <v>100</v>
      </c>
      <c r="B109" s="33"/>
      <c r="C109" s="51" t="s">
        <v>53</v>
      </c>
      <c r="D109" s="39" t="s">
        <v>26</v>
      </c>
      <c r="E109" s="39">
        <v>50</v>
      </c>
      <c r="F109" s="167">
        <v>0.01</v>
      </c>
      <c r="G109" s="54">
        <f t="shared" ref="G109:G117" si="49">F109*$J$201</f>
        <v>8.7986027704186915E-3</v>
      </c>
      <c r="H109" s="54">
        <f t="shared" ref="H109:H117" si="50">F109*$K$201</f>
        <v>-2.3466400703211474E-3</v>
      </c>
      <c r="I109" s="55">
        <v>422</v>
      </c>
      <c r="J109" s="56">
        <f t="shared" ref="J109:J117" si="51">I109*G109</f>
        <v>3.713010369116688</v>
      </c>
      <c r="K109" s="56">
        <f t="shared" ref="K109:K117" si="52">I109*H109</f>
        <v>-0.99028210967552421</v>
      </c>
      <c r="L109" s="56">
        <f t="shared" ref="L109:L117" si="53">SUM(J109:K109)</f>
        <v>2.7227282594411637</v>
      </c>
    </row>
    <row r="110" spans="1:12" x14ac:dyDescent="0.2">
      <c r="A110" s="33">
        <f t="shared" si="25"/>
        <v>101</v>
      </c>
      <c r="B110" s="33"/>
      <c r="C110" s="51" t="str">
        <f t="shared" ref="C110:C117" si="54">+C109</f>
        <v>54E</v>
      </c>
      <c r="D110" s="39" t="s">
        <v>26</v>
      </c>
      <c r="E110" s="39">
        <v>70</v>
      </c>
      <c r="F110" s="167">
        <v>0.01</v>
      </c>
      <c r="G110" s="54">
        <f t="shared" si="49"/>
        <v>8.7986027704186915E-3</v>
      </c>
      <c r="H110" s="54">
        <f t="shared" si="50"/>
        <v>-2.3466400703211474E-3</v>
      </c>
      <c r="I110" s="55">
        <v>1778</v>
      </c>
      <c r="J110" s="56">
        <f t="shared" si="51"/>
        <v>15.643915725804433</v>
      </c>
      <c r="K110" s="56">
        <f t="shared" si="52"/>
        <v>-4.1723260450310002</v>
      </c>
      <c r="L110" s="56">
        <f t="shared" si="53"/>
        <v>11.471589680773434</v>
      </c>
    </row>
    <row r="111" spans="1:12" x14ac:dyDescent="0.2">
      <c r="A111" s="33">
        <f t="shared" si="25"/>
        <v>102</v>
      </c>
      <c r="B111" s="33"/>
      <c r="C111" s="51" t="str">
        <f t="shared" si="54"/>
        <v>54E</v>
      </c>
      <c r="D111" s="39" t="s">
        <v>26</v>
      </c>
      <c r="E111" s="39">
        <v>100</v>
      </c>
      <c r="F111" s="167">
        <v>0.02</v>
      </c>
      <c r="G111" s="54">
        <f t="shared" si="49"/>
        <v>1.7597205540837383E-2</v>
      </c>
      <c r="H111" s="54">
        <f t="shared" si="50"/>
        <v>-4.6932801406422949E-3</v>
      </c>
      <c r="I111" s="55">
        <v>9944</v>
      </c>
      <c r="J111" s="56">
        <f t="shared" si="51"/>
        <v>174.98661189808695</v>
      </c>
      <c r="K111" s="56">
        <f t="shared" si="52"/>
        <v>-46.669977718546981</v>
      </c>
      <c r="L111" s="56">
        <f t="shared" si="53"/>
        <v>128.31663417953996</v>
      </c>
    </row>
    <row r="112" spans="1:12" x14ac:dyDescent="0.2">
      <c r="A112" s="33">
        <f t="shared" si="25"/>
        <v>103</v>
      </c>
      <c r="B112" s="33"/>
      <c r="C112" s="51" t="str">
        <f t="shared" si="54"/>
        <v>54E</v>
      </c>
      <c r="D112" s="39" t="s">
        <v>26</v>
      </c>
      <c r="E112" s="39">
        <v>150</v>
      </c>
      <c r="F112" s="167">
        <v>0.03</v>
      </c>
      <c r="G112" s="54">
        <f t="shared" si="49"/>
        <v>2.6395808311256076E-2</v>
      </c>
      <c r="H112" s="54">
        <f t="shared" si="50"/>
        <v>-7.0399202109634419E-3</v>
      </c>
      <c r="I112" s="55">
        <v>3449</v>
      </c>
      <c r="J112" s="56">
        <f t="shared" si="51"/>
        <v>91.039142865522209</v>
      </c>
      <c r="K112" s="56">
        <f t="shared" si="52"/>
        <v>-24.280684807612911</v>
      </c>
      <c r="L112" s="56">
        <f t="shared" si="53"/>
        <v>66.758458057909294</v>
      </c>
    </row>
    <row r="113" spans="1:12" x14ac:dyDescent="0.2">
      <c r="A113" s="33">
        <f t="shared" si="25"/>
        <v>104</v>
      </c>
      <c r="B113" s="33"/>
      <c r="C113" s="51" t="str">
        <f t="shared" si="54"/>
        <v>54E</v>
      </c>
      <c r="D113" s="39" t="s">
        <v>26</v>
      </c>
      <c r="E113" s="39">
        <v>200</v>
      </c>
      <c r="F113" s="167">
        <v>0.04</v>
      </c>
      <c r="G113" s="54">
        <f t="shared" si="49"/>
        <v>3.5194411081674766E-2</v>
      </c>
      <c r="H113" s="54">
        <f t="shared" si="50"/>
        <v>-9.3865602812845898E-3</v>
      </c>
      <c r="I113" s="55">
        <v>3300</v>
      </c>
      <c r="J113" s="56">
        <f t="shared" si="51"/>
        <v>116.14155656952673</v>
      </c>
      <c r="K113" s="56">
        <f t="shared" si="52"/>
        <v>-30.975648928239146</v>
      </c>
      <c r="L113" s="56">
        <f t="shared" si="53"/>
        <v>85.165907641287589</v>
      </c>
    </row>
    <row r="114" spans="1:12" x14ac:dyDescent="0.2">
      <c r="A114" s="33">
        <f t="shared" si="25"/>
        <v>105</v>
      </c>
      <c r="B114" s="33"/>
      <c r="C114" s="51" t="str">
        <f t="shared" si="54"/>
        <v>54E</v>
      </c>
      <c r="D114" s="39" t="s">
        <v>26</v>
      </c>
      <c r="E114" s="39">
        <v>250</v>
      </c>
      <c r="F114" s="167">
        <v>0.05</v>
      </c>
      <c r="G114" s="54">
        <f t="shared" si="49"/>
        <v>4.3993013852093463E-2</v>
      </c>
      <c r="H114" s="54">
        <f t="shared" si="50"/>
        <v>-1.1733200351605737E-2</v>
      </c>
      <c r="I114" s="55">
        <v>3581</v>
      </c>
      <c r="J114" s="56">
        <f t="shared" si="51"/>
        <v>157.5389826043467</v>
      </c>
      <c r="K114" s="56">
        <f t="shared" si="52"/>
        <v>-42.016590459100144</v>
      </c>
      <c r="L114" s="56">
        <f t="shared" si="53"/>
        <v>115.52239214524656</v>
      </c>
    </row>
    <row r="115" spans="1:12" x14ac:dyDescent="0.2">
      <c r="A115" s="33">
        <f t="shared" si="25"/>
        <v>106</v>
      </c>
      <c r="B115" s="33"/>
      <c r="C115" s="51" t="str">
        <f t="shared" si="54"/>
        <v>54E</v>
      </c>
      <c r="D115" s="39" t="s">
        <v>26</v>
      </c>
      <c r="E115" s="39">
        <v>310</v>
      </c>
      <c r="F115" s="167">
        <v>0.06</v>
      </c>
      <c r="G115" s="54">
        <f t="shared" si="49"/>
        <v>5.2791616622512152E-2</v>
      </c>
      <c r="H115" s="54">
        <f t="shared" si="50"/>
        <v>-1.4079840421926884E-2</v>
      </c>
      <c r="I115" s="55">
        <v>670</v>
      </c>
      <c r="J115" s="56">
        <f t="shared" si="51"/>
        <v>35.370383137083145</v>
      </c>
      <c r="K115" s="56">
        <f t="shared" si="52"/>
        <v>-9.4334930826910117</v>
      </c>
      <c r="L115" s="56">
        <f t="shared" si="53"/>
        <v>25.936890054392133</v>
      </c>
    </row>
    <row r="116" spans="1:12" x14ac:dyDescent="0.2">
      <c r="A116" s="33">
        <f t="shared" si="25"/>
        <v>107</v>
      </c>
      <c r="B116" s="33"/>
      <c r="C116" s="51" t="str">
        <f t="shared" si="54"/>
        <v>54E</v>
      </c>
      <c r="D116" s="39" t="s">
        <v>26</v>
      </c>
      <c r="E116" s="39">
        <v>400</v>
      </c>
      <c r="F116" s="167">
        <v>0.08</v>
      </c>
      <c r="G116" s="54">
        <f t="shared" si="49"/>
        <v>7.0388822163349532E-2</v>
      </c>
      <c r="H116" s="54">
        <f t="shared" si="50"/>
        <v>-1.877312056256918E-2</v>
      </c>
      <c r="I116" s="55">
        <v>6770</v>
      </c>
      <c r="J116" s="56">
        <f t="shared" si="51"/>
        <v>476.53232604587635</v>
      </c>
      <c r="K116" s="56">
        <f t="shared" si="52"/>
        <v>-127.09402620859335</v>
      </c>
      <c r="L116" s="56">
        <f t="shared" si="53"/>
        <v>349.43829983728301</v>
      </c>
    </row>
    <row r="117" spans="1:12" x14ac:dyDescent="0.2">
      <c r="A117" s="33">
        <f t="shared" si="25"/>
        <v>108</v>
      </c>
      <c r="B117" s="33"/>
      <c r="C117" s="51" t="str">
        <f t="shared" si="54"/>
        <v>54E</v>
      </c>
      <c r="D117" s="39" t="s">
        <v>26</v>
      </c>
      <c r="E117" s="39">
        <v>1000</v>
      </c>
      <c r="F117" s="167">
        <v>0.19</v>
      </c>
      <c r="G117" s="54">
        <f t="shared" si="49"/>
        <v>0.16717345263795516</v>
      </c>
      <c r="H117" s="54">
        <f t="shared" si="50"/>
        <v>-4.4586161336101798E-2</v>
      </c>
      <c r="I117" s="55">
        <v>0</v>
      </c>
      <c r="J117" s="56">
        <f t="shared" si="51"/>
        <v>0</v>
      </c>
      <c r="K117" s="56">
        <f t="shared" si="52"/>
        <v>0</v>
      </c>
      <c r="L117" s="56">
        <f t="shared" si="53"/>
        <v>0</v>
      </c>
    </row>
    <row r="118" spans="1:12" x14ac:dyDescent="0.2">
      <c r="A118" s="33">
        <f t="shared" si="25"/>
        <v>109</v>
      </c>
      <c r="B118" s="33"/>
      <c r="C118" s="64"/>
      <c r="D118" s="39"/>
      <c r="E118" s="39"/>
      <c r="F118" s="170"/>
      <c r="G118" s="2"/>
      <c r="H118" s="2"/>
      <c r="I118" s="3"/>
      <c r="J118" s="3"/>
      <c r="K118" s="3"/>
      <c r="L118" s="32"/>
    </row>
    <row r="119" spans="1:12" x14ac:dyDescent="0.2">
      <c r="A119" s="33">
        <f t="shared" si="25"/>
        <v>110</v>
      </c>
      <c r="B119" s="33"/>
      <c r="C119" s="51" t="str">
        <f>+C116</f>
        <v>54E</v>
      </c>
      <c r="D119" s="39" t="s">
        <v>36</v>
      </c>
      <c r="E119" s="61" t="s">
        <v>101</v>
      </c>
      <c r="F119" s="167">
        <v>0</v>
      </c>
      <c r="G119" s="54">
        <f t="shared" ref="G119:G128" si="55">F119*$J$201</f>
        <v>0</v>
      </c>
      <c r="H119" s="54">
        <f t="shared" ref="H119:H128" si="56">F119*$K$201</f>
        <v>0</v>
      </c>
      <c r="I119" s="3">
        <v>2764</v>
      </c>
      <c r="J119" s="56">
        <f t="shared" ref="J119:J128" si="57">I119*G119</f>
        <v>0</v>
      </c>
      <c r="K119" s="56">
        <f t="shared" ref="K119:K128" si="58">I119*H119</f>
        <v>0</v>
      </c>
      <c r="L119" s="56">
        <f t="shared" ref="L119:L128" si="59">SUM(J119:K119)</f>
        <v>0</v>
      </c>
    </row>
    <row r="120" spans="1:12" x14ac:dyDescent="0.2">
      <c r="A120" s="33">
        <f t="shared" si="25"/>
        <v>111</v>
      </c>
      <c r="B120" s="33"/>
      <c r="C120" s="51" t="str">
        <f>+C117</f>
        <v>54E</v>
      </c>
      <c r="D120" s="39" t="s">
        <v>36</v>
      </c>
      <c r="E120" s="58" t="s">
        <v>37</v>
      </c>
      <c r="F120" s="167">
        <v>0.01</v>
      </c>
      <c r="G120" s="54">
        <f t="shared" si="55"/>
        <v>8.7986027704186915E-3</v>
      </c>
      <c r="H120" s="54">
        <f t="shared" si="56"/>
        <v>-2.3466400703211474E-3</v>
      </c>
      <c r="I120" s="55">
        <v>31614</v>
      </c>
      <c r="J120" s="56">
        <f t="shared" si="57"/>
        <v>278.15902798401652</v>
      </c>
      <c r="K120" s="56">
        <f t="shared" si="58"/>
        <v>-74.186679183132753</v>
      </c>
      <c r="L120" s="56">
        <f t="shared" si="59"/>
        <v>203.97234880088376</v>
      </c>
    </row>
    <row r="121" spans="1:12" x14ac:dyDescent="0.2">
      <c r="A121" s="33">
        <f t="shared" si="25"/>
        <v>112</v>
      </c>
      <c r="B121" s="33"/>
      <c r="C121" s="51" t="str">
        <f t="shared" ref="C121:C128" si="60">+C120</f>
        <v>54E</v>
      </c>
      <c r="D121" s="39" t="s">
        <v>36</v>
      </c>
      <c r="E121" s="58" t="s">
        <v>38</v>
      </c>
      <c r="F121" s="167">
        <v>0.01</v>
      </c>
      <c r="G121" s="54">
        <f t="shared" si="55"/>
        <v>8.7986027704186915E-3</v>
      </c>
      <c r="H121" s="54">
        <f t="shared" si="56"/>
        <v>-2.3466400703211474E-3</v>
      </c>
      <c r="I121" s="55">
        <v>2651</v>
      </c>
      <c r="J121" s="56">
        <f t="shared" si="57"/>
        <v>23.325095944379949</v>
      </c>
      <c r="K121" s="56">
        <f t="shared" si="58"/>
        <v>-6.2209428264213615</v>
      </c>
      <c r="L121" s="56">
        <f t="shared" si="59"/>
        <v>17.104153117958589</v>
      </c>
    </row>
    <row r="122" spans="1:12" x14ac:dyDescent="0.2">
      <c r="A122" s="33">
        <f t="shared" ref="A122:A185" si="61">A121+1</f>
        <v>113</v>
      </c>
      <c r="B122" s="33"/>
      <c r="C122" s="51" t="str">
        <f t="shared" si="60"/>
        <v>54E</v>
      </c>
      <c r="D122" s="39" t="s">
        <v>36</v>
      </c>
      <c r="E122" s="58" t="s">
        <v>39</v>
      </c>
      <c r="F122" s="167">
        <v>0.02</v>
      </c>
      <c r="G122" s="54">
        <f t="shared" si="55"/>
        <v>1.7597205540837383E-2</v>
      </c>
      <c r="H122" s="54">
        <f t="shared" si="56"/>
        <v>-4.6932801406422949E-3</v>
      </c>
      <c r="I122" s="55">
        <v>35407</v>
      </c>
      <c r="J122" s="56">
        <f t="shared" si="57"/>
        <v>623.06425658442924</v>
      </c>
      <c r="K122" s="56">
        <f t="shared" si="58"/>
        <v>-166.17496993972173</v>
      </c>
      <c r="L122" s="56">
        <f t="shared" si="59"/>
        <v>456.88928664470751</v>
      </c>
    </row>
    <row r="123" spans="1:12" x14ac:dyDescent="0.2">
      <c r="A123" s="33">
        <f t="shared" si="61"/>
        <v>114</v>
      </c>
      <c r="B123" s="33"/>
      <c r="C123" s="51" t="str">
        <f t="shared" si="60"/>
        <v>54E</v>
      </c>
      <c r="D123" s="39" t="s">
        <v>36</v>
      </c>
      <c r="E123" s="58" t="s">
        <v>40</v>
      </c>
      <c r="F123" s="167">
        <v>0.03</v>
      </c>
      <c r="G123" s="54">
        <f t="shared" si="55"/>
        <v>2.6395808311256076E-2</v>
      </c>
      <c r="H123" s="54">
        <f t="shared" si="56"/>
        <v>-7.0399202109634419E-3</v>
      </c>
      <c r="I123" s="55">
        <v>12747</v>
      </c>
      <c r="J123" s="56">
        <f t="shared" si="57"/>
        <v>336.46736854358119</v>
      </c>
      <c r="K123" s="56">
        <f t="shared" si="58"/>
        <v>-89.737862929150992</v>
      </c>
      <c r="L123" s="56">
        <f t="shared" si="59"/>
        <v>246.7295056144302</v>
      </c>
    </row>
    <row r="124" spans="1:12" x14ac:dyDescent="0.2">
      <c r="A124" s="33">
        <f t="shared" si="61"/>
        <v>115</v>
      </c>
      <c r="B124" s="33"/>
      <c r="C124" s="51" t="str">
        <f t="shared" si="60"/>
        <v>54E</v>
      </c>
      <c r="D124" s="39" t="s">
        <v>36</v>
      </c>
      <c r="E124" s="58" t="s">
        <v>41</v>
      </c>
      <c r="F124" s="167">
        <v>0.03</v>
      </c>
      <c r="G124" s="54">
        <f t="shared" si="55"/>
        <v>2.6395808311256076E-2</v>
      </c>
      <c r="H124" s="54">
        <f t="shared" si="56"/>
        <v>-7.0399202109634419E-3</v>
      </c>
      <c r="I124" s="55">
        <v>5352</v>
      </c>
      <c r="J124" s="56">
        <f t="shared" si="57"/>
        <v>141.27036608184252</v>
      </c>
      <c r="K124" s="56">
        <f t="shared" si="58"/>
        <v>-37.677652969076341</v>
      </c>
      <c r="L124" s="56">
        <f t="shared" si="59"/>
        <v>103.59271311276618</v>
      </c>
    </row>
    <row r="125" spans="1:12" x14ac:dyDescent="0.2">
      <c r="A125" s="33">
        <f t="shared" si="61"/>
        <v>116</v>
      </c>
      <c r="B125" s="33"/>
      <c r="C125" s="51" t="str">
        <f t="shared" si="60"/>
        <v>54E</v>
      </c>
      <c r="D125" s="39" t="s">
        <v>36</v>
      </c>
      <c r="E125" s="58" t="s">
        <v>42</v>
      </c>
      <c r="F125" s="167">
        <v>0.04</v>
      </c>
      <c r="G125" s="54">
        <f t="shared" si="55"/>
        <v>3.5194411081674766E-2</v>
      </c>
      <c r="H125" s="54">
        <f t="shared" si="56"/>
        <v>-9.3865602812845898E-3</v>
      </c>
      <c r="I125" s="55">
        <v>1866</v>
      </c>
      <c r="J125" s="56">
        <f t="shared" si="57"/>
        <v>65.67277107840512</v>
      </c>
      <c r="K125" s="56">
        <f t="shared" si="58"/>
        <v>-17.515321484877045</v>
      </c>
      <c r="L125" s="56">
        <f t="shared" si="59"/>
        <v>48.157449593528071</v>
      </c>
    </row>
    <row r="126" spans="1:12" x14ac:dyDescent="0.2">
      <c r="A126" s="33">
        <f t="shared" si="61"/>
        <v>117</v>
      </c>
      <c r="B126" s="33"/>
      <c r="C126" s="51" t="str">
        <f t="shared" si="60"/>
        <v>54E</v>
      </c>
      <c r="D126" s="39" t="s">
        <v>36</v>
      </c>
      <c r="E126" s="58" t="s">
        <v>43</v>
      </c>
      <c r="F126" s="167">
        <v>0.04</v>
      </c>
      <c r="G126" s="54">
        <f t="shared" si="55"/>
        <v>3.5194411081674766E-2</v>
      </c>
      <c r="H126" s="54">
        <f t="shared" si="56"/>
        <v>-9.3865602812845898E-3</v>
      </c>
      <c r="I126" s="55">
        <v>468</v>
      </c>
      <c r="J126" s="56">
        <f t="shared" si="57"/>
        <v>16.47098438622379</v>
      </c>
      <c r="K126" s="56">
        <f t="shared" si="58"/>
        <v>-4.3929102116411878</v>
      </c>
      <c r="L126" s="56">
        <f t="shared" si="59"/>
        <v>12.078074174582603</v>
      </c>
    </row>
    <row r="127" spans="1:12" x14ac:dyDescent="0.2">
      <c r="A127" s="33">
        <f t="shared" si="61"/>
        <v>118</v>
      </c>
      <c r="B127" s="33"/>
      <c r="C127" s="51" t="str">
        <f t="shared" si="60"/>
        <v>54E</v>
      </c>
      <c r="D127" s="39" t="s">
        <v>36</v>
      </c>
      <c r="E127" s="58" t="s">
        <v>44</v>
      </c>
      <c r="F127" s="167">
        <v>0.05</v>
      </c>
      <c r="G127" s="54">
        <f t="shared" si="55"/>
        <v>4.3993013852093463E-2</v>
      </c>
      <c r="H127" s="54">
        <f t="shared" si="56"/>
        <v>-1.1733200351605737E-2</v>
      </c>
      <c r="I127" s="55">
        <v>47</v>
      </c>
      <c r="J127" s="56">
        <f t="shared" si="57"/>
        <v>2.0676716510483928</v>
      </c>
      <c r="K127" s="56">
        <f t="shared" si="58"/>
        <v>-0.55146041652546962</v>
      </c>
      <c r="L127" s="56">
        <f t="shared" si="59"/>
        <v>1.5162112345229231</v>
      </c>
    </row>
    <row r="128" spans="1:12" x14ac:dyDescent="0.2">
      <c r="A128" s="33">
        <f t="shared" si="61"/>
        <v>119</v>
      </c>
      <c r="B128" s="33"/>
      <c r="C128" s="51" t="str">
        <f t="shared" si="60"/>
        <v>54E</v>
      </c>
      <c r="D128" s="39" t="s">
        <v>36</v>
      </c>
      <c r="E128" s="58" t="s">
        <v>45</v>
      </c>
      <c r="F128" s="167">
        <v>0.05</v>
      </c>
      <c r="G128" s="54">
        <f t="shared" si="55"/>
        <v>4.3993013852093463E-2</v>
      </c>
      <c r="H128" s="54">
        <f t="shared" si="56"/>
        <v>-1.1733200351605737E-2</v>
      </c>
      <c r="I128" s="55">
        <v>0</v>
      </c>
      <c r="J128" s="56">
        <f t="shared" si="57"/>
        <v>0</v>
      </c>
      <c r="K128" s="56">
        <f t="shared" si="58"/>
        <v>0</v>
      </c>
      <c r="L128" s="56">
        <f t="shared" si="59"/>
        <v>0</v>
      </c>
    </row>
    <row r="129" spans="1:12" x14ac:dyDescent="0.2">
      <c r="A129" s="33">
        <f t="shared" si="61"/>
        <v>120</v>
      </c>
      <c r="B129" s="4" t="s">
        <v>54</v>
      </c>
      <c r="D129" s="39"/>
      <c r="E129" s="39"/>
      <c r="F129" s="170"/>
      <c r="G129" s="2"/>
      <c r="H129" s="2"/>
      <c r="I129" s="3"/>
      <c r="J129" s="3"/>
      <c r="K129" s="3"/>
      <c r="L129" s="32"/>
    </row>
    <row r="130" spans="1:12" x14ac:dyDescent="0.2">
      <c r="A130" s="33">
        <f t="shared" si="61"/>
        <v>121</v>
      </c>
      <c r="B130" s="33"/>
      <c r="C130" s="51" t="s">
        <v>55</v>
      </c>
      <c r="D130" s="39" t="s">
        <v>26</v>
      </c>
      <c r="E130" s="39">
        <v>70</v>
      </c>
      <c r="F130" s="167">
        <v>0.56999999999999995</v>
      </c>
      <c r="G130" s="54">
        <f t="shared" ref="G130:G135" si="62">F130*$J$201</f>
        <v>0.5015203579138654</v>
      </c>
      <c r="H130" s="54">
        <f t="shared" ref="H130:H135" si="63">F130*$K$201</f>
        <v>-0.13375848400830539</v>
      </c>
      <c r="I130" s="55">
        <v>163</v>
      </c>
      <c r="J130" s="56">
        <f t="shared" ref="J130:J135" si="64">I130*G130</f>
        <v>81.747818339960062</v>
      </c>
      <c r="K130" s="56">
        <f t="shared" ref="K130:K135" si="65">I130*H130</f>
        <v>-21.802632893353778</v>
      </c>
      <c r="L130" s="56">
        <f t="shared" ref="L130:L135" si="66">SUM(J130:K130)</f>
        <v>59.945185446606288</v>
      </c>
    </row>
    <row r="131" spans="1:12" x14ac:dyDescent="0.2">
      <c r="A131" s="33">
        <f t="shared" si="61"/>
        <v>122</v>
      </c>
      <c r="B131" s="33"/>
      <c r="C131" s="64" t="str">
        <f>+C130</f>
        <v>55E &amp; 56E</v>
      </c>
      <c r="D131" s="39" t="s">
        <v>26</v>
      </c>
      <c r="E131" s="39">
        <v>100</v>
      </c>
      <c r="F131" s="167">
        <v>0.55000000000000004</v>
      </c>
      <c r="G131" s="54">
        <f t="shared" si="62"/>
        <v>0.48392315237302808</v>
      </c>
      <c r="H131" s="54">
        <f t="shared" si="63"/>
        <v>-0.12906520386766313</v>
      </c>
      <c r="I131" s="55">
        <v>40180</v>
      </c>
      <c r="J131" s="56">
        <f t="shared" si="64"/>
        <v>19444.032262348268</v>
      </c>
      <c r="K131" s="56">
        <f t="shared" si="65"/>
        <v>-5185.8398914027048</v>
      </c>
      <c r="L131" s="56">
        <f t="shared" si="66"/>
        <v>14258.192370945562</v>
      </c>
    </row>
    <row r="132" spans="1:12" x14ac:dyDescent="0.2">
      <c r="A132" s="33">
        <f t="shared" si="61"/>
        <v>123</v>
      </c>
      <c r="B132" s="33"/>
      <c r="C132" s="64" t="str">
        <f>+C131</f>
        <v>55E &amp; 56E</v>
      </c>
      <c r="D132" s="39" t="s">
        <v>26</v>
      </c>
      <c r="E132" s="39">
        <v>150</v>
      </c>
      <c r="F132" s="167">
        <v>0.56000000000000005</v>
      </c>
      <c r="G132" s="54">
        <f t="shared" si="62"/>
        <v>0.49272175514344679</v>
      </c>
      <c r="H132" s="54">
        <f t="shared" si="63"/>
        <v>-0.13141184393798427</v>
      </c>
      <c r="I132" s="55">
        <v>5432</v>
      </c>
      <c r="J132" s="56">
        <f t="shared" si="64"/>
        <v>2676.4645739392031</v>
      </c>
      <c r="K132" s="56">
        <f t="shared" si="65"/>
        <v>-713.82913627113055</v>
      </c>
      <c r="L132" s="56">
        <f t="shared" si="66"/>
        <v>1962.6354376680724</v>
      </c>
    </row>
    <row r="133" spans="1:12" x14ac:dyDescent="0.2">
      <c r="A133" s="33">
        <f t="shared" si="61"/>
        <v>124</v>
      </c>
      <c r="B133" s="33"/>
      <c r="C133" s="64" t="str">
        <f>+C132</f>
        <v>55E &amp; 56E</v>
      </c>
      <c r="D133" s="39" t="s">
        <v>26</v>
      </c>
      <c r="E133" s="39">
        <v>200</v>
      </c>
      <c r="F133" s="167">
        <v>0.6</v>
      </c>
      <c r="G133" s="54">
        <f t="shared" si="62"/>
        <v>0.5279161662251215</v>
      </c>
      <c r="H133" s="54">
        <f t="shared" si="63"/>
        <v>-0.14079840421926884</v>
      </c>
      <c r="I133" s="55">
        <v>11220</v>
      </c>
      <c r="J133" s="56">
        <f t="shared" si="64"/>
        <v>5923.2193850458634</v>
      </c>
      <c r="K133" s="56">
        <f t="shared" si="65"/>
        <v>-1579.7580953401964</v>
      </c>
      <c r="L133" s="56">
        <f t="shared" si="66"/>
        <v>4343.4612897056668</v>
      </c>
    </row>
    <row r="134" spans="1:12" x14ac:dyDescent="0.2">
      <c r="A134" s="33">
        <f t="shared" si="61"/>
        <v>125</v>
      </c>
      <c r="B134" s="33"/>
      <c r="C134" s="64" t="str">
        <f>+C133</f>
        <v>55E &amp; 56E</v>
      </c>
      <c r="D134" s="39" t="s">
        <v>26</v>
      </c>
      <c r="E134" s="39">
        <v>250</v>
      </c>
      <c r="F134" s="167">
        <v>0.62</v>
      </c>
      <c r="G134" s="54">
        <f t="shared" si="62"/>
        <v>0.54551337176595893</v>
      </c>
      <c r="H134" s="54">
        <f t="shared" si="63"/>
        <v>-0.14549168435991114</v>
      </c>
      <c r="I134" s="55">
        <v>1183</v>
      </c>
      <c r="J134" s="56">
        <f t="shared" si="64"/>
        <v>645.34231879912943</v>
      </c>
      <c r="K134" s="56">
        <f t="shared" si="65"/>
        <v>-172.11666259777488</v>
      </c>
      <c r="L134" s="56">
        <f t="shared" si="66"/>
        <v>473.22565620135458</v>
      </c>
    </row>
    <row r="135" spans="1:12" x14ac:dyDescent="0.2">
      <c r="A135" s="33">
        <f t="shared" si="61"/>
        <v>126</v>
      </c>
      <c r="B135" s="33"/>
      <c r="C135" s="64" t="str">
        <f>+C134</f>
        <v>55E &amp; 56E</v>
      </c>
      <c r="D135" s="39" t="s">
        <v>26</v>
      </c>
      <c r="E135" s="39">
        <v>400</v>
      </c>
      <c r="F135" s="167">
        <v>0.71</v>
      </c>
      <c r="G135" s="54">
        <f t="shared" si="62"/>
        <v>0.62470079669972711</v>
      </c>
      <c r="H135" s="54">
        <f t="shared" si="63"/>
        <v>-0.16661144499280145</v>
      </c>
      <c r="I135" s="55">
        <v>414</v>
      </c>
      <c r="J135" s="56">
        <f t="shared" si="64"/>
        <v>258.626129833687</v>
      </c>
      <c r="K135" s="56">
        <f t="shared" si="65"/>
        <v>-68.977138227019793</v>
      </c>
      <c r="L135" s="56">
        <f t="shared" si="66"/>
        <v>189.64899160666721</v>
      </c>
    </row>
    <row r="136" spans="1:12" x14ac:dyDescent="0.2">
      <c r="A136" s="33">
        <f t="shared" si="61"/>
        <v>127</v>
      </c>
      <c r="B136" s="33"/>
      <c r="C136" s="64"/>
      <c r="D136" s="39"/>
      <c r="E136" s="39"/>
      <c r="F136" s="170"/>
      <c r="G136" s="2"/>
      <c r="H136" s="2"/>
      <c r="I136" s="3"/>
      <c r="J136" s="3"/>
      <c r="K136" s="3"/>
      <c r="L136" s="32"/>
    </row>
    <row r="137" spans="1:12" x14ac:dyDescent="0.2">
      <c r="A137" s="33">
        <f t="shared" si="61"/>
        <v>128</v>
      </c>
      <c r="B137" s="33"/>
      <c r="C137" s="64" t="str">
        <f>+C135</f>
        <v>55E &amp; 56E</v>
      </c>
      <c r="D137" s="39" t="s">
        <v>48</v>
      </c>
      <c r="E137" s="39">
        <v>250</v>
      </c>
      <c r="F137" s="167">
        <v>0.61</v>
      </c>
      <c r="G137" s="54">
        <f>F137*$J$201</f>
        <v>0.53671476899554016</v>
      </c>
      <c r="H137" s="54">
        <f>F137*$K$201</f>
        <v>-0.14314504428958999</v>
      </c>
      <c r="I137" s="55">
        <v>80</v>
      </c>
      <c r="J137" s="56">
        <f>I137*G137</f>
        <v>42.937181519643211</v>
      </c>
      <c r="K137" s="56">
        <f>I137*H137</f>
        <v>-11.451603543167199</v>
      </c>
      <c r="L137" s="56">
        <f>SUM(J137:K137)</f>
        <v>31.485577976476012</v>
      </c>
    </row>
    <row r="138" spans="1:12" x14ac:dyDescent="0.2">
      <c r="A138" s="33">
        <f t="shared" si="61"/>
        <v>129</v>
      </c>
      <c r="B138" s="33"/>
      <c r="C138" s="64"/>
      <c r="D138" s="39"/>
      <c r="E138" s="39"/>
      <c r="F138" s="170"/>
      <c r="G138" s="2"/>
      <c r="H138" s="2"/>
      <c r="I138" s="3"/>
      <c r="J138" s="3"/>
      <c r="K138" s="3"/>
      <c r="L138" s="32"/>
    </row>
    <row r="139" spans="1:12" x14ac:dyDescent="0.2">
      <c r="A139" s="33">
        <f t="shared" si="61"/>
        <v>130</v>
      </c>
      <c r="B139" s="33"/>
      <c r="C139" s="64" t="s">
        <v>55</v>
      </c>
      <c r="D139" s="39" t="s">
        <v>36</v>
      </c>
      <c r="E139" s="61" t="s">
        <v>101</v>
      </c>
      <c r="F139" s="167">
        <v>0.43</v>
      </c>
      <c r="G139" s="54">
        <f t="shared" ref="G139:G148" si="67">F139*$J$201</f>
        <v>0.37833991912800374</v>
      </c>
      <c r="H139" s="54">
        <f t="shared" ref="H139:H148" si="68">F139*$K$201</f>
        <v>-0.10090552302380934</v>
      </c>
      <c r="I139" s="55">
        <v>41</v>
      </c>
      <c r="J139" s="56">
        <f t="shared" ref="J139:J148" si="69">I139*G139</f>
        <v>15.511936684248154</v>
      </c>
      <c r="K139" s="56">
        <f t="shared" ref="K139:K148" si="70">I139*H139</f>
        <v>-4.1371264439761832</v>
      </c>
      <c r="L139" s="56">
        <f t="shared" ref="L139:L148" si="71">SUM(J139:K139)</f>
        <v>11.37481024027197</v>
      </c>
    </row>
    <row r="140" spans="1:12" x14ac:dyDescent="0.2">
      <c r="A140" s="33">
        <f t="shared" si="61"/>
        <v>131</v>
      </c>
      <c r="B140" s="33"/>
      <c r="C140" s="64" t="s">
        <v>55</v>
      </c>
      <c r="D140" s="39" t="s">
        <v>36</v>
      </c>
      <c r="E140" s="61" t="s">
        <v>37</v>
      </c>
      <c r="F140" s="167">
        <v>0.5</v>
      </c>
      <c r="G140" s="54">
        <f t="shared" si="67"/>
        <v>0.4399301385209346</v>
      </c>
      <c r="H140" s="54">
        <f t="shared" si="68"/>
        <v>-0.11733200351605737</v>
      </c>
      <c r="I140" s="55">
        <v>9512</v>
      </c>
      <c r="J140" s="56">
        <f t="shared" si="69"/>
        <v>4184.6154776111298</v>
      </c>
      <c r="K140" s="56">
        <f t="shared" si="70"/>
        <v>-1116.0620174447376</v>
      </c>
      <c r="L140" s="56">
        <f t="shared" si="71"/>
        <v>3068.5534601663921</v>
      </c>
    </row>
    <row r="141" spans="1:12" x14ac:dyDescent="0.2">
      <c r="A141" s="33">
        <f t="shared" si="61"/>
        <v>132</v>
      </c>
      <c r="B141" s="33"/>
      <c r="C141" s="64" t="s">
        <v>55</v>
      </c>
      <c r="D141" s="39" t="s">
        <v>36</v>
      </c>
      <c r="E141" s="58" t="s">
        <v>38</v>
      </c>
      <c r="F141" s="167">
        <v>0.67</v>
      </c>
      <c r="G141" s="54">
        <f t="shared" si="67"/>
        <v>0.58950638561805235</v>
      </c>
      <c r="H141" s="54">
        <f t="shared" si="68"/>
        <v>-0.15722488471151688</v>
      </c>
      <c r="I141" s="55">
        <v>404</v>
      </c>
      <c r="J141" s="56">
        <f t="shared" si="69"/>
        <v>238.16057978969314</v>
      </c>
      <c r="K141" s="56">
        <f t="shared" si="70"/>
        <v>-63.518853423452818</v>
      </c>
      <c r="L141" s="56">
        <f t="shared" si="71"/>
        <v>174.64172636624033</v>
      </c>
    </row>
    <row r="142" spans="1:12" x14ac:dyDescent="0.2">
      <c r="A142" s="33">
        <f t="shared" si="61"/>
        <v>133</v>
      </c>
      <c r="B142" s="33"/>
      <c r="C142" s="64" t="s">
        <v>55</v>
      </c>
      <c r="D142" s="39" t="s">
        <v>36</v>
      </c>
      <c r="E142" s="58" t="s">
        <v>39</v>
      </c>
      <c r="F142" s="167">
        <v>0.69</v>
      </c>
      <c r="G142" s="54">
        <f t="shared" si="67"/>
        <v>0.60710359115888968</v>
      </c>
      <c r="H142" s="54">
        <f t="shared" si="68"/>
        <v>-0.16191816485215915</v>
      </c>
      <c r="I142" s="55">
        <v>2079</v>
      </c>
      <c r="J142" s="56">
        <f t="shared" si="69"/>
        <v>1262.1683660193316</v>
      </c>
      <c r="K142" s="56">
        <f t="shared" si="70"/>
        <v>-336.62786472763889</v>
      </c>
      <c r="L142" s="56">
        <f t="shared" si="71"/>
        <v>925.54050129169275</v>
      </c>
    </row>
    <row r="143" spans="1:12" x14ac:dyDescent="0.2">
      <c r="A143" s="33">
        <f t="shared" si="61"/>
        <v>134</v>
      </c>
      <c r="B143" s="33"/>
      <c r="C143" s="64" t="s">
        <v>55</v>
      </c>
      <c r="D143" s="39" t="s">
        <v>36</v>
      </c>
      <c r="E143" s="58" t="s">
        <v>40</v>
      </c>
      <c r="F143" s="167">
        <v>0.81</v>
      </c>
      <c r="G143" s="54">
        <f t="shared" si="67"/>
        <v>0.71268682440391407</v>
      </c>
      <c r="H143" s="54">
        <f t="shared" si="68"/>
        <v>-0.19007784569601294</v>
      </c>
      <c r="I143" s="55">
        <v>0</v>
      </c>
      <c r="J143" s="56">
        <f t="shared" si="69"/>
        <v>0</v>
      </c>
      <c r="K143" s="56">
        <f t="shared" si="70"/>
        <v>0</v>
      </c>
      <c r="L143" s="56">
        <f t="shared" si="71"/>
        <v>0</v>
      </c>
    </row>
    <row r="144" spans="1:12" x14ac:dyDescent="0.2">
      <c r="A144" s="33">
        <f t="shared" si="61"/>
        <v>135</v>
      </c>
      <c r="B144" s="33"/>
      <c r="C144" s="64" t="s">
        <v>55</v>
      </c>
      <c r="D144" s="39" t="s">
        <v>36</v>
      </c>
      <c r="E144" s="58" t="s">
        <v>41</v>
      </c>
      <c r="F144" s="167">
        <v>0.91</v>
      </c>
      <c r="G144" s="54">
        <f t="shared" si="67"/>
        <v>0.80067285210810102</v>
      </c>
      <c r="H144" s="54">
        <f t="shared" si="68"/>
        <v>-0.21354424639922442</v>
      </c>
      <c r="I144" s="55">
        <v>0</v>
      </c>
      <c r="J144" s="56">
        <f t="shared" si="69"/>
        <v>0</v>
      </c>
      <c r="K144" s="56">
        <f t="shared" si="70"/>
        <v>0</v>
      </c>
      <c r="L144" s="56">
        <f t="shared" si="71"/>
        <v>0</v>
      </c>
    </row>
    <row r="145" spans="1:12" x14ac:dyDescent="0.2">
      <c r="A145" s="33">
        <f t="shared" si="61"/>
        <v>136</v>
      </c>
      <c r="B145" s="33"/>
      <c r="C145" s="64" t="s">
        <v>55</v>
      </c>
      <c r="D145" s="39" t="s">
        <v>36</v>
      </c>
      <c r="E145" s="58" t="s">
        <v>42</v>
      </c>
      <c r="F145" s="167">
        <v>1.01</v>
      </c>
      <c r="G145" s="54">
        <f t="shared" si="67"/>
        <v>0.88865887981228786</v>
      </c>
      <c r="H145" s="54">
        <f t="shared" si="68"/>
        <v>-0.23701064710243588</v>
      </c>
      <c r="I145" s="55">
        <v>0</v>
      </c>
      <c r="J145" s="56">
        <f t="shared" si="69"/>
        <v>0</v>
      </c>
      <c r="K145" s="56">
        <f t="shared" si="70"/>
        <v>0</v>
      </c>
      <c r="L145" s="56">
        <f t="shared" si="71"/>
        <v>0</v>
      </c>
    </row>
    <row r="146" spans="1:12" x14ac:dyDescent="0.2">
      <c r="A146" s="33">
        <f t="shared" si="61"/>
        <v>137</v>
      </c>
      <c r="B146" s="33"/>
      <c r="C146" s="64" t="s">
        <v>55</v>
      </c>
      <c r="D146" s="39" t="s">
        <v>36</v>
      </c>
      <c r="E146" s="58" t="s">
        <v>43</v>
      </c>
      <c r="F146" s="167">
        <v>1.1000000000000001</v>
      </c>
      <c r="G146" s="54">
        <f t="shared" si="67"/>
        <v>0.96784630474605615</v>
      </c>
      <c r="H146" s="54">
        <f t="shared" si="68"/>
        <v>-0.25813040773532625</v>
      </c>
      <c r="I146" s="55">
        <v>0</v>
      </c>
      <c r="J146" s="56">
        <f t="shared" si="69"/>
        <v>0</v>
      </c>
      <c r="K146" s="56">
        <f t="shared" si="70"/>
        <v>0</v>
      </c>
      <c r="L146" s="56">
        <f t="shared" si="71"/>
        <v>0</v>
      </c>
    </row>
    <row r="147" spans="1:12" x14ac:dyDescent="0.2">
      <c r="A147" s="33">
        <f t="shared" si="61"/>
        <v>138</v>
      </c>
      <c r="B147" s="33"/>
      <c r="C147" s="64" t="s">
        <v>55</v>
      </c>
      <c r="D147" s="39" t="s">
        <v>36</v>
      </c>
      <c r="E147" s="58" t="s">
        <v>44</v>
      </c>
      <c r="F147" s="167">
        <v>1.2</v>
      </c>
      <c r="G147" s="54">
        <f t="shared" si="67"/>
        <v>1.055832332450243</v>
      </c>
      <c r="H147" s="54">
        <f t="shared" si="68"/>
        <v>-0.28159680843853768</v>
      </c>
      <c r="I147" s="55">
        <v>0</v>
      </c>
      <c r="J147" s="56">
        <f t="shared" si="69"/>
        <v>0</v>
      </c>
      <c r="K147" s="56">
        <f t="shared" si="70"/>
        <v>0</v>
      </c>
      <c r="L147" s="56">
        <f t="shared" si="71"/>
        <v>0</v>
      </c>
    </row>
    <row r="148" spans="1:12" x14ac:dyDescent="0.2">
      <c r="A148" s="33">
        <f t="shared" si="61"/>
        <v>139</v>
      </c>
      <c r="B148" s="33"/>
      <c r="C148" s="64" t="s">
        <v>55</v>
      </c>
      <c r="D148" s="39" t="s">
        <v>36</v>
      </c>
      <c r="E148" s="58" t="s">
        <v>45</v>
      </c>
      <c r="F148" s="167">
        <v>1.3</v>
      </c>
      <c r="G148" s="54">
        <f t="shared" si="67"/>
        <v>1.1438183601544301</v>
      </c>
      <c r="H148" s="54">
        <f t="shared" si="68"/>
        <v>-0.30506320914174917</v>
      </c>
      <c r="I148" s="55">
        <v>0</v>
      </c>
      <c r="J148" s="56">
        <f t="shared" si="69"/>
        <v>0</v>
      </c>
      <c r="K148" s="56">
        <f t="shared" si="70"/>
        <v>0</v>
      </c>
      <c r="L148" s="56">
        <f t="shared" si="71"/>
        <v>0</v>
      </c>
    </row>
    <row r="149" spans="1:12" x14ac:dyDescent="0.2">
      <c r="A149" s="33">
        <f t="shared" si="61"/>
        <v>140</v>
      </c>
      <c r="B149" s="4" t="s">
        <v>56</v>
      </c>
      <c r="D149" s="39"/>
      <c r="E149" s="39"/>
      <c r="F149" s="170"/>
      <c r="G149" s="2"/>
      <c r="H149" s="2"/>
      <c r="I149" s="3"/>
      <c r="J149" s="3"/>
      <c r="K149" s="3"/>
      <c r="L149" s="32"/>
    </row>
    <row r="150" spans="1:12" x14ac:dyDescent="0.2">
      <c r="A150" s="33">
        <f t="shared" si="61"/>
        <v>141</v>
      </c>
      <c r="B150" s="33"/>
      <c r="C150" s="51" t="s">
        <v>57</v>
      </c>
      <c r="D150" s="39" t="s">
        <v>26</v>
      </c>
      <c r="E150" s="39">
        <v>70</v>
      </c>
      <c r="F150" s="167">
        <v>0.56999999999999995</v>
      </c>
      <c r="G150" s="54">
        <f t="shared" ref="G150:G155" si="72">F150*$J$201</f>
        <v>0.5015203579138654</v>
      </c>
      <c r="H150" s="54">
        <f t="shared" ref="H150:H155" si="73">F150*$K$201</f>
        <v>-0.13375848400830539</v>
      </c>
      <c r="I150" s="55">
        <v>584</v>
      </c>
      <c r="J150" s="56">
        <f t="shared" ref="J150:J155" si="74">I150*G150</f>
        <v>292.88788902169739</v>
      </c>
      <c r="K150" s="56">
        <f t="shared" ref="K150:K155" si="75">I150*H150</f>
        <v>-78.114954660850344</v>
      </c>
      <c r="L150" s="56">
        <f t="shared" ref="L150:L155" si="76">SUM(J150:K150)</f>
        <v>214.77293436084705</v>
      </c>
    </row>
    <row r="151" spans="1:12" x14ac:dyDescent="0.2">
      <c r="A151" s="33">
        <f t="shared" si="61"/>
        <v>142</v>
      </c>
      <c r="B151" s="33"/>
      <c r="C151" s="64" t="str">
        <f>+C150</f>
        <v>58E &amp; 59E - Directional</v>
      </c>
      <c r="D151" s="39" t="s">
        <v>26</v>
      </c>
      <c r="E151" s="39">
        <v>100</v>
      </c>
      <c r="F151" s="167">
        <v>0.55000000000000004</v>
      </c>
      <c r="G151" s="54">
        <f t="shared" si="72"/>
        <v>0.48392315237302808</v>
      </c>
      <c r="H151" s="54">
        <f t="shared" si="73"/>
        <v>-0.12906520386766313</v>
      </c>
      <c r="I151" s="55">
        <v>119</v>
      </c>
      <c r="J151" s="56">
        <f t="shared" si="74"/>
        <v>57.58685513239034</v>
      </c>
      <c r="K151" s="56">
        <f t="shared" si="75"/>
        <v>-15.358759260251912</v>
      </c>
      <c r="L151" s="56">
        <f t="shared" si="76"/>
        <v>42.228095872138425</v>
      </c>
    </row>
    <row r="152" spans="1:12" x14ac:dyDescent="0.2">
      <c r="A152" s="33">
        <f t="shared" si="61"/>
        <v>143</v>
      </c>
      <c r="B152" s="33"/>
      <c r="C152" s="64" t="str">
        <f>+C151</f>
        <v>58E &amp; 59E - Directional</v>
      </c>
      <c r="D152" s="39" t="s">
        <v>26</v>
      </c>
      <c r="E152" s="39">
        <v>150</v>
      </c>
      <c r="F152" s="167">
        <v>0.56000000000000005</v>
      </c>
      <c r="G152" s="54">
        <f t="shared" si="72"/>
        <v>0.49272175514344679</v>
      </c>
      <c r="H152" s="54">
        <f t="shared" si="73"/>
        <v>-0.13141184393798427</v>
      </c>
      <c r="I152" s="55">
        <v>1635</v>
      </c>
      <c r="J152" s="56">
        <f t="shared" si="74"/>
        <v>805.60006965953551</v>
      </c>
      <c r="K152" s="56">
        <f t="shared" si="75"/>
        <v>-214.85836483860427</v>
      </c>
      <c r="L152" s="56">
        <f t="shared" si="76"/>
        <v>590.7417048209312</v>
      </c>
    </row>
    <row r="153" spans="1:12" x14ac:dyDescent="0.2">
      <c r="A153" s="33">
        <f t="shared" si="61"/>
        <v>144</v>
      </c>
      <c r="B153" s="33"/>
      <c r="C153" s="64" t="str">
        <f>+C152</f>
        <v>58E &amp; 59E - Directional</v>
      </c>
      <c r="D153" s="39" t="s">
        <v>26</v>
      </c>
      <c r="E153" s="39">
        <v>200</v>
      </c>
      <c r="F153" s="167">
        <v>0.6</v>
      </c>
      <c r="G153" s="54">
        <f t="shared" si="72"/>
        <v>0.5279161662251215</v>
      </c>
      <c r="H153" s="54">
        <f t="shared" si="73"/>
        <v>-0.14079840421926884</v>
      </c>
      <c r="I153" s="55">
        <v>2918</v>
      </c>
      <c r="J153" s="56">
        <f t="shared" si="74"/>
        <v>1540.4593730449046</v>
      </c>
      <c r="K153" s="56">
        <f t="shared" si="75"/>
        <v>-410.84974351182649</v>
      </c>
      <c r="L153" s="56">
        <f t="shared" si="76"/>
        <v>1129.6096295330781</v>
      </c>
    </row>
    <row r="154" spans="1:12" x14ac:dyDescent="0.2">
      <c r="A154" s="33">
        <f t="shared" si="61"/>
        <v>145</v>
      </c>
      <c r="B154" s="33"/>
      <c r="C154" s="64" t="str">
        <f>+C153</f>
        <v>58E &amp; 59E - Directional</v>
      </c>
      <c r="D154" s="39" t="s">
        <v>26</v>
      </c>
      <c r="E154" s="39">
        <v>250</v>
      </c>
      <c r="F154" s="167">
        <v>0.62</v>
      </c>
      <c r="G154" s="54">
        <f t="shared" si="72"/>
        <v>0.54551337176595893</v>
      </c>
      <c r="H154" s="54">
        <f t="shared" si="73"/>
        <v>-0.14549168435991114</v>
      </c>
      <c r="I154" s="55">
        <v>441</v>
      </c>
      <c r="J154" s="56">
        <f t="shared" si="74"/>
        <v>240.57139694878788</v>
      </c>
      <c r="K154" s="56">
        <f t="shared" si="75"/>
        <v>-64.161832802720809</v>
      </c>
      <c r="L154" s="56">
        <f t="shared" si="76"/>
        <v>176.40956414606705</v>
      </c>
    </row>
    <row r="155" spans="1:12" x14ac:dyDescent="0.2">
      <c r="A155" s="33">
        <f t="shared" si="61"/>
        <v>146</v>
      </c>
      <c r="B155" s="33"/>
      <c r="C155" s="64" t="str">
        <f>+C154</f>
        <v>58E &amp; 59E - Directional</v>
      </c>
      <c r="D155" s="39" t="s">
        <v>26</v>
      </c>
      <c r="E155" s="39">
        <v>400</v>
      </c>
      <c r="F155" s="167">
        <v>0.71</v>
      </c>
      <c r="G155" s="54">
        <f t="shared" si="72"/>
        <v>0.62470079669972711</v>
      </c>
      <c r="H155" s="54">
        <f t="shared" si="73"/>
        <v>-0.16661144499280145</v>
      </c>
      <c r="I155" s="55">
        <v>3843</v>
      </c>
      <c r="J155" s="56">
        <f t="shared" si="74"/>
        <v>2400.7251617170514</v>
      </c>
      <c r="K155" s="56">
        <f t="shared" si="75"/>
        <v>-640.28778310733594</v>
      </c>
      <c r="L155" s="56">
        <f t="shared" si="76"/>
        <v>1760.4373786097153</v>
      </c>
    </row>
    <row r="156" spans="1:12" x14ac:dyDescent="0.2">
      <c r="A156" s="33">
        <f t="shared" si="61"/>
        <v>147</v>
      </c>
      <c r="B156" s="33"/>
      <c r="C156" s="64"/>
      <c r="D156" s="39"/>
      <c r="E156" s="39"/>
      <c r="F156" s="170"/>
      <c r="G156" s="2"/>
      <c r="H156" s="2"/>
      <c r="I156" s="3"/>
      <c r="J156" s="3"/>
      <c r="K156" s="3"/>
      <c r="L156" s="32"/>
    </row>
    <row r="157" spans="1:12" x14ac:dyDescent="0.2">
      <c r="A157" s="33">
        <f t="shared" si="61"/>
        <v>148</v>
      </c>
      <c r="B157" s="33"/>
      <c r="C157" s="51" t="s">
        <v>58</v>
      </c>
      <c r="D157" s="39" t="s">
        <v>26</v>
      </c>
      <c r="E157" s="39">
        <v>100</v>
      </c>
      <c r="F157" s="167">
        <v>0.55000000000000004</v>
      </c>
      <c r="G157" s="54">
        <f>F157*$J$201</f>
        <v>0.48392315237302808</v>
      </c>
      <c r="H157" s="54">
        <f>F157*$K$201</f>
        <v>-0.12906520386766313</v>
      </c>
      <c r="I157" s="55">
        <v>0</v>
      </c>
      <c r="J157" s="56">
        <f>I157*G157</f>
        <v>0</v>
      </c>
      <c r="K157" s="56">
        <f>I157*H157</f>
        <v>0</v>
      </c>
      <c r="L157" s="56">
        <f>SUM(J157:K157)</f>
        <v>0</v>
      </c>
    </row>
    <row r="158" spans="1:12" x14ac:dyDescent="0.2">
      <c r="A158" s="33">
        <f t="shared" si="61"/>
        <v>149</v>
      </c>
      <c r="B158" s="33"/>
      <c r="C158" s="64" t="str">
        <f>C157</f>
        <v>58E &amp; 59E - Horizontal</v>
      </c>
      <c r="D158" s="39" t="s">
        <v>26</v>
      </c>
      <c r="E158" s="39">
        <v>150</v>
      </c>
      <c r="F158" s="167">
        <v>0.56000000000000005</v>
      </c>
      <c r="G158" s="54">
        <f>F158*$J$201</f>
        <v>0.49272175514344679</v>
      </c>
      <c r="H158" s="54">
        <f>F158*$K$201</f>
        <v>-0.13141184393798427</v>
      </c>
      <c r="I158" s="55">
        <v>163</v>
      </c>
      <c r="J158" s="56">
        <f>I158*G158</f>
        <v>80.31364608838183</v>
      </c>
      <c r="K158" s="56">
        <f>I158*H158</f>
        <v>-21.420130561891437</v>
      </c>
      <c r="L158" s="56">
        <f>SUM(J158:K158)</f>
        <v>58.89351552649039</v>
      </c>
    </row>
    <row r="159" spans="1:12" x14ac:dyDescent="0.2">
      <c r="A159" s="33">
        <f t="shared" si="61"/>
        <v>150</v>
      </c>
      <c r="B159" s="33"/>
      <c r="C159" s="64" t="str">
        <f>C158</f>
        <v>58E &amp; 59E - Horizontal</v>
      </c>
      <c r="D159" s="39" t="s">
        <v>26</v>
      </c>
      <c r="E159" s="39">
        <v>200</v>
      </c>
      <c r="F159" s="167">
        <v>0.6</v>
      </c>
      <c r="G159" s="54">
        <f>F159*$J$201</f>
        <v>0.5279161662251215</v>
      </c>
      <c r="H159" s="54">
        <f>F159*$K$201</f>
        <v>-0.14079840421926884</v>
      </c>
      <c r="I159" s="55">
        <v>82</v>
      </c>
      <c r="J159" s="56">
        <f>I159*G159</f>
        <v>43.289125630459964</v>
      </c>
      <c r="K159" s="56">
        <f>I159*H159</f>
        <v>-11.545469145980045</v>
      </c>
      <c r="L159" s="56">
        <f>SUM(J159:K159)</f>
        <v>31.743656484479921</v>
      </c>
    </row>
    <row r="160" spans="1:12" x14ac:dyDescent="0.2">
      <c r="A160" s="33">
        <f t="shared" si="61"/>
        <v>151</v>
      </c>
      <c r="B160" s="33"/>
      <c r="C160" s="64" t="str">
        <f>C159</f>
        <v>58E &amp; 59E - Horizontal</v>
      </c>
      <c r="D160" s="39" t="s">
        <v>26</v>
      </c>
      <c r="E160" s="39">
        <v>250</v>
      </c>
      <c r="F160" s="167">
        <v>0.62</v>
      </c>
      <c r="G160" s="54">
        <f>F160*$J$201</f>
        <v>0.54551337176595893</v>
      </c>
      <c r="H160" s="54">
        <f>F160*$K$201</f>
        <v>-0.14549168435991114</v>
      </c>
      <c r="I160" s="55">
        <v>358</v>
      </c>
      <c r="J160" s="56">
        <f>I160*G160</f>
        <v>195.29378709221331</v>
      </c>
      <c r="K160" s="56">
        <f>I160*H160</f>
        <v>-52.086023000848186</v>
      </c>
      <c r="L160" s="56">
        <f>SUM(J160:K160)</f>
        <v>143.20776409136511</v>
      </c>
    </row>
    <row r="161" spans="1:12" x14ac:dyDescent="0.2">
      <c r="A161" s="33">
        <f t="shared" si="61"/>
        <v>152</v>
      </c>
      <c r="B161" s="33"/>
      <c r="C161" s="64" t="str">
        <f>C160</f>
        <v>58E &amp; 59E - Horizontal</v>
      </c>
      <c r="D161" s="39" t="s">
        <v>26</v>
      </c>
      <c r="E161" s="39">
        <v>400</v>
      </c>
      <c r="F161" s="167">
        <v>0.71</v>
      </c>
      <c r="G161" s="54">
        <f>F161*$J$201</f>
        <v>0.62470079669972711</v>
      </c>
      <c r="H161" s="54">
        <f>F161*$K$201</f>
        <v>-0.16661144499280145</v>
      </c>
      <c r="I161" s="55">
        <v>523</v>
      </c>
      <c r="J161" s="56">
        <f>I161*G161</f>
        <v>326.71851667395725</v>
      </c>
      <c r="K161" s="56">
        <f>I161*H161</f>
        <v>-87.137785731235155</v>
      </c>
      <c r="L161" s="56">
        <f>SUM(J161:K161)</f>
        <v>239.58073094272208</v>
      </c>
    </row>
    <row r="162" spans="1:12" x14ac:dyDescent="0.2">
      <c r="A162" s="33">
        <f t="shared" si="61"/>
        <v>153</v>
      </c>
      <c r="B162" s="33"/>
      <c r="C162" s="64"/>
      <c r="D162" s="39"/>
      <c r="E162" s="39"/>
      <c r="F162" s="170"/>
      <c r="G162" s="54"/>
      <c r="H162" s="54"/>
      <c r="I162" s="55"/>
      <c r="J162" s="3"/>
      <c r="K162" s="3"/>
      <c r="L162" s="32"/>
    </row>
    <row r="163" spans="1:12" x14ac:dyDescent="0.2">
      <c r="A163" s="33">
        <f t="shared" si="61"/>
        <v>154</v>
      </c>
      <c r="B163" s="33"/>
      <c r="C163" s="64" t="str">
        <f>C151</f>
        <v>58E &amp; 59E - Directional</v>
      </c>
      <c r="D163" s="39" t="s">
        <v>48</v>
      </c>
      <c r="E163" s="39">
        <v>175</v>
      </c>
      <c r="F163" s="167">
        <v>0.56000000000000005</v>
      </c>
      <c r="G163" s="54">
        <f>F163*$J$201</f>
        <v>0.49272175514344679</v>
      </c>
      <c r="H163" s="54">
        <f>F163*$K$201</f>
        <v>-0.13141184393798427</v>
      </c>
      <c r="I163" s="55">
        <v>36</v>
      </c>
      <c r="J163" s="56">
        <f>I163*G163</f>
        <v>17.737983185164083</v>
      </c>
      <c r="K163" s="56">
        <f>I163*H163</f>
        <v>-4.7308263817674341</v>
      </c>
      <c r="L163" s="56">
        <f>SUM(J163:K163)</f>
        <v>13.007156803396649</v>
      </c>
    </row>
    <row r="164" spans="1:12" x14ac:dyDescent="0.2">
      <c r="A164" s="33">
        <f t="shared" si="61"/>
        <v>155</v>
      </c>
      <c r="B164" s="33"/>
      <c r="C164" s="64" t="str">
        <f>C163</f>
        <v>58E &amp; 59E - Directional</v>
      </c>
      <c r="D164" s="39" t="s">
        <v>48</v>
      </c>
      <c r="E164" s="39">
        <v>250</v>
      </c>
      <c r="F164" s="167">
        <v>0.61</v>
      </c>
      <c r="G164" s="54">
        <f>F164*$J$201</f>
        <v>0.53671476899554016</v>
      </c>
      <c r="H164" s="54">
        <f>F164*$K$201</f>
        <v>-0.14314504428958999</v>
      </c>
      <c r="I164" s="55">
        <v>173</v>
      </c>
      <c r="J164" s="56">
        <f>I164*G164</f>
        <v>92.851655036228451</v>
      </c>
      <c r="K164" s="56">
        <f>I164*H164</f>
        <v>-24.764092662099067</v>
      </c>
      <c r="L164" s="56">
        <f>SUM(J164:K164)</f>
        <v>68.087562374129391</v>
      </c>
    </row>
    <row r="165" spans="1:12" x14ac:dyDescent="0.2">
      <c r="A165" s="33">
        <f t="shared" si="61"/>
        <v>156</v>
      </c>
      <c r="B165" s="33"/>
      <c r="C165" s="64" t="str">
        <f>C164</f>
        <v>58E &amp; 59E - Directional</v>
      </c>
      <c r="D165" s="39" t="s">
        <v>48</v>
      </c>
      <c r="E165" s="39">
        <v>400</v>
      </c>
      <c r="F165" s="167">
        <v>0.64</v>
      </c>
      <c r="G165" s="54">
        <f>F165*$J$201</f>
        <v>0.56311057730679626</v>
      </c>
      <c r="H165" s="54">
        <f>F165*$K$201</f>
        <v>-0.15018496450055344</v>
      </c>
      <c r="I165" s="55">
        <v>907</v>
      </c>
      <c r="J165" s="56">
        <f>I165*G165</f>
        <v>510.7412936172642</v>
      </c>
      <c r="K165" s="56">
        <f>I165*H165</f>
        <v>-136.21776280200197</v>
      </c>
      <c r="L165" s="56">
        <f>SUM(J165:K165)</f>
        <v>374.52353081526223</v>
      </c>
    </row>
    <row r="166" spans="1:12" x14ac:dyDescent="0.2">
      <c r="A166" s="33">
        <f t="shared" si="61"/>
        <v>157</v>
      </c>
      <c r="B166" s="33"/>
      <c r="C166" s="64" t="str">
        <f>C165</f>
        <v>58E &amp; 59E - Directional</v>
      </c>
      <c r="D166" s="39" t="s">
        <v>48</v>
      </c>
      <c r="E166" s="39">
        <v>1000</v>
      </c>
      <c r="F166" s="167">
        <v>0.96</v>
      </c>
      <c r="G166" s="54">
        <f>F166*$J$201</f>
        <v>0.84466586596019444</v>
      </c>
      <c r="H166" s="54">
        <f>F166*$K$201</f>
        <v>-0.22527744675083014</v>
      </c>
      <c r="I166" s="55">
        <v>1361</v>
      </c>
      <c r="J166" s="56">
        <f>I166*G166</f>
        <v>1149.5902435718247</v>
      </c>
      <c r="K166" s="56">
        <f>I166*H166</f>
        <v>-306.6026050278798</v>
      </c>
      <c r="L166" s="56">
        <f>SUM(J166:K166)</f>
        <v>842.98763854394485</v>
      </c>
    </row>
    <row r="167" spans="1:12" x14ac:dyDescent="0.2">
      <c r="A167" s="33">
        <f t="shared" si="61"/>
        <v>158</v>
      </c>
      <c r="B167" s="33"/>
      <c r="C167" s="64"/>
      <c r="D167" s="39"/>
      <c r="E167" s="39"/>
      <c r="F167" s="170"/>
      <c r="G167" s="2"/>
      <c r="H167" s="2"/>
      <c r="I167" s="3"/>
      <c r="J167" s="3"/>
      <c r="K167" s="3"/>
      <c r="L167" s="32"/>
    </row>
    <row r="168" spans="1:12" x14ac:dyDescent="0.2">
      <c r="A168" s="33">
        <f t="shared" si="61"/>
        <v>159</v>
      </c>
      <c r="B168" s="33"/>
      <c r="C168" s="64" t="str">
        <f>C157</f>
        <v>58E &amp; 59E - Horizontal</v>
      </c>
      <c r="D168" s="39" t="s">
        <v>48</v>
      </c>
      <c r="E168" s="39">
        <v>250</v>
      </c>
      <c r="F168" s="167">
        <v>0.61</v>
      </c>
      <c r="G168" s="54">
        <f>F168*$J$201</f>
        <v>0.53671476899554016</v>
      </c>
      <c r="H168" s="54">
        <f>F168*$K$201</f>
        <v>-0.14314504428958999</v>
      </c>
      <c r="I168" s="55">
        <v>43</v>
      </c>
      <c r="J168" s="56">
        <f>I168*G168</f>
        <v>23.078735066808228</v>
      </c>
      <c r="K168" s="56">
        <f>I168*H168</f>
        <v>-6.1552369044523694</v>
      </c>
      <c r="L168" s="56">
        <f>SUM(J168:K168)</f>
        <v>16.923498162355859</v>
      </c>
    </row>
    <row r="169" spans="1:12" x14ac:dyDescent="0.2">
      <c r="A169" s="33">
        <f t="shared" si="61"/>
        <v>160</v>
      </c>
      <c r="B169" s="33"/>
      <c r="C169" s="64" t="str">
        <f>C168</f>
        <v>58E &amp; 59E - Horizontal</v>
      </c>
      <c r="D169" s="39" t="s">
        <v>48</v>
      </c>
      <c r="E169" s="39">
        <v>400</v>
      </c>
      <c r="F169" s="167">
        <v>0.64</v>
      </c>
      <c r="G169" s="54">
        <f>F169*$J$201</f>
        <v>0.56311057730679626</v>
      </c>
      <c r="H169" s="54">
        <f>F169*$K$201</f>
        <v>-0.15018496450055344</v>
      </c>
      <c r="I169" s="55">
        <v>455</v>
      </c>
      <c r="J169" s="56">
        <f>I169*G169</f>
        <v>256.21531267459227</v>
      </c>
      <c r="K169" s="56">
        <f>I169*H169</f>
        <v>-68.334158847751809</v>
      </c>
      <c r="L169" s="56">
        <f>SUM(J169:K169)</f>
        <v>187.88115382684046</v>
      </c>
    </row>
    <row r="170" spans="1:12" x14ac:dyDescent="0.2">
      <c r="A170" s="33">
        <f t="shared" si="61"/>
        <v>161</v>
      </c>
      <c r="B170" s="33"/>
      <c r="C170" s="64"/>
      <c r="D170" s="39"/>
      <c r="E170" s="39"/>
      <c r="F170" s="170"/>
      <c r="G170" s="2"/>
      <c r="H170" s="2"/>
      <c r="I170" s="3"/>
      <c r="J170" s="3"/>
      <c r="K170" s="3"/>
      <c r="L170" s="32"/>
    </row>
    <row r="171" spans="1:12" x14ac:dyDescent="0.2">
      <c r="A171" s="33">
        <f t="shared" si="61"/>
        <v>162</v>
      </c>
      <c r="B171" s="33"/>
      <c r="C171" s="64" t="s">
        <v>59</v>
      </c>
      <c r="D171" s="39" t="s">
        <v>36</v>
      </c>
      <c r="E171" s="61" t="s">
        <v>101</v>
      </c>
      <c r="F171" s="167">
        <v>0.47</v>
      </c>
      <c r="G171" s="54">
        <f t="shared" ref="G171:G186" si="77">F171*$J$201</f>
        <v>0.4135343302096785</v>
      </c>
      <c r="H171" s="54">
        <f t="shared" ref="H171:H186" si="78">F171*$K$201</f>
        <v>-0.11029208330509392</v>
      </c>
      <c r="I171" s="3">
        <v>0</v>
      </c>
      <c r="J171" s="56">
        <f t="shared" ref="J171:J186" si="79">I171*G171</f>
        <v>0</v>
      </c>
      <c r="K171" s="56">
        <f t="shared" ref="K171:K186" si="80">I171*H171</f>
        <v>0</v>
      </c>
      <c r="L171" s="56">
        <f t="shared" ref="L171:L186" si="81">SUM(J171:K171)</f>
        <v>0</v>
      </c>
    </row>
    <row r="172" spans="1:12" x14ac:dyDescent="0.2">
      <c r="A172" s="33">
        <f t="shared" si="61"/>
        <v>163</v>
      </c>
      <c r="B172" s="33"/>
      <c r="C172" s="64" t="s">
        <v>59</v>
      </c>
      <c r="D172" s="39" t="s">
        <v>36</v>
      </c>
      <c r="E172" s="61" t="s">
        <v>37</v>
      </c>
      <c r="F172" s="167">
        <v>0.56999999999999995</v>
      </c>
      <c r="G172" s="54">
        <f t="shared" si="77"/>
        <v>0.5015203579138654</v>
      </c>
      <c r="H172" s="54">
        <f t="shared" si="78"/>
        <v>-0.13375848400830539</v>
      </c>
      <c r="I172" s="55">
        <v>81</v>
      </c>
      <c r="J172" s="56">
        <f t="shared" si="79"/>
        <v>40.623148991023101</v>
      </c>
      <c r="K172" s="56">
        <f t="shared" si="80"/>
        <v>-10.834437204672737</v>
      </c>
      <c r="L172" s="56">
        <f t="shared" si="81"/>
        <v>29.788711786350362</v>
      </c>
    </row>
    <row r="173" spans="1:12" x14ac:dyDescent="0.2">
      <c r="A173" s="33">
        <f t="shared" si="61"/>
        <v>164</v>
      </c>
      <c r="B173" s="33"/>
      <c r="C173" s="64" t="str">
        <f>C172</f>
        <v>58E &amp; 59E</v>
      </c>
      <c r="D173" s="39" t="s">
        <v>36</v>
      </c>
      <c r="E173" s="58" t="s">
        <v>38</v>
      </c>
      <c r="F173" s="167">
        <v>0.67</v>
      </c>
      <c r="G173" s="54">
        <f t="shared" si="77"/>
        <v>0.58950638561805235</v>
      </c>
      <c r="H173" s="54">
        <f t="shared" si="78"/>
        <v>-0.15722488471151688</v>
      </c>
      <c r="I173" s="55">
        <v>843</v>
      </c>
      <c r="J173" s="56">
        <f t="shared" si="79"/>
        <v>496.95388307601814</v>
      </c>
      <c r="K173" s="56">
        <f t="shared" si="80"/>
        <v>-132.54057781180873</v>
      </c>
      <c r="L173" s="56">
        <f t="shared" si="81"/>
        <v>364.41330526420938</v>
      </c>
    </row>
    <row r="174" spans="1:12" x14ac:dyDescent="0.2">
      <c r="A174" s="33">
        <f t="shared" si="61"/>
        <v>165</v>
      </c>
      <c r="B174" s="33"/>
      <c r="C174" s="64" t="str">
        <f t="shared" ref="C174:C186" si="82">C173</f>
        <v>58E &amp; 59E</v>
      </c>
      <c r="D174" s="39" t="s">
        <v>36</v>
      </c>
      <c r="E174" s="58" t="s">
        <v>39</v>
      </c>
      <c r="F174" s="167">
        <v>0.78</v>
      </c>
      <c r="G174" s="54">
        <f t="shared" si="77"/>
        <v>0.68629101609265797</v>
      </c>
      <c r="H174" s="54">
        <f t="shared" si="78"/>
        <v>-0.18303792548504949</v>
      </c>
      <c r="I174" s="55">
        <v>190</v>
      </c>
      <c r="J174" s="56">
        <f t="shared" si="79"/>
        <v>130.39529305760502</v>
      </c>
      <c r="K174" s="56">
        <f t="shared" si="80"/>
        <v>-34.777205842159404</v>
      </c>
      <c r="L174" s="56">
        <f t="shared" si="81"/>
        <v>95.618087215445613</v>
      </c>
    </row>
    <row r="175" spans="1:12" x14ac:dyDescent="0.2">
      <c r="A175" s="33">
        <f t="shared" si="61"/>
        <v>166</v>
      </c>
      <c r="B175" s="33"/>
      <c r="C175" s="64" t="str">
        <f t="shared" si="82"/>
        <v>58E &amp; 59E</v>
      </c>
      <c r="D175" s="39" t="s">
        <v>36</v>
      </c>
      <c r="E175" s="58" t="s">
        <v>40</v>
      </c>
      <c r="F175" s="167">
        <v>0.88</v>
      </c>
      <c r="G175" s="54">
        <f t="shared" si="77"/>
        <v>0.77427704379684492</v>
      </c>
      <c r="H175" s="54">
        <f t="shared" si="78"/>
        <v>-0.20650432618826098</v>
      </c>
      <c r="I175" s="55">
        <v>1792</v>
      </c>
      <c r="J175" s="56">
        <f t="shared" si="79"/>
        <v>1387.5044624839461</v>
      </c>
      <c r="K175" s="56">
        <f t="shared" si="80"/>
        <v>-370.05575252936364</v>
      </c>
      <c r="L175" s="56">
        <f t="shared" si="81"/>
        <v>1017.4487099545825</v>
      </c>
    </row>
    <row r="176" spans="1:12" x14ac:dyDescent="0.2">
      <c r="A176" s="33">
        <f t="shared" si="61"/>
        <v>167</v>
      </c>
      <c r="B176" s="33"/>
      <c r="C176" s="64" t="str">
        <f t="shared" si="82"/>
        <v>58E &amp; 59E</v>
      </c>
      <c r="D176" s="39" t="s">
        <v>36</v>
      </c>
      <c r="E176" s="58" t="s">
        <v>41</v>
      </c>
      <c r="F176" s="167">
        <v>0.98</v>
      </c>
      <c r="G176" s="54">
        <f t="shared" si="77"/>
        <v>0.86226307150103176</v>
      </c>
      <c r="H176" s="54">
        <f t="shared" si="78"/>
        <v>-0.22997072689147244</v>
      </c>
      <c r="I176" s="55">
        <v>405</v>
      </c>
      <c r="J176" s="56">
        <f t="shared" si="79"/>
        <v>349.21654395791785</v>
      </c>
      <c r="K176" s="56">
        <f t="shared" si="80"/>
        <v>-93.138144391046339</v>
      </c>
      <c r="L176" s="56">
        <f t="shared" si="81"/>
        <v>256.0783995668715</v>
      </c>
    </row>
    <row r="177" spans="1:12" x14ac:dyDescent="0.2">
      <c r="A177" s="33">
        <f t="shared" si="61"/>
        <v>168</v>
      </c>
      <c r="B177" s="33"/>
      <c r="C177" s="64" t="str">
        <f t="shared" si="82"/>
        <v>58E &amp; 59E</v>
      </c>
      <c r="D177" s="39" t="s">
        <v>36</v>
      </c>
      <c r="E177" s="58" t="s">
        <v>42</v>
      </c>
      <c r="F177" s="167">
        <v>1.08</v>
      </c>
      <c r="G177" s="54">
        <f t="shared" si="77"/>
        <v>0.95024909920521883</v>
      </c>
      <c r="H177" s="54">
        <f t="shared" si="78"/>
        <v>-0.25343712759468395</v>
      </c>
      <c r="I177" s="55">
        <v>0</v>
      </c>
      <c r="J177" s="56">
        <f t="shared" si="79"/>
        <v>0</v>
      </c>
      <c r="K177" s="56">
        <f t="shared" si="80"/>
        <v>0</v>
      </c>
      <c r="L177" s="56">
        <f t="shared" si="81"/>
        <v>0</v>
      </c>
    </row>
    <row r="178" spans="1:12" x14ac:dyDescent="0.2">
      <c r="A178" s="33">
        <f t="shared" si="61"/>
        <v>169</v>
      </c>
      <c r="B178" s="33"/>
      <c r="C178" s="64" t="str">
        <f t="shared" si="82"/>
        <v>58E &amp; 59E</v>
      </c>
      <c r="D178" s="39" t="s">
        <v>36</v>
      </c>
      <c r="E178" s="58" t="s">
        <v>43</v>
      </c>
      <c r="F178" s="167">
        <v>1.18</v>
      </c>
      <c r="G178" s="54">
        <f t="shared" si="77"/>
        <v>1.0382351269094057</v>
      </c>
      <c r="H178" s="54">
        <f t="shared" si="78"/>
        <v>-0.27690352829789538</v>
      </c>
      <c r="I178" s="55">
        <v>170</v>
      </c>
      <c r="J178" s="56">
        <f t="shared" si="79"/>
        <v>176.49997157459896</v>
      </c>
      <c r="K178" s="56">
        <f t="shared" si="80"/>
        <v>-47.073599810642214</v>
      </c>
      <c r="L178" s="56">
        <f t="shared" si="81"/>
        <v>129.42637176395675</v>
      </c>
    </row>
    <row r="179" spans="1:12" x14ac:dyDescent="0.2">
      <c r="A179" s="33">
        <f t="shared" si="61"/>
        <v>170</v>
      </c>
      <c r="B179" s="33"/>
      <c r="C179" s="64" t="str">
        <f t="shared" si="82"/>
        <v>58E &amp; 59E</v>
      </c>
      <c r="D179" s="39" t="s">
        <v>36</v>
      </c>
      <c r="E179" s="58" t="s">
        <v>44</v>
      </c>
      <c r="F179" s="167">
        <v>1.28</v>
      </c>
      <c r="G179" s="54">
        <f t="shared" si="77"/>
        <v>1.1262211546135925</v>
      </c>
      <c r="H179" s="54">
        <f t="shared" si="78"/>
        <v>-0.30036992900110687</v>
      </c>
      <c r="I179" s="55">
        <v>253</v>
      </c>
      <c r="J179" s="56">
        <f t="shared" si="79"/>
        <v>284.9339521172389</v>
      </c>
      <c r="K179" s="56">
        <f t="shared" si="80"/>
        <v>-75.993592037280038</v>
      </c>
      <c r="L179" s="56">
        <f t="shared" si="81"/>
        <v>208.94036007995885</v>
      </c>
    </row>
    <row r="180" spans="1:12" x14ac:dyDescent="0.2">
      <c r="A180" s="33">
        <f t="shared" si="61"/>
        <v>171</v>
      </c>
      <c r="B180" s="33"/>
      <c r="C180" s="64" t="str">
        <f t="shared" si="82"/>
        <v>58E &amp; 59E</v>
      </c>
      <c r="D180" s="39" t="s">
        <v>36</v>
      </c>
      <c r="E180" s="58" t="s">
        <v>45</v>
      </c>
      <c r="F180" s="167">
        <v>1.38</v>
      </c>
      <c r="G180" s="54">
        <f t="shared" si="77"/>
        <v>1.2142071823177794</v>
      </c>
      <c r="H180" s="54">
        <f t="shared" si="78"/>
        <v>-0.3238363297043183</v>
      </c>
      <c r="I180" s="55">
        <v>0</v>
      </c>
      <c r="J180" s="56">
        <f t="shared" si="79"/>
        <v>0</v>
      </c>
      <c r="K180" s="56">
        <f t="shared" si="80"/>
        <v>0</v>
      </c>
      <c r="L180" s="56">
        <f t="shared" si="81"/>
        <v>0</v>
      </c>
    </row>
    <row r="181" spans="1:12" x14ac:dyDescent="0.2">
      <c r="A181" s="33">
        <f t="shared" si="61"/>
        <v>172</v>
      </c>
      <c r="B181" s="33"/>
      <c r="C181" s="64" t="str">
        <f t="shared" si="82"/>
        <v>58E &amp; 59E</v>
      </c>
      <c r="D181" s="39" t="s">
        <v>36</v>
      </c>
      <c r="E181" s="58" t="s">
        <v>60</v>
      </c>
      <c r="F181" s="167">
        <v>1.6</v>
      </c>
      <c r="G181" s="54">
        <f t="shared" si="77"/>
        <v>1.4077764432669908</v>
      </c>
      <c r="H181" s="54">
        <f t="shared" si="78"/>
        <v>-0.37546241125138358</v>
      </c>
      <c r="I181" s="55">
        <v>0</v>
      </c>
      <c r="J181" s="56">
        <f t="shared" si="79"/>
        <v>0</v>
      </c>
      <c r="K181" s="56">
        <f t="shared" si="80"/>
        <v>0</v>
      </c>
      <c r="L181" s="56">
        <f t="shared" si="81"/>
        <v>0</v>
      </c>
    </row>
    <row r="182" spans="1:12" x14ac:dyDescent="0.2">
      <c r="A182" s="33">
        <f t="shared" si="61"/>
        <v>173</v>
      </c>
      <c r="B182" s="33"/>
      <c r="C182" s="64" t="str">
        <f t="shared" si="82"/>
        <v>58E &amp; 59E</v>
      </c>
      <c r="D182" s="39" t="s">
        <v>36</v>
      </c>
      <c r="E182" s="58" t="s">
        <v>61</v>
      </c>
      <c r="F182" s="167">
        <v>1.93</v>
      </c>
      <c r="G182" s="54">
        <f t="shared" si="77"/>
        <v>1.6981303346908074</v>
      </c>
      <c r="H182" s="54">
        <f t="shared" si="78"/>
        <v>-0.45290153357198143</v>
      </c>
      <c r="I182" s="55">
        <v>0</v>
      </c>
      <c r="J182" s="56">
        <f t="shared" si="79"/>
        <v>0</v>
      </c>
      <c r="K182" s="56">
        <f t="shared" si="80"/>
        <v>0</v>
      </c>
      <c r="L182" s="56">
        <f t="shared" si="81"/>
        <v>0</v>
      </c>
    </row>
    <row r="183" spans="1:12" x14ac:dyDescent="0.2">
      <c r="A183" s="33">
        <f t="shared" si="61"/>
        <v>174</v>
      </c>
      <c r="B183" s="33"/>
      <c r="C183" s="64" t="str">
        <f t="shared" si="82"/>
        <v>58E &amp; 59E</v>
      </c>
      <c r="D183" s="39" t="s">
        <v>36</v>
      </c>
      <c r="E183" s="58" t="s">
        <v>62</v>
      </c>
      <c r="F183" s="167">
        <v>2.27</v>
      </c>
      <c r="G183" s="54">
        <f t="shared" si="77"/>
        <v>1.997282828885043</v>
      </c>
      <c r="H183" s="54">
        <f>F183*$K$201</f>
        <v>-0.53268729596290043</v>
      </c>
      <c r="I183" s="55">
        <v>0</v>
      </c>
      <c r="J183" s="56">
        <f>I183*G183</f>
        <v>0</v>
      </c>
      <c r="K183" s="56">
        <f t="shared" si="80"/>
        <v>0</v>
      </c>
      <c r="L183" s="56">
        <f t="shared" si="81"/>
        <v>0</v>
      </c>
    </row>
    <row r="184" spans="1:12" x14ac:dyDescent="0.2">
      <c r="A184" s="33">
        <f t="shared" si="61"/>
        <v>175</v>
      </c>
      <c r="B184" s="33"/>
      <c r="C184" s="64" t="str">
        <f t="shared" si="82"/>
        <v>58E &amp; 59E</v>
      </c>
      <c r="D184" s="39" t="s">
        <v>36</v>
      </c>
      <c r="E184" s="58" t="s">
        <v>63</v>
      </c>
      <c r="F184" s="167">
        <v>2.6</v>
      </c>
      <c r="G184" s="54">
        <f>F184*$J$201</f>
        <v>2.2876367203088601</v>
      </c>
      <c r="H184" s="54">
        <f>F184*$K$201</f>
        <v>-0.61012641828349834</v>
      </c>
      <c r="I184" s="55">
        <v>0</v>
      </c>
      <c r="J184" s="56">
        <f t="shared" si="79"/>
        <v>0</v>
      </c>
      <c r="K184" s="56">
        <f t="shared" si="80"/>
        <v>0</v>
      </c>
      <c r="L184" s="56">
        <f t="shared" si="81"/>
        <v>0</v>
      </c>
    </row>
    <row r="185" spans="1:12" x14ac:dyDescent="0.2">
      <c r="A185" s="33">
        <f t="shared" si="61"/>
        <v>176</v>
      </c>
      <c r="B185" s="33"/>
      <c r="C185" s="64" t="str">
        <f t="shared" si="82"/>
        <v>58E &amp; 59E</v>
      </c>
      <c r="D185" s="39" t="s">
        <v>36</v>
      </c>
      <c r="E185" s="58" t="s">
        <v>64</v>
      </c>
      <c r="F185" s="167">
        <v>2.94</v>
      </c>
      <c r="G185" s="54">
        <f t="shared" si="77"/>
        <v>2.5867892145030953</v>
      </c>
      <c r="H185" s="54">
        <f t="shared" si="78"/>
        <v>-0.68991218067441729</v>
      </c>
      <c r="I185" s="55">
        <v>0</v>
      </c>
      <c r="J185" s="56">
        <f t="shared" si="79"/>
        <v>0</v>
      </c>
      <c r="K185" s="56">
        <f t="shared" si="80"/>
        <v>0</v>
      </c>
      <c r="L185" s="56">
        <f t="shared" si="81"/>
        <v>0</v>
      </c>
    </row>
    <row r="186" spans="1:12" x14ac:dyDescent="0.2">
      <c r="A186" s="33">
        <f t="shared" ref="A186:A203" si="83">A185+1</f>
        <v>177</v>
      </c>
      <c r="B186" s="33"/>
      <c r="C186" s="64" t="str">
        <f t="shared" si="82"/>
        <v>58E &amp; 59E</v>
      </c>
      <c r="D186" s="39" t="s">
        <v>36</v>
      </c>
      <c r="E186" s="58" t="s">
        <v>65</v>
      </c>
      <c r="F186" s="167">
        <v>3.27</v>
      </c>
      <c r="G186" s="54">
        <f t="shared" si="77"/>
        <v>2.8771431059269124</v>
      </c>
      <c r="H186" s="54">
        <f t="shared" si="78"/>
        <v>-0.76735130299501519</v>
      </c>
      <c r="I186" s="55">
        <v>0</v>
      </c>
      <c r="J186" s="56">
        <f t="shared" si="79"/>
        <v>0</v>
      </c>
      <c r="K186" s="56">
        <f t="shared" si="80"/>
        <v>0</v>
      </c>
      <c r="L186" s="56">
        <f t="shared" si="81"/>
        <v>0</v>
      </c>
    </row>
    <row r="187" spans="1:12" x14ac:dyDescent="0.2">
      <c r="A187" s="33">
        <f t="shared" si="83"/>
        <v>178</v>
      </c>
      <c r="B187" s="4" t="s">
        <v>66</v>
      </c>
      <c r="D187" s="39"/>
      <c r="E187" s="39"/>
      <c r="F187" s="170"/>
      <c r="G187" s="2"/>
      <c r="H187" s="2"/>
      <c r="I187" s="3"/>
      <c r="J187" s="3"/>
      <c r="K187" s="3"/>
      <c r="L187" s="32"/>
    </row>
    <row r="188" spans="1:12" x14ac:dyDescent="0.2">
      <c r="A188" s="33">
        <f t="shared" si="83"/>
        <v>179</v>
      </c>
      <c r="B188" s="33"/>
      <c r="C188" s="64" t="s">
        <v>67</v>
      </c>
      <c r="D188" s="39" t="s">
        <v>68</v>
      </c>
      <c r="E188" s="39"/>
      <c r="F188" s="172">
        <v>2.0000000000000001E-4</v>
      </c>
      <c r="G188" s="65">
        <f>F188*$J$201</f>
        <v>1.7597205540837384E-4</v>
      </c>
      <c r="H188" s="65">
        <f>F188*$K$201</f>
        <v>-4.6932801406422951E-5</v>
      </c>
      <c r="I188" s="55">
        <v>5266504</v>
      </c>
      <c r="J188" s="56">
        <f>I188*G188</f>
        <v>926.75753369642246</v>
      </c>
      <c r="K188" s="56">
        <f>I188*H188</f>
        <v>-247.17178633813211</v>
      </c>
      <c r="L188" s="56">
        <f>SUM(J188:K188)</f>
        <v>679.58574735829029</v>
      </c>
    </row>
    <row r="189" spans="1:12" x14ac:dyDescent="0.2">
      <c r="A189" s="33">
        <f t="shared" si="83"/>
        <v>180</v>
      </c>
      <c r="B189" s="33"/>
      <c r="C189" s="4"/>
      <c r="D189" s="4"/>
      <c r="E189" s="4"/>
      <c r="F189" s="170"/>
      <c r="G189" s="2"/>
      <c r="H189" s="2"/>
      <c r="I189" s="3"/>
      <c r="J189" s="3"/>
      <c r="K189" s="3"/>
      <c r="L189" s="32"/>
    </row>
    <row r="190" spans="1:12" x14ac:dyDescent="0.2">
      <c r="A190" s="33">
        <f t="shared" si="83"/>
        <v>181</v>
      </c>
      <c r="B190" s="4" t="s">
        <v>69</v>
      </c>
      <c r="D190" s="39"/>
      <c r="E190" s="39"/>
      <c r="F190" s="170"/>
      <c r="G190" s="2"/>
      <c r="H190" s="2"/>
      <c r="I190" s="3"/>
      <c r="J190" s="3"/>
      <c r="K190" s="3"/>
      <c r="L190" s="32"/>
    </row>
    <row r="191" spans="1:12" x14ac:dyDescent="0.2">
      <c r="A191" s="33">
        <f t="shared" si="83"/>
        <v>182</v>
      </c>
      <c r="B191" s="33"/>
      <c r="C191" s="51" t="s">
        <v>70</v>
      </c>
      <c r="D191" s="39" t="s">
        <v>71</v>
      </c>
      <c r="E191" s="39">
        <v>0</v>
      </c>
      <c r="F191" s="167">
        <v>0.59</v>
      </c>
      <c r="G191" s="54">
        <f>F191*$J$201</f>
        <v>0.51911756345470284</v>
      </c>
      <c r="H191" s="54">
        <f>F191*$K$201</f>
        <v>-0.13845176414894769</v>
      </c>
      <c r="I191" s="55">
        <v>3895</v>
      </c>
      <c r="J191" s="56">
        <f>I191*G191</f>
        <v>2021.9629096560675</v>
      </c>
      <c r="K191" s="56">
        <f>I191*H191</f>
        <v>-539.26962136015129</v>
      </c>
      <c r="L191" s="56">
        <f>SUM(J191:K191)</f>
        <v>1482.6932882959163</v>
      </c>
    </row>
    <row r="192" spans="1:12" x14ac:dyDescent="0.2">
      <c r="A192" s="33">
        <f t="shared" si="83"/>
        <v>183</v>
      </c>
      <c r="B192" s="33"/>
      <c r="C192" s="51" t="s">
        <v>72</v>
      </c>
      <c r="D192" s="39" t="s">
        <v>71</v>
      </c>
      <c r="E192" s="39">
        <v>0</v>
      </c>
      <c r="F192" s="167">
        <v>1.18</v>
      </c>
      <c r="G192" s="54">
        <f>F192*$J$201</f>
        <v>1.0382351269094057</v>
      </c>
      <c r="H192" s="54">
        <f>F192*$K$201</f>
        <v>-0.27690352829789538</v>
      </c>
      <c r="I192" s="55">
        <v>6639</v>
      </c>
      <c r="J192" s="56">
        <f>I192*G192</f>
        <v>6892.8430075515444</v>
      </c>
      <c r="K192" s="56">
        <f>I192*H192</f>
        <v>-1838.3625243697275</v>
      </c>
      <c r="L192" s="56">
        <f>SUM(J192:K192)</f>
        <v>5054.4804831818165</v>
      </c>
    </row>
    <row r="193" spans="1:13" x14ac:dyDescent="0.2">
      <c r="A193" s="33">
        <f t="shared" si="83"/>
        <v>184</v>
      </c>
      <c r="B193" s="33"/>
      <c r="C193" s="51"/>
      <c r="D193" s="4"/>
      <c r="E193" s="4"/>
      <c r="F193" s="170"/>
      <c r="G193" s="2"/>
      <c r="H193" s="2"/>
      <c r="I193" s="3"/>
      <c r="J193" s="3"/>
      <c r="K193" s="3"/>
      <c r="L193" s="32"/>
    </row>
    <row r="194" spans="1:13" x14ac:dyDescent="0.2">
      <c r="A194" s="33">
        <f t="shared" si="83"/>
        <v>185</v>
      </c>
      <c r="B194" s="33"/>
      <c r="C194" s="51" t="s">
        <v>73</v>
      </c>
      <c r="D194" s="39" t="s">
        <v>71</v>
      </c>
      <c r="E194" s="39">
        <v>0</v>
      </c>
      <c r="F194" s="167">
        <v>1.18</v>
      </c>
      <c r="G194" s="54">
        <f>F194*$J$201</f>
        <v>1.0382351269094057</v>
      </c>
      <c r="H194" s="54">
        <f>F194*$K$201</f>
        <v>-0.27690352829789538</v>
      </c>
      <c r="I194" s="55">
        <v>1949</v>
      </c>
      <c r="J194" s="56">
        <f>I194*G194</f>
        <v>2023.5202623464318</v>
      </c>
      <c r="K194" s="56">
        <f>I194*H194</f>
        <v>-539.68497665259815</v>
      </c>
      <c r="L194" s="56">
        <f>SUM(J194:K194)</f>
        <v>1483.8352856938336</v>
      </c>
    </row>
    <row r="195" spans="1:13" x14ac:dyDescent="0.2">
      <c r="A195" s="33">
        <f t="shared" si="83"/>
        <v>186</v>
      </c>
      <c r="B195" s="33"/>
      <c r="C195" s="4"/>
      <c r="D195" s="4"/>
      <c r="E195" s="4"/>
      <c r="F195" s="288"/>
      <c r="G195" s="4"/>
      <c r="H195" s="4"/>
      <c r="I195" s="287">
        <v>0</v>
      </c>
      <c r="J195" s="32"/>
      <c r="K195" s="32"/>
      <c r="L195" s="32"/>
    </row>
    <row r="196" spans="1:13" x14ac:dyDescent="0.2">
      <c r="A196" s="33">
        <f t="shared" si="83"/>
        <v>187</v>
      </c>
      <c r="B196" s="33"/>
      <c r="D196" s="4"/>
      <c r="E196" s="4"/>
      <c r="L196" s="32"/>
    </row>
    <row r="197" spans="1:13" x14ac:dyDescent="0.2">
      <c r="A197" s="33">
        <f t="shared" si="83"/>
        <v>188</v>
      </c>
      <c r="B197" s="33"/>
      <c r="C197" s="4"/>
      <c r="D197" s="4"/>
      <c r="E197" s="4"/>
      <c r="F197" s="4"/>
      <c r="G197" s="4"/>
      <c r="H197" s="4"/>
      <c r="L197" s="32"/>
    </row>
    <row r="198" spans="1:13" x14ac:dyDescent="0.2">
      <c r="A198" s="33">
        <f t="shared" si="83"/>
        <v>189</v>
      </c>
      <c r="B198" s="33"/>
      <c r="C198" s="35"/>
      <c r="D198" s="4"/>
      <c r="E198" s="4"/>
      <c r="I198" s="290" t="s">
        <v>208</v>
      </c>
      <c r="J198" s="56">
        <f>SUM(J11:J194)</f>
        <v>459276.04685852979</v>
      </c>
      <c r="K198" s="56">
        <f>SUM(K11:K194)</f>
        <v>-122491.67316887896</v>
      </c>
      <c r="L198" s="56"/>
    </row>
    <row r="199" spans="1:13" ht="12" x14ac:dyDescent="0.35">
      <c r="A199" s="33">
        <f t="shared" si="83"/>
        <v>190</v>
      </c>
      <c r="B199" s="33"/>
      <c r="C199" s="34"/>
      <c r="D199" s="4"/>
      <c r="E199" s="4"/>
      <c r="I199" s="291" t="s">
        <v>209</v>
      </c>
      <c r="J199" s="286">
        <f>+'Rate Spread &amp; Design'!G28</f>
        <v>459276.04685853177</v>
      </c>
      <c r="K199" s="286">
        <f>+'Rate Spread &amp; Design'!H28</f>
        <v>-122491.67316887889</v>
      </c>
      <c r="L199" s="56"/>
    </row>
    <row r="200" spans="1:13" x14ac:dyDescent="0.2">
      <c r="A200" s="33">
        <f t="shared" si="83"/>
        <v>191</v>
      </c>
      <c r="B200" s="33"/>
      <c r="C200" s="4"/>
      <c r="D200" s="4"/>
      <c r="E200" s="4"/>
      <c r="I200" s="290" t="s">
        <v>207</v>
      </c>
      <c r="J200" s="56">
        <f>+J198-J199</f>
        <v>-1.9790604710578918E-9</v>
      </c>
      <c r="K200" s="56">
        <f>+K198-K199</f>
        <v>0</v>
      </c>
      <c r="L200" s="56"/>
    </row>
    <row r="201" spans="1:13" ht="12" x14ac:dyDescent="0.35">
      <c r="A201" s="33">
        <f t="shared" si="83"/>
        <v>192</v>
      </c>
      <c r="B201" s="33"/>
      <c r="C201" s="4"/>
      <c r="D201" s="4"/>
      <c r="E201" s="4"/>
      <c r="F201" s="4"/>
      <c r="G201" s="4"/>
      <c r="H201" s="4"/>
      <c r="I201" s="292" t="s">
        <v>210</v>
      </c>
      <c r="J201" s="289">
        <v>0.8798602770418692</v>
      </c>
      <c r="K201" s="289">
        <v>-0.23466400703211474</v>
      </c>
      <c r="L201" s="32"/>
    </row>
    <row r="202" spans="1:13" ht="12" x14ac:dyDescent="0.35">
      <c r="A202" s="33">
        <f t="shared" si="83"/>
        <v>193</v>
      </c>
      <c r="B202" s="33"/>
      <c r="C202" s="4"/>
      <c r="D202" s="4"/>
      <c r="E202" s="4"/>
      <c r="F202" s="4"/>
      <c r="G202" s="4"/>
      <c r="H202" s="4"/>
      <c r="I202" s="292"/>
      <c r="J202" s="289"/>
      <c r="K202" s="289"/>
      <c r="L202" s="32"/>
    </row>
    <row r="203" spans="1:13" ht="20.399999999999999" x14ac:dyDescent="0.2">
      <c r="A203" s="33">
        <f t="shared" si="83"/>
        <v>194</v>
      </c>
      <c r="F203" s="224" t="s">
        <v>147</v>
      </c>
      <c r="G203" s="224"/>
      <c r="H203" s="224"/>
      <c r="I203" s="224"/>
      <c r="J203" s="224"/>
      <c r="K203" s="224"/>
      <c r="L203" s="224"/>
      <c r="M203" s="159"/>
    </row>
    <row r="204" spans="1:13" x14ac:dyDescent="0.2">
      <c r="A204" s="33"/>
      <c r="B204" s="33"/>
      <c r="C204" s="35"/>
      <c r="D204" s="4"/>
      <c r="E204" s="4"/>
      <c r="F204" s="4"/>
      <c r="G204" s="4"/>
      <c r="H204" s="4"/>
      <c r="I204" s="32"/>
      <c r="J204" s="32"/>
      <c r="K204" s="32"/>
      <c r="L204" s="32"/>
    </row>
    <row r="205" spans="1:13" x14ac:dyDescent="0.2">
      <c r="A205" s="33"/>
      <c r="B205" s="33"/>
      <c r="C205" s="4"/>
      <c r="D205" s="4"/>
      <c r="E205" s="4"/>
      <c r="F205" s="4"/>
      <c r="G205" s="4"/>
      <c r="H205" s="4"/>
      <c r="I205" s="32"/>
      <c r="J205" s="32"/>
      <c r="K205" s="32"/>
      <c r="L205" s="32"/>
    </row>
    <row r="206" spans="1:13" x14ac:dyDescent="0.2">
      <c r="A206" s="33"/>
      <c r="B206" s="33"/>
      <c r="C206" s="52"/>
      <c r="D206" s="4"/>
      <c r="E206" s="4"/>
      <c r="F206" s="4"/>
      <c r="G206" s="4"/>
      <c r="H206" s="4"/>
      <c r="I206" s="66"/>
      <c r="J206" s="66"/>
      <c r="K206" s="66"/>
      <c r="L206" s="56"/>
    </row>
    <row r="207" spans="1:13" x14ac:dyDescent="0.2">
      <c r="A207" s="33"/>
      <c r="B207" s="33"/>
      <c r="C207" s="4"/>
      <c r="D207" s="4"/>
      <c r="E207" s="4"/>
      <c r="F207" s="4"/>
      <c r="G207" s="4"/>
      <c r="H207" s="4"/>
      <c r="I207" s="66"/>
      <c r="J207" s="66"/>
      <c r="K207" s="66"/>
      <c r="L207" s="56"/>
    </row>
  </sheetData>
  <printOptions horizontalCentered="1"/>
  <pageMargins left="0.7" right="0.7" top="0.75" bottom="0.75" header="0.3" footer="0.3"/>
  <pageSetup scale="66" fitToHeight="0" orientation="landscape" r:id="rId1"/>
  <headerFooter alignWithMargins="0"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79998168889431442"/>
    <pageSetUpPr fitToPage="1"/>
  </sheetPr>
  <dimension ref="A1:S43"/>
  <sheetViews>
    <sheetView workbookViewId="0">
      <pane xSplit="3" ySplit="8" topLeftCell="D9" activePane="bottomRight" state="frozen"/>
      <selection activeCell="E34" sqref="E34"/>
      <selection pane="topRight" activeCell="E34" sqref="E34"/>
      <selection pane="bottomLeft" activeCell="E34" sqref="E34"/>
      <selection pane="bottomRight"/>
    </sheetView>
  </sheetViews>
  <sheetFormatPr defaultColWidth="9.109375" defaultRowHeight="10.199999999999999" x14ac:dyDescent="0.2"/>
  <cols>
    <col min="1" max="1" width="7.21875" style="7" customWidth="1"/>
    <col min="2" max="2" width="39.44140625" style="7" bestFit="1" customWidth="1"/>
    <col min="3" max="3" width="12.6640625" style="7" customWidth="1"/>
    <col min="4" max="4" width="14.6640625" style="7" customWidth="1"/>
    <col min="5" max="5" width="8.44140625" style="7" customWidth="1"/>
    <col min="6" max="6" width="0.21875" style="7" customWidth="1"/>
    <col min="7" max="7" width="13.77734375" style="7" customWidth="1"/>
    <col min="8" max="8" width="17.6640625" style="7" customWidth="1"/>
    <col min="9" max="9" width="10.88671875" style="7" customWidth="1"/>
    <col min="10" max="10" width="0.21875" style="7" customWidth="1"/>
    <col min="11" max="11" width="13.6640625" style="7" customWidth="1"/>
    <col min="12" max="12" width="14.77734375" style="7" customWidth="1"/>
    <col min="13" max="13" width="0.21875" style="7" customWidth="1"/>
    <col min="14" max="19" width="9" style="7" customWidth="1"/>
    <col min="20" max="16384" width="9.109375" style="7"/>
  </cols>
  <sheetData>
    <row r="1" spans="1:19" s="69" customFormat="1" x14ac:dyDescent="0.2">
      <c r="A1" s="123" t="s">
        <v>124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69" customFormat="1" x14ac:dyDescent="0.2">
      <c r="A2" s="123" t="s">
        <v>23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s="69" customFormat="1" x14ac:dyDescent="0.2">
      <c r="A3" s="124" t="str">
        <f>Inputs!B2&amp;" Forecasted Rate-Year Ended "&amp;TEXT(Inputs!B4,"mmmm d, yyyy")</f>
        <v>F2023 Forecasted Rate-Year Ended April 30, 2025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s="69" customFormat="1" x14ac:dyDescent="0.2">
      <c r="A4" s="124" t="str">
        <f>"Proposed Rate Effective "&amp;TEXT(Inputs!B1,"mmmm d, yyyy")</f>
        <v>Proposed Rate Effective May 1, 2024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s="69" customFormat="1" x14ac:dyDescent="0.2">
      <c r="A5" s="123" t="s">
        <v>214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</row>
    <row r="6" spans="1:19" s="71" customFormat="1" x14ac:dyDescent="0.2">
      <c r="A6" s="223" t="s">
        <v>125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19" s="75" customFormat="1" ht="40.799999999999997" x14ac:dyDescent="0.2">
      <c r="A7" s="73" t="s">
        <v>0</v>
      </c>
      <c r="B7" s="73" t="s">
        <v>1</v>
      </c>
      <c r="C7" s="73" t="s">
        <v>2</v>
      </c>
      <c r="D7" s="74" t="s">
        <v>109</v>
      </c>
      <c r="E7" s="73" t="s">
        <v>3</v>
      </c>
      <c r="F7" s="73"/>
      <c r="G7" s="73" t="s">
        <v>105</v>
      </c>
      <c r="H7" s="73" t="s">
        <v>104</v>
      </c>
      <c r="I7" s="73" t="s">
        <v>103</v>
      </c>
      <c r="J7" s="153"/>
      <c r="K7" s="73" t="str">
        <f>Inputs!B2&amp;" Forecasted Rate-Year Energy (kWh)"</f>
        <v>F2023 Forecasted Rate-Year Energy (kWh)</v>
      </c>
      <c r="L7" s="73" t="str">
        <f>Inputs!B2&amp;" Forecasted Rate-Year Demand (kVA)"</f>
        <v>F2023 Forecasted Rate-Year Demand (kVA)</v>
      </c>
      <c r="M7" s="153"/>
      <c r="N7" s="77" t="s">
        <v>106</v>
      </c>
      <c r="O7" s="77"/>
      <c r="P7" s="77" t="s">
        <v>107</v>
      </c>
      <c r="Q7" s="77"/>
      <c r="R7" s="77" t="s">
        <v>108</v>
      </c>
      <c r="S7" s="77"/>
    </row>
    <row r="8" spans="1:19" s="8" customFormat="1" ht="20.399999999999999" x14ac:dyDescent="0.2">
      <c r="A8" s="13"/>
      <c r="B8" s="13"/>
      <c r="C8" s="14"/>
      <c r="D8" s="150" t="s">
        <v>19</v>
      </c>
      <c r="E8" s="150" t="s">
        <v>27</v>
      </c>
      <c r="F8" s="152"/>
      <c r="G8" s="151" t="s">
        <v>75</v>
      </c>
      <c r="H8" s="151" t="s">
        <v>76</v>
      </c>
      <c r="I8" s="150" t="s">
        <v>77</v>
      </c>
      <c r="J8" s="154"/>
      <c r="K8" s="150" t="s">
        <v>16</v>
      </c>
      <c r="L8" s="150" t="s">
        <v>28</v>
      </c>
      <c r="M8" s="150"/>
      <c r="N8" s="151" t="s">
        <v>151</v>
      </c>
      <c r="O8" s="151" t="s">
        <v>154</v>
      </c>
      <c r="P8" s="151" t="s">
        <v>152</v>
      </c>
      <c r="Q8" s="151" t="s">
        <v>155</v>
      </c>
      <c r="R8" s="151" t="s">
        <v>153</v>
      </c>
      <c r="S8" s="151" t="s">
        <v>156</v>
      </c>
    </row>
    <row r="9" spans="1:19" s="8" customFormat="1" x14ac:dyDescent="0.2">
      <c r="A9" s="8">
        <v>1</v>
      </c>
      <c r="C9" s="12"/>
      <c r="D9" s="7"/>
      <c r="F9" s="7"/>
      <c r="J9" s="12"/>
      <c r="K9" s="12"/>
      <c r="L9" s="12"/>
      <c r="M9" s="12"/>
    </row>
    <row r="10" spans="1:19" x14ac:dyDescent="0.2">
      <c r="A10" s="8">
        <f>+A9+1</f>
        <v>2</v>
      </c>
      <c r="B10" s="36" t="s">
        <v>4</v>
      </c>
      <c r="C10" s="134" t="str">
        <f>'Sch 140 Rates'!$C$11</f>
        <v>7 (307) (317) (327)</v>
      </c>
      <c r="D10" s="255">
        <v>6244370841.5606461</v>
      </c>
      <c r="E10" s="37">
        <f>+D10/$D$36</f>
        <v>0.60395798247450938</v>
      </c>
      <c r="G10" s="16">
        <f>+E10*$G$38</f>
        <v>24408427.140873577</v>
      </c>
      <c r="H10" s="16">
        <f>+E10*$H$38</f>
        <v>-6509873.7466428746</v>
      </c>
      <c r="I10" s="16">
        <f>SUM(G10:H10)</f>
        <v>17898553.394230701</v>
      </c>
      <c r="J10" s="144"/>
      <c r="K10" s="258">
        <f>'Rate Impacts'!G10</f>
        <v>11203510559.836071</v>
      </c>
      <c r="L10" s="147" t="s">
        <v>163</v>
      </c>
      <c r="M10" s="155"/>
      <c r="N10" s="6">
        <f>G10/$K10</f>
        <v>2.1786409724445085E-3</v>
      </c>
      <c r="O10" s="221" t="s">
        <v>163</v>
      </c>
      <c r="P10" s="6">
        <f>H10/$K10</f>
        <v>-5.8105659934667184E-4</v>
      </c>
      <c r="Q10" s="221" t="s">
        <v>163</v>
      </c>
      <c r="R10" s="6">
        <f>SUM(N10:P10)</f>
        <v>1.5975843730978367E-3</v>
      </c>
      <c r="S10" s="221" t="s">
        <v>163</v>
      </c>
    </row>
    <row r="11" spans="1:19" x14ac:dyDescent="0.2">
      <c r="A11" s="8">
        <f>+A10+1</f>
        <v>3</v>
      </c>
      <c r="B11" s="17"/>
      <c r="C11" s="134" t="s">
        <v>125</v>
      </c>
      <c r="D11" s="19">
        <f>SUM(D10:D10)</f>
        <v>6244370841.5606461</v>
      </c>
      <c r="E11" s="38">
        <f>+D11/$D$36</f>
        <v>0.60395798247450938</v>
      </c>
      <c r="G11" s="19">
        <f>SUM(G10:G10)</f>
        <v>24408427.140873577</v>
      </c>
      <c r="H11" s="19">
        <f>SUM(H10:H10)</f>
        <v>-6509873.7466428746</v>
      </c>
      <c r="I11" s="19">
        <f>SUM(I10:I10)</f>
        <v>17898553.394230701</v>
      </c>
      <c r="J11" s="22"/>
      <c r="K11" s="161">
        <f>SUM(K10:K10)</f>
        <v>11203510559.836071</v>
      </c>
      <c r="L11" s="148"/>
      <c r="M11" s="39"/>
      <c r="N11" s="20"/>
      <c r="O11" s="217"/>
      <c r="P11" s="20"/>
      <c r="Q11" s="217"/>
      <c r="R11" s="20"/>
      <c r="S11" s="217"/>
    </row>
    <row r="12" spans="1:19" x14ac:dyDescent="0.2">
      <c r="A12" s="8">
        <f>+A11+1</f>
        <v>4</v>
      </c>
      <c r="C12" s="134" t="s">
        <v>125</v>
      </c>
      <c r="D12" s="22"/>
      <c r="E12" s="40"/>
      <c r="G12" s="22"/>
      <c r="H12" s="22"/>
      <c r="I12" s="22"/>
      <c r="J12" s="22"/>
      <c r="K12" s="163"/>
      <c r="L12" s="58"/>
      <c r="M12" s="39"/>
      <c r="N12" s="23"/>
      <c r="O12" s="216"/>
      <c r="P12" s="23"/>
      <c r="Q12" s="216"/>
      <c r="R12" s="23"/>
      <c r="S12" s="216"/>
    </row>
    <row r="13" spans="1:19" x14ac:dyDescent="0.2">
      <c r="A13" s="8">
        <f>+A12+1</f>
        <v>5</v>
      </c>
      <c r="B13" s="7" t="s">
        <v>5</v>
      </c>
      <c r="D13" s="22"/>
      <c r="E13" s="40"/>
      <c r="G13" s="22"/>
      <c r="H13" s="22"/>
      <c r="I13" s="22"/>
      <c r="J13" s="22"/>
      <c r="K13" s="163"/>
      <c r="L13" s="58"/>
      <c r="M13" s="39"/>
      <c r="N13" s="23"/>
      <c r="O13" s="216"/>
      <c r="P13" s="23"/>
      <c r="Q13" s="216"/>
      <c r="R13" s="23"/>
      <c r="S13" s="216"/>
    </row>
    <row r="14" spans="1:19" x14ac:dyDescent="0.2">
      <c r="A14" s="8">
        <f t="shared" ref="A14:A43" si="0">+A13+1</f>
        <v>6</v>
      </c>
      <c r="B14" s="227" t="s">
        <v>215</v>
      </c>
      <c r="C14" s="134" t="str">
        <f>'Sch 140 Rates'!$C$14</f>
        <v>08 (24) (324)</v>
      </c>
      <c r="D14" s="255">
        <v>1276438830.6252151</v>
      </c>
      <c r="E14" s="37">
        <f>+D14/$D$36</f>
        <v>0.12345766138127907</v>
      </c>
      <c r="G14" s="16">
        <f>+E14*$G$38</f>
        <v>4989432.0801278185</v>
      </c>
      <c r="H14" s="16">
        <f>+E14*$H$38</f>
        <v>-1330711.4269026741</v>
      </c>
      <c r="I14" s="16">
        <f>SUM(G14:H14)</f>
        <v>3658720.6532251444</v>
      </c>
      <c r="J14" s="144"/>
      <c r="K14" s="259">
        <f>'Rate Impacts'!G13</f>
        <v>2760323642.6246891</v>
      </c>
      <c r="L14" s="149" t="s">
        <v>163</v>
      </c>
      <c r="M14" s="155"/>
      <c r="N14" s="6">
        <f>G14/$K14</f>
        <v>1.8075532894336814E-3</v>
      </c>
      <c r="O14" s="221" t="s">
        <v>163</v>
      </c>
      <c r="P14" s="6">
        <f>H14/$K14</f>
        <v>-4.8208529114265387E-4</v>
      </c>
      <c r="Q14" s="221" t="s">
        <v>163</v>
      </c>
      <c r="R14" s="6">
        <f>SUM(N14:P14)</f>
        <v>1.3254679982910274E-3</v>
      </c>
      <c r="S14" s="221" t="s">
        <v>163</v>
      </c>
    </row>
    <row r="15" spans="1:19" x14ac:dyDescent="0.2">
      <c r="A15" s="8">
        <f t="shared" si="0"/>
        <v>7</v>
      </c>
      <c r="B15" s="227" t="s">
        <v>216</v>
      </c>
      <c r="C15" s="134" t="str">
        <f>'Sch 140 Rates'!$C$15&amp;", "&amp;'Sch 140 Rates'!$C$16&amp;", "&amp;'Sch 140 Rates'!$C$18</f>
        <v>7A, 11 / 25, 29</v>
      </c>
      <c r="D15" s="255">
        <v>1283557035.4489176</v>
      </c>
      <c r="E15" s="37">
        <f>+D15/$D$36</f>
        <v>0.12414613692721402</v>
      </c>
      <c r="G15" s="16">
        <f>+E15*$G$38</f>
        <v>5017256.2097673919</v>
      </c>
      <c r="H15" s="16">
        <f>+E15*$H$38</f>
        <v>-1338132.2889688141</v>
      </c>
      <c r="I15" s="16">
        <f>SUM(G15:H15)</f>
        <v>3679123.9207985778</v>
      </c>
      <c r="J15" s="144"/>
      <c r="K15" s="259">
        <f>SUM('Rate Impacts'!G14,'Rate Impacts'!G16)</f>
        <v>2974076465.1099486</v>
      </c>
      <c r="L15" s="160" t="s">
        <v>163</v>
      </c>
      <c r="M15" s="155"/>
      <c r="N15" s="6">
        <f>G15/$K15</f>
        <v>1.6869963730343795E-3</v>
      </c>
      <c r="O15" s="221" t="s">
        <v>163</v>
      </c>
      <c r="P15" s="6">
        <f>H15/$K15</f>
        <v>-4.4993203929588431E-4</v>
      </c>
      <c r="Q15" s="221" t="s">
        <v>163</v>
      </c>
      <c r="R15" s="6">
        <f>SUM(N15:P15)</f>
        <v>1.2370643337384951E-3</v>
      </c>
      <c r="S15" s="221" t="s">
        <v>163</v>
      </c>
    </row>
    <row r="16" spans="1:19" x14ac:dyDescent="0.2">
      <c r="A16" s="8">
        <f t="shared" si="0"/>
        <v>8</v>
      </c>
      <c r="B16" s="24" t="s">
        <v>221</v>
      </c>
      <c r="C16" s="134" t="str">
        <f>'Sch 140 Rates'!$C$17</f>
        <v>12 (26) (26P)</v>
      </c>
      <c r="D16" s="256">
        <v>697432814.32802212</v>
      </c>
      <c r="E16" s="40">
        <f>+D16/$D$36</f>
        <v>6.7455973730701183E-2</v>
      </c>
      <c r="G16" s="22">
        <f>+E16*$G$38</f>
        <v>2726173.4554390027</v>
      </c>
      <c r="H16" s="22">
        <f>+E16*$H$38</f>
        <v>-727086.79276750342</v>
      </c>
      <c r="I16" s="22">
        <f>SUM(G16:H16)</f>
        <v>1999086.6626714994</v>
      </c>
      <c r="J16" s="22"/>
      <c r="K16" s="259">
        <f>'Rate Impacts'!G15</f>
        <v>1976059702.4320197</v>
      </c>
      <c r="L16" s="160" t="s">
        <v>163</v>
      </c>
      <c r="M16" s="39"/>
      <c r="N16" s="23">
        <f>G16/$K16</f>
        <v>1.3796007540074757E-3</v>
      </c>
      <c r="O16" s="216" t="s">
        <v>163</v>
      </c>
      <c r="P16" s="6">
        <f>H16/$K16</f>
        <v>-3.6794778612844905E-4</v>
      </c>
      <c r="Q16" s="221" t="s">
        <v>163</v>
      </c>
      <c r="R16" s="23">
        <f>SUM(N16:P16)</f>
        <v>1.0116529678790267E-3</v>
      </c>
      <c r="S16" s="221" t="s">
        <v>163</v>
      </c>
    </row>
    <row r="17" spans="1:19" x14ac:dyDescent="0.2">
      <c r="A17" s="8">
        <f t="shared" si="0"/>
        <v>9</v>
      </c>
      <c r="B17" s="25" t="s">
        <v>9</v>
      </c>
      <c r="C17" s="134"/>
      <c r="D17" s="19">
        <f>SUM(D14:D16)</f>
        <v>3257428680.4021549</v>
      </c>
      <c r="E17" s="38">
        <f>+D17/$D$36</f>
        <v>0.31505977203919427</v>
      </c>
      <c r="G17" s="19">
        <f>SUM(G14:G16)</f>
        <v>12732861.745334214</v>
      </c>
      <c r="H17" s="19">
        <f>SUM(H14:H16)</f>
        <v>-3395930.5086389915</v>
      </c>
      <c r="I17" s="19">
        <f>SUM(I14:I16)</f>
        <v>9336931.2366952207</v>
      </c>
      <c r="J17" s="22"/>
      <c r="K17" s="161">
        <f>SUM(K14:K16)</f>
        <v>7710459810.1666584</v>
      </c>
      <c r="L17" s="161"/>
      <c r="M17" s="39"/>
      <c r="N17" s="20"/>
      <c r="O17" s="217"/>
      <c r="P17" s="20"/>
      <c r="Q17" s="217"/>
      <c r="R17" s="20"/>
      <c r="S17" s="217"/>
    </row>
    <row r="18" spans="1:19" x14ac:dyDescent="0.2">
      <c r="A18" s="8">
        <f t="shared" si="0"/>
        <v>10</v>
      </c>
      <c r="C18" s="134" t="s">
        <v>125</v>
      </c>
      <c r="D18" s="22"/>
      <c r="E18" s="40"/>
      <c r="G18" s="22"/>
      <c r="H18" s="22"/>
      <c r="I18" s="22"/>
      <c r="J18" s="22"/>
      <c r="K18" s="163"/>
      <c r="L18" s="163"/>
      <c r="M18" s="39"/>
      <c r="N18" s="23"/>
      <c r="O18" s="216"/>
      <c r="P18" s="23"/>
      <c r="Q18" s="216"/>
      <c r="R18" s="23"/>
      <c r="S18" s="216"/>
    </row>
    <row r="19" spans="1:19" x14ac:dyDescent="0.2">
      <c r="A19" s="8">
        <f t="shared" si="0"/>
        <v>11</v>
      </c>
      <c r="B19" s="7" t="s">
        <v>10</v>
      </c>
      <c r="C19" s="134" t="s">
        <v>125</v>
      </c>
      <c r="D19" s="22"/>
      <c r="E19" s="40"/>
      <c r="G19" s="22"/>
      <c r="H19" s="22"/>
      <c r="I19" s="22"/>
      <c r="J19" s="22"/>
      <c r="K19" s="163"/>
      <c r="L19" s="163"/>
      <c r="M19" s="39"/>
      <c r="N19" s="23"/>
      <c r="O19" s="216"/>
      <c r="P19" s="23"/>
      <c r="Q19" s="216"/>
      <c r="R19" s="23"/>
      <c r="S19" s="216"/>
    </row>
    <row r="20" spans="1:19" x14ac:dyDescent="0.2">
      <c r="A20" s="8">
        <f t="shared" si="0"/>
        <v>12</v>
      </c>
      <c r="B20" s="227" t="s">
        <v>14</v>
      </c>
      <c r="C20" s="134" t="str">
        <f>'Sch 140 Rates'!$C$22&amp;" ("&amp;'Sch 140 Rates'!$C$23&amp;")"</f>
        <v>10 (31) (35)</v>
      </c>
      <c r="D20" s="255">
        <v>510341260.75347519</v>
      </c>
      <c r="E20" s="37">
        <f>+D20/$D$36</f>
        <v>4.9360405722017026E-2</v>
      </c>
      <c r="G20" s="16">
        <f>+E20*$G$38</f>
        <v>1994857.0954779324</v>
      </c>
      <c r="H20" s="16">
        <f>+E20*$H$38</f>
        <v>-532040.33833092253</v>
      </c>
      <c r="I20" s="16">
        <f>SUM(G20:H20)</f>
        <v>1462816.75714701</v>
      </c>
      <c r="J20" s="144"/>
      <c r="K20" s="259">
        <f>SUM('Rate Impacts'!G20:G21)</f>
        <v>1419166798.3909144</v>
      </c>
      <c r="L20" s="160" t="s">
        <v>163</v>
      </c>
      <c r="M20" s="155"/>
      <c r="N20" s="6">
        <f>G20/$K20</f>
        <v>1.4056537242413997E-3</v>
      </c>
      <c r="O20" s="221" t="s">
        <v>163</v>
      </c>
      <c r="P20" s="6">
        <f>H20/$K20</f>
        <v>-3.7489626937028313E-4</v>
      </c>
      <c r="Q20" s="221" t="s">
        <v>163</v>
      </c>
      <c r="R20" s="6">
        <f>SUM(N20:P20)</f>
        <v>1.0307574548711167E-3</v>
      </c>
      <c r="S20" s="221" t="s">
        <v>163</v>
      </c>
    </row>
    <row r="21" spans="1:19" x14ac:dyDescent="0.2">
      <c r="A21" s="8">
        <f t="shared" si="0"/>
        <v>13</v>
      </c>
      <c r="B21" s="227" t="s">
        <v>218</v>
      </c>
      <c r="C21" s="134">
        <f>'Sch 140 Rates'!$C$24</f>
        <v>43</v>
      </c>
      <c r="D21" s="255">
        <v>41021239.176387154</v>
      </c>
      <c r="E21" s="37">
        <f>+D21/$D$36</f>
        <v>3.9675902473119435E-3</v>
      </c>
      <c r="G21" s="16">
        <f>+E21*$G$38</f>
        <v>160346.64709550631</v>
      </c>
      <c r="H21" s="16">
        <f>+E21*$H$38</f>
        <v>-42765.411399297882</v>
      </c>
      <c r="I21" s="16">
        <f>SUM(G21:H21)</f>
        <v>117581.23569620843</v>
      </c>
      <c r="J21" s="144"/>
      <c r="K21" s="259">
        <f>'Rate Impacts'!G22</f>
        <v>122744427.38210531</v>
      </c>
      <c r="L21" s="160" t="s">
        <v>163</v>
      </c>
      <c r="M21" s="155"/>
      <c r="N21" s="6">
        <f>G21/$K21</f>
        <v>1.306345636338705E-3</v>
      </c>
      <c r="O21" s="221" t="s">
        <v>163</v>
      </c>
      <c r="P21" s="6">
        <f>H21/$K21</f>
        <v>-3.4841020738292659E-4</v>
      </c>
      <c r="Q21" s="221" t="s">
        <v>163</v>
      </c>
      <c r="R21" s="6">
        <f>SUM(N21:P21)</f>
        <v>9.5793542895577849E-4</v>
      </c>
      <c r="S21" s="221" t="s">
        <v>163</v>
      </c>
    </row>
    <row r="22" spans="1:19" x14ac:dyDescent="0.2">
      <c r="A22" s="8">
        <f t="shared" si="0"/>
        <v>14</v>
      </c>
      <c r="B22" s="17" t="s">
        <v>11</v>
      </c>
      <c r="D22" s="19">
        <f>SUM(D20:D21)</f>
        <v>551362499.92986238</v>
      </c>
      <c r="E22" s="38">
        <f>+D22/$D$36</f>
        <v>5.3327995969328974E-2</v>
      </c>
      <c r="G22" s="19">
        <f>SUM(G20:G21)</f>
        <v>2155203.7425734387</v>
      </c>
      <c r="H22" s="19">
        <f>SUM(H20:H21)</f>
        <v>-574805.74973022041</v>
      </c>
      <c r="I22" s="19">
        <f>SUM(I20:I21)</f>
        <v>1580397.9928432184</v>
      </c>
      <c r="J22" s="22"/>
      <c r="K22" s="161">
        <f>SUM(K20:K21)</f>
        <v>1541911225.7730198</v>
      </c>
      <c r="L22" s="161"/>
      <c r="M22" s="39"/>
      <c r="N22" s="20"/>
      <c r="O22" s="217"/>
      <c r="P22" s="20"/>
      <c r="Q22" s="217"/>
      <c r="R22" s="20"/>
      <c r="S22" s="217"/>
    </row>
    <row r="23" spans="1:19" x14ac:dyDescent="0.2">
      <c r="A23" s="8">
        <f t="shared" si="0"/>
        <v>15</v>
      </c>
      <c r="C23" s="134" t="s">
        <v>125</v>
      </c>
      <c r="D23" s="26"/>
      <c r="E23" s="41"/>
      <c r="G23" s="26"/>
      <c r="H23" s="26"/>
      <c r="I23" s="26"/>
      <c r="J23" s="22"/>
      <c r="K23" s="164"/>
      <c r="L23" s="164"/>
      <c r="M23" s="39"/>
      <c r="N23" s="27"/>
      <c r="O23" s="218"/>
      <c r="P23" s="27"/>
      <c r="Q23" s="218"/>
      <c r="R23" s="27"/>
      <c r="S23" s="218"/>
    </row>
    <row r="24" spans="1:19" x14ac:dyDescent="0.2">
      <c r="A24" s="8">
        <f t="shared" si="0"/>
        <v>16</v>
      </c>
      <c r="B24" s="25" t="s">
        <v>169</v>
      </c>
      <c r="C24" s="309" t="str">
        <f>'Sch 140 Rates'!$C$33</f>
        <v>Special Contract</v>
      </c>
      <c r="D24" s="257">
        <v>32933252.079632595</v>
      </c>
      <c r="E24" s="38">
        <f>+D24/$D$36</f>
        <v>3.1853169818095222E-3</v>
      </c>
      <c r="G24" s="19">
        <f>+E24*$G$38</f>
        <v>128731.76566445416</v>
      </c>
      <c r="H24" s="19">
        <f>+E24*$H$38</f>
        <v>-34333.533120398344</v>
      </c>
      <c r="I24" s="19">
        <f>SUM(G24:H24)</f>
        <v>94398.23254405582</v>
      </c>
      <c r="J24" s="22"/>
      <c r="K24" s="260">
        <f>'Rate Impacts'!G25</f>
        <v>304684283.88728809</v>
      </c>
      <c r="L24" s="161" t="s">
        <v>163</v>
      </c>
      <c r="M24" s="39"/>
      <c r="N24" s="20">
        <f>G24/$K24</f>
        <v>4.2250871630804536E-4</v>
      </c>
      <c r="O24" s="217" t="s">
        <v>163</v>
      </c>
      <c r="P24" s="20">
        <f>H24/$K24</f>
        <v>-1.126856058420767E-4</v>
      </c>
      <c r="Q24" s="217" t="s">
        <v>163</v>
      </c>
      <c r="R24" s="20">
        <f>SUM(N24:P24)</f>
        <v>3.0982311046596865E-4</v>
      </c>
      <c r="S24" s="217" t="s">
        <v>163</v>
      </c>
    </row>
    <row r="25" spans="1:19" x14ac:dyDescent="0.2">
      <c r="A25" s="8">
        <f t="shared" si="0"/>
        <v>17</v>
      </c>
      <c r="D25" s="26"/>
      <c r="E25" s="41"/>
      <c r="G25" s="26"/>
      <c r="H25" s="26"/>
      <c r="I25" s="26"/>
      <c r="J25" s="22"/>
      <c r="K25" s="164"/>
      <c r="L25" s="164"/>
      <c r="M25" s="39"/>
      <c r="N25" s="27"/>
      <c r="O25" s="218"/>
      <c r="P25" s="27"/>
      <c r="Q25" s="218"/>
      <c r="R25" s="27"/>
      <c r="S25" s="218"/>
    </row>
    <row r="26" spans="1:19" x14ac:dyDescent="0.2">
      <c r="A26" s="8">
        <f t="shared" si="0"/>
        <v>18</v>
      </c>
      <c r="B26" s="7" t="s">
        <v>15</v>
      </c>
      <c r="C26" s="134" t="str">
        <f>'Sch 140 Rates'!$C$28&amp;" &amp; "&amp;'Sch 140 Rates'!$C$29</f>
        <v>46 &amp; 49</v>
      </c>
      <c r="D26" s="257">
        <v>125253803.07043906</v>
      </c>
      <c r="E26" s="38">
        <f>+D26/$D$36</f>
        <v>1.2114596669402049E-2</v>
      </c>
      <c r="G26" s="19">
        <f>+E26*$G$38</f>
        <v>489600.69860265462</v>
      </c>
      <c r="H26" s="19">
        <f>+E26*$H$38</f>
        <v>-130579.43946065183</v>
      </c>
      <c r="I26" s="19">
        <f>SUM(G26:H26)</f>
        <v>359021.25914200279</v>
      </c>
      <c r="J26" s="22"/>
      <c r="K26" s="260">
        <f>SUM('Rate Impacts'!G28:G29)</f>
        <v>631737661.61236656</v>
      </c>
      <c r="L26" s="161" t="s">
        <v>163</v>
      </c>
      <c r="M26" s="39"/>
      <c r="N26" s="20">
        <f>G26/$K26</f>
        <v>7.7500634892189318E-4</v>
      </c>
      <c r="O26" s="217" t="s">
        <v>163</v>
      </c>
      <c r="P26" s="20">
        <f>H26/$K26</f>
        <v>-2.0669883623429628E-4</v>
      </c>
      <c r="Q26" s="217" t="s">
        <v>163</v>
      </c>
      <c r="R26" s="20">
        <f>SUM(N26:P26)</f>
        <v>5.683075126875969E-4</v>
      </c>
      <c r="S26" s="217" t="s">
        <v>163</v>
      </c>
    </row>
    <row r="27" spans="1:19" x14ac:dyDescent="0.2">
      <c r="A27" s="8">
        <f t="shared" si="0"/>
        <v>19</v>
      </c>
      <c r="C27" s="134" t="s">
        <v>125</v>
      </c>
      <c r="D27" s="26"/>
      <c r="E27" s="41"/>
      <c r="G27" s="26"/>
      <c r="H27" s="26"/>
      <c r="I27" s="26"/>
      <c r="J27" s="22"/>
      <c r="K27" s="164"/>
      <c r="L27" s="164"/>
      <c r="M27" s="39"/>
      <c r="N27" s="27"/>
      <c r="O27" s="218"/>
      <c r="P27" s="27"/>
      <c r="Q27" s="218"/>
      <c r="R27" s="27"/>
      <c r="S27" s="218"/>
    </row>
    <row r="28" spans="1:19" ht="10.199999999999999" customHeight="1" x14ac:dyDescent="0.2">
      <c r="A28" s="8">
        <f t="shared" si="0"/>
        <v>20</v>
      </c>
      <c r="B28" s="7" t="s">
        <v>13</v>
      </c>
      <c r="C28" s="134" t="str">
        <f>'Sch 140 Rates'!$C$34</f>
        <v>50 - 59</v>
      </c>
      <c r="D28" s="257">
        <v>117495893.47476549</v>
      </c>
      <c r="E28" s="38">
        <f>+D28/$D$36</f>
        <v>1.1364248628501326E-2</v>
      </c>
      <c r="G28" s="19">
        <f>+E28*$G$38</f>
        <v>459276.04685853177</v>
      </c>
      <c r="H28" s="19">
        <f>+E28*$H$38</f>
        <v>-122491.67316887889</v>
      </c>
      <c r="I28" s="19">
        <f>SUM(G28:H28)</f>
        <v>336784.37368965289</v>
      </c>
      <c r="J28" s="22"/>
      <c r="K28" s="260">
        <f>'Rate Impacts'!G32</f>
        <v>67443601.461170837</v>
      </c>
      <c r="L28" s="161" t="s">
        <v>163</v>
      </c>
      <c r="M28" s="39"/>
      <c r="N28" s="20">
        <f>G28/$K28</f>
        <v>6.8097793846752059E-3</v>
      </c>
      <c r="O28" s="217" t="s">
        <v>163</v>
      </c>
      <c r="P28" s="20">
        <f>H28/$K28</f>
        <v>-1.8162089585236749E-3</v>
      </c>
      <c r="Q28" s="217" t="s">
        <v>163</v>
      </c>
      <c r="R28" s="20">
        <f>SUM(N28:P28)</f>
        <v>4.9935704261515309E-3</v>
      </c>
      <c r="S28" s="217" t="s">
        <v>163</v>
      </c>
    </row>
    <row r="29" spans="1:19" x14ac:dyDescent="0.2">
      <c r="A29" s="8">
        <f t="shared" si="0"/>
        <v>21</v>
      </c>
      <c r="C29" s="134"/>
      <c r="D29" s="26"/>
      <c r="E29" s="41"/>
      <c r="G29" s="26"/>
      <c r="H29" s="26"/>
      <c r="I29" s="26"/>
      <c r="J29" s="22"/>
      <c r="K29" s="164"/>
      <c r="L29" s="164"/>
      <c r="M29" s="39"/>
      <c r="N29" s="27"/>
      <c r="O29" s="27"/>
      <c r="P29" s="27"/>
      <c r="Q29" s="27"/>
      <c r="R29" s="27"/>
    </row>
    <row r="30" spans="1:19" ht="10.199999999999999" customHeight="1" x14ac:dyDescent="0.2">
      <c r="A30" s="8">
        <f t="shared" si="0"/>
        <v>22</v>
      </c>
      <c r="B30" s="17" t="s">
        <v>168</v>
      </c>
      <c r="C30" s="134" t="str">
        <f>'Sch 140 Rates'!$C$32</f>
        <v>448 - 459</v>
      </c>
      <c r="D30" s="257">
        <v>7629194.567398468</v>
      </c>
      <c r="E30" s="38">
        <f>+D30/$D$36</f>
        <v>7.378986731799976E-4</v>
      </c>
      <c r="G30" s="19">
        <f>+E30*$G$38</f>
        <v>29821.521569874149</v>
      </c>
      <c r="H30" s="19">
        <f>+E30*$H$38</f>
        <v>-7953.5784601039177</v>
      </c>
      <c r="I30" s="19">
        <f>SUM(G30:H30)</f>
        <v>21867.943109770233</v>
      </c>
      <c r="J30" s="22"/>
      <c r="K30" s="161" t="s">
        <v>163</v>
      </c>
      <c r="L30" s="254">
        <f>'Rate Impacts'!H34</f>
        <v>3429433.3616452147</v>
      </c>
      <c r="M30" s="39"/>
      <c r="N30" s="217" t="s">
        <v>163</v>
      </c>
      <c r="O30" s="20">
        <f>G30/$L30</f>
        <v>8.6957577025400367E-3</v>
      </c>
      <c r="P30" s="217" t="s">
        <v>163</v>
      </c>
      <c r="Q30" s="20">
        <f>H30/$L30</f>
        <v>-2.3192106745845379E-3</v>
      </c>
      <c r="R30" s="217" t="s">
        <v>163</v>
      </c>
      <c r="S30" s="20">
        <f>O30+Q30</f>
        <v>6.3765470279554988E-3</v>
      </c>
    </row>
    <row r="31" spans="1:19" x14ac:dyDescent="0.2">
      <c r="A31" s="8">
        <f t="shared" si="0"/>
        <v>23</v>
      </c>
      <c r="C31" s="134" t="s">
        <v>125</v>
      </c>
      <c r="D31" s="26"/>
      <c r="E31" s="41"/>
      <c r="G31" s="26"/>
      <c r="H31" s="26"/>
      <c r="I31" s="26"/>
      <c r="J31" s="22"/>
      <c r="K31" s="165"/>
      <c r="L31" s="165">
        <v>0</v>
      </c>
      <c r="M31" s="39"/>
      <c r="N31" s="27"/>
      <c r="O31" s="27"/>
      <c r="P31" s="27"/>
      <c r="Q31" s="27"/>
      <c r="R31" s="27"/>
    </row>
    <row r="32" spans="1:19" ht="10.8" thickBot="1" x14ac:dyDescent="0.25">
      <c r="A32" s="8">
        <f t="shared" si="0"/>
        <v>24</v>
      </c>
      <c r="B32" s="25" t="s">
        <v>217</v>
      </c>
      <c r="D32" s="29">
        <f>SUM(D11,D17,D22,D24,D26,D28,D30)</f>
        <v>10336474165.084898</v>
      </c>
      <c r="E32" s="42">
        <f>+D32/$D$36</f>
        <v>0.99974781143592539</v>
      </c>
      <c r="G32" s="29">
        <f>SUM(G11,G17,G22,G24,G26,G28,G30)</f>
        <v>40403922.661476746</v>
      </c>
      <c r="H32" s="29">
        <f>SUM(H11,H17,H22,H24,H26,H28,H30)</f>
        <v>-10775968.229222119</v>
      </c>
      <c r="I32" s="29">
        <f>SUM(I11,I17,I22,I24,I26,I28,I30)</f>
        <v>29627954.432254624</v>
      </c>
      <c r="J32" s="22"/>
      <c r="K32" s="166">
        <f>SUM(K11,K17,K22,K24,K26,K28,K30)</f>
        <v>21459747142.736572</v>
      </c>
      <c r="L32" s="166"/>
      <c r="M32" s="39"/>
      <c r="N32" s="30"/>
      <c r="O32" s="30"/>
      <c r="P32" s="30"/>
      <c r="Q32" s="30"/>
      <c r="R32" s="30"/>
      <c r="S32" s="30"/>
    </row>
    <row r="33" spans="1:19" ht="10.8" thickTop="1" x14ac:dyDescent="0.2">
      <c r="A33" s="8">
        <f t="shared" si="0"/>
        <v>25</v>
      </c>
      <c r="D33" s="43"/>
      <c r="E33" s="44"/>
      <c r="G33" s="43"/>
      <c r="H33" s="43"/>
      <c r="I33" s="43"/>
      <c r="J33" s="22"/>
      <c r="K33" s="163"/>
      <c r="L33" s="163"/>
      <c r="M33" s="39"/>
      <c r="N33" s="45"/>
      <c r="O33" s="45"/>
      <c r="P33" s="45"/>
      <c r="Q33" s="45"/>
      <c r="R33" s="45"/>
    </row>
    <row r="34" spans="1:19" ht="11.4" x14ac:dyDescent="0.2">
      <c r="A34" s="8">
        <f t="shared" si="0"/>
        <v>26</v>
      </c>
      <c r="B34" s="25" t="s">
        <v>219</v>
      </c>
      <c r="C34" s="11">
        <f>'Sch 140 Rates'!$C$38</f>
        <v>5</v>
      </c>
      <c r="D34" s="257">
        <v>2607398.1332773012</v>
      </c>
      <c r="E34" s="38">
        <f>+D34/$D$36</f>
        <v>2.5218856407451667E-4</v>
      </c>
      <c r="G34" s="19">
        <f>+E34*$G$38</f>
        <v>10191.977539156323</v>
      </c>
      <c r="H34" s="19">
        <f>+E34*$H$38</f>
        <v>-2718.2614686967081</v>
      </c>
      <c r="I34" s="19">
        <f>SUM(G34:H34)</f>
        <v>7473.7160704596154</v>
      </c>
      <c r="J34" s="22"/>
      <c r="K34" s="260">
        <v>6729042.7678309083</v>
      </c>
      <c r="L34" s="162"/>
      <c r="M34" s="39"/>
      <c r="N34" s="23"/>
      <c r="O34" s="23"/>
      <c r="P34" s="23"/>
      <c r="Q34" s="23"/>
      <c r="R34" s="23"/>
    </row>
    <row r="35" spans="1:19" x14ac:dyDescent="0.2">
      <c r="A35" s="8">
        <f t="shared" si="0"/>
        <v>27</v>
      </c>
      <c r="D35" s="26"/>
      <c r="E35" s="41"/>
      <c r="G35" s="26"/>
      <c r="H35" s="26"/>
      <c r="I35" s="26"/>
      <c r="J35" s="22"/>
      <c r="K35" s="164"/>
      <c r="L35" s="164"/>
      <c r="M35" s="39"/>
      <c r="N35" s="23"/>
      <c r="O35" s="23"/>
      <c r="P35" s="23"/>
      <c r="Q35" s="23"/>
      <c r="R35" s="23"/>
    </row>
    <row r="36" spans="1:19" ht="10.8" thickBot="1" x14ac:dyDescent="0.25">
      <c r="A36" s="8">
        <f t="shared" si="0"/>
        <v>28</v>
      </c>
      <c r="B36" s="25" t="s">
        <v>220</v>
      </c>
      <c r="D36" s="29">
        <f>SUM(D32,D34)</f>
        <v>10339081563.218176</v>
      </c>
      <c r="E36" s="42">
        <f>SUM(E32,E34)</f>
        <v>0.99999999999999989</v>
      </c>
      <c r="G36" s="29">
        <f>SUM(G32,G34)</f>
        <v>40414114.639015906</v>
      </c>
      <c r="H36" s="29">
        <f>SUM(H32,H34)</f>
        <v>-10778686.490690816</v>
      </c>
      <c r="I36" s="29">
        <f>SUM(I32,I34)</f>
        <v>29635428.148325082</v>
      </c>
      <c r="J36" s="22"/>
      <c r="K36" s="166">
        <f>SUM(K32,K34)</f>
        <v>21466476185.504402</v>
      </c>
      <c r="L36" s="162"/>
      <c r="M36" s="39"/>
      <c r="N36" s="23"/>
      <c r="O36" s="23"/>
      <c r="P36" s="23"/>
      <c r="Q36" s="23"/>
      <c r="R36" s="23"/>
    </row>
    <row r="37" spans="1:19" ht="10.8" thickTop="1" x14ac:dyDescent="0.2">
      <c r="A37" s="8">
        <f t="shared" si="0"/>
        <v>29</v>
      </c>
      <c r="J37" s="4"/>
      <c r="K37" s="156">
        <v>0</v>
      </c>
      <c r="L37" s="156"/>
      <c r="M37" s="4"/>
    </row>
    <row r="38" spans="1:19" ht="10.8" thickBot="1" x14ac:dyDescent="0.25">
      <c r="A38" s="8">
        <f t="shared" si="0"/>
        <v>30</v>
      </c>
      <c r="B38" s="7" t="s">
        <v>22</v>
      </c>
      <c r="D38" s="26"/>
      <c r="G38" s="293">
        <v>40414114.639015898</v>
      </c>
      <c r="H38" s="293">
        <v>-10778686.490690816</v>
      </c>
      <c r="I38" s="68">
        <f>SUM(G38:H38)</f>
        <v>29635428.148325082</v>
      </c>
      <c r="J38" s="4"/>
      <c r="M38" s="4"/>
    </row>
    <row r="39" spans="1:19" ht="10.8" thickTop="1" x14ac:dyDescent="0.2">
      <c r="A39" s="8">
        <f t="shared" si="0"/>
        <v>31</v>
      </c>
      <c r="G39" s="11" t="s">
        <v>113</v>
      </c>
      <c r="H39" s="11" t="s">
        <v>114</v>
      </c>
      <c r="I39" s="156">
        <f>I36-I38</f>
        <v>0</v>
      </c>
      <c r="J39" s="4"/>
      <c r="M39" s="4"/>
    </row>
    <row r="40" spans="1:19" x14ac:dyDescent="0.2">
      <c r="A40" s="8">
        <f t="shared" si="0"/>
        <v>32</v>
      </c>
      <c r="J40" s="4"/>
    </row>
    <row r="41" spans="1:19" ht="20.399999999999999" x14ac:dyDescent="0.2">
      <c r="A41" s="8">
        <f t="shared" si="0"/>
        <v>33</v>
      </c>
      <c r="D41" s="157" t="s">
        <v>143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222"/>
    </row>
    <row r="42" spans="1:19" x14ac:dyDescent="0.2">
      <c r="A42" s="8">
        <f t="shared" si="0"/>
        <v>34</v>
      </c>
      <c r="D42" s="157" t="s">
        <v>141</v>
      </c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222"/>
    </row>
    <row r="43" spans="1:19" x14ac:dyDescent="0.2">
      <c r="A43" s="8">
        <f t="shared" si="0"/>
        <v>35</v>
      </c>
      <c r="D43" s="157" t="s">
        <v>142</v>
      </c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222"/>
    </row>
  </sheetData>
  <printOptions horizontalCentered="1"/>
  <pageMargins left="0.7" right="0.7" top="0.75" bottom="0.75" header="0.3" footer="0.3"/>
  <pageSetup scale="55" fitToHeight="0" orientation="landscape" r:id="rId1"/>
  <headerFooter alignWithMargins="0">
    <oddFooter xml:space="preserve">&amp;L&amp;F
&amp;A&amp;RPage &amp;P of &amp;N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79998168889431442"/>
  </sheetPr>
  <dimension ref="A1:B7"/>
  <sheetViews>
    <sheetView workbookViewId="0"/>
  </sheetViews>
  <sheetFormatPr defaultRowHeight="13.2" x14ac:dyDescent="0.25"/>
  <cols>
    <col min="1" max="1" width="27.33203125" style="130" bestFit="1" customWidth="1"/>
    <col min="2" max="2" width="7.88671875" style="130" bestFit="1" customWidth="1"/>
    <col min="3" max="16384" width="8.88671875" style="130"/>
  </cols>
  <sheetData>
    <row r="1" spans="1:2" ht="14.4" x14ac:dyDescent="0.35">
      <c r="A1" s="128" t="s">
        <v>136</v>
      </c>
      <c r="B1" s="129">
        <v>45413</v>
      </c>
    </row>
    <row r="2" spans="1:2" ht="14.4" x14ac:dyDescent="0.35">
      <c r="A2" s="131" t="s">
        <v>137</v>
      </c>
      <c r="B2" s="132" t="s">
        <v>138</v>
      </c>
    </row>
    <row r="3" spans="1:2" ht="14.4" x14ac:dyDescent="0.35">
      <c r="A3" s="131" t="s">
        <v>139</v>
      </c>
      <c r="B3" s="133">
        <v>45413</v>
      </c>
    </row>
    <row r="4" spans="1:2" ht="14.4" x14ac:dyDescent="0.35">
      <c r="A4" s="131" t="s">
        <v>140</v>
      </c>
      <c r="B4" s="133">
        <f>B3+364</f>
        <v>45777</v>
      </c>
    </row>
    <row r="5" spans="1:2" ht="14.4" x14ac:dyDescent="0.35">
      <c r="A5" s="131"/>
      <c r="B5" s="132"/>
    </row>
    <row r="6" spans="1:2" ht="14.4" x14ac:dyDescent="0.35">
      <c r="A6" s="128"/>
      <c r="B6" s="133"/>
    </row>
    <row r="7" spans="1:2" ht="14.4" x14ac:dyDescent="0.35">
      <c r="A7" s="131"/>
      <c r="B7" s="13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C6CDD429A71C44979B208878E6EDD3" ma:contentTypeVersion="7" ma:contentTypeDescription="" ma:contentTypeScope="" ma:versionID="c9078185fcd5754aae5b4f459e5f30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2024-03-25T07:00:00+00:00</OpenedDate>
    <SignificantOrder xmlns="dc463f71-b30c-4ab2-9473-d307f9d35888">false</SignificantOrder>
    <Date1 xmlns="dc463f71-b30c-4ab2-9473-d307f9d35888">2024-03-25T07:00:00+00:00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7F16A8-8706-4048-8BD3-633DD2023F7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C7BB08C-F486-4DC2-8118-513E89AAB5FD}"/>
</file>

<file path=customXml/itemProps3.xml><?xml version="1.0" encoding="utf-8"?>
<ds:datastoreItem xmlns:ds="http://schemas.openxmlformats.org/officeDocument/2006/customXml" ds:itemID="{93B591D3-E9F9-4CF5-9E20-2982FE7CF40A}"/>
</file>

<file path=customXml/itemProps4.xml><?xml version="1.0" encoding="utf-8"?>
<ds:datastoreItem xmlns:ds="http://schemas.openxmlformats.org/officeDocument/2006/customXml" ds:itemID="{40B1A75D-20A4-4E48-9C3F-72ABA8289D24}"/>
</file>

<file path=customXml/itemProps5.xml><?xml version="1.0" encoding="utf-8"?>
<ds:datastoreItem xmlns:ds="http://schemas.openxmlformats.org/officeDocument/2006/customXml" ds:itemID="{F0AC54C2-3B92-4328-8EF5-F60BB1C4A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Tariff Use&gt;</vt:lpstr>
      <vt:lpstr>Sch 140 Rates</vt:lpstr>
      <vt:lpstr>Lighting Rates</vt:lpstr>
      <vt:lpstr>Rate Impacts</vt:lpstr>
      <vt:lpstr>Workpapers&gt;</vt:lpstr>
      <vt:lpstr>Lighting RD</vt:lpstr>
      <vt:lpstr>Rate Spread &amp; Design</vt:lpstr>
      <vt:lpstr>Inputs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Regan, Jared</cp:lastModifiedBy>
  <cp:lastPrinted>2021-03-15T17:22:18Z</cp:lastPrinted>
  <dcterms:created xsi:type="dcterms:W3CDTF">2014-04-04T17:25:38Z</dcterms:created>
  <dcterms:modified xsi:type="dcterms:W3CDTF">2024-03-21T21:21:17Z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0x0101006E56B4D1795A2E4DB2F0B01679ED314A0014C6CDD429A71C44979B208878E6EDD3</vt:lpwstr>
  </property>
</Properties>
</file>