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Low Income\2024\Sch. 129 Off-Cycle Eff. 05-01-24\Draft Filing\"/>
    </mc:Choice>
  </mc:AlternateContent>
  <bookViews>
    <workbookView xWindow="-60" yWindow="15" windowWidth="14970" windowHeight="14430" tabRatio="837"/>
  </bookViews>
  <sheets>
    <sheet name="Rates Summary" sheetId="93" r:id="rId1"/>
    <sheet name="Rates" sheetId="7" r:id="rId2"/>
    <sheet name="Rate Impacts--&gt;" sheetId="16" r:id="rId3"/>
    <sheet name="Rate Impacts Sch 129" sheetId="99" r:id="rId4"/>
    <sheet name="Typical Res Bill Sch 129" sheetId="100" r:id="rId5"/>
    <sheet name="Sch. 129" sheetId="101" r:id="rId6"/>
    <sheet name="Work Papers--&gt;" sheetId="25" r:id="rId7"/>
    <sheet name="Sch 85 87 Rate Calc" sheetId="9" r:id="rId8"/>
    <sheet name="Margin Revenue" sheetId="8" r:id="rId9"/>
    <sheet name="Revenue Requirement" sheetId="92" r:id="rId10"/>
    <sheet name="Weather Adj. Volumes" sheetId="91" r:id="rId11"/>
    <sheet name="2022 GRC Rates--&gt;" sheetId="42" r:id="rId12"/>
    <sheet name="Exh JDT-5 (JDT-RES_RD)" sheetId="74" r:id="rId13"/>
    <sheet name="Exh JDT-5 (JDT-C&amp;I-RD)" sheetId="75" r:id="rId14"/>
    <sheet name="Exh JDT-5 (JDT-INTRPL-RD)" sheetId="76" r:id="rId15"/>
    <sheet name="Exh JDT-5 (JDT-MYRP)" sheetId="90" r:id="rId16"/>
  </sheets>
  <definedNames>
    <definedName name="_xlnm.Print_Area" localSheetId="15">'Exh JDT-5 (JDT-MYRP)'!$B$1:$R$256</definedName>
    <definedName name="_xlnm.Print_Area" localSheetId="8">'Margin Revenue'!$A$1:$M$38</definedName>
    <definedName name="_xlnm.Print_Area" localSheetId="3">'Rate Impacts Sch 129'!$A$1:$V$43</definedName>
    <definedName name="_xlnm.Print_Area" localSheetId="1">Rates!$A$1:$J$55</definedName>
    <definedName name="_xlnm.Print_Area" localSheetId="0">'Rates Summary'!$A$1:$G$49</definedName>
    <definedName name="_xlnm.Print_Area" localSheetId="7">'Sch 85 87 Rate Calc'!$A$1:$M$54</definedName>
    <definedName name="_xlnm.Print_Area" localSheetId="5">'Sch. 129'!$A$1:$I$50</definedName>
    <definedName name="_xlnm.Print_Area" localSheetId="4">'Typical Res Bill Sch 129'!$B$1:$H$42</definedName>
    <definedName name="_xlnm.Print_Area" localSheetId="10">'Weather Adj. Volumes'!$B$1:$P$253</definedName>
    <definedName name="_xlnm.Print_Titles" localSheetId="13">'Exh JDT-5 (JDT-C&amp;I-RD)'!$1:$8</definedName>
    <definedName name="_xlnm.Print_Titles" localSheetId="14">'Exh JDT-5 (JDT-INTRPL-RD)'!$1:$8</definedName>
    <definedName name="_xlnm.Print_Titles" localSheetId="15">'Exh JDT-5 (JDT-MYRP)'!$B:$B,'Exh JDT-5 (JDT-MYRP)'!$1:$8</definedName>
    <definedName name="_xlnm.Print_Titles" localSheetId="10">'Weather Adj. Volumes'!$1:$6</definedName>
  </definedNames>
  <calcPr calcId="162913"/>
</workbook>
</file>

<file path=xl/calcChain.xml><?xml version="1.0" encoding="utf-8"?>
<calcChain xmlns="http://schemas.openxmlformats.org/spreadsheetml/2006/main">
  <c r="D24" i="101" l="1"/>
  <c r="G23" i="101"/>
  <c r="D23" i="101"/>
  <c r="D15" i="101"/>
  <c r="G15" i="101" s="1"/>
  <c r="G14" i="101"/>
  <c r="D14" i="101"/>
  <c r="D12" i="101"/>
  <c r="G12" i="101" s="1"/>
  <c r="J12" i="101" s="1"/>
  <c r="G11" i="101"/>
  <c r="D11" i="101"/>
  <c r="G32" i="100"/>
  <c r="G31" i="100"/>
  <c r="G33" i="100" s="1"/>
  <c r="H33" i="100" s="1"/>
  <c r="D33" i="100"/>
  <c r="E33" i="100" s="1"/>
  <c r="E29" i="100"/>
  <c r="G29" i="100"/>
  <c r="H29" i="100" s="1"/>
  <c r="G26" i="100"/>
  <c r="G25" i="100"/>
  <c r="G24" i="100"/>
  <c r="G23" i="100"/>
  <c r="G22" i="100"/>
  <c r="G21" i="100"/>
  <c r="D20" i="100"/>
  <c r="G19" i="100"/>
  <c r="D27" i="100"/>
  <c r="H15" i="100"/>
  <c r="G15" i="100"/>
  <c r="G12" i="100"/>
  <c r="G13" i="100" s="1"/>
  <c r="B4" i="100"/>
  <c r="B2" i="100"/>
  <c r="U33" i="99"/>
  <c r="S33" i="99"/>
  <c r="O33" i="99"/>
  <c r="N33" i="99"/>
  <c r="M33" i="99"/>
  <c r="L33" i="99"/>
  <c r="J33" i="99"/>
  <c r="I33" i="99"/>
  <c r="S32" i="99"/>
  <c r="K32" i="99"/>
  <c r="S30" i="99"/>
  <c r="G29" i="99"/>
  <c r="K28" i="99"/>
  <c r="O27" i="99"/>
  <c r="R33" i="99"/>
  <c r="Q33" i="99"/>
  <c r="P33" i="99"/>
  <c r="K33" i="99"/>
  <c r="G33" i="99"/>
  <c r="E33" i="99"/>
  <c r="D33" i="99"/>
  <c r="F22" i="99"/>
  <c r="H22" i="99" s="1"/>
  <c r="O31" i="99"/>
  <c r="F21" i="99"/>
  <c r="H21" i="99" s="1"/>
  <c r="F20" i="99"/>
  <c r="H20" i="99" s="1"/>
  <c r="M19" i="99"/>
  <c r="F19" i="99"/>
  <c r="H19" i="99" s="1"/>
  <c r="T19" i="99" s="1"/>
  <c r="M18" i="99"/>
  <c r="F18" i="99"/>
  <c r="H18" i="99" s="1"/>
  <c r="T18" i="99" s="1"/>
  <c r="Q32" i="99"/>
  <c r="P32" i="99"/>
  <c r="O32" i="99"/>
  <c r="L32" i="99"/>
  <c r="J32" i="99"/>
  <c r="I32" i="99"/>
  <c r="G32" i="99"/>
  <c r="E32" i="99"/>
  <c r="F32" i="99" s="1"/>
  <c r="D32" i="99"/>
  <c r="S31" i="99"/>
  <c r="R31" i="99"/>
  <c r="Q31" i="99"/>
  <c r="P31" i="99"/>
  <c r="N31" i="99"/>
  <c r="M16" i="99"/>
  <c r="L31" i="99"/>
  <c r="K31" i="99"/>
  <c r="J31" i="99"/>
  <c r="I31" i="99"/>
  <c r="G31" i="99"/>
  <c r="E31" i="99"/>
  <c r="R30" i="99"/>
  <c r="Q30" i="99"/>
  <c r="P30" i="99"/>
  <c r="O30" i="99"/>
  <c r="N30" i="99"/>
  <c r="L30" i="99"/>
  <c r="K30" i="99"/>
  <c r="J30" i="99"/>
  <c r="I30" i="99"/>
  <c r="G30" i="99"/>
  <c r="E30" i="99"/>
  <c r="D30" i="99"/>
  <c r="S29" i="99"/>
  <c r="R29" i="99"/>
  <c r="Q29" i="99"/>
  <c r="P29" i="99"/>
  <c r="O29" i="99"/>
  <c r="N29" i="99"/>
  <c r="M14" i="99"/>
  <c r="M29" i="99" s="1"/>
  <c r="L29" i="99"/>
  <c r="K29" i="99"/>
  <c r="J29" i="99"/>
  <c r="I29" i="99"/>
  <c r="D29" i="99"/>
  <c r="S28" i="99"/>
  <c r="R28" i="99"/>
  <c r="P28" i="99"/>
  <c r="O28" i="99"/>
  <c r="N28" i="99"/>
  <c r="M13" i="99"/>
  <c r="L28" i="99"/>
  <c r="J28" i="99"/>
  <c r="I28" i="99"/>
  <c r="G28" i="99"/>
  <c r="E28" i="99"/>
  <c r="D28" i="99"/>
  <c r="F12" i="99"/>
  <c r="H12" i="99" s="1"/>
  <c r="T12" i="99" s="1"/>
  <c r="V12" i="99" s="1"/>
  <c r="A12" i="99"/>
  <c r="A13" i="99" s="1"/>
  <c r="A14" i="99" s="1"/>
  <c r="A15" i="99" s="1"/>
  <c r="A16" i="99" s="1"/>
  <c r="A17" i="99" s="1"/>
  <c r="A18" i="99" s="1"/>
  <c r="A19" i="99" s="1"/>
  <c r="A20" i="99" s="1"/>
  <c r="A21" i="99" s="1"/>
  <c r="A22" i="99" s="1"/>
  <c r="A23" i="99" s="1"/>
  <c r="A24" i="99" s="1"/>
  <c r="A26" i="99" s="1"/>
  <c r="A27" i="99" s="1"/>
  <c r="A28" i="99" s="1"/>
  <c r="A29" i="99" s="1"/>
  <c r="A30" i="99" s="1"/>
  <c r="A31" i="99" s="1"/>
  <c r="A32" i="99" s="1"/>
  <c r="A33" i="99" s="1"/>
  <c r="A34" i="99" s="1"/>
  <c r="A36" i="99" s="1"/>
  <c r="A37" i="99" s="1"/>
  <c r="A38" i="99" s="1"/>
  <c r="A39" i="99" s="1"/>
  <c r="A40" i="99" s="1"/>
  <c r="S27" i="99"/>
  <c r="P27" i="99"/>
  <c r="P34" i="99" s="1"/>
  <c r="L27" i="99"/>
  <c r="L34" i="99" s="1"/>
  <c r="J27" i="99"/>
  <c r="J34" i="99" s="1"/>
  <c r="G27" i="99"/>
  <c r="G34" i="99" s="1"/>
  <c r="D27" i="99"/>
  <c r="E7" i="99"/>
  <c r="O34" i="99" l="1"/>
  <c r="S34" i="99"/>
  <c r="I27" i="99"/>
  <c r="I34" i="99" s="1"/>
  <c r="I24" i="99"/>
  <c r="F28" i="99"/>
  <c r="M28" i="99"/>
  <c r="E29" i="99"/>
  <c r="F29" i="99" s="1"/>
  <c r="F30" i="99"/>
  <c r="F16" i="99"/>
  <c r="H16" i="99" s="1"/>
  <c r="F17" i="99"/>
  <c r="H17" i="99" s="1"/>
  <c r="N32" i="99"/>
  <c r="R32" i="99"/>
  <c r="D24" i="99"/>
  <c r="J24" i="99"/>
  <c r="H12" i="100"/>
  <c r="H13" i="100" s="1"/>
  <c r="D40" i="100"/>
  <c r="D34" i="100"/>
  <c r="E27" i="100"/>
  <c r="E34" i="100" s="1"/>
  <c r="E27" i="99"/>
  <c r="E24" i="99"/>
  <c r="Q27" i="99"/>
  <c r="Q34" i="99" s="1"/>
  <c r="Q24" i="99"/>
  <c r="Q28" i="99"/>
  <c r="F11" i="99"/>
  <c r="H11" i="99" s="1"/>
  <c r="N27" i="99"/>
  <c r="N34" i="99" s="1"/>
  <c r="N24" i="99"/>
  <c r="R27" i="99"/>
  <c r="R34" i="99" s="1"/>
  <c r="R24" i="99"/>
  <c r="F13" i="99"/>
  <c r="H13" i="99" s="1"/>
  <c r="F14" i="99"/>
  <c r="H14" i="99" s="1"/>
  <c r="F15" i="99"/>
  <c r="H15" i="99" s="1"/>
  <c r="F33" i="99"/>
  <c r="L24" i="99"/>
  <c r="G24" i="101"/>
  <c r="K24" i="99"/>
  <c r="O24" i="99"/>
  <c r="S24" i="99"/>
  <c r="D31" i="99"/>
  <c r="F31" i="99" s="1"/>
  <c r="F23" i="99"/>
  <c r="H23" i="99" s="1"/>
  <c r="G24" i="99"/>
  <c r="P24" i="99"/>
  <c r="K27" i="99"/>
  <c r="K34" i="99" s="1"/>
  <c r="D13" i="100"/>
  <c r="E12" i="100"/>
  <c r="E13" i="100" s="1"/>
  <c r="E15" i="100"/>
  <c r="G18" i="100"/>
  <c r="H30" i="99" l="1"/>
  <c r="H27" i="99"/>
  <c r="H24" i="99"/>
  <c r="H31" i="99"/>
  <c r="T16" i="99"/>
  <c r="D34" i="99"/>
  <c r="H32" i="99"/>
  <c r="F24" i="99"/>
  <c r="H28" i="99"/>
  <c r="T13" i="99"/>
  <c r="T28" i="99" s="1"/>
  <c r="E36" i="100"/>
  <c r="H33" i="99"/>
  <c r="T23" i="99"/>
  <c r="M21" i="99"/>
  <c r="H29" i="99"/>
  <c r="T14" i="99"/>
  <c r="F27" i="99"/>
  <c r="E34" i="99"/>
  <c r="F34" i="99" s="1"/>
  <c r="T33" i="99" l="1"/>
  <c r="V33" i="99" s="1"/>
  <c r="V23" i="99"/>
  <c r="H34" i="99"/>
  <c r="M31" i="99"/>
  <c r="T21" i="99"/>
  <c r="T31" i="99"/>
  <c r="T29" i="99"/>
  <c r="H11" i="9" l="1"/>
  <c r="A34" i="93" l="1"/>
  <c r="A35" i="93" s="1"/>
  <c r="A36" i="93" s="1"/>
  <c r="A37" i="93" s="1"/>
  <c r="A38" i="93" s="1"/>
  <c r="A40" i="93" s="1"/>
  <c r="A41" i="93" s="1"/>
  <c r="A42" i="93" s="1"/>
  <c r="A43" i="93" s="1"/>
  <c r="A44" i="93" s="1"/>
  <c r="A45" i="93" s="1"/>
  <c r="A46" i="93" s="1"/>
  <c r="F60" i="9" l="1"/>
  <c r="F57" i="9"/>
  <c r="F46" i="9" l="1"/>
  <c r="F37" i="9"/>
  <c r="F27" i="9"/>
  <c r="F18" i="9"/>
  <c r="E22" i="7"/>
  <c r="E14" i="7"/>
  <c r="E12" i="7"/>
  <c r="E10" i="7"/>
  <c r="D9" i="101" s="1"/>
  <c r="L26" i="8"/>
  <c r="L25" i="8"/>
  <c r="L21" i="8"/>
  <c r="L20" i="8"/>
  <c r="L17" i="8"/>
  <c r="L15" i="8"/>
  <c r="L13" i="8"/>
  <c r="M10" i="8"/>
  <c r="L10" i="8"/>
  <c r="G9" i="101" l="1"/>
  <c r="H50" i="7"/>
  <c r="A22" i="92"/>
  <c r="A21" i="92"/>
  <c r="A20" i="92"/>
  <c r="A19" i="92"/>
  <c r="A18" i="92"/>
  <c r="A17" i="92"/>
  <c r="G20" i="92"/>
  <c r="F20" i="92"/>
  <c r="A16" i="92"/>
  <c r="A15" i="92"/>
  <c r="A14" i="92"/>
  <c r="A13" i="92"/>
  <c r="A12" i="92"/>
  <c r="G13" i="92"/>
  <c r="G22" i="92" s="1"/>
  <c r="H11" i="92"/>
  <c r="A11" i="92"/>
  <c r="M11" i="99" l="1"/>
  <c r="F13" i="92"/>
  <c r="T11" i="99" l="1"/>
  <c r="M27" i="99"/>
  <c r="F22" i="92"/>
  <c r="H22" i="92" s="1"/>
  <c r="H13" i="92"/>
  <c r="T27" i="99" l="1"/>
  <c r="E37" i="99"/>
  <c r="F37" i="99" s="1"/>
  <c r="K227" i="91"/>
  <c r="E220" i="91"/>
  <c r="O212" i="91"/>
  <c r="N212" i="91"/>
  <c r="M212" i="91"/>
  <c r="L212" i="91"/>
  <c r="K212" i="91"/>
  <c r="J212" i="91"/>
  <c r="I212" i="91"/>
  <c r="H212" i="91"/>
  <c r="G212" i="91"/>
  <c r="F212" i="91"/>
  <c r="E212" i="91"/>
  <c r="D212" i="91"/>
  <c r="O211" i="91"/>
  <c r="N211" i="91"/>
  <c r="N213" i="91" s="1"/>
  <c r="N214" i="91" s="1"/>
  <c r="M211" i="91"/>
  <c r="L211" i="91"/>
  <c r="K211" i="91"/>
  <c r="J211" i="91"/>
  <c r="I211" i="91"/>
  <c r="H211" i="91"/>
  <c r="G211" i="91"/>
  <c r="F211" i="91"/>
  <c r="E211" i="91"/>
  <c r="D211" i="91"/>
  <c r="O210" i="91"/>
  <c r="N210" i="91"/>
  <c r="M210" i="91"/>
  <c r="L210" i="91"/>
  <c r="K210" i="91"/>
  <c r="J210" i="91"/>
  <c r="I210" i="91"/>
  <c r="H210" i="91"/>
  <c r="G210" i="91"/>
  <c r="F210" i="91"/>
  <c r="E210" i="91"/>
  <c r="D210" i="91"/>
  <c r="O209" i="91"/>
  <c r="N209" i="91"/>
  <c r="M209" i="91"/>
  <c r="L209" i="91"/>
  <c r="K209" i="91"/>
  <c r="J209" i="91"/>
  <c r="I209" i="91"/>
  <c r="H209" i="91"/>
  <c r="G209" i="91"/>
  <c r="F209" i="91"/>
  <c r="E209" i="91"/>
  <c r="D209" i="91"/>
  <c r="P209" i="91" s="1"/>
  <c r="O208" i="91"/>
  <c r="N208" i="91"/>
  <c r="M208" i="91"/>
  <c r="L208" i="91"/>
  <c r="K208" i="91"/>
  <c r="J208" i="91"/>
  <c r="I208" i="91"/>
  <c r="H208" i="91"/>
  <c r="G208" i="91"/>
  <c r="F208" i="91"/>
  <c r="E208" i="91"/>
  <c r="D208" i="91"/>
  <c r="O207" i="91"/>
  <c r="N207" i="91"/>
  <c r="M207" i="91"/>
  <c r="L207" i="91"/>
  <c r="K207" i="91"/>
  <c r="J207" i="91"/>
  <c r="I207" i="91"/>
  <c r="H207" i="91"/>
  <c r="G207" i="91"/>
  <c r="F207" i="91"/>
  <c r="E207" i="91"/>
  <c r="D207" i="91"/>
  <c r="P207" i="91" s="1"/>
  <c r="O206" i="91"/>
  <c r="N206" i="91"/>
  <c r="M206" i="91"/>
  <c r="L206" i="91"/>
  <c r="K206" i="91"/>
  <c r="J206" i="91"/>
  <c r="I206" i="91"/>
  <c r="H206" i="91"/>
  <c r="G206" i="91"/>
  <c r="F206" i="91"/>
  <c r="E206" i="91"/>
  <c r="D206" i="91"/>
  <c r="P206" i="91" s="1"/>
  <c r="O205" i="91"/>
  <c r="N205" i="91"/>
  <c r="M205" i="91"/>
  <c r="L205" i="91"/>
  <c r="K205" i="91"/>
  <c r="J205" i="91"/>
  <c r="I205" i="91"/>
  <c r="H205" i="91"/>
  <c r="G205" i="91"/>
  <c r="F205" i="91"/>
  <c r="E205" i="91"/>
  <c r="D205" i="91"/>
  <c r="P205" i="91" s="1"/>
  <c r="O204" i="91"/>
  <c r="N204" i="91"/>
  <c r="M204" i="91"/>
  <c r="L204" i="91"/>
  <c r="K204" i="91"/>
  <c r="J204" i="91"/>
  <c r="I204" i="91"/>
  <c r="H204" i="91"/>
  <c r="G204" i="91"/>
  <c r="F204" i="91"/>
  <c r="E204" i="91"/>
  <c r="D204" i="91"/>
  <c r="O203" i="91"/>
  <c r="N203" i="91"/>
  <c r="M203" i="91"/>
  <c r="L203" i="91"/>
  <c r="K203" i="91"/>
  <c r="J203" i="91"/>
  <c r="I203" i="91"/>
  <c r="H203" i="91"/>
  <c r="G203" i="91"/>
  <c r="F203" i="91"/>
  <c r="F213" i="91" s="1"/>
  <c r="F214" i="91" s="1"/>
  <c r="E203" i="91"/>
  <c r="D203" i="91"/>
  <c r="P203" i="91" s="1"/>
  <c r="O202" i="91"/>
  <c r="N202" i="91"/>
  <c r="M202" i="91"/>
  <c r="L202" i="91"/>
  <c r="K202" i="91"/>
  <c r="J202" i="91"/>
  <c r="I202" i="91"/>
  <c r="H202" i="91"/>
  <c r="G202" i="91"/>
  <c r="F202" i="91"/>
  <c r="E202" i="91"/>
  <c r="D202" i="91"/>
  <c r="O201" i="91"/>
  <c r="N201" i="91"/>
  <c r="M201" i="91"/>
  <c r="L201" i="91"/>
  <c r="K201" i="91"/>
  <c r="J201" i="91"/>
  <c r="I201" i="91"/>
  <c r="H201" i="91"/>
  <c r="H213" i="91" s="1"/>
  <c r="H214" i="91" s="1"/>
  <c r="G201" i="91"/>
  <c r="F201" i="91"/>
  <c r="E201" i="91"/>
  <c r="D201" i="91"/>
  <c r="P201" i="91" s="1"/>
  <c r="O200" i="91"/>
  <c r="N200" i="91"/>
  <c r="M200" i="91"/>
  <c r="L200" i="91"/>
  <c r="K200" i="91"/>
  <c r="J200" i="91"/>
  <c r="I200" i="91"/>
  <c r="H200" i="91"/>
  <c r="G200" i="91"/>
  <c r="F200" i="91"/>
  <c r="E200" i="91"/>
  <c r="D200" i="91"/>
  <c r="P200" i="91" s="1"/>
  <c r="O199" i="91"/>
  <c r="N199" i="91"/>
  <c r="M199" i="91"/>
  <c r="L199" i="91"/>
  <c r="K199" i="91"/>
  <c r="J199" i="91"/>
  <c r="J213" i="91" s="1"/>
  <c r="J214" i="91" s="1"/>
  <c r="I199" i="91"/>
  <c r="H199" i="91"/>
  <c r="G199" i="91"/>
  <c r="F199" i="91"/>
  <c r="E199" i="91"/>
  <c r="D199" i="91"/>
  <c r="O192" i="91"/>
  <c r="O227" i="91" s="1"/>
  <c r="G192" i="91"/>
  <c r="G227" i="91" s="1"/>
  <c r="H189" i="91"/>
  <c r="H224" i="91" s="1"/>
  <c r="P185" i="91"/>
  <c r="M184" i="91"/>
  <c r="M220" i="91" s="1"/>
  <c r="E184" i="91"/>
  <c r="P173" i="91"/>
  <c r="P170" i="91"/>
  <c r="P166" i="91"/>
  <c r="P165" i="91"/>
  <c r="P161" i="91"/>
  <c r="M149" i="91"/>
  <c r="M172" i="91" s="1"/>
  <c r="G147" i="91"/>
  <c r="G164" i="91" s="1"/>
  <c r="O139" i="91"/>
  <c r="N139" i="91"/>
  <c r="M139" i="91"/>
  <c r="L139" i="91"/>
  <c r="K139" i="91"/>
  <c r="J139" i="91"/>
  <c r="I139" i="91"/>
  <c r="H139" i="91"/>
  <c r="G139" i="91"/>
  <c r="F139" i="91"/>
  <c r="E139" i="91"/>
  <c r="D139" i="91"/>
  <c r="P139" i="91" s="1"/>
  <c r="O138" i="91"/>
  <c r="N138" i="91"/>
  <c r="M138" i="91"/>
  <c r="M192" i="91" s="1"/>
  <c r="M227" i="91" s="1"/>
  <c r="L138" i="91"/>
  <c r="K138" i="91"/>
  <c r="K192" i="91" s="1"/>
  <c r="J138" i="91"/>
  <c r="I138" i="91"/>
  <c r="H138" i="91"/>
  <c r="G138" i="91"/>
  <c r="F138" i="91"/>
  <c r="E138" i="91"/>
  <c r="D138" i="91"/>
  <c r="O137" i="91"/>
  <c r="N137" i="91"/>
  <c r="M137" i="91"/>
  <c r="L137" i="91"/>
  <c r="K137" i="91"/>
  <c r="J137" i="91"/>
  <c r="I137" i="91"/>
  <c r="H137" i="91"/>
  <c r="G137" i="91"/>
  <c r="F137" i="91"/>
  <c r="E137" i="91"/>
  <c r="D137" i="91"/>
  <c r="O136" i="91"/>
  <c r="N136" i="91"/>
  <c r="M136" i="91"/>
  <c r="L136" i="91"/>
  <c r="K136" i="91"/>
  <c r="J136" i="91"/>
  <c r="I136" i="91"/>
  <c r="H136" i="91"/>
  <c r="G136" i="91"/>
  <c r="F136" i="91"/>
  <c r="E136" i="91"/>
  <c r="D136" i="91"/>
  <c r="O135" i="91"/>
  <c r="N135" i="91"/>
  <c r="M135" i="91"/>
  <c r="L135" i="91"/>
  <c r="K135" i="91"/>
  <c r="J135" i="91"/>
  <c r="I135" i="91"/>
  <c r="H135" i="91"/>
  <c r="G135" i="91"/>
  <c r="F135" i="91"/>
  <c r="E135" i="91"/>
  <c r="D135" i="91"/>
  <c r="P135" i="91" s="1"/>
  <c r="C135" i="91"/>
  <c r="B135" i="91"/>
  <c r="O134" i="91"/>
  <c r="N134" i="91"/>
  <c r="M134" i="91"/>
  <c r="L134" i="91"/>
  <c r="K134" i="91"/>
  <c r="J134" i="91"/>
  <c r="I134" i="91"/>
  <c r="H134" i="91"/>
  <c r="G134" i="91"/>
  <c r="F134" i="91"/>
  <c r="E134" i="91"/>
  <c r="D134" i="91"/>
  <c r="P134" i="91" s="1"/>
  <c r="C134" i="91"/>
  <c r="B134" i="91"/>
  <c r="O133" i="91"/>
  <c r="N133" i="91"/>
  <c r="M133" i="91"/>
  <c r="L133" i="91"/>
  <c r="K133" i="91"/>
  <c r="J133" i="91"/>
  <c r="I133" i="91"/>
  <c r="H133" i="91"/>
  <c r="G133" i="91"/>
  <c r="F133" i="91"/>
  <c r="E133" i="91"/>
  <c r="D133" i="91"/>
  <c r="C133" i="91"/>
  <c r="B133" i="91"/>
  <c r="O132" i="91"/>
  <c r="N132" i="91"/>
  <c r="M132" i="91"/>
  <c r="L132" i="91"/>
  <c r="K132" i="91"/>
  <c r="J132" i="91"/>
  <c r="I132" i="91"/>
  <c r="H132" i="91"/>
  <c r="G132" i="91"/>
  <c r="F132" i="91"/>
  <c r="E132" i="91"/>
  <c r="D132" i="91"/>
  <c r="O131" i="91"/>
  <c r="O189" i="91" s="1"/>
  <c r="O224" i="91" s="1"/>
  <c r="N131" i="91"/>
  <c r="N189" i="91" s="1"/>
  <c r="N224" i="91" s="1"/>
  <c r="M131" i="91"/>
  <c r="M189" i="91" s="1"/>
  <c r="M224" i="91" s="1"/>
  <c r="L131" i="91"/>
  <c r="L189" i="91" s="1"/>
  <c r="L224" i="91" s="1"/>
  <c r="K131" i="91"/>
  <c r="K189" i="91" s="1"/>
  <c r="K224" i="91" s="1"/>
  <c r="J131" i="91"/>
  <c r="J189" i="91" s="1"/>
  <c r="J224" i="91" s="1"/>
  <c r="I131" i="91"/>
  <c r="I189" i="91" s="1"/>
  <c r="I224" i="91" s="1"/>
  <c r="H131" i="91"/>
  <c r="G131" i="91"/>
  <c r="G189" i="91" s="1"/>
  <c r="G224" i="91" s="1"/>
  <c r="F131" i="91"/>
  <c r="F189" i="91" s="1"/>
  <c r="F224" i="91" s="1"/>
  <c r="E131" i="91"/>
  <c r="E189" i="91" s="1"/>
  <c r="E224" i="91" s="1"/>
  <c r="D131" i="91"/>
  <c r="D189" i="91" s="1"/>
  <c r="D224" i="91" s="1"/>
  <c r="O130" i="91"/>
  <c r="O184" i="91" s="1"/>
  <c r="O220" i="91" s="1"/>
  <c r="N130" i="91"/>
  <c r="N184" i="91" s="1"/>
  <c r="N220" i="91" s="1"/>
  <c r="M130" i="91"/>
  <c r="L130" i="91"/>
  <c r="L184" i="91" s="1"/>
  <c r="L220" i="91" s="1"/>
  <c r="K130" i="91"/>
  <c r="K184" i="91" s="1"/>
  <c r="K220" i="91" s="1"/>
  <c r="J130" i="91"/>
  <c r="J184" i="91" s="1"/>
  <c r="J220" i="91" s="1"/>
  <c r="I130" i="91"/>
  <c r="I184" i="91" s="1"/>
  <c r="I220" i="91" s="1"/>
  <c r="H130" i="91"/>
  <c r="H184" i="91" s="1"/>
  <c r="H220" i="91" s="1"/>
  <c r="G130" i="91"/>
  <c r="G184" i="91" s="1"/>
  <c r="G220" i="91" s="1"/>
  <c r="F130" i="91"/>
  <c r="F184" i="91" s="1"/>
  <c r="F220" i="91" s="1"/>
  <c r="E130" i="91"/>
  <c r="D130" i="91"/>
  <c r="D184" i="91" s="1"/>
  <c r="O129" i="91"/>
  <c r="N129" i="91"/>
  <c r="M129" i="91"/>
  <c r="L129" i="91"/>
  <c r="K129" i="91"/>
  <c r="K140" i="91" s="1"/>
  <c r="J129" i="91"/>
  <c r="I129" i="91"/>
  <c r="H129" i="91"/>
  <c r="G129" i="91"/>
  <c r="F129" i="91"/>
  <c r="E129" i="91"/>
  <c r="D129" i="91"/>
  <c r="P129" i="91" s="1"/>
  <c r="C129" i="91"/>
  <c r="B129" i="91"/>
  <c r="O128" i="91"/>
  <c r="O180" i="91" s="1"/>
  <c r="N128" i="91"/>
  <c r="M128" i="91"/>
  <c r="L128" i="91"/>
  <c r="K128" i="91"/>
  <c r="K180" i="91" s="1"/>
  <c r="J128" i="91"/>
  <c r="I128" i="91"/>
  <c r="H128" i="91"/>
  <c r="G128" i="91"/>
  <c r="G180" i="91" s="1"/>
  <c r="F128" i="91"/>
  <c r="E128" i="91"/>
  <c r="D128" i="91"/>
  <c r="I123" i="91"/>
  <c r="I154" i="91" s="1"/>
  <c r="H120" i="91"/>
  <c r="M119" i="91"/>
  <c r="E119" i="91"/>
  <c r="H110" i="91"/>
  <c r="H124" i="91" s="1"/>
  <c r="H155" i="91" s="1"/>
  <c r="M109" i="91"/>
  <c r="M123" i="91" s="1"/>
  <c r="M154" i="91" s="1"/>
  <c r="I109" i="91"/>
  <c r="E109" i="91"/>
  <c r="E123" i="91" s="1"/>
  <c r="E154" i="91" s="1"/>
  <c r="J108" i="91"/>
  <c r="J122" i="91" s="1"/>
  <c r="O107" i="91"/>
  <c r="O121" i="91" s="1"/>
  <c r="G107" i="91"/>
  <c r="G121" i="91" s="1"/>
  <c r="L106" i="91"/>
  <c r="L120" i="91" s="1"/>
  <c r="H106" i="91"/>
  <c r="D106" i="91"/>
  <c r="D120" i="91" s="1"/>
  <c r="M105" i="91"/>
  <c r="I105" i="91"/>
  <c r="I119" i="91" s="1"/>
  <c r="E105" i="91"/>
  <c r="N104" i="91"/>
  <c r="N118" i="91" s="1"/>
  <c r="F104" i="91"/>
  <c r="F118" i="91" s="1"/>
  <c r="K103" i="91"/>
  <c r="K117" i="91" s="1"/>
  <c r="M102" i="91"/>
  <c r="M116" i="91" s="1"/>
  <c r="I102" i="91"/>
  <c r="I116" i="91" s="1"/>
  <c r="H102" i="91"/>
  <c r="H116" i="91" s="1"/>
  <c r="E102" i="91"/>
  <c r="E116" i="91" s="1"/>
  <c r="M101" i="91"/>
  <c r="M115" i="91" s="1"/>
  <c r="E101" i="91"/>
  <c r="E115" i="91" s="1"/>
  <c r="J100" i="91"/>
  <c r="J114" i="91" s="1"/>
  <c r="E100" i="91"/>
  <c r="E114" i="91" s="1"/>
  <c r="O83" i="91"/>
  <c r="O100" i="91" s="1"/>
  <c r="O114" i="91" s="1"/>
  <c r="N83" i="91"/>
  <c r="N108" i="91" s="1"/>
  <c r="N122" i="91" s="1"/>
  <c r="M83" i="91"/>
  <c r="L83" i="91"/>
  <c r="L110" i="91" s="1"/>
  <c r="L124" i="91" s="1"/>
  <c r="L155" i="91" s="1"/>
  <c r="K83" i="91"/>
  <c r="K107" i="91" s="1"/>
  <c r="K121" i="91" s="1"/>
  <c r="J83" i="91"/>
  <c r="J101" i="91" s="1"/>
  <c r="J115" i="91" s="1"/>
  <c r="I83" i="91"/>
  <c r="H83" i="91"/>
  <c r="H111" i="91" s="1"/>
  <c r="H125" i="91" s="1"/>
  <c r="G83" i="91"/>
  <c r="G103" i="91" s="1"/>
  <c r="G117" i="91" s="1"/>
  <c r="F83" i="91"/>
  <c r="F108" i="91" s="1"/>
  <c r="F122" i="91" s="1"/>
  <c r="E83" i="91"/>
  <c r="D83" i="91"/>
  <c r="D110" i="91" s="1"/>
  <c r="P82" i="91"/>
  <c r="P81" i="91"/>
  <c r="P83" i="91" s="1"/>
  <c r="O78" i="91"/>
  <c r="O111" i="91" s="1"/>
  <c r="O125" i="91" s="1"/>
  <c r="N78" i="91"/>
  <c r="M78" i="91"/>
  <c r="M111" i="91" s="1"/>
  <c r="M125" i="91" s="1"/>
  <c r="L78" i="91"/>
  <c r="K78" i="91"/>
  <c r="K111" i="91" s="1"/>
  <c r="K125" i="91" s="1"/>
  <c r="J78" i="91"/>
  <c r="I78" i="91"/>
  <c r="I111" i="91" s="1"/>
  <c r="I125" i="91" s="1"/>
  <c r="H78" i="91"/>
  <c r="G78" i="91"/>
  <c r="G111" i="91" s="1"/>
  <c r="G125" i="91" s="1"/>
  <c r="F78" i="91"/>
  <c r="E78" i="91"/>
  <c r="E111" i="91" s="1"/>
  <c r="E125" i="91" s="1"/>
  <c r="D78" i="91"/>
  <c r="O77" i="91"/>
  <c r="N77" i="91"/>
  <c r="N109" i="91" s="1"/>
  <c r="N123" i="91" s="1"/>
  <c r="N154" i="91" s="1"/>
  <c r="M77" i="91"/>
  <c r="L77" i="91"/>
  <c r="L109" i="91" s="1"/>
  <c r="L123" i="91" s="1"/>
  <c r="L154" i="91" s="1"/>
  <c r="K77" i="91"/>
  <c r="J77" i="91"/>
  <c r="J109" i="91" s="1"/>
  <c r="J123" i="91" s="1"/>
  <c r="J154" i="91" s="1"/>
  <c r="I77" i="91"/>
  <c r="H77" i="91"/>
  <c r="H109" i="91" s="1"/>
  <c r="H123" i="91" s="1"/>
  <c r="H154" i="91" s="1"/>
  <c r="G77" i="91"/>
  <c r="F77" i="91"/>
  <c r="F109" i="91" s="1"/>
  <c r="F123" i="91" s="1"/>
  <c r="F154" i="91" s="1"/>
  <c r="E77" i="91"/>
  <c r="D77" i="91"/>
  <c r="D109" i="91" s="1"/>
  <c r="O76" i="91"/>
  <c r="O108" i="91" s="1"/>
  <c r="O122" i="91" s="1"/>
  <c r="N76" i="91"/>
  <c r="M76" i="91"/>
  <c r="M108" i="91" s="1"/>
  <c r="M122" i="91" s="1"/>
  <c r="L76" i="91"/>
  <c r="L108" i="91" s="1"/>
  <c r="L122" i="91" s="1"/>
  <c r="K76" i="91"/>
  <c r="K108" i="91" s="1"/>
  <c r="K122" i="91" s="1"/>
  <c r="J76" i="91"/>
  <c r="I76" i="91"/>
  <c r="I108" i="91" s="1"/>
  <c r="I122" i="91" s="1"/>
  <c r="H76" i="91"/>
  <c r="H108" i="91" s="1"/>
  <c r="H122" i="91" s="1"/>
  <c r="G76" i="91"/>
  <c r="G108" i="91" s="1"/>
  <c r="G122" i="91" s="1"/>
  <c r="F76" i="91"/>
  <c r="E76" i="91"/>
  <c r="E108" i="91" s="1"/>
  <c r="E122" i="91" s="1"/>
  <c r="E188" i="91" s="1"/>
  <c r="E223" i="91" s="1"/>
  <c r="D76" i="91"/>
  <c r="D108" i="91" s="1"/>
  <c r="O75" i="91"/>
  <c r="N75" i="91"/>
  <c r="N107" i="91" s="1"/>
  <c r="N121" i="91" s="1"/>
  <c r="M75" i="91"/>
  <c r="M107" i="91" s="1"/>
  <c r="M121" i="91" s="1"/>
  <c r="L75" i="91"/>
  <c r="L107" i="91" s="1"/>
  <c r="L121" i="91" s="1"/>
  <c r="K75" i="91"/>
  <c r="J75" i="91"/>
  <c r="J107" i="91" s="1"/>
  <c r="J121" i="91" s="1"/>
  <c r="I75" i="91"/>
  <c r="I107" i="91" s="1"/>
  <c r="I121" i="91" s="1"/>
  <c r="H75" i="91"/>
  <c r="H107" i="91" s="1"/>
  <c r="H121" i="91" s="1"/>
  <c r="G75" i="91"/>
  <c r="F75" i="91"/>
  <c r="F107" i="91" s="1"/>
  <c r="F121" i="91" s="1"/>
  <c r="E75" i="91"/>
  <c r="E107" i="91" s="1"/>
  <c r="E121" i="91" s="1"/>
  <c r="D75" i="91"/>
  <c r="D107" i="91" s="1"/>
  <c r="O74" i="91"/>
  <c r="O106" i="91" s="1"/>
  <c r="O120" i="91" s="1"/>
  <c r="N74" i="91"/>
  <c r="N106" i="91" s="1"/>
  <c r="N120" i="91" s="1"/>
  <c r="M74" i="91"/>
  <c r="M106" i="91" s="1"/>
  <c r="M120" i="91" s="1"/>
  <c r="L74" i="91"/>
  <c r="K74" i="91"/>
  <c r="K106" i="91" s="1"/>
  <c r="K120" i="91" s="1"/>
  <c r="J74" i="91"/>
  <c r="J106" i="91" s="1"/>
  <c r="J120" i="91" s="1"/>
  <c r="I74" i="91"/>
  <c r="I106" i="91" s="1"/>
  <c r="I120" i="91" s="1"/>
  <c r="H74" i="91"/>
  <c r="G74" i="91"/>
  <c r="G106" i="91" s="1"/>
  <c r="G120" i="91" s="1"/>
  <c r="F74" i="91"/>
  <c r="F106" i="91" s="1"/>
  <c r="F120" i="91" s="1"/>
  <c r="E74" i="91"/>
  <c r="E106" i="91" s="1"/>
  <c r="E120" i="91" s="1"/>
  <c r="D74" i="91"/>
  <c r="O73" i="91"/>
  <c r="O105" i="91" s="1"/>
  <c r="O119" i="91" s="1"/>
  <c r="N73" i="91"/>
  <c r="N105" i="91" s="1"/>
  <c r="N119" i="91" s="1"/>
  <c r="M73" i="91"/>
  <c r="L73" i="91"/>
  <c r="L105" i="91" s="1"/>
  <c r="L119" i="91" s="1"/>
  <c r="K73" i="91"/>
  <c r="K105" i="91" s="1"/>
  <c r="K119" i="91" s="1"/>
  <c r="J73" i="91"/>
  <c r="J105" i="91" s="1"/>
  <c r="J119" i="91" s="1"/>
  <c r="I73" i="91"/>
  <c r="H73" i="91"/>
  <c r="H105" i="91" s="1"/>
  <c r="H119" i="91" s="1"/>
  <c r="G73" i="91"/>
  <c r="G105" i="91" s="1"/>
  <c r="G119" i="91" s="1"/>
  <c r="F73" i="91"/>
  <c r="F105" i="91" s="1"/>
  <c r="F119" i="91" s="1"/>
  <c r="E73" i="91"/>
  <c r="D73" i="91"/>
  <c r="D105" i="91" s="1"/>
  <c r="O72" i="91"/>
  <c r="O104" i="91" s="1"/>
  <c r="O118" i="91" s="1"/>
  <c r="N72" i="91"/>
  <c r="M72" i="91"/>
  <c r="M104" i="91" s="1"/>
  <c r="M118" i="91" s="1"/>
  <c r="L72" i="91"/>
  <c r="L104" i="91" s="1"/>
  <c r="L118" i="91" s="1"/>
  <c r="K72" i="91"/>
  <c r="K104" i="91" s="1"/>
  <c r="K118" i="91" s="1"/>
  <c r="J72" i="91"/>
  <c r="I72" i="91"/>
  <c r="I104" i="91" s="1"/>
  <c r="I118" i="91" s="1"/>
  <c r="H72" i="91"/>
  <c r="H104" i="91" s="1"/>
  <c r="H118" i="91" s="1"/>
  <c r="G72" i="91"/>
  <c r="G104" i="91" s="1"/>
  <c r="G118" i="91" s="1"/>
  <c r="F72" i="91"/>
  <c r="E72" i="91"/>
  <c r="E104" i="91" s="1"/>
  <c r="E118" i="91" s="1"/>
  <c r="D72" i="91"/>
  <c r="D104" i="91" s="1"/>
  <c r="O71" i="91"/>
  <c r="N71" i="91"/>
  <c r="N103" i="91" s="1"/>
  <c r="N117" i="91" s="1"/>
  <c r="M71" i="91"/>
  <c r="M103" i="91" s="1"/>
  <c r="M117" i="91" s="1"/>
  <c r="L71" i="91"/>
  <c r="L103" i="91" s="1"/>
  <c r="L117" i="91" s="1"/>
  <c r="K71" i="91"/>
  <c r="J71" i="91"/>
  <c r="J103" i="91" s="1"/>
  <c r="J117" i="91" s="1"/>
  <c r="I71" i="91"/>
  <c r="I103" i="91" s="1"/>
  <c r="I117" i="91" s="1"/>
  <c r="H71" i="91"/>
  <c r="H103" i="91" s="1"/>
  <c r="H117" i="91" s="1"/>
  <c r="G71" i="91"/>
  <c r="F71" i="91"/>
  <c r="F103" i="91" s="1"/>
  <c r="F117" i="91" s="1"/>
  <c r="E71" i="91"/>
  <c r="E103" i="91" s="1"/>
  <c r="E117" i="91" s="1"/>
  <c r="D71" i="91"/>
  <c r="P71" i="91" s="1"/>
  <c r="O70" i="91"/>
  <c r="O110" i="91" s="1"/>
  <c r="O124" i="91" s="1"/>
  <c r="O155" i="91" s="1"/>
  <c r="N70" i="91"/>
  <c r="N110" i="91" s="1"/>
  <c r="N124" i="91" s="1"/>
  <c r="N155" i="91" s="1"/>
  <c r="M70" i="91"/>
  <c r="M110" i="91" s="1"/>
  <c r="M124" i="91" s="1"/>
  <c r="M155" i="91" s="1"/>
  <c r="L70" i="91"/>
  <c r="K70" i="91"/>
  <c r="K110" i="91" s="1"/>
  <c r="K124" i="91" s="1"/>
  <c r="K155" i="91" s="1"/>
  <c r="J70" i="91"/>
  <c r="J110" i="91" s="1"/>
  <c r="J124" i="91" s="1"/>
  <c r="J155" i="91" s="1"/>
  <c r="I70" i="91"/>
  <c r="I110" i="91" s="1"/>
  <c r="I124" i="91" s="1"/>
  <c r="I155" i="91" s="1"/>
  <c r="H70" i="91"/>
  <c r="G70" i="91"/>
  <c r="G110" i="91" s="1"/>
  <c r="G124" i="91" s="1"/>
  <c r="G155" i="91" s="1"/>
  <c r="F70" i="91"/>
  <c r="F110" i="91" s="1"/>
  <c r="F124" i="91" s="1"/>
  <c r="F155" i="91" s="1"/>
  <c r="E70" i="91"/>
  <c r="E110" i="91" s="1"/>
  <c r="E124" i="91" s="1"/>
  <c r="E155" i="91" s="1"/>
  <c r="D70" i="91"/>
  <c r="O69" i="91"/>
  <c r="O102" i="91" s="1"/>
  <c r="O116" i="91" s="1"/>
  <c r="N69" i="91"/>
  <c r="N102" i="91" s="1"/>
  <c r="N116" i="91" s="1"/>
  <c r="M69" i="91"/>
  <c r="L69" i="91"/>
  <c r="L102" i="91" s="1"/>
  <c r="L116" i="91" s="1"/>
  <c r="K69" i="91"/>
  <c r="K102" i="91" s="1"/>
  <c r="K116" i="91" s="1"/>
  <c r="J69" i="91"/>
  <c r="J102" i="91" s="1"/>
  <c r="J116" i="91" s="1"/>
  <c r="I69" i="91"/>
  <c r="H69" i="91"/>
  <c r="G69" i="91"/>
  <c r="G102" i="91" s="1"/>
  <c r="G116" i="91" s="1"/>
  <c r="F69" i="91"/>
  <c r="F102" i="91" s="1"/>
  <c r="F116" i="91" s="1"/>
  <c r="E69" i="91"/>
  <c r="D69" i="91"/>
  <c r="D102" i="91" s="1"/>
  <c r="O68" i="91"/>
  <c r="O101" i="91" s="1"/>
  <c r="O115" i="91" s="1"/>
  <c r="N68" i="91"/>
  <c r="M68" i="91"/>
  <c r="L68" i="91"/>
  <c r="L101" i="91" s="1"/>
  <c r="L115" i="91" s="1"/>
  <c r="K68" i="91"/>
  <c r="K101" i="91" s="1"/>
  <c r="K115" i="91" s="1"/>
  <c r="J68" i="91"/>
  <c r="I68" i="91"/>
  <c r="I101" i="91" s="1"/>
  <c r="I115" i="91" s="1"/>
  <c r="H68" i="91"/>
  <c r="H101" i="91" s="1"/>
  <c r="H115" i="91" s="1"/>
  <c r="G68" i="91"/>
  <c r="G101" i="91" s="1"/>
  <c r="G115" i="91" s="1"/>
  <c r="F68" i="91"/>
  <c r="E68" i="91"/>
  <c r="D68" i="91"/>
  <c r="D101" i="91" s="1"/>
  <c r="O67" i="91"/>
  <c r="N67" i="91"/>
  <c r="N100" i="91" s="1"/>
  <c r="N114" i="91" s="1"/>
  <c r="M67" i="91"/>
  <c r="M100" i="91" s="1"/>
  <c r="M114" i="91" s="1"/>
  <c r="L67" i="91"/>
  <c r="L100" i="91" s="1"/>
  <c r="L114" i="91" s="1"/>
  <c r="K67" i="91"/>
  <c r="J67" i="91"/>
  <c r="I67" i="91"/>
  <c r="I100" i="91" s="1"/>
  <c r="I114" i="91" s="1"/>
  <c r="H67" i="91"/>
  <c r="H100" i="91" s="1"/>
  <c r="H114" i="91" s="1"/>
  <c r="G67" i="91"/>
  <c r="F67" i="91"/>
  <c r="F100" i="91" s="1"/>
  <c r="F114" i="91" s="1"/>
  <c r="E67" i="91"/>
  <c r="D67" i="91"/>
  <c r="D100" i="91" s="1"/>
  <c r="O64" i="91"/>
  <c r="N64" i="91"/>
  <c r="M64" i="91"/>
  <c r="L64" i="91"/>
  <c r="K64" i="91"/>
  <c r="J64" i="91"/>
  <c r="I64" i="91"/>
  <c r="H64" i="91"/>
  <c r="G64" i="91"/>
  <c r="F64" i="91"/>
  <c r="E64" i="91"/>
  <c r="D64" i="91"/>
  <c r="P64" i="91" s="1"/>
  <c r="P63" i="91"/>
  <c r="P62" i="91"/>
  <c r="P61" i="91"/>
  <c r="P60" i="91"/>
  <c r="P59" i="91"/>
  <c r="P58" i="91"/>
  <c r="P57" i="91"/>
  <c r="P56" i="91"/>
  <c r="P55" i="91"/>
  <c r="P54" i="91"/>
  <c r="P53" i="91"/>
  <c r="P52" i="91"/>
  <c r="P51" i="91"/>
  <c r="P50" i="91"/>
  <c r="P49" i="91"/>
  <c r="P48" i="91"/>
  <c r="P47" i="91"/>
  <c r="P46" i="91"/>
  <c r="P45" i="91"/>
  <c r="P44" i="91"/>
  <c r="P43" i="91"/>
  <c r="P42" i="91"/>
  <c r="P41" i="91"/>
  <c r="P40" i="91"/>
  <c r="P39" i="91"/>
  <c r="P38" i="91"/>
  <c r="P37" i="91"/>
  <c r="P36" i="91"/>
  <c r="O33" i="91"/>
  <c r="N33" i="91"/>
  <c r="M33" i="91"/>
  <c r="L33" i="91"/>
  <c r="K33" i="91"/>
  <c r="J33" i="91"/>
  <c r="I33" i="91"/>
  <c r="H33" i="91"/>
  <c r="G33" i="91"/>
  <c r="F33" i="91"/>
  <c r="E33" i="91"/>
  <c r="D33" i="91"/>
  <c r="P33" i="91" s="1"/>
  <c r="O32" i="91"/>
  <c r="N32" i="91"/>
  <c r="M32" i="91"/>
  <c r="L32" i="91"/>
  <c r="K32" i="91"/>
  <c r="J32" i="91"/>
  <c r="I32" i="91"/>
  <c r="H32" i="91"/>
  <c r="G32" i="91"/>
  <c r="F32" i="91"/>
  <c r="E32" i="91"/>
  <c r="D32" i="91"/>
  <c r="P32" i="91" s="1"/>
  <c r="P31" i="91"/>
  <c r="P30" i="91"/>
  <c r="P29" i="91"/>
  <c r="P28" i="91"/>
  <c r="P27" i="91"/>
  <c r="P26" i="91"/>
  <c r="P25" i="91"/>
  <c r="P24" i="91"/>
  <c r="P23" i="91"/>
  <c r="P22" i="91"/>
  <c r="P21" i="91"/>
  <c r="P20" i="91"/>
  <c r="P19" i="91"/>
  <c r="P18" i="91"/>
  <c r="P17" i="91"/>
  <c r="P16" i="91"/>
  <c r="P15" i="91"/>
  <c r="P14" i="91"/>
  <c r="P13" i="91"/>
  <c r="P12" i="91"/>
  <c r="P11" i="91"/>
  <c r="P10" i="91"/>
  <c r="P9" i="91"/>
  <c r="P8" i="91"/>
  <c r="F6" i="91"/>
  <c r="G6" i="91" s="1"/>
  <c r="H6" i="91" s="1"/>
  <c r="I6" i="91" s="1"/>
  <c r="J6" i="91" s="1"/>
  <c r="K6" i="91" s="1"/>
  <c r="L6" i="91" s="1"/>
  <c r="M6" i="91" s="1"/>
  <c r="N6" i="91" s="1"/>
  <c r="O6" i="91" s="1"/>
  <c r="E6" i="91"/>
  <c r="I239" i="91" l="1"/>
  <c r="I181" i="91"/>
  <c r="I126" i="91"/>
  <c r="I145" i="91"/>
  <c r="I249" i="91"/>
  <c r="I151" i="91"/>
  <c r="I167" i="91" s="1"/>
  <c r="I186" i="91"/>
  <c r="I221" i="91" s="1"/>
  <c r="G245" i="91"/>
  <c r="G148" i="91"/>
  <c r="G171" i="91" s="1"/>
  <c r="G190" i="91"/>
  <c r="G225" i="91" s="1"/>
  <c r="O181" i="91"/>
  <c r="O145" i="91"/>
  <c r="O239" i="91"/>
  <c r="M240" i="91"/>
  <c r="M182" i="91"/>
  <c r="M218" i="91" s="1"/>
  <c r="M146" i="91"/>
  <c r="M163" i="91" s="1"/>
  <c r="M241" i="91"/>
  <c r="M183" i="91"/>
  <c r="M219" i="91" s="1"/>
  <c r="M147" i="91"/>
  <c r="M164" i="91" s="1"/>
  <c r="J251" i="91"/>
  <c r="J153" i="91"/>
  <c r="J169" i="91" s="1"/>
  <c r="J188" i="91"/>
  <c r="J223" i="91" s="1"/>
  <c r="N239" i="91"/>
  <c r="N181" i="91"/>
  <c r="N145" i="91"/>
  <c r="F248" i="91"/>
  <c r="F193" i="91"/>
  <c r="F228" i="91" s="1"/>
  <c r="F150" i="91"/>
  <c r="F174" i="91" s="1"/>
  <c r="N248" i="91"/>
  <c r="N193" i="91"/>
  <c r="N228" i="91" s="1"/>
  <c r="N150" i="91"/>
  <c r="N174" i="91" s="1"/>
  <c r="D124" i="91"/>
  <c r="P110" i="91"/>
  <c r="H252" i="91"/>
  <c r="H194" i="91"/>
  <c r="H229" i="91" s="1"/>
  <c r="H156" i="91"/>
  <c r="H175" i="91" s="1"/>
  <c r="E241" i="91"/>
  <c r="E183" i="91"/>
  <c r="E219" i="91" s="1"/>
  <c r="E147" i="91"/>
  <c r="E164" i="91" s="1"/>
  <c r="K245" i="91"/>
  <c r="K148" i="91"/>
  <c r="K171" i="91" s="1"/>
  <c r="K190" i="91"/>
  <c r="K225" i="91" s="1"/>
  <c r="I193" i="91"/>
  <c r="I228" i="91" s="1"/>
  <c r="I248" i="91"/>
  <c r="I150" i="91"/>
  <c r="I174" i="91" s="1"/>
  <c r="L249" i="91"/>
  <c r="L151" i="91"/>
  <c r="L167" i="91" s="1"/>
  <c r="L186" i="91"/>
  <c r="L221" i="91" s="1"/>
  <c r="G246" i="91"/>
  <c r="G149" i="91"/>
  <c r="G172" i="91" s="1"/>
  <c r="G191" i="91"/>
  <c r="G226" i="91" s="1"/>
  <c r="O246" i="91"/>
  <c r="O149" i="91"/>
  <c r="O172" i="91" s="1"/>
  <c r="O191" i="91"/>
  <c r="O226" i="91" s="1"/>
  <c r="G251" i="91"/>
  <c r="G153" i="91"/>
  <c r="G169" i="91" s="1"/>
  <c r="G188" i="91"/>
  <c r="G223" i="91" s="1"/>
  <c r="K251" i="91"/>
  <c r="K153" i="91"/>
  <c r="K169" i="91" s="1"/>
  <c r="K188" i="91"/>
  <c r="K223" i="91" s="1"/>
  <c r="O251" i="91"/>
  <c r="O153" i="91"/>
  <c r="O169" i="91" s="1"/>
  <c r="O188" i="91"/>
  <c r="O223" i="91" s="1"/>
  <c r="G252" i="91"/>
  <c r="G194" i="91"/>
  <c r="G229" i="91" s="1"/>
  <c r="G156" i="91"/>
  <c r="G175" i="91" s="1"/>
  <c r="K252" i="91"/>
  <c r="K156" i="91"/>
  <c r="K175" i="91" s="1"/>
  <c r="K194" i="91"/>
  <c r="K229" i="91" s="1"/>
  <c r="O252" i="91"/>
  <c r="O194" i="91"/>
  <c r="O229" i="91" s="1"/>
  <c r="O156" i="91"/>
  <c r="O175" i="91" s="1"/>
  <c r="J239" i="91"/>
  <c r="J181" i="91"/>
  <c r="J145" i="91"/>
  <c r="H241" i="91"/>
  <c r="H183" i="91"/>
  <c r="H219" i="91" s="1"/>
  <c r="H147" i="91"/>
  <c r="H164" i="91" s="1"/>
  <c r="F246" i="91"/>
  <c r="F149" i="91"/>
  <c r="F172" i="91" s="1"/>
  <c r="F191" i="91"/>
  <c r="F226" i="91" s="1"/>
  <c r="G250" i="91"/>
  <c r="G152" i="91"/>
  <c r="G168" i="91" s="1"/>
  <c r="G187" i="91"/>
  <c r="G222" i="91" s="1"/>
  <c r="K234" i="91"/>
  <c r="I240" i="91"/>
  <c r="I182" i="91"/>
  <c r="I218" i="91" s="1"/>
  <c r="I146" i="91"/>
  <c r="I163" i="91" s="1"/>
  <c r="E249" i="91"/>
  <c r="E151" i="91"/>
  <c r="E167" i="91" s="1"/>
  <c r="E186" i="91"/>
  <c r="E221" i="91" s="1"/>
  <c r="M249" i="91"/>
  <c r="M151" i="91"/>
  <c r="M167" i="91" s="1"/>
  <c r="M186" i="91"/>
  <c r="M221" i="91" s="1"/>
  <c r="K250" i="91"/>
  <c r="K152" i="91"/>
  <c r="K168" i="91" s="1"/>
  <c r="K187" i="91"/>
  <c r="K222" i="91" s="1"/>
  <c r="F239" i="91"/>
  <c r="F181" i="91"/>
  <c r="F145" i="91"/>
  <c r="J248" i="91"/>
  <c r="J150" i="91"/>
  <c r="J174" i="91" s="1"/>
  <c r="J193" i="91"/>
  <c r="J228" i="91" s="1"/>
  <c r="K246" i="91"/>
  <c r="K149" i="91"/>
  <c r="K172" i="91" s="1"/>
  <c r="K191" i="91"/>
  <c r="K226" i="91" s="1"/>
  <c r="P102" i="91"/>
  <c r="D116" i="91"/>
  <c r="L241" i="91"/>
  <c r="L183" i="91"/>
  <c r="L219" i="91" s="1"/>
  <c r="L147" i="91"/>
  <c r="L164" i="91" s="1"/>
  <c r="H245" i="91"/>
  <c r="H148" i="91"/>
  <c r="H171" i="91" s="1"/>
  <c r="H190" i="91"/>
  <c r="H225" i="91" s="1"/>
  <c r="L245" i="91"/>
  <c r="L148" i="91"/>
  <c r="L171" i="91" s="1"/>
  <c r="L190" i="91"/>
  <c r="L225" i="91" s="1"/>
  <c r="D121" i="91"/>
  <c r="P107" i="91"/>
  <c r="H250" i="91"/>
  <c r="H152" i="91"/>
  <c r="H168" i="91" s="1"/>
  <c r="H187" i="91"/>
  <c r="H222" i="91" s="1"/>
  <c r="L250" i="91"/>
  <c r="L152" i="91"/>
  <c r="L168" i="91" s="1"/>
  <c r="L187" i="91"/>
  <c r="L222" i="91" s="1"/>
  <c r="F251" i="91"/>
  <c r="F153" i="91"/>
  <c r="F169" i="91" s="1"/>
  <c r="F188" i="91"/>
  <c r="F223" i="91" s="1"/>
  <c r="J240" i="91"/>
  <c r="J182" i="91"/>
  <c r="J218" i="91" s="1"/>
  <c r="J146" i="91"/>
  <c r="J163" i="91" s="1"/>
  <c r="N251" i="91"/>
  <c r="N153" i="91"/>
  <c r="N169" i="91" s="1"/>
  <c r="N188" i="91"/>
  <c r="N223" i="91" s="1"/>
  <c r="E240" i="91"/>
  <c r="E182" i="91"/>
  <c r="E218" i="91" s="1"/>
  <c r="E146" i="91"/>
  <c r="E163" i="91" s="1"/>
  <c r="I241" i="91"/>
  <c r="I183" i="91"/>
  <c r="I219" i="91" s="1"/>
  <c r="I147" i="91"/>
  <c r="I164" i="91" s="1"/>
  <c r="N246" i="91"/>
  <c r="N149" i="91"/>
  <c r="N172" i="91" s="1"/>
  <c r="N191" i="91"/>
  <c r="N226" i="91" s="1"/>
  <c r="D249" i="91"/>
  <c r="D151" i="91"/>
  <c r="D186" i="91"/>
  <c r="P120" i="91"/>
  <c r="O250" i="91"/>
  <c r="O152" i="91"/>
  <c r="O168" i="91" s="1"/>
  <c r="O187" i="91"/>
  <c r="O222" i="91" s="1"/>
  <c r="D114" i="91"/>
  <c r="P67" i="91"/>
  <c r="O146" i="91"/>
  <c r="N241" i="91"/>
  <c r="N147" i="91"/>
  <c r="N164" i="91" s="1"/>
  <c r="N183" i="91"/>
  <c r="N219" i="91" s="1"/>
  <c r="E245" i="91"/>
  <c r="E190" i="91"/>
  <c r="E225" i="91" s="1"/>
  <c r="E234" i="91" s="1"/>
  <c r="E148" i="91"/>
  <c r="E171" i="91" s="1"/>
  <c r="D118" i="91"/>
  <c r="P72" i="91"/>
  <c r="O248" i="91"/>
  <c r="O193" i="91"/>
  <c r="O228" i="91" s="1"/>
  <c r="O150" i="91"/>
  <c r="O174" i="91" s="1"/>
  <c r="N249" i="91"/>
  <c r="N186" i="91"/>
  <c r="N221" i="91" s="1"/>
  <c r="N151" i="91"/>
  <c r="N167" i="91" s="1"/>
  <c r="N250" i="91"/>
  <c r="N187" i="91"/>
  <c r="N222" i="91" s="1"/>
  <c r="M251" i="91"/>
  <c r="M153" i="91"/>
  <c r="M169" i="91" s="1"/>
  <c r="E248" i="91"/>
  <c r="E193" i="91"/>
  <c r="E228" i="91" s="1"/>
  <c r="E150" i="91"/>
  <c r="E174" i="91" s="1"/>
  <c r="P189" i="91"/>
  <c r="M239" i="91"/>
  <c r="M126" i="91"/>
  <c r="M142" i="91" s="1"/>
  <c r="M253" i="91" s="1"/>
  <c r="M145" i="91"/>
  <c r="M181" i="91"/>
  <c r="D115" i="91"/>
  <c r="P101" i="91"/>
  <c r="H240" i="91"/>
  <c r="H146" i="91"/>
  <c r="H163" i="91" s="1"/>
  <c r="H182" i="91"/>
  <c r="H218" i="91" s="1"/>
  <c r="L240" i="91"/>
  <c r="L182" i="91"/>
  <c r="L218" i="91" s="1"/>
  <c r="P68" i="91"/>
  <c r="G241" i="91"/>
  <c r="G183" i="91"/>
  <c r="G219" i="91" s="1"/>
  <c r="K241" i="91"/>
  <c r="K147" i="91"/>
  <c r="K164" i="91" s="1"/>
  <c r="K183" i="91"/>
  <c r="K219" i="91" s="1"/>
  <c r="O241" i="91"/>
  <c r="O183" i="91"/>
  <c r="O219" i="91" s="1"/>
  <c r="F245" i="91"/>
  <c r="F190" i="91"/>
  <c r="F225" i="91" s="1"/>
  <c r="F148" i="91"/>
  <c r="F171" i="91" s="1"/>
  <c r="J245" i="91"/>
  <c r="J190" i="91"/>
  <c r="J225" i="91" s="1"/>
  <c r="N245" i="91"/>
  <c r="N190" i="91"/>
  <c r="N225" i="91" s="1"/>
  <c r="N148" i="91"/>
  <c r="N171" i="91" s="1"/>
  <c r="E246" i="91"/>
  <c r="E191" i="91"/>
  <c r="E226" i="91" s="1"/>
  <c r="I246" i="91"/>
  <c r="I191" i="91"/>
  <c r="I226" i="91" s="1"/>
  <c r="I149" i="91"/>
  <c r="I172" i="91" s="1"/>
  <c r="M191" i="91"/>
  <c r="M226" i="91" s="1"/>
  <c r="M246" i="91"/>
  <c r="D119" i="91"/>
  <c r="P105" i="91"/>
  <c r="H248" i="91"/>
  <c r="H193" i="91"/>
  <c r="H228" i="91" s="1"/>
  <c r="L248" i="91"/>
  <c r="L193" i="91"/>
  <c r="L228" i="91" s="1"/>
  <c r="L150" i="91"/>
  <c r="L174" i="91" s="1"/>
  <c r="P73" i="91"/>
  <c r="G249" i="91"/>
  <c r="G151" i="91"/>
  <c r="G167" i="91" s="1"/>
  <c r="K249" i="91"/>
  <c r="K186" i="91"/>
  <c r="K221" i="91" s="1"/>
  <c r="O249" i="91"/>
  <c r="O151" i="91"/>
  <c r="O167" i="91" s="1"/>
  <c r="P78" i="91"/>
  <c r="K100" i="91"/>
  <c r="K114" i="91" s="1"/>
  <c r="F101" i="91"/>
  <c r="F115" i="91" s="1"/>
  <c r="N101" i="91"/>
  <c r="N115" i="91" s="1"/>
  <c r="D103" i="91"/>
  <c r="D111" i="91"/>
  <c r="L111" i="91"/>
  <c r="L125" i="91" s="1"/>
  <c r="E140" i="91"/>
  <c r="E180" i="91"/>
  <c r="I140" i="91"/>
  <c r="M140" i="91"/>
  <c r="M180" i="91"/>
  <c r="M247" i="91"/>
  <c r="I247" i="91"/>
  <c r="E247" i="91"/>
  <c r="L244" i="91"/>
  <c r="H244" i="91"/>
  <c r="D244" i="91"/>
  <c r="M243" i="91"/>
  <c r="I243" i="91"/>
  <c r="E243" i="91"/>
  <c r="N242" i="91"/>
  <c r="J242" i="91"/>
  <c r="F242" i="91"/>
  <c r="O247" i="91"/>
  <c r="J247" i="91"/>
  <c r="D247" i="91"/>
  <c r="K244" i="91"/>
  <c r="F244" i="91"/>
  <c r="N243" i="91"/>
  <c r="H243" i="91"/>
  <c r="K242" i="91"/>
  <c r="E242" i="91"/>
  <c r="N247" i="91"/>
  <c r="H247" i="91"/>
  <c r="O244" i="91"/>
  <c r="J244" i="91"/>
  <c r="G247" i="91"/>
  <c r="N244" i="91"/>
  <c r="E244" i="91"/>
  <c r="K243" i="91"/>
  <c r="D243" i="91"/>
  <c r="I242" i="91"/>
  <c r="F247" i="91"/>
  <c r="M244" i="91"/>
  <c r="J243" i="91"/>
  <c r="O242" i="91"/>
  <c r="H242" i="91"/>
  <c r="L247" i="91"/>
  <c r="I244" i="91"/>
  <c r="O243" i="91"/>
  <c r="G243" i="91"/>
  <c r="M242" i="91"/>
  <c r="G242" i="91"/>
  <c r="L242" i="91"/>
  <c r="K247" i="91"/>
  <c r="G244" i="91"/>
  <c r="D242" i="91"/>
  <c r="P242" i="91" s="1"/>
  <c r="L243" i="91"/>
  <c r="F243" i="91"/>
  <c r="O147" i="91"/>
  <c r="O164" i="91" s="1"/>
  <c r="H150" i="91"/>
  <c r="H174" i="91" s="1"/>
  <c r="N152" i="91"/>
  <c r="N168" i="91" s="1"/>
  <c r="I180" i="91"/>
  <c r="L239" i="91"/>
  <c r="L126" i="91"/>
  <c r="L142" i="91" s="1"/>
  <c r="L253" i="91" s="1"/>
  <c r="L145" i="91"/>
  <c r="G146" i="91"/>
  <c r="J241" i="91"/>
  <c r="J147" i="91"/>
  <c r="J164" i="91" s="1"/>
  <c r="M245" i="91"/>
  <c r="M190" i="91"/>
  <c r="M225" i="91" s="1"/>
  <c r="M148" i="91"/>
  <c r="M171" i="91" s="1"/>
  <c r="L246" i="91"/>
  <c r="L191" i="91"/>
  <c r="L226" i="91" s="1"/>
  <c r="L149" i="91"/>
  <c r="L172" i="91" s="1"/>
  <c r="K248" i="91"/>
  <c r="K193" i="91"/>
  <c r="K228" i="91" s="1"/>
  <c r="K150" i="91"/>
  <c r="K174" i="91" s="1"/>
  <c r="J249" i="91"/>
  <c r="J186" i="91"/>
  <c r="J221" i="91" s="1"/>
  <c r="J151" i="91"/>
  <c r="J167" i="91" s="1"/>
  <c r="J250" i="91"/>
  <c r="J152" i="91"/>
  <c r="J168" i="91" s="1"/>
  <c r="I251" i="91"/>
  <c r="I188" i="91"/>
  <c r="I223" i="91" s="1"/>
  <c r="D123" i="91"/>
  <c r="P77" i="91"/>
  <c r="E239" i="91"/>
  <c r="E126" i="91"/>
  <c r="E142" i="91" s="1"/>
  <c r="E253" i="91" s="1"/>
  <c r="E145" i="91"/>
  <c r="E181" i="91"/>
  <c r="H249" i="91"/>
  <c r="H151" i="91"/>
  <c r="H167" i="91" s="1"/>
  <c r="H186" i="91"/>
  <c r="H221" i="91" s="1"/>
  <c r="J187" i="91"/>
  <c r="J222" i="91" s="1"/>
  <c r="P69" i="91"/>
  <c r="P74" i="91"/>
  <c r="P75" i="91"/>
  <c r="E252" i="91"/>
  <c r="E194" i="91"/>
  <c r="E229" i="91" s="1"/>
  <c r="E156" i="91"/>
  <c r="E175" i="91" s="1"/>
  <c r="I252" i="91"/>
  <c r="I194" i="91"/>
  <c r="I229" i="91" s="1"/>
  <c r="I156" i="91"/>
  <c r="I175" i="91" s="1"/>
  <c r="M252" i="91"/>
  <c r="M194" i="91"/>
  <c r="M229" i="91" s="1"/>
  <c r="M156" i="91"/>
  <c r="M175" i="91" s="1"/>
  <c r="G100" i="91"/>
  <c r="G114" i="91" s="1"/>
  <c r="O103" i="91"/>
  <c r="O117" i="91" s="1"/>
  <c r="J104" i="91"/>
  <c r="J118" i="91" s="1"/>
  <c r="P106" i="91"/>
  <c r="F180" i="91"/>
  <c r="F140" i="91"/>
  <c r="J140" i="91"/>
  <c r="J180" i="91"/>
  <c r="N180" i="91"/>
  <c r="N140" i="91"/>
  <c r="E192" i="91"/>
  <c r="E227" i="91" s="1"/>
  <c r="I192" i="91"/>
  <c r="I227" i="91" s="1"/>
  <c r="I234" i="91" s="1"/>
  <c r="J148" i="91"/>
  <c r="J171" i="91" s="1"/>
  <c r="I153" i="91"/>
  <c r="I169" i="91" s="1"/>
  <c r="J183" i="91"/>
  <c r="J219" i="91" s="1"/>
  <c r="G186" i="91"/>
  <c r="G221" i="91" s="1"/>
  <c r="M188" i="91"/>
  <c r="M223" i="91" s="1"/>
  <c r="H239" i="91"/>
  <c r="H145" i="91"/>
  <c r="H181" i="91"/>
  <c r="H126" i="91"/>
  <c r="K240" i="91"/>
  <c r="K146" i="91"/>
  <c r="K163" i="91" s="1"/>
  <c r="K182" i="91"/>
  <c r="K218" i="91" s="1"/>
  <c r="F241" i="91"/>
  <c r="F147" i="91"/>
  <c r="F164" i="91" s="1"/>
  <c r="F183" i="91"/>
  <c r="F219" i="91" s="1"/>
  <c r="I245" i="91"/>
  <c r="I190" i="91"/>
  <c r="I225" i="91" s="1"/>
  <c r="I148" i="91"/>
  <c r="I171" i="91" s="1"/>
  <c r="H246" i="91"/>
  <c r="H191" i="91"/>
  <c r="H226" i="91" s="1"/>
  <c r="H234" i="91" s="1"/>
  <c r="H149" i="91"/>
  <c r="H172" i="91" s="1"/>
  <c r="G248" i="91"/>
  <c r="G193" i="91"/>
  <c r="G228" i="91" s="1"/>
  <c r="G234" i="91" s="1"/>
  <c r="G150" i="91"/>
  <c r="G174" i="91" s="1"/>
  <c r="F186" i="91"/>
  <c r="F221" i="91" s="1"/>
  <c r="F249" i="91"/>
  <c r="F151" i="91"/>
  <c r="F167" i="91" s="1"/>
  <c r="F250" i="91"/>
  <c r="F187" i="91"/>
  <c r="F222" i="91" s="1"/>
  <c r="E251" i="91"/>
  <c r="E153" i="91"/>
  <c r="E169" i="91" s="1"/>
  <c r="M248" i="91"/>
  <c r="M193" i="91"/>
  <c r="M228" i="91" s="1"/>
  <c r="M150" i="91"/>
  <c r="M174" i="91" s="1"/>
  <c r="M234" i="91"/>
  <c r="F152" i="91"/>
  <c r="F168" i="91" s="1"/>
  <c r="P70" i="91"/>
  <c r="E250" i="91"/>
  <c r="E187" i="91"/>
  <c r="E222" i="91" s="1"/>
  <c r="E152" i="91"/>
  <c r="E168" i="91" s="1"/>
  <c r="I250" i="91"/>
  <c r="I187" i="91"/>
  <c r="I222" i="91" s="1"/>
  <c r="I152" i="91"/>
  <c r="I168" i="91" s="1"/>
  <c r="M250" i="91"/>
  <c r="M187" i="91"/>
  <c r="M222" i="91" s="1"/>
  <c r="M152" i="91"/>
  <c r="M168" i="91" s="1"/>
  <c r="D122" i="91"/>
  <c r="P108" i="91"/>
  <c r="H251" i="91"/>
  <c r="H188" i="91"/>
  <c r="H223" i="91" s="1"/>
  <c r="H153" i="91"/>
  <c r="H169" i="91" s="1"/>
  <c r="L251" i="91"/>
  <c r="L188" i="91"/>
  <c r="L223" i="91" s="1"/>
  <c r="L153" i="91"/>
  <c r="L169" i="91" s="1"/>
  <c r="P76" i="91"/>
  <c r="G109" i="91"/>
  <c r="G123" i="91" s="1"/>
  <c r="G154" i="91" s="1"/>
  <c r="K109" i="91"/>
  <c r="K123" i="91" s="1"/>
  <c r="K154" i="91" s="1"/>
  <c r="O109" i="91"/>
  <c r="O123" i="91" s="1"/>
  <c r="O154" i="91" s="1"/>
  <c r="F111" i="91"/>
  <c r="F125" i="91" s="1"/>
  <c r="J111" i="91"/>
  <c r="J125" i="91" s="1"/>
  <c r="N111" i="91"/>
  <c r="N125" i="91" s="1"/>
  <c r="P224" i="91"/>
  <c r="P132" i="91"/>
  <c r="L146" i="91"/>
  <c r="L163" i="91" s="1"/>
  <c r="E149" i="91"/>
  <c r="E172" i="91" s="1"/>
  <c r="K151" i="91"/>
  <c r="K167" i="91" s="1"/>
  <c r="L181" i="91"/>
  <c r="O186" i="91"/>
  <c r="O221" i="91" s="1"/>
  <c r="P208" i="91"/>
  <c r="D220" i="91"/>
  <c r="P220" i="91" s="1"/>
  <c r="P184" i="91"/>
  <c r="P131" i="91"/>
  <c r="P133" i="91"/>
  <c r="G140" i="91"/>
  <c r="O140" i="91"/>
  <c r="D213" i="91"/>
  <c r="D214" i="91" s="1"/>
  <c r="L213" i="91"/>
  <c r="L214" i="91" s="1"/>
  <c r="P199" i="91"/>
  <c r="P211" i="91"/>
  <c r="D180" i="91"/>
  <c r="D140" i="91"/>
  <c r="P128" i="91"/>
  <c r="H180" i="91"/>
  <c r="H140" i="91"/>
  <c r="L180" i="91"/>
  <c r="L140" i="91"/>
  <c r="P136" i="91"/>
  <c r="P137" i="91"/>
  <c r="D192" i="91"/>
  <c r="H192" i="91"/>
  <c r="H227" i="91" s="1"/>
  <c r="L192" i="91"/>
  <c r="L227" i="91" s="1"/>
  <c r="P138" i="91"/>
  <c r="E213" i="91"/>
  <c r="E214" i="91" s="1"/>
  <c r="I213" i="91"/>
  <c r="I214" i="91" s="1"/>
  <c r="M213" i="91"/>
  <c r="M214" i="91" s="1"/>
  <c r="O217" i="91"/>
  <c r="P130" i="91"/>
  <c r="F192" i="91"/>
  <c r="F227" i="91" s="1"/>
  <c r="J192" i="91"/>
  <c r="J227" i="91" s="1"/>
  <c r="N192" i="91"/>
  <c r="N227" i="91" s="1"/>
  <c r="P202" i="91"/>
  <c r="P210" i="91"/>
  <c r="G213" i="91"/>
  <c r="G214" i="91" s="1"/>
  <c r="K213" i="91"/>
  <c r="K214" i="91" s="1"/>
  <c r="O213" i="91"/>
  <c r="O214" i="91" s="1"/>
  <c r="P204" i="91"/>
  <c r="P212" i="91"/>
  <c r="D240" i="91" l="1"/>
  <c r="D182" i="91"/>
  <c r="P115" i="91"/>
  <c r="D146" i="91"/>
  <c r="O245" i="91"/>
  <c r="O148" i="91"/>
  <c r="O171" i="91" s="1"/>
  <c r="O190" i="91"/>
  <c r="O225" i="91" s="1"/>
  <c r="O234" i="91" s="1"/>
  <c r="D251" i="91"/>
  <c r="P251" i="91" s="1"/>
  <c r="D188" i="91"/>
  <c r="P122" i="91"/>
  <c r="D153" i="91"/>
  <c r="H162" i="91"/>
  <c r="H176" i="91" s="1"/>
  <c r="H157" i="91"/>
  <c r="N217" i="91"/>
  <c r="F217" i="91"/>
  <c r="G239" i="91"/>
  <c r="G181" i="91"/>
  <c r="G145" i="91"/>
  <c r="G126" i="91"/>
  <c r="G142" i="91" s="1"/>
  <c r="G253" i="91" s="1"/>
  <c r="E162" i="91"/>
  <c r="E176" i="91" s="1"/>
  <c r="E157" i="91"/>
  <c r="P109" i="91"/>
  <c r="P100" i="91"/>
  <c r="G240" i="91"/>
  <c r="O182" i="91"/>
  <c r="M217" i="91"/>
  <c r="M195" i="91"/>
  <c r="M196" i="91" s="1"/>
  <c r="N240" i="91"/>
  <c r="N182" i="91"/>
  <c r="N218" i="91" s="1"/>
  <c r="N146" i="91"/>
  <c r="N163" i="91" s="1"/>
  <c r="P104" i="91"/>
  <c r="P118" i="91" s="1"/>
  <c r="O163" i="91"/>
  <c r="D239" i="91"/>
  <c r="D126" i="91"/>
  <c r="P114" i="91"/>
  <c r="D145" i="91"/>
  <c r="D181" i="91"/>
  <c r="F157" i="91"/>
  <c r="F162" i="91"/>
  <c r="N126" i="91"/>
  <c r="N142" i="91" s="1"/>
  <c r="N253" i="91" s="1"/>
  <c r="I142" i="91"/>
  <c r="I253" i="91" s="1"/>
  <c r="J252" i="91"/>
  <c r="J194" i="91"/>
  <c r="J229" i="91" s="1"/>
  <c r="J156" i="91"/>
  <c r="J175" i="91" s="1"/>
  <c r="H217" i="91"/>
  <c r="H195" i="91"/>
  <c r="F194" i="91"/>
  <c r="F229" i="91" s="1"/>
  <c r="F234" i="91" s="1"/>
  <c r="F252" i="91"/>
  <c r="F156" i="91"/>
  <c r="F175" i="91" s="1"/>
  <c r="G163" i="91"/>
  <c r="E217" i="91"/>
  <c r="E195" i="91"/>
  <c r="E196" i="91" s="1"/>
  <c r="D117" i="91"/>
  <c r="P103" i="91"/>
  <c r="P117" i="91" s="1"/>
  <c r="P249" i="91"/>
  <c r="D183" i="91"/>
  <c r="D147" i="91"/>
  <c r="D241" i="91"/>
  <c r="P241" i="91" s="1"/>
  <c r="P116" i="91"/>
  <c r="F126" i="91"/>
  <c r="F142" i="91" s="1"/>
  <c r="F253" i="91" s="1"/>
  <c r="O157" i="91"/>
  <c r="O162" i="91"/>
  <c r="O176" i="91" s="1"/>
  <c r="I157" i="91"/>
  <c r="I162" i="91"/>
  <c r="I176" i="91" s="1"/>
  <c r="P140" i="91"/>
  <c r="P213" i="91"/>
  <c r="P214" i="91" s="1"/>
  <c r="J217" i="91"/>
  <c r="J195" i="91"/>
  <c r="J196" i="91" s="1"/>
  <c r="P123" i="91"/>
  <c r="D154" i="91"/>
  <c r="P154" i="91" s="1"/>
  <c r="P192" i="91"/>
  <c r="D227" i="91"/>
  <c r="P227" i="91" s="1"/>
  <c r="L217" i="91"/>
  <c r="N252" i="91"/>
  <c r="N194" i="91"/>
  <c r="N229" i="91" s="1"/>
  <c r="N234" i="91" s="1"/>
  <c r="N156" i="91"/>
  <c r="N175" i="91" s="1"/>
  <c r="H142" i="91"/>
  <c r="H253" i="91" s="1"/>
  <c r="J246" i="91"/>
  <c r="J149" i="91"/>
  <c r="J172" i="91" s="1"/>
  <c r="J191" i="91"/>
  <c r="J226" i="91" s="1"/>
  <c r="J234" i="91" s="1"/>
  <c r="G182" i="91"/>
  <c r="G218" i="91" s="1"/>
  <c r="L162" i="91"/>
  <c r="L157" i="91"/>
  <c r="I217" i="91"/>
  <c r="I195" i="91"/>
  <c r="I196" i="91" s="1"/>
  <c r="P247" i="91"/>
  <c r="L252" i="91"/>
  <c r="L194" i="91"/>
  <c r="L229" i="91" s="1"/>
  <c r="L234" i="91" s="1"/>
  <c r="L156" i="91"/>
  <c r="L175" i="91" s="1"/>
  <c r="F240" i="91"/>
  <c r="F182" i="91"/>
  <c r="F218" i="91" s="1"/>
  <c r="F146" i="91"/>
  <c r="F163" i="91" s="1"/>
  <c r="D248" i="91"/>
  <c r="P248" i="91" s="1"/>
  <c r="D193" i="91"/>
  <c r="P119" i="91"/>
  <c r="D150" i="91"/>
  <c r="M162" i="91"/>
  <c r="M176" i="91" s="1"/>
  <c r="M157" i="91"/>
  <c r="D246" i="91"/>
  <c r="P246" i="91" s="1"/>
  <c r="D191" i="91"/>
  <c r="D149" i="91"/>
  <c r="O240" i="91"/>
  <c r="D221" i="91"/>
  <c r="P221" i="91" s="1"/>
  <c r="P186" i="91"/>
  <c r="D152" i="91"/>
  <c r="D187" i="91"/>
  <c r="D250" i="91"/>
  <c r="P250" i="91" s="1"/>
  <c r="P121" i="91"/>
  <c r="J126" i="91"/>
  <c r="J142" i="91" s="1"/>
  <c r="J253" i="91" s="1"/>
  <c r="D155" i="91"/>
  <c r="P155" i="91" s="1"/>
  <c r="P124" i="91"/>
  <c r="N162" i="91"/>
  <c r="O126" i="91"/>
  <c r="O142" i="91" s="1"/>
  <c r="O253" i="91" s="1"/>
  <c r="P180" i="91"/>
  <c r="D217" i="91"/>
  <c r="P243" i="91"/>
  <c r="P244" i="91"/>
  <c r="D125" i="91"/>
  <c r="P111" i="91"/>
  <c r="K239" i="91"/>
  <c r="K181" i="91"/>
  <c r="K145" i="91"/>
  <c r="K126" i="91"/>
  <c r="K142" i="91" s="1"/>
  <c r="K253" i="91" s="1"/>
  <c r="P151" i="91"/>
  <c r="D167" i="91"/>
  <c r="P167" i="91" s="1"/>
  <c r="J162" i="91"/>
  <c r="D222" i="91" l="1"/>
  <c r="P222" i="91" s="1"/>
  <c r="P187" i="91"/>
  <c r="M177" i="91"/>
  <c r="M158" i="91"/>
  <c r="D228" i="91"/>
  <c r="P228" i="91" s="1"/>
  <c r="P193" i="91"/>
  <c r="L176" i="91"/>
  <c r="J230" i="91"/>
  <c r="J231" i="91" s="1"/>
  <c r="J233" i="91"/>
  <c r="J235" i="91" s="1"/>
  <c r="I177" i="91"/>
  <c r="I158" i="91"/>
  <c r="E233" i="91"/>
  <c r="E235" i="91" s="1"/>
  <c r="E236" i="91" s="1"/>
  <c r="E230" i="91"/>
  <c r="E231" i="91" s="1"/>
  <c r="P181" i="91"/>
  <c r="P239" i="91"/>
  <c r="O218" i="91"/>
  <c r="O195" i="91"/>
  <c r="O196" i="91" s="1"/>
  <c r="E177" i="91"/>
  <c r="E158" i="91"/>
  <c r="G195" i="91"/>
  <c r="G196" i="91" s="1"/>
  <c r="G217" i="91"/>
  <c r="N195" i="91"/>
  <c r="N196" i="91" s="1"/>
  <c r="D169" i="91"/>
  <c r="P169" i="91" s="1"/>
  <c r="P153" i="91"/>
  <c r="K195" i="91"/>
  <c r="K196" i="91" s="1"/>
  <c r="K217" i="91"/>
  <c r="L177" i="91"/>
  <c r="L158" i="91"/>
  <c r="D219" i="91"/>
  <c r="P219" i="91" s="1"/>
  <c r="P183" i="91"/>
  <c r="F158" i="91"/>
  <c r="M233" i="91"/>
  <c r="M235" i="91" s="1"/>
  <c r="M230" i="91"/>
  <c r="M231" i="91" s="1"/>
  <c r="G157" i="91"/>
  <c r="G162" i="91"/>
  <c r="G176" i="91" s="1"/>
  <c r="J176" i="91"/>
  <c r="P217" i="91"/>
  <c r="N176" i="91"/>
  <c r="P152" i="91"/>
  <c r="D168" i="91"/>
  <c r="P168" i="91" s="1"/>
  <c r="P149" i="91"/>
  <c r="D172" i="91"/>
  <c r="P172" i="91" s="1"/>
  <c r="L230" i="91"/>
  <c r="L233" i="91"/>
  <c r="L235" i="91" s="1"/>
  <c r="L236" i="91" s="1"/>
  <c r="H196" i="91"/>
  <c r="N233" i="91"/>
  <c r="N235" i="91" s="1"/>
  <c r="N230" i="91"/>
  <c r="N231" i="91" s="1"/>
  <c r="D218" i="91"/>
  <c r="P218" i="91" s="1"/>
  <c r="P182" i="91"/>
  <c r="D142" i="91"/>
  <c r="D253" i="91" s="1"/>
  <c r="P253" i="91" s="1"/>
  <c r="P126" i="91"/>
  <c r="P142" i="91" s="1"/>
  <c r="F233" i="91"/>
  <c r="F235" i="91" s="1"/>
  <c r="F230" i="91"/>
  <c r="F231" i="91" s="1"/>
  <c r="D162" i="91"/>
  <c r="P145" i="91"/>
  <c r="J157" i="91"/>
  <c r="K157" i="91"/>
  <c r="K162" i="91"/>
  <c r="K176" i="91" s="1"/>
  <c r="D252" i="91"/>
  <c r="P252" i="91" s="1"/>
  <c r="D194" i="91"/>
  <c r="D156" i="91"/>
  <c r="P125" i="91"/>
  <c r="N157" i="91"/>
  <c r="D226" i="91"/>
  <c r="P226" i="91" s="1"/>
  <c r="P191" i="91"/>
  <c r="D174" i="91"/>
  <c r="P174" i="91" s="1"/>
  <c r="P150" i="91"/>
  <c r="I233" i="91"/>
  <c r="I235" i="91" s="1"/>
  <c r="I230" i="91"/>
  <c r="I231" i="91" s="1"/>
  <c r="L195" i="91"/>
  <c r="L196" i="91" s="1"/>
  <c r="O158" i="91"/>
  <c r="O177" i="91"/>
  <c r="P147" i="91"/>
  <c r="D164" i="91"/>
  <c r="P164" i="91" s="1"/>
  <c r="D245" i="91"/>
  <c r="P245" i="91" s="1"/>
  <c r="D148" i="91"/>
  <c r="D157" i="91" s="1"/>
  <c r="D190" i="91"/>
  <c r="H233" i="91"/>
  <c r="H235" i="91" s="1"/>
  <c r="H230" i="91"/>
  <c r="H231" i="91" s="1"/>
  <c r="F176" i="91"/>
  <c r="F177" i="91" s="1"/>
  <c r="F195" i="91"/>
  <c r="F196" i="91" s="1"/>
  <c r="H177" i="91"/>
  <c r="H158" i="91"/>
  <c r="P188" i="91"/>
  <c r="D223" i="91"/>
  <c r="P223" i="91" s="1"/>
  <c r="P240" i="91"/>
  <c r="P146" i="91"/>
  <c r="D163" i="91"/>
  <c r="P163" i="91" s="1"/>
  <c r="D158" i="91" l="1"/>
  <c r="P157" i="91"/>
  <c r="N158" i="91"/>
  <c r="N177" i="91"/>
  <c r="D229" i="91"/>
  <c r="P229" i="91" s="1"/>
  <c r="P194" i="91"/>
  <c r="J158" i="91"/>
  <c r="J177" i="91"/>
  <c r="O233" i="91"/>
  <c r="O235" i="91" s="1"/>
  <c r="O230" i="91"/>
  <c r="O231" i="91" s="1"/>
  <c r="F236" i="91"/>
  <c r="D233" i="91"/>
  <c r="G158" i="91"/>
  <c r="G177" i="91"/>
  <c r="D225" i="91"/>
  <c r="P190" i="91"/>
  <c r="D195" i="91"/>
  <c r="D196" i="91" s="1"/>
  <c r="L231" i="91"/>
  <c r="K230" i="91"/>
  <c r="K231" i="91" s="1"/>
  <c r="K233" i="91"/>
  <c r="K235" i="91" s="1"/>
  <c r="K236" i="91" s="1"/>
  <c r="H236" i="91"/>
  <c r="P148" i="91"/>
  <c r="D171" i="91"/>
  <c r="P171" i="91" s="1"/>
  <c r="I236" i="91"/>
  <c r="P156" i="91"/>
  <c r="D175" i="91"/>
  <c r="P175" i="91" s="1"/>
  <c r="K177" i="91"/>
  <c r="K158" i="91"/>
  <c r="P162" i="91"/>
  <c r="P176" i="91" s="1"/>
  <c r="N236" i="91"/>
  <c r="M236" i="91"/>
  <c r="G230" i="91"/>
  <c r="G231" i="91" s="1"/>
  <c r="G233" i="91"/>
  <c r="G235" i="91" s="1"/>
  <c r="J236" i="91"/>
  <c r="O236" i="91" l="1"/>
  <c r="P177" i="91"/>
  <c r="P158" i="91"/>
  <c r="P195" i="91"/>
  <c r="P196" i="91" s="1"/>
  <c r="P233" i="91"/>
  <c r="G236" i="91"/>
  <c r="D176" i="91"/>
  <c r="D177" i="91" s="1"/>
  <c r="D230" i="91"/>
  <c r="D231" i="91" s="1"/>
  <c r="P225" i="91"/>
  <c r="P230" i="91" s="1"/>
  <c r="D234" i="91"/>
  <c r="P234" i="91" s="1"/>
  <c r="P231" i="91" l="1"/>
  <c r="D235" i="91"/>
  <c r="D236" i="91" s="1"/>
  <c r="P235" i="91"/>
  <c r="P236" i="91" s="1"/>
  <c r="S10" i="9" l="1"/>
  <c r="S11" i="9"/>
  <c r="S12" i="9"/>
  <c r="S13" i="9"/>
  <c r="S14" i="9"/>
  <c r="S15" i="9"/>
  <c r="R11" i="9"/>
  <c r="R12" i="9"/>
  <c r="R13" i="9"/>
  <c r="R14" i="9"/>
  <c r="R15" i="9"/>
  <c r="R10" i="9"/>
  <c r="Q11" i="9"/>
  <c r="Q12" i="9"/>
  <c r="Q13" i="9"/>
  <c r="Q14" i="9"/>
  <c r="Q15" i="9"/>
  <c r="Q10" i="9"/>
  <c r="G25" i="8"/>
  <c r="G26" i="8"/>
  <c r="J21" i="8" l="1"/>
  <c r="I21" i="8"/>
  <c r="J20" i="8"/>
  <c r="I20" i="8"/>
  <c r="J17" i="8"/>
  <c r="I17" i="8"/>
  <c r="J15" i="8"/>
  <c r="I15" i="8"/>
  <c r="J13" i="8"/>
  <c r="I13" i="8"/>
  <c r="J10" i="8"/>
  <c r="I10" i="8"/>
  <c r="H21" i="8"/>
  <c r="H20" i="8"/>
  <c r="H17" i="8"/>
  <c r="H15" i="8"/>
  <c r="H13" i="8"/>
  <c r="H10" i="8"/>
  <c r="P252" i="90"/>
  <c r="I252" i="90"/>
  <c r="B213" i="90"/>
  <c r="L209" i="90"/>
  <c r="L173" i="90" s="1"/>
  <c r="E209" i="90"/>
  <c r="N207" i="90"/>
  <c r="M207" i="90"/>
  <c r="G207" i="90"/>
  <c r="F207" i="90"/>
  <c r="G206" i="90"/>
  <c r="N206" i="90"/>
  <c r="N205" i="90"/>
  <c r="M205" i="90"/>
  <c r="G205" i="90"/>
  <c r="F205" i="90"/>
  <c r="G204" i="90"/>
  <c r="N204" i="90"/>
  <c r="N203" i="90"/>
  <c r="M203" i="90"/>
  <c r="G203" i="90"/>
  <c r="F203" i="90"/>
  <c r="M200" i="90"/>
  <c r="F200" i="90"/>
  <c r="F199" i="90"/>
  <c r="M199" i="90"/>
  <c r="M198" i="90"/>
  <c r="G198" i="90"/>
  <c r="N198" i="90"/>
  <c r="F198" i="90"/>
  <c r="B193" i="90"/>
  <c r="L191" i="90"/>
  <c r="L181" i="90" s="1"/>
  <c r="E191" i="90"/>
  <c r="N190" i="90"/>
  <c r="G190" i="90"/>
  <c r="N189" i="90"/>
  <c r="M189" i="90"/>
  <c r="G189" i="90"/>
  <c r="F189" i="90"/>
  <c r="N188" i="90"/>
  <c r="G188" i="90"/>
  <c r="N187" i="90"/>
  <c r="M187" i="90"/>
  <c r="G187" i="90"/>
  <c r="F187" i="90"/>
  <c r="N186" i="90"/>
  <c r="G186" i="90"/>
  <c r="N185" i="90"/>
  <c r="M185" i="90"/>
  <c r="G185" i="90"/>
  <c r="F185" i="90"/>
  <c r="M182" i="90"/>
  <c r="F182" i="90"/>
  <c r="M181" i="90"/>
  <c r="E181" i="90"/>
  <c r="G180" i="90"/>
  <c r="F180" i="90"/>
  <c r="N180" i="90"/>
  <c r="M180" i="90"/>
  <c r="N179" i="90"/>
  <c r="G179" i="90"/>
  <c r="F179" i="90"/>
  <c r="E173" i="90"/>
  <c r="B170" i="90"/>
  <c r="L166" i="90"/>
  <c r="L138" i="90" s="1"/>
  <c r="O139" i="90" s="1"/>
  <c r="E166" i="90"/>
  <c r="G165" i="90"/>
  <c r="F165" i="90"/>
  <c r="F166" i="90" s="1"/>
  <c r="F168" i="90" s="1"/>
  <c r="N165" i="90"/>
  <c r="M165" i="90"/>
  <c r="N164" i="90"/>
  <c r="M164" i="90"/>
  <c r="G164" i="90"/>
  <c r="F164" i="90"/>
  <c r="N160" i="90"/>
  <c r="F160" i="90"/>
  <c r="G160" i="90"/>
  <c r="M160" i="90"/>
  <c r="G159" i="90"/>
  <c r="G166" i="90" s="1"/>
  <c r="G168" i="90" s="1"/>
  <c r="N159" i="90"/>
  <c r="F159" i="90"/>
  <c r="B154" i="90"/>
  <c r="L152" i="90"/>
  <c r="E152" i="90"/>
  <c r="E146" i="90" s="1"/>
  <c r="F151" i="90"/>
  <c r="M151" i="90"/>
  <c r="G150" i="90"/>
  <c r="F150" i="90"/>
  <c r="N150" i="90"/>
  <c r="M150" i="90"/>
  <c r="M147" i="90"/>
  <c r="F147" i="90"/>
  <c r="M146" i="90"/>
  <c r="L146" i="90"/>
  <c r="G145" i="90"/>
  <c r="N145" i="90"/>
  <c r="F145" i="90"/>
  <c r="N144" i="90"/>
  <c r="G144" i="90"/>
  <c r="Q139" i="90"/>
  <c r="Q153" i="90" s="1"/>
  <c r="J139" i="90"/>
  <c r="J153" i="90" s="1"/>
  <c r="B135" i="90"/>
  <c r="L131" i="90"/>
  <c r="E131" i="90"/>
  <c r="N130" i="90"/>
  <c r="F130" i="90"/>
  <c r="G130" i="90"/>
  <c r="M130" i="90"/>
  <c r="M129" i="90"/>
  <c r="G129" i="90"/>
  <c r="N129" i="90"/>
  <c r="F129" i="90"/>
  <c r="N128" i="90"/>
  <c r="F128" i="90"/>
  <c r="G128" i="90"/>
  <c r="M128" i="90"/>
  <c r="M125" i="90"/>
  <c r="F125" i="90"/>
  <c r="F124" i="90"/>
  <c r="G124" i="90"/>
  <c r="M124" i="90"/>
  <c r="G123" i="90"/>
  <c r="N123" i="90"/>
  <c r="F123" i="90"/>
  <c r="F131" i="90" s="1"/>
  <c r="F133" i="90" s="1"/>
  <c r="B118" i="90"/>
  <c r="L116" i="90"/>
  <c r="L109" i="90" s="1"/>
  <c r="N109" i="90" s="1"/>
  <c r="E116" i="90"/>
  <c r="M115" i="90"/>
  <c r="G115" i="90"/>
  <c r="F115" i="90"/>
  <c r="G114" i="90"/>
  <c r="F114" i="90"/>
  <c r="N114" i="90"/>
  <c r="M114" i="90"/>
  <c r="M113" i="90"/>
  <c r="G113" i="90"/>
  <c r="F113" i="90"/>
  <c r="M110" i="90"/>
  <c r="E109" i="90"/>
  <c r="G109" i="90" s="1"/>
  <c r="M108" i="90"/>
  <c r="G108" i="90"/>
  <c r="G116" i="90" s="1"/>
  <c r="F108" i="90"/>
  <c r="G107" i="90"/>
  <c r="F107" i="90"/>
  <c r="N107" i="90"/>
  <c r="M107" i="90"/>
  <c r="L101" i="90"/>
  <c r="P102" i="90" s="1"/>
  <c r="J102" i="90"/>
  <c r="J117" i="90" s="1"/>
  <c r="E101" i="90"/>
  <c r="H102" i="90" s="1"/>
  <c r="B98" i="90"/>
  <c r="L93" i="90"/>
  <c r="E93" i="90"/>
  <c r="G92" i="90"/>
  <c r="N92" i="90"/>
  <c r="F92" i="90"/>
  <c r="F91" i="90"/>
  <c r="G91" i="90"/>
  <c r="M91" i="90"/>
  <c r="N87" i="90"/>
  <c r="F87" i="90"/>
  <c r="G87" i="90"/>
  <c r="M87" i="90"/>
  <c r="M86" i="90"/>
  <c r="L86" i="90"/>
  <c r="N86" i="90" s="1"/>
  <c r="E86" i="90"/>
  <c r="G85" i="90"/>
  <c r="N85" i="90"/>
  <c r="F85" i="90"/>
  <c r="B81" i="90"/>
  <c r="L77" i="90"/>
  <c r="L78" i="90" s="1"/>
  <c r="E77" i="90"/>
  <c r="E78" i="90" s="1"/>
  <c r="F78" i="90" s="1"/>
  <c r="F76" i="90"/>
  <c r="N76" i="90"/>
  <c r="M76" i="90"/>
  <c r="G75" i="90"/>
  <c r="N75" i="90"/>
  <c r="M75" i="90"/>
  <c r="G71" i="90"/>
  <c r="N71" i="90"/>
  <c r="F71" i="90"/>
  <c r="N70" i="90"/>
  <c r="L70" i="90"/>
  <c r="M70" i="90" s="1"/>
  <c r="G70" i="90"/>
  <c r="E70" i="90"/>
  <c r="F70" i="90"/>
  <c r="F69" i="90"/>
  <c r="N69" i="90"/>
  <c r="M69" i="90"/>
  <c r="Q64" i="90"/>
  <c r="Q80" i="90" s="1"/>
  <c r="L63" i="90"/>
  <c r="O64" i="90" s="1"/>
  <c r="J64" i="90"/>
  <c r="J80" i="90" s="1"/>
  <c r="E63" i="90"/>
  <c r="H64" i="90" s="1"/>
  <c r="B60" i="90"/>
  <c r="G55" i="90"/>
  <c r="M55" i="90"/>
  <c r="G54" i="90"/>
  <c r="F54" i="90"/>
  <c r="N54" i="90"/>
  <c r="M54" i="90"/>
  <c r="M56" i="90" s="1"/>
  <c r="M58" i="90" s="1"/>
  <c r="B50" i="90"/>
  <c r="N47" i="90"/>
  <c r="L47" i="90"/>
  <c r="M47" i="90" s="1"/>
  <c r="G47" i="90"/>
  <c r="E47" i="90"/>
  <c r="F47" i="90"/>
  <c r="F46" i="90"/>
  <c r="N46" i="90"/>
  <c r="M46" i="90"/>
  <c r="G45" i="90"/>
  <c r="N45" i="90"/>
  <c r="M45" i="90"/>
  <c r="Q40" i="90"/>
  <c r="Q49" i="90" s="1"/>
  <c r="J40" i="90"/>
  <c r="J49" i="90" s="1"/>
  <c r="P40" i="90"/>
  <c r="O40" i="90"/>
  <c r="L39" i="90"/>
  <c r="I40" i="90"/>
  <c r="H40" i="90"/>
  <c r="E39" i="90"/>
  <c r="B36" i="90"/>
  <c r="G32" i="90"/>
  <c r="G34" i="90" s="1"/>
  <c r="M32" i="90"/>
  <c r="M34" i="90" s="1"/>
  <c r="B28" i="90"/>
  <c r="I219" i="90" s="1"/>
  <c r="F25" i="90"/>
  <c r="F24" i="90"/>
  <c r="F26" i="90" s="1"/>
  <c r="D24" i="90"/>
  <c r="N24" i="90" s="1"/>
  <c r="M24" i="90"/>
  <c r="B20" i="90"/>
  <c r="N17" i="90"/>
  <c r="M17" i="90"/>
  <c r="G16" i="90"/>
  <c r="F16" i="90"/>
  <c r="N16" i="90"/>
  <c r="M16" i="90"/>
  <c r="M18" i="90" s="1"/>
  <c r="Q11" i="90"/>
  <c r="I11" i="90"/>
  <c r="L10" i="90"/>
  <c r="J11" i="90"/>
  <c r="E10" i="90"/>
  <c r="N18" i="90" l="1"/>
  <c r="F79" i="90"/>
  <c r="Q27" i="90"/>
  <c r="Q35" i="90"/>
  <c r="Q19" i="90"/>
  <c r="H49" i="90"/>
  <c r="H59" i="90"/>
  <c r="O59" i="90"/>
  <c r="O49" i="90"/>
  <c r="F56" i="90"/>
  <c r="F58" i="90" s="1"/>
  <c r="H219" i="90"/>
  <c r="H11" i="90"/>
  <c r="G18" i="90"/>
  <c r="I59" i="90"/>
  <c r="I49" i="90"/>
  <c r="P49" i="90"/>
  <c r="P59" i="90"/>
  <c r="M48" i="90"/>
  <c r="M41" i="90" s="1"/>
  <c r="G56" i="90"/>
  <c r="G58" i="90" s="1"/>
  <c r="I60" i="90" s="1"/>
  <c r="H80" i="90"/>
  <c r="H97" i="90"/>
  <c r="O97" i="90"/>
  <c r="O80" i="90"/>
  <c r="H134" i="90"/>
  <c r="H117" i="90"/>
  <c r="P134" i="90"/>
  <c r="P117" i="90"/>
  <c r="I27" i="90"/>
  <c r="I35" i="90"/>
  <c r="I19" i="90"/>
  <c r="G17" i="90"/>
  <c r="D25" i="90"/>
  <c r="N94" i="90"/>
  <c r="N96" i="90" s="1"/>
  <c r="O11" i="90"/>
  <c r="O219" i="90"/>
  <c r="J35" i="90"/>
  <c r="J19" i="90"/>
  <c r="J27" i="90"/>
  <c r="N48" i="90"/>
  <c r="M78" i="90"/>
  <c r="N78" i="90"/>
  <c r="N79" i="90" s="1"/>
  <c r="F94" i="90"/>
  <c r="F96" i="90" s="1"/>
  <c r="F146" i="90"/>
  <c r="E138" i="90"/>
  <c r="E223" i="90" s="1"/>
  <c r="G146" i="90"/>
  <c r="O153" i="90"/>
  <c r="O169" i="90"/>
  <c r="M25" i="90"/>
  <c r="M26" i="90" s="1"/>
  <c r="M12" i="90" s="1"/>
  <c r="P64" i="90"/>
  <c r="F116" i="90"/>
  <c r="F103" i="90" s="1"/>
  <c r="N208" i="90"/>
  <c r="G208" i="90"/>
  <c r="H223" i="90"/>
  <c r="P219" i="90"/>
  <c r="F17" i="90"/>
  <c r="F18" i="90" s="1"/>
  <c r="F12" i="90" s="1"/>
  <c r="G24" i="90"/>
  <c r="F32" i="90"/>
  <c r="F34" i="90" s="1"/>
  <c r="G46" i="90"/>
  <c r="G48" i="90" s="1"/>
  <c r="F55" i="90"/>
  <c r="I64" i="90"/>
  <c r="G69" i="90"/>
  <c r="G79" i="90" s="1"/>
  <c r="G76" i="90"/>
  <c r="G78" i="90"/>
  <c r="O102" i="90"/>
  <c r="I102" i="90"/>
  <c r="N108" i="90"/>
  <c r="F109" i="90"/>
  <c r="N113" i="90"/>
  <c r="N115" i="90"/>
  <c r="G131" i="90"/>
  <c r="G133" i="90" s="1"/>
  <c r="G103" i="90" s="1"/>
  <c r="M144" i="90"/>
  <c r="F144" i="90"/>
  <c r="F152" i="90" s="1"/>
  <c r="F140" i="90" s="1"/>
  <c r="G151" i="90"/>
  <c r="N151" i="90"/>
  <c r="M179" i="90"/>
  <c r="F181" i="90"/>
  <c r="G181" i="90"/>
  <c r="G191" i="90" s="1"/>
  <c r="M186" i="90"/>
  <c r="F186" i="90"/>
  <c r="O174" i="90"/>
  <c r="O175" i="90" s="1"/>
  <c r="O190" i="90" s="1"/>
  <c r="M190" i="90"/>
  <c r="F190" i="90"/>
  <c r="N181" i="90"/>
  <c r="N191" i="90" s="1"/>
  <c r="O223" i="90"/>
  <c r="N32" i="90"/>
  <c r="N34" i="90" s="1"/>
  <c r="N55" i="90"/>
  <c r="N56" i="90" s="1"/>
  <c r="N58" i="90" s="1"/>
  <c r="P60" i="90" s="1"/>
  <c r="P243" i="90" s="1"/>
  <c r="M71" i="90"/>
  <c r="M79" i="90" s="1"/>
  <c r="J219" i="90"/>
  <c r="J226" i="90" s="1"/>
  <c r="Q219" i="90"/>
  <c r="F45" i="90"/>
  <c r="F48" i="90" s="1"/>
  <c r="F75" i="90"/>
  <c r="G94" i="90"/>
  <c r="G96" i="90" s="1"/>
  <c r="G86" i="90"/>
  <c r="F86" i="90"/>
  <c r="N91" i="90"/>
  <c r="M92" i="90"/>
  <c r="M116" i="90"/>
  <c r="M103" i="90" s="1"/>
  <c r="M109" i="90"/>
  <c r="M123" i="90"/>
  <c r="M131" i="90" s="1"/>
  <c r="M133" i="90" s="1"/>
  <c r="N124" i="90"/>
  <c r="N131" i="90" s="1"/>
  <c r="N133" i="90" s="1"/>
  <c r="J174" i="90"/>
  <c r="J175" i="90" s="1"/>
  <c r="Q174" i="90"/>
  <c r="Q175" i="90" s="1"/>
  <c r="Q190" i="90" s="1"/>
  <c r="Q176" i="90" s="1"/>
  <c r="H221" i="90"/>
  <c r="H225" i="90"/>
  <c r="E219" i="90"/>
  <c r="L219" i="90"/>
  <c r="P11" i="90"/>
  <c r="I243" i="90"/>
  <c r="L225" i="90"/>
  <c r="E225" i="90"/>
  <c r="L224" i="90"/>
  <c r="E224" i="90"/>
  <c r="L223" i="90"/>
  <c r="L222" i="90"/>
  <c r="E222" i="90"/>
  <c r="L221" i="90"/>
  <c r="E221" i="90"/>
  <c r="L220" i="90"/>
  <c r="E220" i="90"/>
  <c r="Q225" i="90"/>
  <c r="J225" i="90"/>
  <c r="Q224" i="90"/>
  <c r="J224" i="90"/>
  <c r="Q223" i="90"/>
  <c r="J223" i="90"/>
  <c r="Q222" i="90"/>
  <c r="J222" i="90"/>
  <c r="Q221" i="90"/>
  <c r="J221" i="90"/>
  <c r="Q220" i="90"/>
  <c r="J220" i="90"/>
  <c r="P225" i="90"/>
  <c r="I225" i="90"/>
  <c r="P224" i="90"/>
  <c r="I224" i="90"/>
  <c r="P223" i="90"/>
  <c r="I223" i="90"/>
  <c r="P222" i="90"/>
  <c r="I222" i="90"/>
  <c r="P221" i="90"/>
  <c r="I221" i="90"/>
  <c r="P220" i="90"/>
  <c r="I220" i="90"/>
  <c r="I226" i="90" s="1"/>
  <c r="O224" i="90"/>
  <c r="O222" i="90"/>
  <c r="O220" i="90"/>
  <c r="H224" i="90"/>
  <c r="H222" i="90"/>
  <c r="H220" i="90"/>
  <c r="M85" i="90"/>
  <c r="Q102" i="90"/>
  <c r="Q117" i="90" s="1"/>
  <c r="N116" i="90"/>
  <c r="H139" i="90"/>
  <c r="P139" i="90"/>
  <c r="M145" i="90"/>
  <c r="N166" i="90"/>
  <c r="N168" i="90" s="1"/>
  <c r="H174" i="90"/>
  <c r="H175" i="90" s="1"/>
  <c r="H190" i="90" s="1"/>
  <c r="M188" i="90"/>
  <c r="F188" i="90"/>
  <c r="F191" i="90" s="1"/>
  <c r="J190" i="90"/>
  <c r="J176" i="90" s="1"/>
  <c r="N209" i="90"/>
  <c r="N211" i="90" s="1"/>
  <c r="N199" i="90"/>
  <c r="G199" i="90"/>
  <c r="G209" i="90" s="1"/>
  <c r="G211" i="90" s="1"/>
  <c r="M208" i="90"/>
  <c r="F208" i="90"/>
  <c r="O221" i="90"/>
  <c r="O225" i="90"/>
  <c r="N146" i="90"/>
  <c r="N152" i="90" s="1"/>
  <c r="M159" i="90"/>
  <c r="M166" i="90" s="1"/>
  <c r="M168" i="90" s="1"/>
  <c r="M204" i="90"/>
  <c r="M209" i="90" s="1"/>
  <c r="M211" i="90" s="1"/>
  <c r="F204" i="90"/>
  <c r="F209" i="90" s="1"/>
  <c r="F211" i="90" s="1"/>
  <c r="M206" i="90"/>
  <c r="F206" i="90"/>
  <c r="I174" i="90"/>
  <c r="I175" i="90" s="1"/>
  <c r="I190" i="90" s="1"/>
  <c r="N140" i="90" l="1"/>
  <c r="F175" i="90"/>
  <c r="N175" i="90"/>
  <c r="I176" i="90"/>
  <c r="Q187" i="90"/>
  <c r="Q189" i="90"/>
  <c r="Q185" i="90"/>
  <c r="Q186" i="90"/>
  <c r="Q188" i="90"/>
  <c r="J187" i="90"/>
  <c r="J189" i="90"/>
  <c r="J185" i="90"/>
  <c r="J192" i="90" s="1"/>
  <c r="J186" i="90"/>
  <c r="J188" i="90"/>
  <c r="I50" i="90"/>
  <c r="I242" i="90" s="1"/>
  <c r="G41" i="90"/>
  <c r="N65" i="90"/>
  <c r="I118" i="90"/>
  <c r="I246" i="90" s="1"/>
  <c r="N103" i="90"/>
  <c r="N41" i="90"/>
  <c r="P50" i="90"/>
  <c r="P242" i="90" s="1"/>
  <c r="P27" i="90"/>
  <c r="P35" i="90"/>
  <c r="P19" i="90"/>
  <c r="E226" i="90"/>
  <c r="E229" i="90" s="1"/>
  <c r="O117" i="90"/>
  <c r="P118" i="90" s="1"/>
  <c r="P246" i="90" s="1"/>
  <c r="O134" i="90"/>
  <c r="P135" i="90" s="1"/>
  <c r="P247" i="90" s="1"/>
  <c r="I97" i="90"/>
  <c r="I80" i="90"/>
  <c r="I81" i="90" s="1"/>
  <c r="I244" i="90" s="1"/>
  <c r="I208" i="90"/>
  <c r="H208" i="90"/>
  <c r="P80" i="90"/>
  <c r="P81" i="90" s="1"/>
  <c r="P244" i="90" s="1"/>
  <c r="P97" i="90"/>
  <c r="P98" i="90" s="1"/>
  <c r="P245" i="90" s="1"/>
  <c r="I98" i="90"/>
  <c r="I245" i="90" s="1"/>
  <c r="G175" i="90"/>
  <c r="I134" i="90"/>
  <c r="I135" i="90" s="1"/>
  <c r="I247" i="90" s="1"/>
  <c r="I117" i="90"/>
  <c r="G65" i="90"/>
  <c r="H226" i="90"/>
  <c r="F65" i="90"/>
  <c r="H176" i="90"/>
  <c r="P153" i="90"/>
  <c r="P154" i="90" s="1"/>
  <c r="P248" i="90" s="1"/>
  <c r="P169" i="90"/>
  <c r="P170" i="90" s="1"/>
  <c r="P249" i="90" s="1"/>
  <c r="M94" i="90"/>
  <c r="M96" i="90" s="1"/>
  <c r="M65" i="90" s="1"/>
  <c r="M232" i="90" s="1"/>
  <c r="M234" i="90" s="1"/>
  <c r="L226" i="90"/>
  <c r="L229" i="90" s="1"/>
  <c r="F41" i="90"/>
  <c r="F232" i="90" s="1"/>
  <c r="F234" i="90" s="1"/>
  <c r="P36" i="90"/>
  <c r="P241" i="90" s="1"/>
  <c r="M191" i="90"/>
  <c r="M175" i="90" s="1"/>
  <c r="M152" i="90"/>
  <c r="M140" i="90" s="1"/>
  <c r="P208" i="90"/>
  <c r="O208" i="90"/>
  <c r="O176" i="90" s="1"/>
  <c r="P174" i="90"/>
  <c r="P175" i="90" s="1"/>
  <c r="P190" i="90" s="1"/>
  <c r="I139" i="90"/>
  <c r="O226" i="90"/>
  <c r="G25" i="90"/>
  <c r="G26" i="90" s="1"/>
  <c r="N25" i="90"/>
  <c r="N26" i="90" s="1"/>
  <c r="H169" i="90"/>
  <c r="H153" i="90"/>
  <c r="Q226" i="90"/>
  <c r="P226" i="90"/>
  <c r="G152" i="90"/>
  <c r="O35" i="90"/>
  <c r="O27" i="90"/>
  <c r="O19" i="90"/>
  <c r="H27" i="90"/>
  <c r="H35" i="90"/>
  <c r="I36" i="90" s="1"/>
  <c r="I241" i="90" s="1"/>
  <c r="H19" i="90"/>
  <c r="I20" i="90" s="1"/>
  <c r="I239" i="90" s="1"/>
  <c r="P20" i="90"/>
  <c r="P239" i="90" s="1"/>
  <c r="N12" i="90"/>
  <c r="N232" i="90" s="1"/>
  <c r="I28" i="90" l="1"/>
  <c r="I240" i="90" s="1"/>
  <c r="G12" i="90"/>
  <c r="O204" i="90"/>
  <c r="O206" i="90"/>
  <c r="O185" i="90"/>
  <c r="O192" i="90" s="1"/>
  <c r="O189" i="90"/>
  <c r="O207" i="90"/>
  <c r="O187" i="90"/>
  <c r="O203" i="90"/>
  <c r="O212" i="90" s="1"/>
  <c r="O186" i="90"/>
  <c r="O205" i="90"/>
  <c r="O188" i="90"/>
  <c r="I188" i="90"/>
  <c r="I204" i="90"/>
  <c r="I203" i="90"/>
  <c r="I187" i="90"/>
  <c r="I206" i="90"/>
  <c r="I185" i="90"/>
  <c r="I189" i="90"/>
  <c r="I207" i="90"/>
  <c r="I186" i="90"/>
  <c r="I205" i="90"/>
  <c r="Q192" i="90"/>
  <c r="I170" i="90"/>
  <c r="I249" i="90" s="1"/>
  <c r="I169" i="90"/>
  <c r="I153" i="90"/>
  <c r="H189" i="90"/>
  <c r="H187" i="90"/>
  <c r="H185" i="90"/>
  <c r="H206" i="90"/>
  <c r="H186" i="90"/>
  <c r="H207" i="90"/>
  <c r="H203" i="90"/>
  <c r="H188" i="90"/>
  <c r="H205" i="90"/>
  <c r="H204" i="90"/>
  <c r="I154" i="90"/>
  <c r="I248" i="90" s="1"/>
  <c r="G140" i="90"/>
  <c r="P28" i="90"/>
  <c r="P240" i="90" s="1"/>
  <c r="P176" i="90"/>
  <c r="I212" i="90" l="1"/>
  <c r="H212" i="90"/>
  <c r="H192" i="90"/>
  <c r="I192" i="90"/>
  <c r="G232" i="90"/>
  <c r="P189" i="90"/>
  <c r="P187" i="90"/>
  <c r="P185" i="90"/>
  <c r="P192" i="90" s="1"/>
  <c r="P193" i="90" s="1"/>
  <c r="P250" i="90" s="1"/>
  <c r="P188" i="90"/>
  <c r="P204" i="90"/>
  <c r="P207" i="90"/>
  <c r="P203" i="90"/>
  <c r="P212" i="90" s="1"/>
  <c r="P213" i="90" s="1"/>
  <c r="P251" i="90" s="1"/>
  <c r="P186" i="90"/>
  <c r="P206" i="90"/>
  <c r="P205" i="90"/>
  <c r="P253" i="90" l="1"/>
  <c r="P256" i="90" s="1"/>
  <c r="I193" i="90"/>
  <c r="I250" i="90" s="1"/>
  <c r="I213" i="90"/>
  <c r="I251" i="90" s="1"/>
  <c r="I253" i="90" l="1"/>
  <c r="I256" i="90" s="1"/>
  <c r="P11" i="9" l="1"/>
  <c r="P12" i="9"/>
  <c r="P13" i="9"/>
  <c r="P14" i="9"/>
  <c r="P15" i="9"/>
  <c r="P10" i="9"/>
  <c r="E26" i="8" l="1"/>
  <c r="D26" i="8"/>
  <c r="E25" i="8"/>
  <c r="D25" i="8"/>
  <c r="E21" i="8"/>
  <c r="D21" i="8"/>
  <c r="E20" i="8"/>
  <c r="D20" i="8"/>
  <c r="E17" i="8"/>
  <c r="D17" i="8"/>
  <c r="E15" i="8"/>
  <c r="D15" i="8"/>
  <c r="E13" i="8"/>
  <c r="D13" i="8"/>
  <c r="E10" i="8"/>
  <c r="D10" i="8"/>
  <c r="D149" i="76"/>
  <c r="D148" i="76"/>
  <c r="D141" i="76"/>
  <c r="F132" i="76"/>
  <c r="D151" i="76"/>
  <c r="F131" i="76"/>
  <c r="F129" i="76"/>
  <c r="F128" i="76"/>
  <c r="F147" i="76" s="1"/>
  <c r="D147" i="76"/>
  <c r="L125" i="76"/>
  <c r="I125" i="76"/>
  <c r="I144" i="76" s="1"/>
  <c r="I123" i="76"/>
  <c r="F123" i="76"/>
  <c r="H115" i="76"/>
  <c r="F115" i="76"/>
  <c r="F111" i="76"/>
  <c r="F148" i="76" s="1"/>
  <c r="O110" i="76"/>
  <c r="F110" i="76"/>
  <c r="I107" i="76"/>
  <c r="K107" i="76" s="1"/>
  <c r="L107" i="76" s="1"/>
  <c r="H106" i="76"/>
  <c r="H105" i="76"/>
  <c r="F105" i="76"/>
  <c r="I104" i="76"/>
  <c r="F104" i="76"/>
  <c r="D88" i="76"/>
  <c r="I76" i="76"/>
  <c r="K76" i="76" s="1"/>
  <c r="L76" i="76" s="1"/>
  <c r="H75" i="76"/>
  <c r="F75" i="76"/>
  <c r="D67" i="76"/>
  <c r="F66" i="76"/>
  <c r="F65" i="76"/>
  <c r="H61" i="76"/>
  <c r="D61" i="76"/>
  <c r="H60" i="76"/>
  <c r="F60" i="76"/>
  <c r="F89" i="76" s="1"/>
  <c r="D89" i="76"/>
  <c r="H59" i="76"/>
  <c r="F59" i="76"/>
  <c r="D51" i="76"/>
  <c r="D44" i="76"/>
  <c r="F35" i="76"/>
  <c r="I30" i="76"/>
  <c r="K30" i="76" s="1"/>
  <c r="L30" i="76" s="1"/>
  <c r="F29" i="76"/>
  <c r="F28" i="76"/>
  <c r="H28" i="76"/>
  <c r="D43" i="76"/>
  <c r="F19" i="76"/>
  <c r="H13" i="76"/>
  <c r="F13" i="76"/>
  <c r="F44" i="76" s="1"/>
  <c r="I12" i="76"/>
  <c r="K12" i="76" s="1"/>
  <c r="L12" i="76" s="1"/>
  <c r="F12" i="76"/>
  <c r="D79" i="75"/>
  <c r="D74" i="75"/>
  <c r="D75" i="75" s="1"/>
  <c r="H64" i="75"/>
  <c r="F64" i="75"/>
  <c r="H63" i="75"/>
  <c r="D59" i="75"/>
  <c r="F59" i="75" s="1"/>
  <c r="H58" i="75"/>
  <c r="F58" i="75"/>
  <c r="F48" i="75"/>
  <c r="F47" i="75"/>
  <c r="H46" i="75"/>
  <c r="H43" i="75"/>
  <c r="F43" i="75"/>
  <c r="H42" i="75"/>
  <c r="F42" i="75"/>
  <c r="D42" i="75"/>
  <c r="I41" i="75"/>
  <c r="D31" i="75"/>
  <c r="F23" i="75"/>
  <c r="F24" i="75" s="1"/>
  <c r="F26" i="75" s="1"/>
  <c r="H22" i="75"/>
  <c r="F22" i="75"/>
  <c r="I14" i="75"/>
  <c r="I33" i="75" s="1"/>
  <c r="D14" i="75"/>
  <c r="F13" i="75"/>
  <c r="I12" i="75"/>
  <c r="F12" i="75"/>
  <c r="F31" i="75" s="1"/>
  <c r="F21" i="74"/>
  <c r="H20" i="74"/>
  <c r="F20" i="74"/>
  <c r="F22" i="74" s="1"/>
  <c r="F24" i="74" s="1"/>
  <c r="D37" i="74"/>
  <c r="I12" i="74"/>
  <c r="F12" i="74"/>
  <c r="F50" i="76" l="1"/>
  <c r="F34" i="75"/>
  <c r="F36" i="75" s="1"/>
  <c r="H60" i="75"/>
  <c r="I43" i="75"/>
  <c r="K43" i="75" s="1"/>
  <c r="L43" i="75" s="1"/>
  <c r="K33" i="75"/>
  <c r="L33" i="75" s="1"/>
  <c r="H28" i="74"/>
  <c r="I48" i="75"/>
  <c r="K48" i="75" s="1"/>
  <c r="L48" i="75" s="1"/>
  <c r="D80" i="75"/>
  <c r="F36" i="76"/>
  <c r="F38" i="76" s="1"/>
  <c r="D90" i="76"/>
  <c r="F61" i="76"/>
  <c r="F90" i="76" s="1"/>
  <c r="H59" i="75"/>
  <c r="I59" i="76"/>
  <c r="F91" i="76"/>
  <c r="I62" i="76"/>
  <c r="I75" i="76"/>
  <c r="K75" i="76" s="1"/>
  <c r="L75" i="76" s="1"/>
  <c r="F113" i="76"/>
  <c r="K168" i="76"/>
  <c r="L168" i="76" s="1"/>
  <c r="K12" i="74"/>
  <c r="I20" i="74"/>
  <c r="F32" i="75"/>
  <c r="F15" i="75"/>
  <c r="F41" i="75"/>
  <c r="K41" i="75" s="1"/>
  <c r="I42" i="75"/>
  <c r="K42" i="75" s="1"/>
  <c r="L42" i="75" s="1"/>
  <c r="I47" i="75"/>
  <c r="K47" i="75" s="1"/>
  <c r="L47" i="75" s="1"/>
  <c r="I58" i="75"/>
  <c r="F46" i="76"/>
  <c r="H19" i="76"/>
  <c r="H20" i="76"/>
  <c r="H29" i="76"/>
  <c r="F33" i="76"/>
  <c r="D49" i="76"/>
  <c r="D36" i="76"/>
  <c r="D50" i="76"/>
  <c r="F34" i="76"/>
  <c r="F74" i="76"/>
  <c r="I115" i="76"/>
  <c r="K115" i="76" s="1"/>
  <c r="L115" i="76" s="1"/>
  <c r="F13" i="74"/>
  <c r="F14" i="74" s="1"/>
  <c r="K14" i="75"/>
  <c r="L14" i="75" s="1"/>
  <c r="F80" i="75"/>
  <c r="F114" i="76"/>
  <c r="F151" i="76" s="1"/>
  <c r="F133" i="76"/>
  <c r="F152" i="76" s="1"/>
  <c r="D152" i="76"/>
  <c r="K12" i="75"/>
  <c r="F14" i="75"/>
  <c r="F33" i="75" s="1"/>
  <c r="D33" i="75"/>
  <c r="D49" i="75"/>
  <c r="D50" i="75" s="1"/>
  <c r="H48" i="75"/>
  <c r="I64" i="75"/>
  <c r="I13" i="76"/>
  <c r="F18" i="76"/>
  <c r="F49" i="76" s="1"/>
  <c r="D21" i="76"/>
  <c r="D14" i="76" s="1"/>
  <c r="F14" i="76" s="1"/>
  <c r="I20" i="76"/>
  <c r="F80" i="76"/>
  <c r="F95" i="76" s="1"/>
  <c r="H133" i="76"/>
  <c r="F28" i="74"/>
  <c r="F32" i="74" s="1"/>
  <c r="I22" i="75"/>
  <c r="I31" i="75" s="1"/>
  <c r="D32" i="75"/>
  <c r="D93" i="75" s="1"/>
  <c r="F75" i="75"/>
  <c r="D76" i="75"/>
  <c r="F60" i="75"/>
  <c r="F76" i="75" s="1"/>
  <c r="F65" i="75"/>
  <c r="F81" i="75" s="1"/>
  <c r="D81" i="75"/>
  <c r="D82" i="75" s="1"/>
  <c r="D66" i="75"/>
  <c r="D94" i="75" s="1"/>
  <c r="H14" i="76"/>
  <c r="I15" i="76"/>
  <c r="I19" i="76"/>
  <c r="F20" i="76"/>
  <c r="F51" i="76" s="1"/>
  <c r="F43" i="76"/>
  <c r="F67" i="76"/>
  <c r="I61" i="76"/>
  <c r="H74" i="76"/>
  <c r="D81" i="76"/>
  <c r="F79" i="76"/>
  <c r="F94" i="76" s="1"/>
  <c r="D95" i="76"/>
  <c r="I105" i="76"/>
  <c r="K105" i="76" s="1"/>
  <c r="L105" i="76" s="1"/>
  <c r="F112" i="76"/>
  <c r="D116" i="76"/>
  <c r="D106" i="76" s="1"/>
  <c r="F141" i="76"/>
  <c r="F150" i="76"/>
  <c r="D134" i="76"/>
  <c r="I60" i="76"/>
  <c r="D94" i="76"/>
  <c r="D96" i="76" s="1"/>
  <c r="D162" i="76" s="1"/>
  <c r="I141" i="76"/>
  <c r="K123" i="76"/>
  <c r="I28" i="76"/>
  <c r="K104" i="76"/>
  <c r="L104" i="76" s="1"/>
  <c r="H124" i="76"/>
  <c r="D142" i="76"/>
  <c r="F124" i="76"/>
  <c r="F142" i="76" s="1"/>
  <c r="F144" i="76"/>
  <c r="K144" i="76" s="1"/>
  <c r="L144" i="76" s="1"/>
  <c r="F130" i="76"/>
  <c r="D150" i="76"/>
  <c r="D153" i="76" s="1"/>
  <c r="D163" i="76" s="1"/>
  <c r="L41" i="75" l="1"/>
  <c r="F45" i="76"/>
  <c r="F21" i="76"/>
  <c r="K31" i="75"/>
  <c r="K28" i="76"/>
  <c r="I90" i="76"/>
  <c r="K90" i="76" s="1"/>
  <c r="L90" i="76" s="1"/>
  <c r="K61" i="76"/>
  <c r="L61" i="76" s="1"/>
  <c r="L123" i="76"/>
  <c r="I89" i="76"/>
  <c r="K89" i="76" s="1"/>
  <c r="L89" i="76" s="1"/>
  <c r="K60" i="76"/>
  <c r="L60" i="76" s="1"/>
  <c r="F67" i="75"/>
  <c r="F69" i="75" s="1"/>
  <c r="I74" i="75"/>
  <c r="K58" i="75"/>
  <c r="F93" i="75"/>
  <c r="F17" i="75"/>
  <c r="L12" i="74"/>
  <c r="K62" i="76"/>
  <c r="L62" i="76" s="1"/>
  <c r="I91" i="76"/>
  <c r="K91" i="76" s="1"/>
  <c r="L91" i="76" s="1"/>
  <c r="I28" i="74"/>
  <c r="I133" i="76"/>
  <c r="F149" i="76"/>
  <c r="F106" i="76"/>
  <c r="I106" i="76"/>
  <c r="F52" i="76"/>
  <c r="F54" i="76" s="1"/>
  <c r="H65" i="75"/>
  <c r="D167" i="76"/>
  <c r="D169" i="76" s="1"/>
  <c r="F81" i="76"/>
  <c r="F83" i="76" s="1"/>
  <c r="F88" i="76"/>
  <c r="F96" i="76" s="1"/>
  <c r="F98" i="76" s="1"/>
  <c r="D52" i="76"/>
  <c r="D161" i="76" s="1"/>
  <c r="D164" i="76" s="1"/>
  <c r="H35" i="76"/>
  <c r="K19" i="76"/>
  <c r="L19" i="76" s="1"/>
  <c r="K20" i="76"/>
  <c r="L20" i="76" s="1"/>
  <c r="I80" i="75"/>
  <c r="K64" i="75"/>
  <c r="I50" i="75"/>
  <c r="F50" i="75"/>
  <c r="F83" i="75" s="1"/>
  <c r="D83" i="75"/>
  <c r="I43" i="76"/>
  <c r="H34" i="76"/>
  <c r="F51" i="75"/>
  <c r="K20" i="74"/>
  <c r="I59" i="75"/>
  <c r="F162" i="76"/>
  <c r="F69" i="76"/>
  <c r="I46" i="76"/>
  <c r="K46" i="76" s="1"/>
  <c r="L46" i="76" s="1"/>
  <c r="K15" i="76"/>
  <c r="L15" i="76" s="1"/>
  <c r="K22" i="75"/>
  <c r="D45" i="76"/>
  <c r="I14" i="76"/>
  <c r="F37" i="74"/>
  <c r="F39" i="74" s="1"/>
  <c r="F16" i="74"/>
  <c r="I124" i="76"/>
  <c r="K141" i="76"/>
  <c r="F134" i="76"/>
  <c r="F136" i="76" s="1"/>
  <c r="I29" i="76"/>
  <c r="K29" i="76" s="1"/>
  <c r="L29" i="76" s="1"/>
  <c r="D95" i="75"/>
  <c r="I44" i="76"/>
  <c r="K44" i="76" s="1"/>
  <c r="L44" i="76" s="1"/>
  <c r="K13" i="76"/>
  <c r="L12" i="75"/>
  <c r="I74" i="76"/>
  <c r="I88" i="76"/>
  <c r="K59" i="76"/>
  <c r="F74" i="75"/>
  <c r="F84" i="75" s="1"/>
  <c r="F86" i="75" s="1"/>
  <c r="I60" i="75"/>
  <c r="H13" i="75"/>
  <c r="I34" i="76" l="1"/>
  <c r="H23" i="75"/>
  <c r="I13" i="75"/>
  <c r="L59" i="76"/>
  <c r="K43" i="76"/>
  <c r="I83" i="75"/>
  <c r="K83" i="75" s="1"/>
  <c r="L83" i="75" s="1"/>
  <c r="K50" i="75"/>
  <c r="I143" i="76"/>
  <c r="K143" i="76" s="1"/>
  <c r="L143" i="76" s="1"/>
  <c r="K106" i="76"/>
  <c r="L106" i="76" s="1"/>
  <c r="K28" i="74"/>
  <c r="I32" i="74"/>
  <c r="H13" i="74" s="1"/>
  <c r="L28" i="76"/>
  <c r="F161" i="76"/>
  <c r="F23" i="76"/>
  <c r="I76" i="75"/>
  <c r="K60" i="75"/>
  <c r="L13" i="76"/>
  <c r="K124" i="76"/>
  <c r="I142" i="76"/>
  <c r="L22" i="75"/>
  <c r="L20" i="74"/>
  <c r="K80" i="75"/>
  <c r="L80" i="75" s="1"/>
  <c r="L64" i="75"/>
  <c r="I51" i="75"/>
  <c r="F143" i="76"/>
  <c r="F153" i="76" s="1"/>
  <c r="F155" i="76" s="1"/>
  <c r="F167" i="76" s="1"/>
  <c r="F169" i="76" s="1"/>
  <c r="F174" i="76" s="1"/>
  <c r="F116" i="76"/>
  <c r="F95" i="75"/>
  <c r="F97" i="75" s="1"/>
  <c r="L141" i="76"/>
  <c r="K88" i="76"/>
  <c r="O65" i="76"/>
  <c r="K74" i="76"/>
  <c r="I45" i="76"/>
  <c r="K45" i="76" s="1"/>
  <c r="L45" i="76" s="1"/>
  <c r="K14" i="76"/>
  <c r="L14" i="76" s="1"/>
  <c r="K59" i="75"/>
  <c r="I75" i="75"/>
  <c r="F94" i="75"/>
  <c r="F53" i="75"/>
  <c r="I65" i="75"/>
  <c r="I67" i="75" s="1"/>
  <c r="I69" i="75" s="1"/>
  <c r="L31" i="75"/>
  <c r="I35" i="76"/>
  <c r="I152" i="76"/>
  <c r="K152" i="76" s="1"/>
  <c r="L152" i="76" s="1"/>
  <c r="K133" i="76"/>
  <c r="L133" i="76" s="1"/>
  <c r="L58" i="75"/>
  <c r="K74" i="75"/>
  <c r="I84" i="75" l="1"/>
  <c r="I86" i="75" s="1"/>
  <c r="O43" i="75" s="1"/>
  <c r="H65" i="76"/>
  <c r="H66" i="76"/>
  <c r="L43" i="76"/>
  <c r="K34" i="76"/>
  <c r="L34" i="76" s="1"/>
  <c r="I50" i="76"/>
  <c r="K50" i="76" s="1"/>
  <c r="L50" i="76" s="1"/>
  <c r="L74" i="75"/>
  <c r="H18" i="76"/>
  <c r="L88" i="76"/>
  <c r="H21" i="74"/>
  <c r="I21" i="74" s="1"/>
  <c r="I13" i="74"/>
  <c r="I32" i="75"/>
  <c r="K13" i="75"/>
  <c r="I15" i="75"/>
  <c r="I53" i="75"/>
  <c r="I94" i="75"/>
  <c r="K94" i="75" s="1"/>
  <c r="L94" i="75" s="1"/>
  <c r="K142" i="76"/>
  <c r="O109" i="76"/>
  <c r="K76" i="75"/>
  <c r="L76" i="75" s="1"/>
  <c r="L60" i="75"/>
  <c r="K32" i="74"/>
  <c r="L32" i="74" s="1"/>
  <c r="L28" i="74"/>
  <c r="L50" i="75"/>
  <c r="K51" i="75"/>
  <c r="I23" i="75"/>
  <c r="K35" i="76"/>
  <c r="L35" i="76" s="1"/>
  <c r="I51" i="76"/>
  <c r="K51" i="76" s="1"/>
  <c r="L51" i="76" s="1"/>
  <c r="L59" i="75"/>
  <c r="K75" i="75"/>
  <c r="L75" i="75" s="1"/>
  <c r="F118" i="76"/>
  <c r="F163" i="76"/>
  <c r="K65" i="75"/>
  <c r="I81" i="75"/>
  <c r="L74" i="76"/>
  <c r="L124" i="76"/>
  <c r="F164" i="76"/>
  <c r="F173" i="76" s="1"/>
  <c r="L65" i="75" l="1"/>
  <c r="K81" i="75"/>
  <c r="H112" i="76"/>
  <c r="H111" i="76"/>
  <c r="H110" i="76"/>
  <c r="H113" i="76"/>
  <c r="H114" i="76"/>
  <c r="L13" i="75"/>
  <c r="K15" i="75"/>
  <c r="K21" i="74"/>
  <c r="I22" i="74"/>
  <c r="I24" i="74" s="1"/>
  <c r="H33" i="76"/>
  <c r="I18" i="76"/>
  <c r="K67" i="75"/>
  <c r="L51" i="75"/>
  <c r="K53" i="75"/>
  <c r="L53" i="75" s="1"/>
  <c r="L142" i="76"/>
  <c r="K32" i="75"/>
  <c r="I34" i="75"/>
  <c r="I36" i="75" s="1"/>
  <c r="O14" i="75" s="1"/>
  <c r="H80" i="76"/>
  <c r="I66" i="76"/>
  <c r="K23" i="75"/>
  <c r="I24" i="75"/>
  <c r="I26" i="75" s="1"/>
  <c r="I93" i="75"/>
  <c r="I17" i="75"/>
  <c r="K13" i="74"/>
  <c r="I14" i="74"/>
  <c r="H79" i="76"/>
  <c r="I65" i="76"/>
  <c r="I79" i="76" l="1"/>
  <c r="I94" i="76"/>
  <c r="K65" i="76"/>
  <c r="I67" i="76"/>
  <c r="L13" i="74"/>
  <c r="K14" i="74"/>
  <c r="L23" i="75"/>
  <c r="K24" i="75"/>
  <c r="I80" i="76"/>
  <c r="K80" i="76" s="1"/>
  <c r="L80" i="76" s="1"/>
  <c r="L32" i="75"/>
  <c r="K34" i="75"/>
  <c r="K18" i="76"/>
  <c r="I21" i="76"/>
  <c r="L21" i="74"/>
  <c r="K22" i="74"/>
  <c r="H131" i="76"/>
  <c r="I113" i="76"/>
  <c r="K113" i="76" s="1"/>
  <c r="L113" i="76" s="1"/>
  <c r="I33" i="76"/>
  <c r="L15" i="75"/>
  <c r="K17" i="75"/>
  <c r="L17" i="75" s="1"/>
  <c r="H128" i="76"/>
  <c r="I110" i="76"/>
  <c r="K93" i="75"/>
  <c r="I95" i="75"/>
  <c r="H129" i="76"/>
  <c r="I111" i="76"/>
  <c r="K111" i="76" s="1"/>
  <c r="L111" i="76" s="1"/>
  <c r="L81" i="75"/>
  <c r="K84" i="75"/>
  <c r="I16" i="74"/>
  <c r="I37" i="74"/>
  <c r="I95" i="76"/>
  <c r="K95" i="76" s="1"/>
  <c r="L95" i="76" s="1"/>
  <c r="K66" i="76"/>
  <c r="L66" i="76" s="1"/>
  <c r="K69" i="75"/>
  <c r="L69" i="75" s="1"/>
  <c r="L67" i="75"/>
  <c r="H132" i="76"/>
  <c r="I114" i="76"/>
  <c r="K114" i="76" s="1"/>
  <c r="L114" i="76" s="1"/>
  <c r="H130" i="76"/>
  <c r="I112" i="76"/>
  <c r="K112" i="76" s="1"/>
  <c r="L112" i="76" s="1"/>
  <c r="L65" i="76" l="1"/>
  <c r="K67" i="76"/>
  <c r="I130" i="76"/>
  <c r="L34" i="75"/>
  <c r="K36" i="75"/>
  <c r="L36" i="75" s="1"/>
  <c r="K16" i="74"/>
  <c r="L16" i="74" s="1"/>
  <c r="L14" i="74"/>
  <c r="K94" i="76"/>
  <c r="I96" i="76"/>
  <c r="I98" i="76" s="1"/>
  <c r="O61" i="76" s="1"/>
  <c r="L18" i="76"/>
  <c r="K21" i="76"/>
  <c r="K37" i="74"/>
  <c r="L37" i="74" s="1"/>
  <c r="N14" i="74"/>
  <c r="K110" i="76"/>
  <c r="L110" i="76" s="1"/>
  <c r="I116" i="76"/>
  <c r="I131" i="76"/>
  <c r="I23" i="76"/>
  <c r="K79" i="76"/>
  <c r="I81" i="76"/>
  <c r="I83" i="76" s="1"/>
  <c r="I132" i="76"/>
  <c r="K86" i="75"/>
  <c r="L86" i="75" s="1"/>
  <c r="L84" i="75"/>
  <c r="L22" i="74"/>
  <c r="K24" i="74"/>
  <c r="L24" i="74" s="1"/>
  <c r="I129" i="76"/>
  <c r="K95" i="75"/>
  <c r="L95" i="75" s="1"/>
  <c r="L93" i="75"/>
  <c r="I128" i="76"/>
  <c r="K33" i="76"/>
  <c r="I36" i="76"/>
  <c r="I38" i="76" s="1"/>
  <c r="I49" i="76"/>
  <c r="L24" i="75"/>
  <c r="L26" i="75"/>
  <c r="I162" i="76"/>
  <c r="K162" i="76" s="1"/>
  <c r="L162" i="76" s="1"/>
  <c r="I69" i="76"/>
  <c r="L67" i="76" l="1"/>
  <c r="K69" i="76"/>
  <c r="L69" i="76" s="1"/>
  <c r="K132" i="76"/>
  <c r="L132" i="76" s="1"/>
  <c r="I151" i="76"/>
  <c r="K151" i="76" s="1"/>
  <c r="L151" i="76" s="1"/>
  <c r="I150" i="76"/>
  <c r="K150" i="76" s="1"/>
  <c r="L150" i="76" s="1"/>
  <c r="K131" i="76"/>
  <c r="L131" i="76" s="1"/>
  <c r="L94" i="76"/>
  <c r="K96" i="76"/>
  <c r="K49" i="76"/>
  <c r="I52" i="76"/>
  <c r="I54" i="76" s="1"/>
  <c r="L33" i="76"/>
  <c r="K36" i="76"/>
  <c r="K128" i="76"/>
  <c r="I147" i="76"/>
  <c r="I134" i="76"/>
  <c r="I136" i="76" s="1"/>
  <c r="I148" i="76"/>
  <c r="K148" i="76" s="1"/>
  <c r="L148" i="76" s="1"/>
  <c r="K129" i="76"/>
  <c r="L129" i="76" s="1"/>
  <c r="L79" i="76"/>
  <c r="K81" i="76"/>
  <c r="I161" i="76"/>
  <c r="I118" i="76"/>
  <c r="I163" i="76"/>
  <c r="K163" i="76" s="1"/>
  <c r="L163" i="76" s="1"/>
  <c r="K116" i="76"/>
  <c r="L21" i="76"/>
  <c r="K23" i="76"/>
  <c r="L23" i="76" s="1"/>
  <c r="I149" i="76"/>
  <c r="K149" i="76" s="1"/>
  <c r="L149" i="76" s="1"/>
  <c r="K130" i="76"/>
  <c r="L130" i="76" s="1"/>
  <c r="L36" i="76" l="1"/>
  <c r="K38" i="76"/>
  <c r="L38" i="76" s="1"/>
  <c r="K98" i="76"/>
  <c r="L98" i="76" s="1"/>
  <c r="L96" i="76"/>
  <c r="I164" i="76"/>
  <c r="K161" i="76"/>
  <c r="L128" i="76"/>
  <c r="K134" i="76"/>
  <c r="L116" i="76"/>
  <c r="K118" i="76"/>
  <c r="L118" i="76" s="1"/>
  <c r="L81" i="76"/>
  <c r="K83" i="76"/>
  <c r="L83" i="76" s="1"/>
  <c r="O14" i="76"/>
  <c r="K147" i="76"/>
  <c r="I153" i="76"/>
  <c r="I155" i="76" s="1"/>
  <c r="O106" i="76" s="1"/>
  <c r="L49" i="76"/>
  <c r="K52" i="76"/>
  <c r="K54" i="76" l="1"/>
  <c r="L54" i="76" s="1"/>
  <c r="L52" i="76"/>
  <c r="L161" i="76"/>
  <c r="K164" i="76"/>
  <c r="L164" i="76" s="1"/>
  <c r="I167" i="76"/>
  <c r="K136" i="76"/>
  <c r="L136" i="76" s="1"/>
  <c r="L134" i="76"/>
  <c r="L147" i="76"/>
  <c r="K153" i="76"/>
  <c r="L153" i="76" l="1"/>
  <c r="K155" i="76"/>
  <c r="L155" i="76" s="1"/>
  <c r="I169" i="76"/>
  <c r="I174" i="76" s="1"/>
  <c r="K167" i="76"/>
  <c r="K169" i="76" l="1"/>
  <c r="L167" i="76"/>
  <c r="K174" i="76" l="1"/>
  <c r="L169" i="76"/>
  <c r="I26" i="8" l="1"/>
  <c r="I25" i="8"/>
  <c r="J26" i="8"/>
  <c r="J25" i="8"/>
  <c r="A4" i="9" l="1"/>
  <c r="A2" i="8" l="1"/>
  <c r="A2" i="9" l="1"/>
  <c r="D37" i="9" l="1"/>
  <c r="D18" i="9"/>
  <c r="E11" i="9" s="1"/>
  <c r="T10" i="9" l="1"/>
  <c r="T11" i="9" l="1"/>
  <c r="G41" i="9" s="1"/>
  <c r="T12" i="9"/>
  <c r="G42" i="9" s="1"/>
  <c r="T13" i="9"/>
  <c r="G43" i="9" s="1"/>
  <c r="T14" i="9"/>
  <c r="G44" i="9" s="1"/>
  <c r="T15" i="9"/>
  <c r="G45" i="9" s="1"/>
  <c r="G40" i="9"/>
  <c r="A12" i="8" l="1"/>
  <c r="A13" i="8" s="1"/>
  <c r="A15" i="8" l="1"/>
  <c r="A17" i="8" s="1"/>
  <c r="A19" i="8" s="1"/>
  <c r="A20" i="8" s="1"/>
  <c r="A21" i="8" s="1"/>
  <c r="A22" i="8" s="1"/>
  <c r="F6" i="8"/>
  <c r="F26" i="8"/>
  <c r="K26" i="8" s="1"/>
  <c r="F25" i="8"/>
  <c r="K25" i="8" s="1"/>
  <c r="F21" i="8"/>
  <c r="K21" i="8" s="1"/>
  <c r="F20" i="8"/>
  <c r="K20" i="8" s="1"/>
  <c r="F17" i="8"/>
  <c r="K17" i="8" s="1"/>
  <c r="F15" i="8"/>
  <c r="K15" i="8" s="1"/>
  <c r="F13" i="8"/>
  <c r="K13" i="8" s="1"/>
  <c r="F10" i="8"/>
  <c r="K10" i="8" s="1"/>
  <c r="A24" i="8" l="1"/>
  <c r="A25" i="8" s="1"/>
  <c r="A26" i="8" s="1"/>
  <c r="A27" i="8" s="1"/>
  <c r="A28" i="8" s="1"/>
  <c r="G11" i="9" l="1"/>
  <c r="G13" i="9"/>
  <c r="G15" i="9"/>
  <c r="D17" i="9"/>
  <c r="E12" i="9" s="1"/>
  <c r="F12" i="9" s="1"/>
  <c r="G21" i="9"/>
  <c r="G23" i="9"/>
  <c r="G25" i="9"/>
  <c r="D27" i="9"/>
  <c r="E23" i="9" s="1"/>
  <c r="F23" i="9" s="1"/>
  <c r="A29" i="9"/>
  <c r="A30" i="9" s="1"/>
  <c r="A31" i="9" s="1"/>
  <c r="A32" i="9" s="1"/>
  <c r="A33" i="9" s="1"/>
  <c r="A34" i="9" s="1"/>
  <c r="A35" i="9" s="1"/>
  <c r="A36" i="9" s="1"/>
  <c r="A37" i="9" s="1"/>
  <c r="A39" i="9" s="1"/>
  <c r="A40" i="9" s="1"/>
  <c r="A41" i="9" s="1"/>
  <c r="A42" i="9" s="1"/>
  <c r="A43" i="9" s="1"/>
  <c r="A44" i="9" s="1"/>
  <c r="A45" i="9" s="1"/>
  <c r="A46" i="9" s="1"/>
  <c r="A48" i="9" s="1"/>
  <c r="A49" i="9" s="1"/>
  <c r="G30" i="9"/>
  <c r="G31" i="9"/>
  <c r="G32" i="9"/>
  <c r="G33" i="9"/>
  <c r="G34" i="9"/>
  <c r="G35" i="9"/>
  <c r="D36" i="9"/>
  <c r="E30" i="9" s="1"/>
  <c r="G22" i="9"/>
  <c r="G14" i="9"/>
  <c r="G16" i="9"/>
  <c r="D46" i="9"/>
  <c r="E40" i="9" s="1"/>
  <c r="F48" i="9"/>
  <c r="E6" i="8"/>
  <c r="M6" i="8"/>
  <c r="D22" i="8"/>
  <c r="E22" i="8"/>
  <c r="D27" i="8"/>
  <c r="E27" i="8"/>
  <c r="F6" i="7"/>
  <c r="A33" i="7"/>
  <c r="A34" i="7" s="1"/>
  <c r="A35" i="7" s="1"/>
  <c r="A36" i="7" s="1"/>
  <c r="A37" i="7" s="1"/>
  <c r="A39" i="7" s="1"/>
  <c r="A40" i="7" s="1"/>
  <c r="A41" i="7" s="1"/>
  <c r="A42" i="7" s="1"/>
  <c r="A43" i="7" s="1"/>
  <c r="A44" i="7" s="1"/>
  <c r="A45" i="7" s="1"/>
  <c r="A46" i="7" s="1"/>
  <c r="A48" i="7" s="1"/>
  <c r="A50" i="7" s="1"/>
  <c r="F40" i="9" l="1"/>
  <c r="E40" i="7" s="1"/>
  <c r="D42" i="101" s="1"/>
  <c r="F30" i="9"/>
  <c r="H30" i="9" s="1"/>
  <c r="E28" i="8"/>
  <c r="E31" i="9"/>
  <c r="F31" i="9" s="1"/>
  <c r="E35" i="7" s="1"/>
  <c r="D37" i="101" s="1"/>
  <c r="G37" i="101" s="1"/>
  <c r="D28" i="8"/>
  <c r="E24" i="9"/>
  <c r="F24" i="9" s="1"/>
  <c r="E22" i="9"/>
  <c r="F22" i="9" s="1"/>
  <c r="E26" i="9"/>
  <c r="F26" i="9" s="1"/>
  <c r="E21" i="9"/>
  <c r="E25" i="9"/>
  <c r="F25" i="9" s="1"/>
  <c r="E18" i="7"/>
  <c r="D19" i="101" s="1"/>
  <c r="G19" i="101" s="1"/>
  <c r="E33" i="9"/>
  <c r="F33" i="9" s="1"/>
  <c r="H33" i="9" s="1"/>
  <c r="E35" i="9"/>
  <c r="F35" i="9" s="1"/>
  <c r="H35" i="9" s="1"/>
  <c r="E34" i="9"/>
  <c r="F34" i="9" s="1"/>
  <c r="H34" i="9" s="1"/>
  <c r="E32" i="9"/>
  <c r="F32" i="9" s="1"/>
  <c r="H23" i="9"/>
  <c r="E27" i="7"/>
  <c r="D29" i="101" s="1"/>
  <c r="G29" i="101" s="1"/>
  <c r="E13" i="9"/>
  <c r="F13" i="9" s="1"/>
  <c r="D48" i="9"/>
  <c r="G24" i="9"/>
  <c r="E16" i="9"/>
  <c r="F16" i="9" s="1"/>
  <c r="H16" i="9" s="1"/>
  <c r="G12" i="9"/>
  <c r="H12" i="9" s="1"/>
  <c r="E15" i="9"/>
  <c r="F15" i="9" s="1"/>
  <c r="H15" i="9" s="1"/>
  <c r="E45" i="9"/>
  <c r="F45" i="9" s="1"/>
  <c r="E44" i="9"/>
  <c r="F44" i="9" s="1"/>
  <c r="E43" i="9"/>
  <c r="F43" i="9" s="1"/>
  <c r="E42" i="9"/>
  <c r="F42" i="9" s="1"/>
  <c r="E41" i="9"/>
  <c r="F41" i="9" s="1"/>
  <c r="G26" i="9"/>
  <c r="E14" i="9"/>
  <c r="F14" i="9" s="1"/>
  <c r="H14" i="9" s="1"/>
  <c r="G42" i="101" l="1"/>
  <c r="E37" i="9"/>
  <c r="H40" i="9"/>
  <c r="E34" i="7"/>
  <c r="D36" i="101" s="1"/>
  <c r="E46" i="9"/>
  <c r="F21" i="9"/>
  <c r="H21" i="9" s="1"/>
  <c r="E27" i="9"/>
  <c r="F11" i="9"/>
  <c r="E18" i="9"/>
  <c r="H31" i="9"/>
  <c r="H42" i="9"/>
  <c r="E42" i="7"/>
  <c r="D44" i="101" s="1"/>
  <c r="G44" i="101" s="1"/>
  <c r="F17" i="9"/>
  <c r="H13" i="9"/>
  <c r="H24" i="9"/>
  <c r="E28" i="7"/>
  <c r="D30" i="101" s="1"/>
  <c r="G30" i="101" s="1"/>
  <c r="E43" i="7"/>
  <c r="D45" i="101" s="1"/>
  <c r="G45" i="101" s="1"/>
  <c r="H43" i="9"/>
  <c r="H44" i="9"/>
  <c r="E44" i="7"/>
  <c r="D46" i="101" s="1"/>
  <c r="G46" i="101" s="1"/>
  <c r="H26" i="9"/>
  <c r="E30" i="7"/>
  <c r="D32" i="101" s="1"/>
  <c r="G32" i="101" s="1"/>
  <c r="E41" i="7"/>
  <c r="D43" i="101" s="1"/>
  <c r="G43" i="101" s="1"/>
  <c r="H41" i="9"/>
  <c r="E45" i="7"/>
  <c r="D47" i="101" s="1"/>
  <c r="G47" i="101" s="1"/>
  <c r="H45" i="9"/>
  <c r="H22" i="9"/>
  <c r="E26" i="7"/>
  <c r="D28" i="101" s="1"/>
  <c r="G28" i="101" s="1"/>
  <c r="H25" i="9"/>
  <c r="E29" i="7"/>
  <c r="D31" i="101" s="1"/>
  <c r="G31" i="101" s="1"/>
  <c r="H32" i="9"/>
  <c r="F36" i="9"/>
  <c r="F59" i="9"/>
  <c r="D48" i="101" l="1"/>
  <c r="G36" i="101"/>
  <c r="G48" i="101"/>
  <c r="F58" i="9"/>
  <c r="E25" i="7"/>
  <c r="E17" i="7"/>
  <c r="D18" i="101" s="1"/>
  <c r="E46" i="7"/>
  <c r="H36" i="9"/>
  <c r="H46" i="9"/>
  <c r="H18" i="9"/>
  <c r="H17" i="9"/>
  <c r="H27" i="9"/>
  <c r="E19" i="7"/>
  <c r="D20" i="101" s="1"/>
  <c r="G20" i="101" s="1"/>
  <c r="E36" i="7"/>
  <c r="H37" i="9"/>
  <c r="E37" i="7" l="1"/>
  <c r="L27" i="8" s="1"/>
  <c r="D38" i="101"/>
  <c r="G18" i="101"/>
  <c r="G21" i="101" s="1"/>
  <c r="M15" i="99" s="1"/>
  <c r="D21" i="101"/>
  <c r="E31" i="7"/>
  <c r="D27" i="101"/>
  <c r="M22" i="99"/>
  <c r="T22" i="99" s="1"/>
  <c r="E20" i="7"/>
  <c r="E48" i="7" s="1"/>
  <c r="H48" i="9"/>
  <c r="T15" i="99" l="1"/>
  <c r="G38" i="101"/>
  <c r="G39" i="101" s="1"/>
  <c r="M20" i="99" s="1"/>
  <c r="T20" i="99" s="1"/>
  <c r="D39" i="101"/>
  <c r="G27" i="101"/>
  <c r="G33" i="101" s="1"/>
  <c r="D33" i="101"/>
  <c r="L22" i="8"/>
  <c r="L28" i="8" s="1"/>
  <c r="M26" i="8"/>
  <c r="F46" i="7" s="1"/>
  <c r="M21" i="8"/>
  <c r="F31" i="7" s="1"/>
  <c r="M15" i="8"/>
  <c r="F14" i="7" s="1"/>
  <c r="M17" i="8"/>
  <c r="F22" i="7" s="1"/>
  <c r="M13" i="8"/>
  <c r="F12" i="7" s="1"/>
  <c r="M25" i="8"/>
  <c r="D50" i="101" l="1"/>
  <c r="M30" i="99"/>
  <c r="M17" i="99"/>
  <c r="G50" i="101"/>
  <c r="T30" i="99"/>
  <c r="M20" i="8"/>
  <c r="F20" i="7" s="1"/>
  <c r="M27" i="8"/>
  <c r="F37" i="7"/>
  <c r="T17" i="99" l="1"/>
  <c r="M32" i="99"/>
  <c r="M34" i="99" s="1"/>
  <c r="M24" i="99"/>
  <c r="M22" i="8"/>
  <c r="M28" i="8" s="1"/>
  <c r="F10" i="7"/>
  <c r="T32" i="99" l="1"/>
  <c r="T34" i="99" s="1"/>
  <c r="T24" i="99"/>
  <c r="F48" i="7"/>
  <c r="G10" i="7" l="1"/>
  <c r="G20" i="7"/>
  <c r="G22" i="7"/>
  <c r="H22" i="7" s="1"/>
  <c r="I22" i="7" s="1"/>
  <c r="F23" i="93" s="1"/>
  <c r="G23" i="93" s="1"/>
  <c r="G12" i="7"/>
  <c r="H12" i="7" s="1"/>
  <c r="I12" i="7" s="1"/>
  <c r="F13" i="93" s="1"/>
  <c r="G13" i="93" s="1"/>
  <c r="G31" i="7"/>
  <c r="H31" i="7" s="1"/>
  <c r="I27" i="9" s="1"/>
  <c r="G14" i="7"/>
  <c r="H14" i="7" s="1"/>
  <c r="I14" i="7" s="1"/>
  <c r="F15" i="93" s="1"/>
  <c r="G15" i="93" s="1"/>
  <c r="H20" i="7"/>
  <c r="I18" i="9" s="1"/>
  <c r="G46" i="7"/>
  <c r="H46" i="7" s="1"/>
  <c r="I46" i="9" s="1"/>
  <c r="G37" i="7"/>
  <c r="H37" i="7" s="1"/>
  <c r="I37" i="9" s="1"/>
  <c r="H10" i="7"/>
  <c r="I10" i="7" s="1"/>
  <c r="F11" i="93" s="1"/>
  <c r="G11" i="93" s="1"/>
  <c r="F9" i="101" s="1"/>
  <c r="F11" i="101" l="1"/>
  <c r="H11" i="101" s="1"/>
  <c r="I11" i="101" s="1"/>
  <c r="F12" i="101"/>
  <c r="H12" i="101" s="1"/>
  <c r="I12" i="101" s="1"/>
  <c r="U18" i="99" s="1"/>
  <c r="F24" i="101"/>
  <c r="H24" i="101" s="1"/>
  <c r="I24" i="101" s="1"/>
  <c r="F23" i="101"/>
  <c r="H23" i="101" s="1"/>
  <c r="I23" i="101" s="1"/>
  <c r="G20" i="100"/>
  <c r="G27" i="100" s="1"/>
  <c r="H9" i="101"/>
  <c r="I9" i="101" s="1"/>
  <c r="F15" i="101"/>
  <c r="H15" i="101" s="1"/>
  <c r="I15" i="101" s="1"/>
  <c r="F14" i="101"/>
  <c r="H14" i="101" s="1"/>
  <c r="I14" i="101" s="1"/>
  <c r="J14" i="7"/>
  <c r="J12" i="7"/>
  <c r="J22" i="7"/>
  <c r="G48" i="7"/>
  <c r="I48" i="9"/>
  <c r="I49" i="9" s="1"/>
  <c r="H48" i="7"/>
  <c r="J14" i="101" l="1"/>
  <c r="U14" i="99"/>
  <c r="U16" i="99"/>
  <c r="J23" i="101"/>
  <c r="J15" i="101"/>
  <c r="U19" i="99"/>
  <c r="V19" i="99" s="1"/>
  <c r="U21" i="99"/>
  <c r="V21" i="99" s="1"/>
  <c r="J24" i="101"/>
  <c r="U11" i="99"/>
  <c r="J9" i="101"/>
  <c r="G40" i="100"/>
  <c r="H27" i="100"/>
  <c r="H34" i="100" s="1"/>
  <c r="H36" i="100" s="1"/>
  <c r="H37" i="100" s="1"/>
  <c r="H38" i="100" s="1"/>
  <c r="G34" i="100"/>
  <c r="J11" i="101"/>
  <c r="U13" i="99"/>
  <c r="J45" i="9"/>
  <c r="K45" i="9" s="1"/>
  <c r="J41" i="9"/>
  <c r="K41" i="9" s="1"/>
  <c r="J33" i="9"/>
  <c r="J26" i="9"/>
  <c r="J22" i="9"/>
  <c r="J14" i="9"/>
  <c r="J25" i="9"/>
  <c r="J13" i="9"/>
  <c r="J43" i="9"/>
  <c r="K43" i="9" s="1"/>
  <c r="J31" i="9"/>
  <c r="J16" i="9"/>
  <c r="J42" i="9"/>
  <c r="K42" i="9" s="1"/>
  <c r="J23" i="9"/>
  <c r="J11" i="9"/>
  <c r="J44" i="9"/>
  <c r="K44" i="9" s="1"/>
  <c r="J40" i="9"/>
  <c r="K40" i="9" s="1"/>
  <c r="J32" i="9"/>
  <c r="J21" i="9"/>
  <c r="J35" i="9"/>
  <c r="J24" i="9"/>
  <c r="J12" i="9"/>
  <c r="J34" i="9"/>
  <c r="J30" i="9"/>
  <c r="J15" i="9"/>
  <c r="J10" i="7"/>
  <c r="V13" i="99" l="1"/>
  <c r="V18" i="99" s="1"/>
  <c r="U28" i="99"/>
  <c r="V28" i="99" s="1"/>
  <c r="U31" i="99"/>
  <c r="V31" i="99" s="1"/>
  <c r="V16" i="99"/>
  <c r="V14" i="99"/>
  <c r="U29" i="99"/>
  <c r="V29" i="99" s="1"/>
  <c r="V11" i="99"/>
  <c r="U27" i="99"/>
  <c r="V27" i="99" s="1"/>
  <c r="E38" i="99"/>
  <c r="F38" i="99" s="1"/>
  <c r="F39" i="99" s="1"/>
  <c r="F40" i="99" s="1"/>
  <c r="K30" i="9"/>
  <c r="K11" i="9" s="1"/>
  <c r="K24" i="9"/>
  <c r="I28" i="7" s="1"/>
  <c r="L44" i="9"/>
  <c r="K31" i="9"/>
  <c r="K12" i="9" s="1"/>
  <c r="L42" i="9"/>
  <c r="K26" i="9"/>
  <c r="I30" i="7" s="1"/>
  <c r="F31" i="93" l="1"/>
  <c r="G31" i="93" s="1"/>
  <c r="F32" i="101" s="1"/>
  <c r="H32" i="101" s="1"/>
  <c r="I32" i="101" s="1"/>
  <c r="J32" i="101" s="1"/>
  <c r="F29" i="93"/>
  <c r="G29" i="93" s="1"/>
  <c r="F30" i="101" s="1"/>
  <c r="H30" i="101" s="1"/>
  <c r="I30" i="101" s="1"/>
  <c r="J30" i="101" s="1"/>
  <c r="L26" i="9"/>
  <c r="I45" i="7"/>
  <c r="I43" i="7"/>
  <c r="K21" i="9"/>
  <c r="L21" i="9" s="1"/>
  <c r="L31" i="9"/>
  <c r="K25" i="9"/>
  <c r="I29" i="7" s="1"/>
  <c r="L40" i="9"/>
  <c r="I40" i="7"/>
  <c r="L24" i="9"/>
  <c r="K22" i="9"/>
  <c r="I26" i="7" s="1"/>
  <c r="I35" i="7"/>
  <c r="I41" i="7"/>
  <c r="L43" i="9"/>
  <c r="J46" i="9"/>
  <c r="K23" i="9"/>
  <c r="L23" i="9" s="1"/>
  <c r="I42" i="7"/>
  <c r="J36" i="9"/>
  <c r="J27" i="9"/>
  <c r="I44" i="7"/>
  <c r="L41" i="9"/>
  <c r="L45" i="9"/>
  <c r="J37" i="9"/>
  <c r="J17" i="9"/>
  <c r="J18" i="9"/>
  <c r="I34" i="7"/>
  <c r="L30" i="9"/>
  <c r="L12" i="9"/>
  <c r="I18" i="7"/>
  <c r="I25" i="7" l="1"/>
  <c r="F26" i="93" s="1"/>
  <c r="G26" i="93" s="1"/>
  <c r="F27" i="101" s="1"/>
  <c r="H27" i="101" s="1"/>
  <c r="K36" i="9"/>
  <c r="F45" i="93"/>
  <c r="G45" i="93" s="1"/>
  <c r="F46" i="101" s="1"/>
  <c r="H46" i="101" s="1"/>
  <c r="I46" i="101" s="1"/>
  <c r="J46" i="101" s="1"/>
  <c r="F42" i="93"/>
  <c r="G42" i="93" s="1"/>
  <c r="F43" i="101" s="1"/>
  <c r="H43" i="101" s="1"/>
  <c r="I43" i="101" s="1"/>
  <c r="F41" i="93"/>
  <c r="G41" i="93" s="1"/>
  <c r="F42" i="101" s="1"/>
  <c r="H42" i="101" s="1"/>
  <c r="F30" i="93"/>
  <c r="G30" i="93" s="1"/>
  <c r="F31" i="101" s="1"/>
  <c r="H31" i="101" s="1"/>
  <c r="I31" i="101" s="1"/>
  <c r="J31" i="101" s="1"/>
  <c r="F19" i="93"/>
  <c r="G19" i="93" s="1"/>
  <c r="F19" i="101" s="1"/>
  <c r="H19" i="101" s="1"/>
  <c r="I19" i="101" s="1"/>
  <c r="J19" i="101" s="1"/>
  <c r="F43" i="93"/>
  <c r="G43" i="93" s="1"/>
  <c r="F44" i="101" s="1"/>
  <c r="H44" i="101" s="1"/>
  <c r="I44" i="101" s="1"/>
  <c r="J44" i="101" s="1"/>
  <c r="F44" i="93"/>
  <c r="G44" i="93" s="1"/>
  <c r="F45" i="101" s="1"/>
  <c r="H45" i="101" s="1"/>
  <c r="I45" i="101" s="1"/>
  <c r="J45" i="101" s="1"/>
  <c r="F46" i="93"/>
  <c r="G46" i="93" s="1"/>
  <c r="F47" i="101" s="1"/>
  <c r="H47" i="101" s="1"/>
  <c r="I47" i="101" s="1"/>
  <c r="J47" i="101" s="1"/>
  <c r="F35" i="93"/>
  <c r="G35" i="93" s="1"/>
  <c r="F36" i="101" s="1"/>
  <c r="H36" i="101" s="1"/>
  <c r="F36" i="93"/>
  <c r="G36" i="93" s="1"/>
  <c r="F37" i="101" s="1"/>
  <c r="H37" i="101" s="1"/>
  <c r="I37" i="101" s="1"/>
  <c r="J37" i="101" s="1"/>
  <c r="F27" i="93"/>
  <c r="G27" i="93" s="1"/>
  <c r="F28" i="101" s="1"/>
  <c r="H28" i="101" s="1"/>
  <c r="I28" i="101" s="1"/>
  <c r="J28" i="101" s="1"/>
  <c r="L22" i="9"/>
  <c r="L25" i="9"/>
  <c r="L46" i="9"/>
  <c r="M46" i="9" s="1"/>
  <c r="K17" i="9"/>
  <c r="I19" i="7" s="1"/>
  <c r="I27" i="7"/>
  <c r="J48" i="9"/>
  <c r="L11" i="9"/>
  <c r="I17" i="7"/>
  <c r="J43" i="101" l="1"/>
  <c r="I27" i="101"/>
  <c r="I42" i="101"/>
  <c r="J42" i="101" s="1"/>
  <c r="H48" i="101"/>
  <c r="I36" i="101"/>
  <c r="F18" i="93"/>
  <c r="G18" i="93" s="1"/>
  <c r="F18" i="101" s="1"/>
  <c r="H18" i="101" s="1"/>
  <c r="F28" i="93"/>
  <c r="G28" i="93" s="1"/>
  <c r="F29" i="101" s="1"/>
  <c r="H29" i="101" s="1"/>
  <c r="I29" i="101" s="1"/>
  <c r="J29" i="101" s="1"/>
  <c r="F20" i="93"/>
  <c r="G20" i="93" s="1"/>
  <c r="F20" i="101" s="1"/>
  <c r="H20" i="101" s="1"/>
  <c r="I20" i="101" s="1"/>
  <c r="J20" i="101" s="1"/>
  <c r="L27" i="9"/>
  <c r="M27" i="9" s="1"/>
  <c r="J46" i="7"/>
  <c r="L17" i="9"/>
  <c r="L18" i="9" s="1"/>
  <c r="M18" i="9" s="1"/>
  <c r="I36" i="7"/>
  <c r="L36" i="9"/>
  <c r="L37" i="9" s="1"/>
  <c r="J37" i="7" s="1"/>
  <c r="H33" i="101" l="1"/>
  <c r="J36" i="101"/>
  <c r="J27" i="101"/>
  <c r="I33" i="101"/>
  <c r="H21" i="101"/>
  <c r="I18" i="101"/>
  <c r="I48" i="101"/>
  <c r="J31" i="7"/>
  <c r="F37" i="93"/>
  <c r="G37" i="93" s="1"/>
  <c r="F38" i="101" s="1"/>
  <c r="H38" i="101" s="1"/>
  <c r="M37" i="9"/>
  <c r="L48" i="9"/>
  <c r="M48" i="9" s="1"/>
  <c r="J20" i="7"/>
  <c r="I38" i="101" l="1"/>
  <c r="H39" i="101"/>
  <c r="H50" i="101" s="1"/>
  <c r="U22" i="99"/>
  <c r="V22" i="99" s="1"/>
  <c r="J48" i="101"/>
  <c r="J18" i="101"/>
  <c r="I21" i="101"/>
  <c r="U17" i="99"/>
  <c r="J33" i="101"/>
  <c r="J48" i="7"/>
  <c r="K48" i="7" s="1"/>
  <c r="K49" i="7" s="1"/>
  <c r="M49" i="9"/>
  <c r="I48" i="7" l="1"/>
  <c r="U32" i="99"/>
  <c r="V32" i="99" s="1"/>
  <c r="V17" i="99"/>
  <c r="U15" i="99"/>
  <c r="J21" i="101"/>
  <c r="J38" i="101"/>
  <c r="I39" i="101"/>
  <c r="V15" i="99" l="1"/>
  <c r="U20" i="99"/>
  <c r="V20" i="99" s="1"/>
  <c r="J39" i="101"/>
  <c r="I50" i="101"/>
  <c r="J50" i="101" s="1"/>
  <c r="U24" i="99" l="1"/>
  <c r="V24" i="99" s="1"/>
  <c r="U30" i="99"/>
  <c r="V30" i="99" l="1"/>
  <c r="U34" i="99"/>
  <c r="V34" i="99" s="1"/>
</calcChain>
</file>

<file path=xl/comments1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<sst xmlns="http://schemas.openxmlformats.org/spreadsheetml/2006/main" count="1442" uniqueCount="475">
  <si>
    <t>Total</t>
  </si>
  <si>
    <t>Subtotal</t>
  </si>
  <si>
    <t>87T</t>
  </si>
  <si>
    <t>85T</t>
  </si>
  <si>
    <t>Interruptible</t>
  </si>
  <si>
    <t>Residential</t>
  </si>
  <si>
    <t>Revenue</t>
  </si>
  <si>
    <t>Schedule</t>
  </si>
  <si>
    <t>Rate Class</t>
  </si>
  <si>
    <t>Margin</t>
  </si>
  <si>
    <t>Volume</t>
  </si>
  <si>
    <t>Rate</t>
  </si>
  <si>
    <t>Puget Sound Energy</t>
  </si>
  <si>
    <t>Check</t>
  </si>
  <si>
    <t>Next 300,000 therms</t>
  </si>
  <si>
    <t>Next 100,000 therms</t>
  </si>
  <si>
    <t>Next 50,000 therms</t>
  </si>
  <si>
    <t>Next 25,000 therms</t>
  </si>
  <si>
    <t>First 25,000 therms</t>
  </si>
  <si>
    <t>Over 500,000 therms</t>
  </si>
  <si>
    <t>Transportation</t>
  </si>
  <si>
    <t>Over 50,000 therms</t>
  </si>
  <si>
    <t>Large volume</t>
  </si>
  <si>
    <t>Commercial &amp; industrial</t>
  </si>
  <si>
    <t>23/53</t>
  </si>
  <si>
    <t>Customer Class</t>
  </si>
  <si>
    <t>Proposed</t>
  </si>
  <si>
    <t>Estimated</t>
  </si>
  <si>
    <t>(3)</t>
  </si>
  <si>
    <t>(2)</t>
  </si>
  <si>
    <t>(1)</t>
  </si>
  <si>
    <t>86/86T</t>
  </si>
  <si>
    <t>41/41T</t>
  </si>
  <si>
    <t>31/31T</t>
  </si>
  <si>
    <t>Requirement</t>
  </si>
  <si>
    <t>Spread</t>
  </si>
  <si>
    <t>Line</t>
  </si>
  <si>
    <t>Margin at</t>
  </si>
  <si>
    <t>Low Income</t>
  </si>
  <si>
    <t xml:space="preserve">   Subtotal</t>
  </si>
  <si>
    <t>Non exclusive interruptible</t>
  </si>
  <si>
    <t>Limited interruptible</t>
  </si>
  <si>
    <t>General service</t>
  </si>
  <si>
    <t>Margin/Therm</t>
  </si>
  <si>
    <t>Revenue at</t>
  </si>
  <si>
    <t>Average</t>
  </si>
  <si>
    <t>Percent of revenue at Schedule 87T base rates</t>
  </si>
  <si>
    <t>Transportation Schedule 87T</t>
  </si>
  <si>
    <t>Subtotal over 50,000 therms</t>
  </si>
  <si>
    <t>Transportation Schedule 85T</t>
  </si>
  <si>
    <t>Interruptible Schedule 87</t>
  </si>
  <si>
    <t>Interruptible Schedule 85</t>
  </si>
  <si>
    <t>Therm</t>
  </si>
  <si>
    <t>Base Rates</t>
  </si>
  <si>
    <t>(Therms)</t>
  </si>
  <si>
    <t>% to Total</t>
  </si>
  <si>
    <t>Rate Schedule</t>
  </si>
  <si>
    <t>Rate per</t>
  </si>
  <si>
    <t>Allocated</t>
  </si>
  <si>
    <t>Normalized</t>
  </si>
  <si>
    <t>Gas</t>
  </si>
  <si>
    <t>Electric</t>
  </si>
  <si>
    <r>
      <t>Volume</t>
    </r>
    <r>
      <rPr>
        <vertAlign val="superscript"/>
        <sz val="10"/>
        <rFont val="Arial"/>
        <family val="2"/>
      </rPr>
      <t xml:space="preserve"> (1)</t>
    </r>
  </si>
  <si>
    <r>
      <t>Volume</t>
    </r>
    <r>
      <rPr>
        <vertAlign val="superscript"/>
        <sz val="10"/>
        <rFont val="Arial"/>
        <family val="2"/>
      </rPr>
      <t xml:space="preserve"> (2)</t>
    </r>
  </si>
  <si>
    <r>
      <t>(Therms)</t>
    </r>
    <r>
      <rPr>
        <vertAlign val="superscript"/>
        <sz val="10"/>
        <rFont val="Arial"/>
        <family val="2"/>
      </rPr>
      <t xml:space="preserve"> (1)</t>
    </r>
  </si>
  <si>
    <r>
      <t>Current Rates</t>
    </r>
    <r>
      <rPr>
        <vertAlign val="superscript"/>
        <sz val="10"/>
        <rFont val="Arial"/>
        <family val="2"/>
      </rPr>
      <t xml:space="preserve"> (2)</t>
    </r>
  </si>
  <si>
    <r>
      <t xml:space="preserve">(Therms) </t>
    </r>
    <r>
      <rPr>
        <vertAlign val="superscript"/>
        <sz val="10"/>
        <rFont val="Arial"/>
        <family val="2"/>
      </rPr>
      <t>(1)</t>
    </r>
  </si>
  <si>
    <r>
      <t xml:space="preserve">Base Rates </t>
    </r>
    <r>
      <rPr>
        <vertAlign val="superscript"/>
        <sz val="10"/>
        <rFont val="Arial"/>
        <family val="2"/>
      </rPr>
      <t>(3)</t>
    </r>
  </si>
  <si>
    <t>Base</t>
  </si>
  <si>
    <r>
      <t>Revenue</t>
    </r>
    <r>
      <rPr>
        <vertAlign val="superscript"/>
        <sz val="10"/>
        <rFont val="Arial"/>
        <family val="2"/>
      </rPr>
      <t xml:space="preserve"> (2)</t>
    </r>
  </si>
  <si>
    <t>Percent</t>
  </si>
  <si>
    <t>Change</t>
  </si>
  <si>
    <t>A</t>
  </si>
  <si>
    <t>B</t>
  </si>
  <si>
    <t>C</t>
  </si>
  <si>
    <t>D</t>
  </si>
  <si>
    <t>H</t>
  </si>
  <si>
    <t>I</t>
  </si>
  <si>
    <t>J</t>
  </si>
  <si>
    <t>Rates</t>
  </si>
  <si>
    <t>Sch. 87T</t>
  </si>
  <si>
    <t>Sch. 140</t>
  </si>
  <si>
    <t xml:space="preserve">Billing </t>
  </si>
  <si>
    <t>Current</t>
  </si>
  <si>
    <t>Target</t>
  </si>
  <si>
    <t>Description</t>
  </si>
  <si>
    <t>Units</t>
  </si>
  <si>
    <t>Determinants</t>
  </si>
  <si>
    <t>Revenues</t>
  </si>
  <si>
    <t>Basic Charge</t>
  </si>
  <si>
    <t>Bills</t>
  </si>
  <si>
    <t>Delivery Charge</t>
  </si>
  <si>
    <t>Therms</t>
  </si>
  <si>
    <t>Mantles</t>
  </si>
  <si>
    <t>Procurement Charge</t>
  </si>
  <si>
    <t>Demand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</si>
  <si>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</si>
  <si>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</si>
  <si>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</si>
  <si>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</si>
  <si>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</si>
  <si>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</si>
  <si>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</si>
  <si>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</si>
  <si>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Minimum Bills</t>
  </si>
  <si>
    <t>First 25,000 Therms</t>
  </si>
  <si>
    <t>Next 25,000 Therms</t>
  </si>
  <si>
    <t>All over 50,000 Therms</t>
  </si>
  <si>
    <t>Next 50,000 Therms</t>
  </si>
  <si>
    <t>First 1,000 therms</t>
  </si>
  <si>
    <t>All over 1,000 therms</t>
  </si>
  <si>
    <t xml:space="preserve"> </t>
  </si>
  <si>
    <t>All over 500,000 therms</t>
  </si>
  <si>
    <t>Sch. 129</t>
  </si>
  <si>
    <t>Proposed Rates</t>
  </si>
  <si>
    <t>Schedule 87T Margin Rates:</t>
  </si>
  <si>
    <t>Current and Proposed Rates by Rate Schedule (Schedules 16, 23 &amp; 53)</t>
  </si>
  <si>
    <t xml:space="preserve">Difference </t>
  </si>
  <si>
    <t>$</t>
  </si>
  <si>
    <t>%</t>
  </si>
  <si>
    <t>Increase</t>
  </si>
  <si>
    <t>Schedule 23</t>
  </si>
  <si>
    <t>over (under)</t>
  </si>
  <si>
    <t>Total Revenues</t>
  </si>
  <si>
    <t>Schedule 53</t>
  </si>
  <si>
    <t>Total Delivery Charges</t>
  </si>
  <si>
    <t>Schedule 16</t>
  </si>
  <si>
    <t>Total Delivery Charge</t>
  </si>
  <si>
    <t>Calculated Total Therms</t>
  </si>
  <si>
    <t>Residential Summary</t>
  </si>
  <si>
    <t>(1) Schedule 101 rates in effective November 1, 2018</t>
  </si>
  <si>
    <t>Current and Proposed Rates by Rate Schedule (Schedules 31, 31T, 41 &amp; 41T)</t>
  </si>
  <si>
    <t>Schedule 31 - Sales</t>
  </si>
  <si>
    <t>TARGET 31/31T</t>
  </si>
  <si>
    <t>Schedule 31 - Transportation</t>
  </si>
  <si>
    <t>Schedule 31 - Total</t>
  </si>
  <si>
    <t>Schedule 41 - Sales</t>
  </si>
  <si>
    <t>TARGET 41/41T</t>
  </si>
  <si>
    <t>Schedule 41 - Transportation</t>
  </si>
  <si>
    <t>Schedule 41 - Total</t>
  </si>
  <si>
    <t>Commercial &amp; Industrial Summary</t>
  </si>
  <si>
    <t>Schedule 41, 41T</t>
  </si>
  <si>
    <t>Schedules 31, 31T</t>
  </si>
  <si>
    <t>Current and Proposed Rates by Rate Schedule (Schedules 85, 85T, 86, 86T, 87 &amp; 87T)</t>
  </si>
  <si>
    <t>Schedule 85 - Sales</t>
  </si>
  <si>
    <t>TARGET 85/85T</t>
  </si>
  <si>
    <t>Schedule 85 - Transportation</t>
  </si>
  <si>
    <t>Schedule 85 - Total</t>
  </si>
  <si>
    <t>Schedule 86 - Sales</t>
  </si>
  <si>
    <t>TARGET 86/86T</t>
  </si>
  <si>
    <t>Schedule 86 - Transportation</t>
  </si>
  <si>
    <t>Schedule 86 - Total</t>
  </si>
  <si>
    <t>Schedule 87 - Sales</t>
  </si>
  <si>
    <t>TARGET 87/87T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</si>
  <si>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</si>
  <si>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</si>
  <si>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</si>
  <si>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</si>
  <si>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</si>
  <si>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</si>
  <si>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</si>
  <si>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</si>
  <si>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</si>
  <si>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(5)</t>
  </si>
  <si>
    <t>(4)</t>
  </si>
  <si>
    <t>(6)</t>
  </si>
  <si>
    <t>(7)</t>
  </si>
  <si>
    <t>Rate Change Impacts by Rate Schedule</t>
  </si>
  <si>
    <t>Forecasted</t>
  </si>
  <si>
    <t>Total Forecasted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</si>
  <si>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</si>
  <si>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</si>
  <si>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</si>
  <si>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</si>
  <si>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E=D/C</t>
  </si>
  <si>
    <t xml:space="preserve">F </t>
  </si>
  <si>
    <t xml:space="preserve">G=E*F 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</si>
  <si>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</si>
  <si>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</si>
  <si>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</si>
  <si>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</si>
  <si>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</si>
  <si>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</si>
  <si>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</si>
  <si>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</si>
  <si>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</si>
  <si>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</si>
  <si>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</si>
  <si>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</si>
  <si>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</si>
  <si>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</si>
  <si>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</si>
  <si>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</si>
  <si>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</si>
  <si>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</si>
  <si>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</si>
  <si>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</si>
  <si>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Contracts</t>
  </si>
  <si>
    <t>By Customer Class:</t>
  </si>
  <si>
    <t>Current Rates</t>
  </si>
  <si>
    <t>Volume (Therms)</t>
  </si>
  <si>
    <t xml:space="preserve">Rate </t>
  </si>
  <si>
    <r>
      <t xml:space="preserve">Rates </t>
    </r>
    <r>
      <rPr>
        <vertAlign val="superscript"/>
        <sz val="10"/>
        <rFont val="Arial"/>
        <family val="2"/>
      </rPr>
      <t>(3)</t>
    </r>
  </si>
  <si>
    <r>
      <t xml:space="preserve">Rates </t>
    </r>
    <r>
      <rPr>
        <vertAlign val="superscript"/>
        <sz val="10"/>
        <rFont val="Arial"/>
        <family val="2"/>
      </rPr>
      <t>(4)</t>
    </r>
  </si>
  <si>
    <t>Base Sch.</t>
  </si>
  <si>
    <t>Base Schedule</t>
  </si>
  <si>
    <t>Sch. 101</t>
  </si>
  <si>
    <t>Sch. 106</t>
  </si>
  <si>
    <t>Sch. 120</t>
  </si>
  <si>
    <t>Sch. 142</t>
  </si>
  <si>
    <t>16,23,53</t>
  </si>
  <si>
    <t>31,31T</t>
  </si>
  <si>
    <t>41,41T</t>
  </si>
  <si>
    <t>85,85T</t>
  </si>
  <si>
    <t>86,86T</t>
  </si>
  <si>
    <t>Non-exclusive interruptible</t>
  </si>
  <si>
    <t>87,87T</t>
  </si>
  <si>
    <t>Sch. 129D</t>
  </si>
  <si>
    <t>Current Base Rates</t>
  </si>
  <si>
    <t>Proposed Base Rates</t>
  </si>
  <si>
    <t>TARGET</t>
  </si>
  <si>
    <t>Total Base Revenues</t>
  </si>
  <si>
    <t>Total Residential Base Revenues</t>
  </si>
  <si>
    <t>Backup</t>
  </si>
  <si>
    <t>Delta</t>
  </si>
  <si>
    <t>Multi-Year Rates by Rate Schedule</t>
  </si>
  <si>
    <t>Proposed 2023 Rates</t>
  </si>
  <si>
    <t>Proposed 2024 Rates</t>
  </si>
  <si>
    <t>Proposed 2025 Rates</t>
  </si>
  <si>
    <t>Billing Determinants</t>
  </si>
  <si>
    <t>Proforma $</t>
  </si>
  <si>
    <t>Proposed Revenues</t>
  </si>
  <si>
    <t>Sch 141N</t>
  </si>
  <si>
    <t>Sch 141R</t>
  </si>
  <si>
    <t>Sch 141D
(Sales Only)</t>
  </si>
  <si>
    <t>Multi-Year Rates (Schedules 16, 23 &amp; 53)</t>
  </si>
  <si>
    <t>141N/R Rate</t>
  </si>
  <si>
    <t>Subtotal Base Revenue</t>
  </si>
  <si>
    <t>Schedule 141R/N/D Revenue</t>
  </si>
  <si>
    <t>Multi-Year Rates (Schedules 31 &amp; 31T)</t>
  </si>
  <si>
    <t>Multi-Year Rates (Schedules 41 &amp; 41T)</t>
  </si>
  <si>
    <t>Multi-Year Rates (Schedules 85 &amp; 85T)</t>
  </si>
  <si>
    <t>Multi-Year Rates (Schedules 86 &amp; 86T)</t>
  </si>
  <si>
    <t>Multi-Year Rates (Schedules 87 &amp; 87T)</t>
  </si>
  <si>
    <t>% Margin</t>
  </si>
  <si>
    <t>Note:  Amounts in bold and italics are different from the October 18, 2022 PSE Response to WUTC Bench Request 002.</t>
  </si>
  <si>
    <t>Pro-forma therms</t>
  </si>
  <si>
    <t>Pro-forma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</si>
  <si>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</si>
  <si>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</si>
  <si>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</si>
  <si>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</si>
  <si>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</si>
  <si>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</si>
  <si>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</si>
  <si>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</si>
  <si>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</si>
  <si>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</si>
  <si>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</si>
  <si>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</si>
  <si>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Total Schedule 87 - Transportation</t>
  </si>
  <si>
    <t>Tie out</t>
  </si>
  <si>
    <t>UG-220067</t>
  </si>
  <si>
    <t>Weather normalized volume for the 12 months ended June 2021 from the 2022 General Rate Case Filing (UG-220067).</t>
  </si>
  <si>
    <t>Base schedule revenue for the 12 months ended June 2021 from the 2022 General Rate Case Filing (UG-220067).</t>
  </si>
  <si>
    <t>Sched 141D</t>
  </si>
  <si>
    <t>Sched 141N</t>
  </si>
  <si>
    <t>Sched 141R</t>
  </si>
  <si>
    <t>Dist. Pipeline</t>
  </si>
  <si>
    <t>Rate Plan</t>
  </si>
  <si>
    <t>Average Base</t>
  </si>
  <si>
    <t>2022 Gas General Rate Case Filing</t>
  </si>
  <si>
    <t>Gas Rate Spread &amp; Design Work Paper</t>
  </si>
  <si>
    <t>Rate Spread and Schedule 141R and 141N Allocation</t>
  </si>
  <si>
    <t>Sch. 141N</t>
  </si>
  <si>
    <t>Sch. 141R</t>
  </si>
  <si>
    <t>(Eff. Jan 7, 2023)</t>
  </si>
  <si>
    <t>Sch. 141D</t>
  </si>
  <si>
    <t>Q</t>
  </si>
  <si>
    <t>R</t>
  </si>
  <si>
    <t>S = sum(G:R)</t>
  </si>
  <si>
    <t>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</si>
  <si>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</si>
  <si>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t>Calculation of Low Income Program Rates by Block for Schedules 85, 85T, 87 and 87T</t>
  </si>
  <si>
    <t>PUGET SOUND ENERGY</t>
  </si>
  <si>
    <t>LOW INCOME PROGRAM</t>
  </si>
  <si>
    <t xml:space="preserve">REVENUE REQUIREMENTS </t>
  </si>
  <si>
    <t>LINE 
NO.</t>
  </si>
  <si>
    <t>ELECTRIC</t>
  </si>
  <si>
    <t>GAS</t>
  </si>
  <si>
    <t>TOTAL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</si>
  <si>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</si>
  <si>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</si>
  <si>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</si>
  <si>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</si>
  <si>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</si>
  <si>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</si>
  <si>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</si>
  <si>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</si>
  <si>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Revenue Sensitive Items:</t>
  </si>
  <si>
    <t>Current Annual Filing Fee</t>
  </si>
  <si>
    <t xml:space="preserve">Current State Utility Tax </t>
  </si>
  <si>
    <t>Conversion Factor</t>
  </si>
  <si>
    <t>Gas Schedule 129</t>
  </si>
  <si>
    <t>Low Income Program</t>
  </si>
  <si>
    <t>Sched 129</t>
  </si>
  <si>
    <t>Bad Debts Conversion Factor used in 2022 GRC UE-220066, et al</t>
  </si>
  <si>
    <t>2024 Gas Schedule 129 Low Income Program Rate Filing</t>
  </si>
  <si>
    <t>Proposed Effective May 1, 2024</t>
  </si>
  <si>
    <t>Estimated 2023 Margin Revenue at Current Rates</t>
  </si>
  <si>
    <t>No.</t>
  </si>
  <si>
    <t>E</t>
  </si>
  <si>
    <t>F</t>
  </si>
  <si>
    <t>G</t>
  </si>
  <si>
    <t>Schedule 141D Distribution Pipeline Provisional Recovery rates effective January 1, 2024 (UG-220067).</t>
  </si>
  <si>
    <t>Weather normalized volume for May 1, 2023 through September 30, 2023 from the 2023 Commission Basis Report (CBR).</t>
  </si>
  <si>
    <t>Weather normalized margin revenue for May 1, 2023 through September 30, 2023, priced at current rates effective January 1, 2024.</t>
  </si>
  <si>
    <t>Sched 140</t>
  </si>
  <si>
    <t>Property Tax</t>
  </si>
  <si>
    <r>
      <t xml:space="preserve">Rates </t>
    </r>
    <r>
      <rPr>
        <vertAlign val="superscript"/>
        <sz val="10"/>
        <rFont val="Arial"/>
        <family val="2"/>
      </rPr>
      <t>(5)</t>
    </r>
  </si>
  <si>
    <r>
      <t>Rates</t>
    </r>
    <r>
      <rPr>
        <vertAlign val="superscript"/>
        <sz val="10"/>
        <rFont val="Arial"/>
        <family val="2"/>
      </rPr>
      <t xml:space="preserve"> (6)</t>
    </r>
  </si>
  <si>
    <r>
      <t>(Therms)</t>
    </r>
    <r>
      <rPr>
        <vertAlign val="superscript"/>
        <sz val="10"/>
        <rFont val="Arial"/>
        <family val="2"/>
      </rPr>
      <t xml:space="preserve"> (7)</t>
    </r>
  </si>
  <si>
    <r>
      <t>Current Rates</t>
    </r>
    <r>
      <rPr>
        <vertAlign val="superscript"/>
        <sz val="10"/>
        <rFont val="Arial"/>
        <family val="2"/>
      </rPr>
      <t xml:space="preserve"> (8)</t>
    </r>
  </si>
  <si>
    <t>Schedule 140 Property Tax rates effective May 1, 2023.</t>
  </si>
  <si>
    <t>(8)</t>
  </si>
  <si>
    <t>Difference</t>
  </si>
  <si>
    <t>(Eff. May 1, 2023)</t>
  </si>
  <si>
    <t>(Eff. Jan 1, 2024)</t>
  </si>
  <si>
    <t>Gas Weather Normalization of Volume (Therms)</t>
  </si>
  <si>
    <t>12 Months Ended December 31, 2023</t>
  </si>
  <si>
    <t>Rate Sch.</t>
  </si>
  <si>
    <t>Calendarized Volume According to Unbilled Report (Therms)</t>
  </si>
  <si>
    <t>Residential lamps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</si>
  <si>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</si>
  <si>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</si>
  <si>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</si>
  <si>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</si>
  <si>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</si>
  <si>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</si>
  <si>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</si>
  <si>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</si>
  <si>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</si>
  <si>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</si>
  <si>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</si>
  <si>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</si>
  <si>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</si>
  <si>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Trans. large volume - commercial</t>
  </si>
  <si>
    <t>Trans. interrupt with firm option - com</t>
  </si>
  <si>
    <t>Trans. non-exclus inter w/ firm option - com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</si>
  <si>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</si>
  <si>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</si>
  <si>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</si>
  <si>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</si>
  <si>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</si>
  <si>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</si>
  <si>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</si>
  <si>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</si>
  <si>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</si>
  <si>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</si>
  <si>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</si>
  <si>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</si>
  <si>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</si>
  <si>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</si>
  <si>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</si>
  <si>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Trans. limited interrupt w/ firm option - com</t>
  </si>
  <si>
    <t>Trans.  - industrial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</si>
  <si>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</si>
  <si>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</si>
  <si>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</si>
  <si>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</si>
  <si>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</si>
  <si>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</si>
  <si>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</si>
  <si>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</si>
  <si>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</si>
  <si>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Residential lights</t>
  </si>
  <si>
    <t>Trans. - commercial</t>
  </si>
  <si>
    <t>Trans. limited interrupt w/ firm option - Com</t>
  </si>
  <si>
    <t>Total other volume</t>
  </si>
  <si>
    <t>Total weather normalized volume</t>
  </si>
  <si>
    <t>Weather Adjustment to Volume - Rate Class Analysis (Therms)</t>
  </si>
  <si>
    <t>Total adjustment</t>
  </si>
  <si>
    <t>Percent change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</si>
  <si>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</si>
  <si>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</si>
  <si>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</si>
  <si>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</si>
  <si>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</si>
  <si>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</si>
  <si>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</si>
  <si>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</si>
  <si>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</si>
  <si>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</si>
  <si>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</si>
  <si>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</si>
  <si>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</si>
  <si>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</si>
  <si>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</si>
  <si>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</si>
  <si>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</si>
  <si>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</si>
  <si>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</si>
  <si>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</si>
  <si>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</si>
  <si>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</si>
  <si>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</si>
  <si>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</si>
  <si>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</si>
  <si>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</si>
  <si>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</si>
  <si>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</si>
  <si>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</si>
  <si>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</si>
  <si>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</si>
  <si>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</si>
  <si>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Calendar volume for May 1, 2023 through September 30, 2023 from Customer Information System (CIS).</t>
  </si>
  <si>
    <t>Current Schedule 87T rates including Base, Property Tax (Sch. 140), Distribution Pipe (Sch. 141D), Not Subject to Refund (Sch. 141N) and Subject to Refund (Sch. 141R).</t>
  </si>
  <si>
    <t>MAY 2024 THROUGH SEPTEMBER 2024</t>
  </si>
  <si>
    <t>Additional Funding requested for period 05/24 - 09/24</t>
  </si>
  <si>
    <t>Amount to be recovered May 2024 through September 2024</t>
  </si>
  <si>
    <t>Low income revenue requirement to be recovered in rates May 2024 through September 2024</t>
  </si>
  <si>
    <t>Weather normalized margin revenue for the year ending December 31, 2023, priced at current rates effective January 1, 2024.</t>
  </si>
  <si>
    <t>Weather normalized volume for the year ending December 31, 2023 from the 2023 Commission Basis Report (CBR).</t>
  </si>
  <si>
    <t>Schedule 141N Not Subject to Refund rates effective January 1, 2024 (UG-230323).</t>
  </si>
  <si>
    <t>Schedule 141R Subject to Refund rates effective January 1, 2024 (UG-230323).</t>
  </si>
  <si>
    <t>Summary of Schedule 129 Rates</t>
  </si>
  <si>
    <t>2024 Gas Schedule 129 Low Income Filing</t>
  </si>
  <si>
    <t>Proposed Rates Effective May 1, 2024</t>
  </si>
  <si>
    <t>May 2024 -</t>
  </si>
  <si>
    <t>Sch. 111</t>
  </si>
  <si>
    <t>U= T/S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</si>
  <si>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1, 2024.</t>
    </r>
  </si>
  <si>
    <t>Typical Residential Bill Impact:</t>
  </si>
  <si>
    <t>Average Rate per therm</t>
  </si>
  <si>
    <t>Total Bill Amount</t>
  </si>
  <si>
    <t>$ Increase</t>
  </si>
  <si>
    <t>% Increase</t>
  </si>
  <si>
    <t>Sept. 2024</t>
  </si>
  <si>
    <t>Typical Residential Bill Impacts</t>
  </si>
  <si>
    <t>Schedule 129 Low Income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</si>
  <si>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</si>
  <si>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</si>
  <si>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</si>
  <si>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</si>
  <si>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</si>
  <si>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Basic charge (Sch. 23)</t>
  </si>
  <si>
    <t>Cap &amp; Invest Non-Vol Credit (Sch. 111)</t>
  </si>
  <si>
    <t>Volumetric charges ($/therm)</t>
  </si>
  <si>
    <t>Delivery charge (Sch. 23)</t>
  </si>
  <si>
    <t>Conservation charge (Sch. 120)</t>
  </si>
  <si>
    <t>Low Income charge (Sch. 129)</t>
  </si>
  <si>
    <t>Low Income Discount charge (Sch. 129D)</t>
  </si>
  <si>
    <t>Property Tax charge (Sch. 140)</t>
  </si>
  <si>
    <t>Dist. Pipeline Provisional (Sch. 141D)</t>
  </si>
  <si>
    <t>Rates Not Subject to Refund (Sch. 141N)</t>
  </si>
  <si>
    <t>Rates Subject to Refund (Sch. 141R)</t>
  </si>
  <si>
    <t>Decoupling charge (Sch. 142)</t>
  </si>
  <si>
    <t>Cap &amp; Invest charge (Sch. 111)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</si>
  <si>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</si>
  <si>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</si>
  <si>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</si>
  <si>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</si>
  <si>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</si>
  <si>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</si>
  <si>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</si>
  <si>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1, 2024.</t>
    </r>
  </si>
  <si>
    <t>5ME Sept. 2024</t>
  </si>
  <si>
    <t>87T*</t>
  </si>
  <si>
    <t>* When, or if, Schedule 88T becomes effective, the Schedule 87T rate would also apply to Schedule 88T.</t>
  </si>
  <si>
    <t>Additional</t>
  </si>
  <si>
    <t>Funding</t>
  </si>
  <si>
    <t>Calculation of Additional Funding Schedule 129 Rates</t>
  </si>
  <si>
    <t>Add. Fund</t>
  </si>
  <si>
    <t>Add. Fund.</t>
  </si>
  <si>
    <t>Total additional funding revenue requirement for low income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</si>
</sst>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_(&quot;$&quot;* #,##0.0000_);_(&quot;$&quot;* \(#,##0.0000\);_(&quot;$&quot;* &quot;-&quot;??_);_(@_)"/>
    <numFmt numFmtId="171" formatCode="0.0000%"/>
    <numFmt numFmtId="172" formatCode="&quot;$&quot;#,##0\ ;\(&quot;$&quot;#,##0\)"/>
    <numFmt numFmtId="173" formatCode="0.000%"/>
    <numFmt numFmtId="174" formatCode="&quot;$&quot;#,##0.00\ ;\(&quot;$&quot;#,##0.00\)"/>
    <numFmt numFmtId="175" formatCode="&quot;$&quot;#,##0.00000\ ;\(&quot;$&quot;#,##0.00000\)"/>
    <numFmt numFmtId="176" formatCode="&quot;$&quot;#,##0.0000\ ;\(&quot;$&quot;#,##0.0000\)"/>
    <numFmt numFmtId="177" formatCode="#,##0.00000"/>
    <numFmt numFmtId="178" formatCode="#,##0.0"/>
    <numFmt numFmtId="179" formatCode="&quot;$&quot;#,##0"/>
    <numFmt numFmtId="180" formatCode="&quot;$&quot;#,##0.00000000_);\(&quot;$&quot;#,##0.00000000\)"/>
    <numFmt numFmtId="181" formatCode="&quot;$&quot;#,##0.00000_);\(&quot;$&quot;#,##0.00000\)"/>
    <numFmt numFmtId="182" formatCode="#,##0.000000_);\(#,##0.000000\)"/>
    <numFmt numFmtId="183" formatCode="0.0000000"/>
    <numFmt numFmtId="184" formatCode="_(* #,##0.0000000_);_(* \(#,##0.0000000\);_(* &quot;-&quot;??_);_(@_)"/>
    <numFmt numFmtId="185" formatCode="[$-409]mmm\-yy;@"/>
    <numFmt numFmtId="186" formatCode="_(* #,##0.000000_);_(* \(#,##0.000000\);_(* &quot;-&quot;??_);_(@_)"/>
    <numFmt numFmtId="187" formatCode="0.000000"/>
    <numFmt numFmtId="188" formatCode="0.0000"/>
    <numFmt numFmtId="189" formatCode="0.00000"/>
    <numFmt numFmtId="190" formatCode="_(&quot;$&quot;* #,##0.00_);_(&quot;$&quot;* \(#,##0.00\);_(&quot;$&quot;* &quot;-&quot;_);_(@_)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indexed="21"/>
      <name val="Arial"/>
      <family val="2"/>
    </font>
    <font>
      <sz val="10"/>
      <color theme="1"/>
      <name val="Arial"/>
      <family val="2"/>
    </font>
    <font>
      <sz val="10"/>
      <color rgb="FF009999"/>
      <name val="Arial"/>
      <family val="2"/>
    </font>
    <font>
      <vertAlign val="superscript"/>
      <sz val="10"/>
      <name val="Arial"/>
      <family val="2"/>
    </font>
    <font>
      <sz val="10"/>
      <color rgb="FF006666"/>
      <name val="Arial"/>
      <family val="2"/>
    </font>
    <font>
      <sz val="10"/>
      <color rgb="FF00808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color rgb="FF0000FF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u/>
      <sz val="10"/>
      <name val="Arial"/>
      <family val="2"/>
    </font>
    <font>
      <sz val="11"/>
      <color rgb="FF0000FF"/>
      <name val="Calibri"/>
      <family val="2"/>
    </font>
    <font>
      <sz val="10"/>
      <color theme="0" tint="-0.249977111117893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2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724">
    <xf numFmtId="0" fontId="0" fillId="0" borderId="0" xfId="0"/>
    <xf numFmtId="3" fontId="7" fillId="0" borderId="2" xfId="0" applyNumberFormat="1" applyFont="1" applyFill="1" applyBorder="1"/>
    <xf numFmtId="3" fontId="7" fillId="0" borderId="0" xfId="0" applyNumberFormat="1" applyFont="1" applyFill="1"/>
    <xf numFmtId="3" fontId="3" fillId="0" borderId="0" xfId="0" applyNumberFormat="1" applyFont="1" applyFill="1"/>
    <xf numFmtId="166" fontId="1" fillId="0" borderId="0" xfId="0" applyNumberFormat="1" applyFont="1" applyFill="1"/>
    <xf numFmtId="166" fontId="1" fillId="0" borderId="0" xfId="0" applyNumberFormat="1" applyFont="1" applyFill="1" applyBorder="1"/>
    <xf numFmtId="164" fontId="1" fillId="0" borderId="0" xfId="0" applyNumberFormat="1" applyFont="1" applyFill="1" applyBorder="1"/>
    <xf numFmtId="42" fontId="1" fillId="0" borderId="0" xfId="0" applyNumberFormat="1" applyFont="1" applyFill="1" applyBorder="1"/>
    <xf numFmtId="42" fontId="3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42" fontId="1" fillId="0" borderId="1" xfId="0" applyNumberFormat="1" applyFont="1" applyFill="1" applyBorder="1"/>
    <xf numFmtId="164" fontId="4" fillId="0" borderId="3" xfId="0" applyNumberFormat="1" applyFont="1" applyFill="1" applyBorder="1"/>
    <xf numFmtId="3" fontId="4" fillId="0" borderId="3" xfId="0" applyNumberFormat="1" applyFont="1" applyFill="1" applyBorder="1"/>
    <xf numFmtId="3" fontId="3" fillId="0" borderId="0" xfId="0" applyNumberFormat="1" applyFont="1" applyFill="1" applyBorder="1"/>
    <xf numFmtId="3" fontId="1" fillId="0" borderId="1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0" fontId="1" fillId="0" borderId="9" xfId="0" applyFont="1" applyFill="1" applyBorder="1" applyAlignment="1">
      <alignment horizontal="center"/>
    </xf>
    <xf numFmtId="42" fontId="5" fillId="0" borderId="4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164" fontId="1" fillId="0" borderId="3" xfId="0" applyNumberFormat="1" applyFont="1" applyFill="1" applyBorder="1"/>
    <xf numFmtId="167" fontId="1" fillId="0" borderId="0" xfId="0" applyNumberFormat="1" applyFont="1" applyFill="1"/>
    <xf numFmtId="164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11" fillId="0" borderId="0" xfId="0" applyNumberFormat="1" applyFont="1" applyFill="1"/>
    <xf numFmtId="10" fontId="1" fillId="0" borderId="1" xfId="0" applyNumberFormat="1" applyFont="1" applyFill="1" applyBorder="1" applyAlignment="1">
      <alignment horizontal="right"/>
    </xf>
    <xf numFmtId="10" fontId="8" fillId="0" borderId="0" xfId="0" applyNumberFormat="1" applyFont="1" applyFill="1"/>
    <xf numFmtId="10" fontId="8" fillId="0" borderId="2" xfId="0" applyNumberFormat="1" applyFont="1" applyFill="1" applyBorder="1"/>
    <xf numFmtId="0" fontId="1" fillId="0" borderId="0" xfId="0" applyFont="1" applyAlignment="1">
      <alignment horizontal="centerContinuous"/>
    </xf>
    <xf numFmtId="3" fontId="1" fillId="0" borderId="0" xfId="0" applyNumberFormat="1" applyFont="1" applyFill="1"/>
    <xf numFmtId="0" fontId="1" fillId="0" borderId="0" xfId="0" applyFont="1" applyBorder="1"/>
    <xf numFmtId="0" fontId="5" fillId="0" borderId="0" xfId="0" applyFont="1"/>
    <xf numFmtId="41" fontId="1" fillId="0" borderId="0" xfId="0" quotePrefix="1" applyNumberFormat="1" applyFont="1" applyAlignment="1">
      <alignment horizontal="right"/>
    </xf>
    <xf numFmtId="3" fontId="1" fillId="0" borderId="0" xfId="0" applyNumberFormat="1" applyFont="1" applyFill="1" applyBorder="1"/>
    <xf numFmtId="168" fontId="8" fillId="0" borderId="2" xfId="0" applyNumberFormat="1" applyFont="1" applyFill="1" applyBorder="1"/>
    <xf numFmtId="168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44" fontId="1" fillId="0" borderId="0" xfId="0" applyNumberFormat="1" applyFont="1" applyFill="1"/>
    <xf numFmtId="42" fontId="12" fillId="0" borderId="0" xfId="0" applyNumberFormat="1" applyFont="1" applyFill="1"/>
    <xf numFmtId="165" fontId="8" fillId="0" borderId="0" xfId="0" applyNumberFormat="1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3" fontId="7" fillId="0" borderId="0" xfId="0" applyNumberFormat="1" applyFont="1" applyFill="1" applyBorder="1"/>
    <xf numFmtId="10" fontId="1" fillId="0" borderId="0" xfId="0" applyNumberFormat="1" applyFont="1" applyFill="1"/>
    <xf numFmtId="8" fontId="1" fillId="0" borderId="0" xfId="0" applyNumberFormat="1" applyFont="1" applyFill="1"/>
    <xf numFmtId="3" fontId="12" fillId="0" borderId="1" xfId="0" applyNumberFormat="1" applyFont="1" applyFill="1" applyBorder="1"/>
    <xf numFmtId="3" fontId="8" fillId="0" borderId="0" xfId="0" applyNumberFormat="1" applyFont="1" applyFill="1"/>
    <xf numFmtId="3" fontId="8" fillId="0" borderId="3" xfId="0" applyNumberFormat="1" applyFont="1" applyFill="1" applyBorder="1"/>
    <xf numFmtId="168" fontId="12" fillId="0" borderId="0" xfId="0" applyNumberFormat="1" applyFont="1" applyFill="1"/>
    <xf numFmtId="0" fontId="1" fillId="0" borderId="0" xfId="0" applyFont="1" applyFill="1" applyAlignment="1">
      <alignment horizontal="centerContinuous"/>
    </xf>
    <xf numFmtId="10" fontId="8" fillId="0" borderId="3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 applyBorder="1"/>
    <xf numFmtId="168" fontId="2" fillId="0" borderId="0" xfId="0" applyNumberFormat="1" applyFont="1" applyFill="1" applyBorder="1"/>
    <xf numFmtId="41" fontId="2" fillId="0" borderId="0" xfId="0" applyNumberFormat="1" applyFont="1" applyFill="1" applyBorder="1"/>
    <xf numFmtId="42" fontId="13" fillId="0" borderId="0" xfId="0" applyNumberFormat="1" applyFont="1" applyFill="1" applyBorder="1"/>
    <xf numFmtId="42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Continuous"/>
    </xf>
    <xf numFmtId="0" fontId="1" fillId="0" borderId="1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72" fontId="7" fillId="0" borderId="10" xfId="0" applyNumberFormat="1" applyFont="1" applyFill="1" applyBorder="1" applyAlignment="1">
      <alignment horizontal="center"/>
    </xf>
    <xf numFmtId="175" fontId="1" fillId="0" borderId="0" xfId="0" applyNumberFormat="1" applyFont="1" applyFill="1" applyBorder="1"/>
    <xf numFmtId="0" fontId="1" fillId="0" borderId="16" xfId="0" applyFont="1" applyFill="1" applyBorder="1"/>
    <xf numFmtId="0" fontId="1" fillId="0" borderId="2" xfId="0" applyFont="1" applyFill="1" applyBorder="1"/>
    <xf numFmtId="172" fontId="1" fillId="0" borderId="2" xfId="0" applyNumberFormat="1" applyFont="1" applyFill="1" applyBorder="1"/>
    <xf numFmtId="3" fontId="1" fillId="0" borderId="2" xfId="0" applyNumberFormat="1" applyFont="1" applyFill="1" applyBorder="1"/>
    <xf numFmtId="165" fontId="1" fillId="0" borderId="17" xfId="0" applyNumberFormat="1" applyFont="1" applyFill="1" applyBorder="1"/>
    <xf numFmtId="172" fontId="1" fillId="0" borderId="0" xfId="0" applyNumberFormat="1" applyFont="1" applyFill="1"/>
    <xf numFmtId="172" fontId="1" fillId="0" borderId="0" xfId="0" applyNumberFormat="1" applyFont="1" applyFill="1" applyBorder="1"/>
    <xf numFmtId="165" fontId="1" fillId="0" borderId="0" xfId="0" applyNumberFormat="1" applyFont="1" applyFill="1" applyBorder="1"/>
    <xf numFmtId="0" fontId="2" fillId="0" borderId="18" xfId="0" applyFont="1" applyFill="1" applyBorder="1" applyProtection="1">
      <protection locked="0"/>
    </xf>
    <xf numFmtId="0" fontId="1" fillId="0" borderId="20" xfId="0" applyFont="1" applyFill="1" applyBorder="1"/>
    <xf numFmtId="3" fontId="1" fillId="0" borderId="0" xfId="0" applyNumberFormat="1" applyFont="1" applyFill="1" applyBorder="1" applyProtection="1">
      <protection locked="0"/>
    </xf>
    <xf numFmtId="165" fontId="1" fillId="0" borderId="21" xfId="0" applyNumberFormat="1" applyFont="1" applyFill="1" applyBorder="1" applyAlignment="1">
      <alignment horizontal="right"/>
    </xf>
    <xf numFmtId="172" fontId="1" fillId="0" borderId="0" xfId="0" applyNumberFormat="1" applyFont="1" applyFill="1" applyBorder="1" applyAlignment="1">
      <alignment horizontal="right"/>
    </xf>
    <xf numFmtId="174" fontId="1" fillId="0" borderId="0" xfId="0" applyNumberFormat="1" applyFont="1" applyFill="1" applyBorder="1"/>
    <xf numFmtId="165" fontId="1" fillId="0" borderId="21" xfId="0" applyNumberFormat="1" applyFont="1" applyFill="1" applyBorder="1"/>
    <xf numFmtId="0" fontId="2" fillId="0" borderId="20" xfId="0" applyFont="1" applyFill="1" applyBorder="1"/>
    <xf numFmtId="172" fontId="2" fillId="0" borderId="0" xfId="0" applyNumberFormat="1" applyFont="1" applyFill="1" applyBorder="1"/>
    <xf numFmtId="175" fontId="3" fillId="0" borderId="0" xfId="0" applyNumberFormat="1" applyFont="1" applyFill="1" applyBorder="1"/>
    <xf numFmtId="173" fontId="1" fillId="0" borderId="0" xfId="0" applyNumberFormat="1" applyFont="1" applyFill="1" applyBorder="1"/>
    <xf numFmtId="175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>
      <alignment horizontal="center"/>
    </xf>
    <xf numFmtId="0" fontId="1" fillId="0" borderId="12" xfId="0" applyFont="1" applyFill="1" applyBorder="1"/>
    <xf numFmtId="3" fontId="1" fillId="0" borderId="0" xfId="0" applyNumberFormat="1" applyFont="1" applyFill="1" applyAlignment="1">
      <alignment horizontal="centerContinuous"/>
    </xf>
    <xf numFmtId="3" fontId="1" fillId="0" borderId="2" xfId="0" applyNumberFormat="1" applyFont="1" applyFill="1" applyBorder="1" applyAlignment="1"/>
    <xf numFmtId="172" fontId="1" fillId="0" borderId="5" xfId="0" applyNumberFormat="1" applyFont="1" applyFill="1" applyBorder="1" applyAlignment="1">
      <alignment horizontal="center"/>
    </xf>
    <xf numFmtId="172" fontId="1" fillId="0" borderId="1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/>
    <xf numFmtId="9" fontId="1" fillId="0" borderId="0" xfId="0" applyNumberFormat="1" applyFont="1" applyFill="1" applyBorder="1"/>
    <xf numFmtId="174" fontId="1" fillId="0" borderId="2" xfId="0" applyNumberFormat="1" applyFont="1" applyFill="1" applyBorder="1" applyAlignment="1">
      <alignment horizontal="center"/>
    </xf>
    <xf numFmtId="172" fontId="1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/>
    <xf numFmtId="175" fontId="6" fillId="0" borderId="0" xfId="0" applyNumberFormat="1" applyFont="1" applyFill="1" applyBorder="1"/>
    <xf numFmtId="174" fontId="3" fillId="0" borderId="0" xfId="0" applyNumberFormat="1" applyFont="1" applyFill="1" applyBorder="1"/>
    <xf numFmtId="0" fontId="8" fillId="0" borderId="6" xfId="0" applyFont="1" applyFill="1" applyBorder="1" applyAlignment="1">
      <alignment horizontal="center"/>
    </xf>
    <xf numFmtId="172" fontId="1" fillId="0" borderId="1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74" fontId="1" fillId="0" borderId="0" xfId="0" applyNumberFormat="1" applyFont="1" applyFill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/>
    <xf numFmtId="3" fontId="1" fillId="0" borderId="0" xfId="0" applyNumberFormat="1" applyFont="1" applyFill="1" applyBorder="1" applyAlignment="1">
      <alignment horizontal="centerContinuous"/>
    </xf>
    <xf numFmtId="174" fontId="1" fillId="0" borderId="0" xfId="0" applyNumberFormat="1" applyFont="1" applyFill="1" applyAlignment="1">
      <alignment horizontal="centerContinuous"/>
    </xf>
    <xf numFmtId="3" fontId="1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165" fontId="1" fillId="0" borderId="19" xfId="0" applyNumberFormat="1" applyFont="1" applyFill="1" applyBorder="1" applyAlignment="1">
      <alignment horizontal="right"/>
    </xf>
    <xf numFmtId="174" fontId="1" fillId="0" borderId="2" xfId="0" applyNumberFormat="1" applyFont="1" applyFill="1" applyBorder="1"/>
    <xf numFmtId="17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72" fontId="1" fillId="0" borderId="0" xfId="0" applyNumberFormat="1" applyFont="1" applyFill="1" applyBorder="1" applyProtection="1">
      <protection locked="0"/>
    </xf>
    <xf numFmtId="173" fontId="1" fillId="0" borderId="0" xfId="0" applyNumberFormat="1" applyFont="1" applyFill="1" applyBorder="1" applyAlignment="1">
      <alignment horizontal="left"/>
    </xf>
    <xf numFmtId="172" fontId="1" fillId="0" borderId="1" xfId="0" applyNumberFormat="1" applyFont="1" applyFill="1" applyBorder="1" applyAlignment="1">
      <alignment horizontal="right"/>
    </xf>
    <xf numFmtId="175" fontId="1" fillId="0" borderId="2" xfId="0" applyNumberFormat="1" applyFont="1" applyFill="1" applyBorder="1"/>
    <xf numFmtId="172" fontId="1" fillId="0" borderId="2" xfId="0" applyNumberFormat="1" applyFont="1" applyFill="1" applyBorder="1" applyAlignment="1">
      <alignment horizontal="right"/>
    </xf>
    <xf numFmtId="174" fontId="1" fillId="0" borderId="2" xfId="0" applyNumberFormat="1" applyFont="1" applyFill="1" applyBorder="1" applyAlignment="1">
      <alignment horizontal="right"/>
    </xf>
    <xf numFmtId="175" fontId="1" fillId="0" borderId="2" xfId="0" applyNumberFormat="1" applyFont="1" applyFill="1" applyBorder="1" applyAlignment="1">
      <alignment horizontal="right"/>
    </xf>
    <xf numFmtId="17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71" fontId="3" fillId="0" borderId="0" xfId="0" applyNumberFormat="1" applyFont="1" applyFill="1" applyBorder="1"/>
    <xf numFmtId="165" fontId="1" fillId="0" borderId="21" xfId="0" applyNumberFormat="1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right"/>
    </xf>
    <xf numFmtId="5" fontId="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174" fontId="1" fillId="0" borderId="0" xfId="0" applyNumberFormat="1" applyFont="1" applyFill="1"/>
    <xf numFmtId="0" fontId="8" fillId="0" borderId="0" xfId="0" applyFont="1" applyFill="1" applyAlignment="1">
      <alignment horizontal="centerContinuous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1" fontId="1" fillId="0" borderId="0" xfId="0" applyNumberFormat="1" applyFont="1" applyFill="1" applyBorder="1"/>
    <xf numFmtId="0" fontId="2" fillId="0" borderId="0" xfId="0" applyFont="1" applyFill="1" applyAlignment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19" fillId="0" borderId="0" xfId="0" applyNumberFormat="1" applyFont="1"/>
    <xf numFmtId="168" fontId="0" fillId="0" borderId="0" xfId="0" applyNumberFormat="1"/>
    <xf numFmtId="42" fontId="0" fillId="0" borderId="0" xfId="0" applyNumberFormat="1"/>
    <xf numFmtId="42" fontId="15" fillId="0" borderId="0" xfId="0" applyNumberFormat="1" applyFont="1"/>
    <xf numFmtId="10" fontId="0" fillId="0" borderId="0" xfId="0" applyNumberFormat="1" applyFont="1"/>
    <xf numFmtId="42" fontId="16" fillId="0" borderId="0" xfId="0" applyNumberFormat="1" applyFont="1"/>
    <xf numFmtId="168" fontId="0" fillId="0" borderId="2" xfId="0" applyNumberFormat="1" applyBorder="1"/>
    <xf numFmtId="3" fontId="0" fillId="0" borderId="1" xfId="0" applyNumberFormat="1" applyBorder="1"/>
    <xf numFmtId="42" fontId="0" fillId="0" borderId="1" xfId="0" applyNumberFormat="1" applyBorder="1"/>
    <xf numFmtId="42" fontId="15" fillId="0" borderId="1" xfId="0" applyNumberFormat="1" applyFont="1" applyBorder="1"/>
    <xf numFmtId="10" fontId="0" fillId="0" borderId="1" xfId="0" applyNumberFormat="1" applyFont="1" applyBorder="1"/>
    <xf numFmtId="3" fontId="0" fillId="0" borderId="0" xfId="0" applyNumberFormat="1"/>
    <xf numFmtId="10" fontId="0" fillId="0" borderId="0" xfId="0" applyNumberFormat="1"/>
    <xf numFmtId="0" fontId="20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3" fontId="22" fillId="0" borderId="0" xfId="0" applyNumberFormat="1" applyFont="1" applyBorder="1"/>
    <xf numFmtId="42" fontId="22" fillId="0" borderId="0" xfId="0" applyNumberFormat="1" applyFont="1" applyBorder="1"/>
    <xf numFmtId="0" fontId="22" fillId="0" borderId="0" xfId="0" applyFont="1"/>
    <xf numFmtId="42" fontId="22" fillId="0" borderId="0" xfId="0" applyNumberFormat="1" applyFont="1"/>
    <xf numFmtId="10" fontId="22" fillId="0" borderId="0" xfId="0" applyNumberFormat="1" applyFont="1"/>
    <xf numFmtId="0" fontId="22" fillId="0" borderId="0" xfId="0" applyFont="1" applyAlignment="1">
      <alignment horizontal="left"/>
    </xf>
    <xf numFmtId="164" fontId="22" fillId="0" borderId="0" xfId="0" applyNumberFormat="1" applyFont="1" applyFill="1"/>
    <xf numFmtId="166" fontId="22" fillId="0" borderId="0" xfId="0" applyNumberFormat="1" applyFont="1" applyFill="1"/>
    <xf numFmtId="0" fontId="22" fillId="0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left"/>
    </xf>
    <xf numFmtId="164" fontId="22" fillId="0" borderId="1" xfId="0" applyNumberFormat="1" applyFont="1" applyFill="1" applyBorder="1"/>
    <xf numFmtId="168" fontId="0" fillId="0" borderId="1" xfId="0" applyNumberFormat="1" applyBorder="1"/>
    <xf numFmtId="166" fontId="22" fillId="0" borderId="1" xfId="0" applyNumberFormat="1" applyFont="1" applyFill="1" applyBorder="1"/>
    <xf numFmtId="0" fontId="22" fillId="0" borderId="0" xfId="0" applyFont="1" applyFill="1"/>
    <xf numFmtId="0" fontId="22" fillId="0" borderId="0" xfId="0" applyFont="1" applyBorder="1"/>
    <xf numFmtId="44" fontId="22" fillId="0" borderId="0" xfId="0" applyNumberFormat="1" applyFont="1"/>
    <xf numFmtId="0" fontId="15" fillId="0" borderId="0" xfId="0" applyFont="1"/>
    <xf numFmtId="0" fontId="15" fillId="0" borderId="0" xfId="0" applyFont="1" applyBorder="1"/>
    <xf numFmtId="165" fontId="15" fillId="0" borderId="0" xfId="0" applyNumberFormat="1" applyFont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64" fontId="0" fillId="0" borderId="0" xfId="0" applyNumberFormat="1" applyFont="1"/>
    <xf numFmtId="0" fontId="15" fillId="0" borderId="2" xfId="0" applyFont="1" applyFill="1" applyBorder="1" applyAlignment="1">
      <alignment horizontal="center"/>
    </xf>
    <xf numFmtId="168" fontId="16" fillId="0" borderId="0" xfId="0" applyNumberFormat="1" applyFont="1"/>
    <xf numFmtId="164" fontId="15" fillId="0" borderId="0" xfId="0" applyNumberFormat="1" applyFont="1"/>
    <xf numFmtId="3" fontId="15" fillId="0" borderId="0" xfId="0" applyNumberFormat="1" applyFont="1"/>
    <xf numFmtId="168" fontId="16" fillId="0" borderId="0" xfId="0" applyNumberFormat="1" applyFont="1" applyBorder="1"/>
    <xf numFmtId="3" fontId="15" fillId="0" borderId="1" xfId="0" applyNumberFormat="1" applyFont="1" applyFill="1" applyBorder="1"/>
    <xf numFmtId="164" fontId="0" fillId="0" borderId="1" xfId="0" applyNumberFormat="1" applyFont="1" applyBorder="1"/>
    <xf numFmtId="3" fontId="15" fillId="0" borderId="0" xfId="0" applyNumberFormat="1" applyFont="1" applyFill="1"/>
    <xf numFmtId="8" fontId="15" fillId="0" borderId="0" xfId="0" applyNumberFormat="1" applyFont="1"/>
    <xf numFmtId="168" fontId="16" fillId="0" borderId="0" xfId="0" applyNumberFormat="1" applyFont="1" applyFill="1"/>
    <xf numFmtId="3" fontId="15" fillId="0" borderId="2" xfId="0" applyNumberFormat="1" applyFont="1" applyBorder="1"/>
    <xf numFmtId="168" fontId="16" fillId="0" borderId="2" xfId="0" applyNumberFormat="1" applyFont="1" applyFill="1" applyBorder="1"/>
    <xf numFmtId="164" fontId="0" fillId="0" borderId="2" xfId="0" applyNumberFormat="1" applyFont="1" applyBorder="1"/>
    <xf numFmtId="3" fontId="15" fillId="0" borderId="1" xfId="0" applyNumberFormat="1" applyFont="1" applyBorder="1"/>
    <xf numFmtId="0" fontId="15" fillId="0" borderId="0" xfId="0" applyFont="1" applyFill="1" applyBorder="1"/>
    <xf numFmtId="164" fontId="15" fillId="0" borderId="0" xfId="0" applyNumberFormat="1" applyFont="1" applyBorder="1"/>
    <xf numFmtId="0" fontId="15" fillId="0" borderId="0" xfId="0" applyFont="1" applyFill="1"/>
    <xf numFmtId="0" fontId="15" fillId="0" borderId="0" xfId="0" quotePrefix="1" applyFont="1" applyAlignment="1">
      <alignment vertical="top"/>
    </xf>
    <xf numFmtId="0" fontId="24" fillId="0" borderId="0" xfId="0" applyFont="1"/>
    <xf numFmtId="0" fontId="24" fillId="0" borderId="0" xfId="0" applyFont="1" applyFill="1"/>
    <xf numFmtId="41" fontId="15" fillId="0" borderId="0" xfId="0" quotePrefix="1" applyNumberFormat="1" applyFont="1" applyAlignment="1">
      <alignment horizontal="right"/>
    </xf>
    <xf numFmtId="0" fontId="15" fillId="0" borderId="0" xfId="0" applyFont="1" applyFill="1" applyBorder="1" applyAlignment="1">
      <alignment horizontal="left"/>
    </xf>
    <xf numFmtId="3" fontId="15" fillId="0" borderId="0" xfId="0" applyNumberFormat="1" applyFont="1" applyFill="1" applyBorder="1"/>
    <xf numFmtId="168" fontId="4" fillId="0" borderId="0" xfId="0" applyNumberFormat="1" applyFont="1" applyFill="1" applyBorder="1"/>
    <xf numFmtId="168" fontId="19" fillId="0" borderId="0" xfId="0" applyNumberFormat="1" applyFont="1"/>
    <xf numFmtId="168" fontId="19" fillId="0" borderId="0" xfId="0" applyNumberFormat="1" applyFont="1" applyBorder="1"/>
    <xf numFmtId="0" fontId="1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2" xfId="0" quotePrefix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164" fontId="8" fillId="0" borderId="0" xfId="0" applyNumberFormat="1" applyFont="1" applyFill="1"/>
    <xf numFmtId="168" fontId="8" fillId="0" borderId="0" xfId="0" applyNumberFormat="1" applyFont="1" applyFill="1"/>
    <xf numFmtId="166" fontId="8" fillId="0" borderId="0" xfId="0" applyNumberFormat="1" applyFont="1" applyFill="1"/>
    <xf numFmtId="169" fontId="1" fillId="0" borderId="0" xfId="0" applyNumberFormat="1" applyFont="1" applyFill="1"/>
    <xf numFmtId="3" fontId="9" fillId="0" borderId="0" xfId="0" applyNumberFormat="1" applyFont="1" applyFill="1"/>
    <xf numFmtId="164" fontId="3" fillId="0" borderId="0" xfId="0" applyNumberFormat="1" applyFont="1" applyFill="1"/>
    <xf numFmtId="164" fontId="8" fillId="0" borderId="0" xfId="0" applyNumberFormat="1" applyFont="1" applyFill="1" applyBorder="1"/>
    <xf numFmtId="168" fontId="7" fillId="0" borderId="0" xfId="0" applyNumberFormat="1" applyFont="1" applyFill="1" applyBorder="1"/>
    <xf numFmtId="169" fontId="8" fillId="0" borderId="0" xfId="0" applyNumberFormat="1" applyFont="1" applyFill="1"/>
    <xf numFmtId="168" fontId="7" fillId="0" borderId="0" xfId="0" applyNumberFormat="1" applyFont="1" applyFill="1"/>
    <xf numFmtId="165" fontId="8" fillId="0" borderId="2" xfId="0" applyNumberFormat="1" applyFont="1" applyFill="1" applyBorder="1"/>
    <xf numFmtId="164" fontId="8" fillId="0" borderId="2" xfId="0" applyNumberFormat="1" applyFont="1" applyFill="1" applyBorder="1"/>
    <xf numFmtId="168" fontId="1" fillId="0" borderId="0" xfId="0" applyNumberFormat="1" applyFont="1" applyFill="1" applyBorder="1"/>
    <xf numFmtId="164" fontId="5" fillId="0" borderId="6" xfId="0" applyNumberFormat="1" applyFont="1" applyFill="1" applyBorder="1"/>
    <xf numFmtId="10" fontId="5" fillId="0" borderId="5" xfId="0" applyNumberFormat="1" applyFont="1" applyFill="1" applyBorder="1"/>
    <xf numFmtId="0" fontId="10" fillId="0" borderId="0" xfId="0" quotePrefix="1" applyFont="1" applyFill="1" applyAlignment="1">
      <alignment horizontal="center" vertical="top"/>
    </xf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vertical="top" wrapText="1"/>
    </xf>
    <xf numFmtId="3" fontId="12" fillId="0" borderId="0" xfId="0" applyNumberFormat="1" applyFont="1" applyFill="1"/>
    <xf numFmtId="0" fontId="1" fillId="0" borderId="3" xfId="0" applyFont="1" applyFill="1" applyBorder="1"/>
    <xf numFmtId="3" fontId="8" fillId="0" borderId="1" xfId="0" applyNumberFormat="1" applyFont="1" applyFill="1" applyBorder="1"/>
    <xf numFmtId="0" fontId="10" fillId="0" borderId="0" xfId="0" quotePrefix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0" xfId="0" applyFont="1" applyFill="1" applyAlignment="1"/>
    <xf numFmtId="0" fontId="25" fillId="0" borderId="0" xfId="0" applyFont="1" applyFill="1"/>
    <xf numFmtId="42" fontId="1" fillId="0" borderId="0" xfId="0" applyNumberFormat="1" applyFont="1" applyFill="1"/>
    <xf numFmtId="9" fontId="8" fillId="0" borderId="0" xfId="0" applyNumberFormat="1" applyFont="1" applyFill="1"/>
    <xf numFmtId="0" fontId="12" fillId="0" borderId="0" xfId="0" applyFont="1" applyFill="1"/>
    <xf numFmtId="0" fontId="1" fillId="0" borderId="0" xfId="0" applyFont="1" applyFill="1" applyAlignment="1">
      <alignment horizontal="left" indent="1"/>
    </xf>
    <xf numFmtId="42" fontId="12" fillId="0" borderId="0" xfId="0" applyNumberFormat="1" applyFont="1" applyFill="1" applyBorder="1"/>
    <xf numFmtId="168" fontId="12" fillId="0" borderId="0" xfId="0" applyNumberFormat="1" applyFont="1" applyFill="1" applyBorder="1"/>
    <xf numFmtId="168" fontId="6" fillId="0" borderId="0" xfId="0" applyNumberFormat="1" applyFont="1" applyFill="1" applyBorder="1"/>
    <xf numFmtId="42" fontId="1" fillId="0" borderId="2" xfId="0" applyNumberFormat="1" applyFont="1" applyFill="1" applyBorder="1"/>
    <xf numFmtId="164" fontId="4" fillId="0" borderId="0" xfId="0" applyNumberFormat="1" applyFont="1" applyFill="1"/>
    <xf numFmtId="164" fontId="4" fillId="0" borderId="0" xfId="0" applyNumberFormat="1" applyFont="1" applyFill="1" applyBorder="1"/>
    <xf numFmtId="0" fontId="2" fillId="0" borderId="0" xfId="0" applyFont="1" applyFill="1" applyAlignment="1">
      <alignment wrapText="1"/>
    </xf>
    <xf numFmtId="170" fontId="1" fillId="0" borderId="0" xfId="0" applyNumberFormat="1" applyFont="1" applyFill="1" applyBorder="1"/>
    <xf numFmtId="174" fontId="1" fillId="0" borderId="0" xfId="0" applyNumberFormat="1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"/>
    </xf>
    <xf numFmtId="0" fontId="2" fillId="0" borderId="16" xfId="0" applyFont="1" applyFill="1" applyBorder="1"/>
    <xf numFmtId="172" fontId="1" fillId="0" borderId="21" xfId="0" applyNumberFormat="1" applyFont="1" applyFill="1" applyBorder="1" applyAlignment="1">
      <alignment horizontal="right"/>
    </xf>
    <xf numFmtId="5" fontId="1" fillId="0" borderId="1" xfId="0" applyNumberFormat="1" applyFont="1" applyFill="1" applyBorder="1"/>
    <xf numFmtId="5" fontId="7" fillId="0" borderId="0" xfId="0" applyNumberFormat="1" applyFont="1" applyFill="1"/>
    <xf numFmtId="41" fontId="7" fillId="0" borderId="0" xfId="0" applyNumberFormat="1" applyFont="1" applyFill="1"/>
    <xf numFmtId="3" fontId="16" fillId="0" borderId="0" xfId="0" applyNumberFormat="1" applyFont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/>
    <xf numFmtId="172" fontId="1" fillId="0" borderId="0" xfId="0" applyNumberFormat="1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/>
    <xf numFmtId="3" fontId="1" fillId="0" borderId="0" xfId="0" applyNumberFormat="1" applyFont="1" applyBorder="1"/>
    <xf numFmtId="174" fontId="1" fillId="0" borderId="0" xfId="0" applyNumberFormat="1" applyFont="1"/>
    <xf numFmtId="174" fontId="1" fillId="0" borderId="0" xfId="0" applyNumberFormat="1" applyFont="1" applyBorder="1"/>
    <xf numFmtId="172" fontId="1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4" fontId="1" fillId="0" borderId="3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Continuous"/>
    </xf>
    <xf numFmtId="174" fontId="1" fillId="0" borderId="1" xfId="0" applyNumberFormat="1" applyFont="1" applyBorder="1" applyAlignment="1">
      <alignment horizontal="left"/>
    </xf>
    <xf numFmtId="174" fontId="1" fillId="0" borderId="15" xfId="0" applyNumberFormat="1" applyFont="1" applyBorder="1" applyAlignment="1">
      <alignment horizontal="centerContinuous"/>
    </xf>
    <xf numFmtId="174" fontId="1" fillId="0" borderId="0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4" fontId="1" fillId="0" borderId="2" xfId="0" applyNumberFormat="1" applyFont="1" applyBorder="1" applyAlignment="1">
      <alignment horizontal="center"/>
    </xf>
    <xf numFmtId="173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2" fontId="1" fillId="0" borderId="0" xfId="0" applyNumberFormat="1" applyFont="1" applyBorder="1" applyAlignment="1">
      <alignment horizontal="right"/>
    </xf>
    <xf numFmtId="0" fontId="2" fillId="0" borderId="18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3" xfId="0" applyFont="1" applyBorder="1"/>
    <xf numFmtId="3" fontId="1" fillId="0" borderId="3" xfId="0" applyNumberFormat="1" applyFont="1" applyBorder="1"/>
    <xf numFmtId="172" fontId="1" fillId="0" borderId="3" xfId="0" applyNumberFormat="1" applyFont="1" applyBorder="1"/>
    <xf numFmtId="165" fontId="1" fillId="0" borderId="15" xfId="0" applyNumberFormat="1" applyFont="1" applyBorder="1" applyAlignment="1">
      <alignment horizontal="right"/>
    </xf>
    <xf numFmtId="0" fontId="1" fillId="0" borderId="20" xfId="0" applyFont="1" applyBorder="1"/>
    <xf numFmtId="3" fontId="1" fillId="0" borderId="0" xfId="0" applyNumberFormat="1" applyFont="1" applyBorder="1" applyProtection="1">
      <protection locked="0"/>
    </xf>
    <xf numFmtId="172" fontId="1" fillId="0" borderId="0" xfId="0" applyNumberFormat="1" applyFont="1" applyBorder="1"/>
    <xf numFmtId="165" fontId="1" fillId="0" borderId="21" xfId="0" applyNumberFormat="1" applyFont="1" applyBorder="1" applyAlignment="1">
      <alignment horizontal="right"/>
    </xf>
    <xf numFmtId="174" fontId="6" fillId="0" borderId="0" xfId="0" applyNumberFormat="1" applyFont="1" applyFill="1" applyBorder="1"/>
    <xf numFmtId="165" fontId="1" fillId="0" borderId="21" xfId="0" applyNumberFormat="1" applyFont="1" applyBorder="1"/>
    <xf numFmtId="172" fontId="12" fillId="0" borderId="10" xfId="0" applyNumberFormat="1" applyFont="1" applyFill="1" applyBorder="1" applyAlignment="1">
      <alignment horizontal="center"/>
    </xf>
    <xf numFmtId="172" fontId="1" fillId="0" borderId="10" xfId="0" applyNumberFormat="1" applyFont="1" applyBorder="1" applyAlignment="1">
      <alignment horizontal="center"/>
    </xf>
    <xf numFmtId="0" fontId="2" fillId="0" borderId="20" xfId="0" applyFont="1" applyBorder="1"/>
    <xf numFmtId="0" fontId="1" fillId="0" borderId="0" xfId="0" applyFont="1" applyBorder="1" applyProtection="1">
      <protection locked="0"/>
    </xf>
    <xf numFmtId="172" fontId="1" fillId="0" borderId="1" xfId="0" applyNumberFormat="1" applyFont="1" applyBorder="1"/>
    <xf numFmtId="165" fontId="1" fillId="0" borderId="19" xfId="0" applyNumberFormat="1" applyFont="1" applyBorder="1"/>
    <xf numFmtId="172" fontId="1" fillId="0" borderId="5" xfId="0" applyNumberFormat="1" applyFont="1" applyBorder="1" applyAlignment="1">
      <alignment horizontal="center"/>
    </xf>
    <xf numFmtId="0" fontId="2" fillId="0" borderId="0" xfId="0" applyFont="1" applyBorder="1"/>
    <xf numFmtId="172" fontId="2" fillId="0" borderId="0" xfId="0" applyNumberFormat="1" applyFont="1" applyBorder="1"/>
    <xf numFmtId="173" fontId="1" fillId="0" borderId="0" xfId="0" applyNumberFormat="1" applyFont="1" applyBorder="1"/>
    <xf numFmtId="0" fontId="1" fillId="0" borderId="20" xfId="0" applyFont="1" applyBorder="1" applyProtection="1">
      <protection locked="0"/>
    </xf>
    <xf numFmtId="10" fontId="12" fillId="0" borderId="0" xfId="0" applyNumberFormat="1" applyFont="1" applyBorder="1" applyAlignment="1">
      <alignment horizontal="center"/>
    </xf>
    <xf numFmtId="0" fontId="2" fillId="0" borderId="3" xfId="0" applyFont="1" applyFill="1" applyBorder="1" applyProtection="1">
      <protection locked="0"/>
    </xf>
    <xf numFmtId="165" fontId="1" fillId="0" borderId="15" xfId="0" applyNumberFormat="1" applyFont="1" applyBorder="1"/>
    <xf numFmtId="0" fontId="1" fillId="0" borderId="0" xfId="0" applyFont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/>
    <xf numFmtId="3" fontId="1" fillId="0" borderId="0" xfId="0" applyNumberFormat="1" applyFont="1" applyBorder="1" applyAlignment="1" applyProtection="1">
      <alignment horizontal="center"/>
      <protection locked="0"/>
    </xf>
    <xf numFmtId="176" fontId="1" fillId="0" borderId="0" xfId="0" applyNumberFormat="1" applyFont="1" applyBorder="1" applyAlignment="1">
      <alignment horizontal="right"/>
    </xf>
    <xf numFmtId="0" fontId="2" fillId="0" borderId="16" xfId="0" applyFont="1" applyBorder="1"/>
    <xf numFmtId="0" fontId="2" fillId="0" borderId="2" xfId="0" applyFont="1" applyBorder="1"/>
    <xf numFmtId="172" fontId="2" fillId="0" borderId="2" xfId="0" applyNumberFormat="1" applyFont="1" applyBorder="1"/>
    <xf numFmtId="3" fontId="1" fillId="0" borderId="2" xfId="0" applyNumberFormat="1" applyFont="1" applyBorder="1"/>
    <xf numFmtId="0" fontId="1" fillId="0" borderId="2" xfId="0" applyFont="1" applyBorder="1"/>
    <xf numFmtId="174" fontId="1" fillId="0" borderId="2" xfId="0" applyNumberFormat="1" applyFont="1" applyBorder="1"/>
    <xf numFmtId="165" fontId="1" fillId="0" borderId="17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/>
    <xf numFmtId="172" fontId="1" fillId="0" borderId="0" xfId="0" applyNumberFormat="1" applyFont="1"/>
    <xf numFmtId="165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/>
    <xf numFmtId="172" fontId="1" fillId="0" borderId="13" xfId="0" applyNumberFormat="1" applyFont="1" applyFill="1" applyBorder="1"/>
    <xf numFmtId="0" fontId="26" fillId="0" borderId="0" xfId="0" applyFont="1" applyFill="1"/>
    <xf numFmtId="173" fontId="1" fillId="0" borderId="0" xfId="0" applyNumberFormat="1" applyFont="1" applyAlignment="1">
      <alignment horizontal="left"/>
    </xf>
    <xf numFmtId="173" fontId="1" fillId="0" borderId="0" xfId="0" applyNumberFormat="1" applyFont="1"/>
    <xf numFmtId="17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73" fontId="1" fillId="0" borderId="0" xfId="0" applyNumberFormat="1" applyFont="1" applyAlignment="1">
      <alignment horizontal="centerContinuous"/>
    </xf>
    <xf numFmtId="173" fontId="1" fillId="0" borderId="0" xfId="0" applyNumberFormat="1" applyFont="1" applyBorder="1" applyAlignment="1">
      <alignment horizontal="centerContinuous"/>
    </xf>
    <xf numFmtId="0" fontId="1" fillId="0" borderId="0" xfId="0" applyFont="1" applyAlignment="1"/>
    <xf numFmtId="174" fontId="1" fillId="0" borderId="0" xfId="0" applyNumberFormat="1" applyFont="1" applyAlignment="1"/>
    <xf numFmtId="165" fontId="1" fillId="0" borderId="0" xfId="0" applyNumberFormat="1" applyFont="1" applyAlignment="1"/>
    <xf numFmtId="165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left"/>
    </xf>
    <xf numFmtId="17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3" xfId="0" applyFont="1" applyBorder="1" applyProtection="1">
      <protection locked="0"/>
    </xf>
    <xf numFmtId="3" fontId="1" fillId="0" borderId="3" xfId="0" applyNumberFormat="1" applyFont="1" applyFill="1" applyBorder="1"/>
    <xf numFmtId="165" fontId="1" fillId="0" borderId="0" xfId="0" applyNumberFormat="1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74" fontId="1" fillId="0" borderId="0" xfId="0" applyNumberFormat="1" applyFont="1" applyBorder="1" applyAlignment="1">
      <alignment horizontal="right"/>
    </xf>
    <xf numFmtId="10" fontId="12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2" xfId="0" applyFont="1" applyBorder="1" applyProtection="1">
      <protection locked="0"/>
    </xf>
    <xf numFmtId="172" fontId="1" fillId="0" borderId="2" xfId="0" applyNumberFormat="1" applyFont="1" applyBorder="1"/>
    <xf numFmtId="165" fontId="1" fillId="0" borderId="17" xfId="0" applyNumberFormat="1" applyFont="1" applyBorder="1"/>
    <xf numFmtId="165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8" fontId="1" fillId="0" borderId="0" xfId="0" applyNumberFormat="1" applyFont="1" applyBorder="1"/>
    <xf numFmtId="172" fontId="1" fillId="0" borderId="1" xfId="0" applyNumberFormat="1" applyFont="1" applyBorder="1" applyAlignment="1">
      <alignment horizontal="right"/>
    </xf>
    <xf numFmtId="8" fontId="1" fillId="0" borderId="0" xfId="0" applyNumberFormat="1" applyFont="1" applyBorder="1"/>
    <xf numFmtId="175" fontId="1" fillId="0" borderId="0" xfId="0" applyNumberFormat="1" applyFont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9" fontId="1" fillId="0" borderId="0" xfId="0" applyNumberFormat="1" applyFont="1"/>
    <xf numFmtId="179" fontId="1" fillId="0" borderId="0" xfId="0" applyNumberFormat="1" applyFont="1" applyBorder="1"/>
    <xf numFmtId="179" fontId="1" fillId="0" borderId="0" xfId="0" applyNumberFormat="1" applyFont="1" applyAlignment="1">
      <alignment horizontal="left"/>
    </xf>
    <xf numFmtId="3" fontId="1" fillId="0" borderId="0" xfId="0" applyNumberFormat="1" applyFont="1"/>
    <xf numFmtId="166" fontId="1" fillId="0" borderId="1" xfId="0" applyNumberFormat="1" applyFont="1" applyBorder="1"/>
    <xf numFmtId="179" fontId="1" fillId="0" borderId="1" xfId="0" applyNumberFormat="1" applyFont="1" applyBorder="1"/>
    <xf numFmtId="172" fontId="1" fillId="0" borderId="13" xfId="0" applyNumberFormat="1" applyFont="1" applyBorder="1"/>
    <xf numFmtId="175" fontId="1" fillId="0" borderId="0" xfId="0" applyNumberFormat="1" applyFont="1" applyAlignment="1">
      <alignment horizontal="centerContinuous"/>
    </xf>
    <xf numFmtId="0" fontId="5" fillId="0" borderId="0" xfId="0" applyFont="1" applyBorder="1" applyAlignment="1">
      <alignment horizontal="left"/>
    </xf>
    <xf numFmtId="175" fontId="1" fillId="0" borderId="0" xfId="0" applyNumberFormat="1" applyFont="1" applyBorder="1"/>
    <xf numFmtId="173" fontId="1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175" fontId="1" fillId="0" borderId="2" xfId="0" applyNumberFormat="1" applyFont="1" applyBorder="1" applyAlignment="1">
      <alignment horizontal="center"/>
    </xf>
    <xf numFmtId="173" fontId="1" fillId="0" borderId="21" xfId="0" applyNumberFormat="1" applyFont="1" applyBorder="1" applyAlignment="1">
      <alignment horizontal="right"/>
    </xf>
    <xf numFmtId="175" fontId="1" fillId="0" borderId="3" xfId="0" applyNumberFormat="1" applyFont="1" applyBorder="1"/>
    <xf numFmtId="3" fontId="1" fillId="0" borderId="3" xfId="0" applyNumberFormat="1" applyFont="1" applyFill="1" applyBorder="1" applyProtection="1">
      <protection locked="0"/>
    </xf>
    <xf numFmtId="174" fontId="1" fillId="0" borderId="3" xfId="0" applyNumberFormat="1" applyFont="1" applyFill="1" applyBorder="1"/>
    <xf numFmtId="174" fontId="1" fillId="0" borderId="3" xfId="0" applyNumberFormat="1" applyFont="1" applyBorder="1" applyAlignment="1">
      <alignment horizontal="right"/>
    </xf>
    <xf numFmtId="10" fontId="1" fillId="0" borderId="0" xfId="0" applyNumberFormat="1" applyFont="1" applyBorder="1" applyAlignment="1">
      <alignment horizontal="center"/>
    </xf>
    <xf numFmtId="7" fontId="1" fillId="0" borderId="0" xfId="0" applyNumberFormat="1" applyFont="1"/>
    <xf numFmtId="17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5" fontId="1" fillId="0" borderId="2" xfId="0" applyNumberFormat="1" applyFont="1" applyBorder="1"/>
    <xf numFmtId="174" fontId="1" fillId="0" borderId="2" xfId="0" applyNumberFormat="1" applyFont="1" applyBorder="1" applyAlignment="1">
      <alignment horizontal="right"/>
    </xf>
    <xf numFmtId="172" fontId="1" fillId="0" borderId="3" xfId="0" applyNumberFormat="1" applyFont="1" applyFill="1" applyBorder="1"/>
    <xf numFmtId="174" fontId="1" fillId="0" borderId="3" xfId="0" applyNumberFormat="1" applyFont="1" applyFill="1" applyBorder="1" applyAlignment="1">
      <alignment horizontal="right"/>
    </xf>
    <xf numFmtId="172" fontId="1" fillId="0" borderId="3" xfId="0" applyNumberFormat="1" applyFont="1" applyFill="1" applyBorder="1" applyAlignment="1">
      <alignment horizontal="right"/>
    </xf>
    <xf numFmtId="174" fontId="3" fillId="0" borderId="0" xfId="0" applyNumberFormat="1" applyFont="1" applyBorder="1" applyAlignment="1">
      <alignment horizontal="right"/>
    </xf>
    <xf numFmtId="175" fontId="1" fillId="0" borderId="0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72" fontId="7" fillId="0" borderId="1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Protection="1">
      <protection locked="0"/>
    </xf>
    <xf numFmtId="165" fontId="1" fillId="0" borderId="15" xfId="0" applyNumberFormat="1" applyFont="1" applyFill="1" applyBorder="1" applyAlignment="1">
      <alignment horizontal="right"/>
    </xf>
    <xf numFmtId="5" fontId="1" fillId="0" borderId="0" xfId="0" applyNumberFormat="1" applyFont="1" applyBorder="1"/>
    <xf numFmtId="5" fontId="1" fillId="0" borderId="1" xfId="0" applyNumberFormat="1" applyFont="1" applyBorder="1"/>
    <xf numFmtId="5" fontId="1" fillId="0" borderId="0" xfId="0" applyNumberFormat="1" applyFont="1"/>
    <xf numFmtId="41" fontId="1" fillId="0" borderId="0" xfId="0" applyNumberFormat="1" applyFont="1"/>
    <xf numFmtId="42" fontId="1" fillId="0" borderId="0" xfId="0" applyNumberFormat="1" applyFont="1"/>
    <xf numFmtId="42" fontId="7" fillId="0" borderId="0" xfId="0" applyNumberFormat="1" applyFont="1"/>
    <xf numFmtId="175" fontId="1" fillId="0" borderId="0" xfId="0" applyNumberFormat="1" applyFont="1"/>
    <xf numFmtId="0" fontId="8" fillId="0" borderId="22" xfId="0" applyFont="1" applyBorder="1"/>
    <xf numFmtId="0" fontId="1" fillId="0" borderId="23" xfId="0" applyFont="1" applyBorder="1"/>
    <xf numFmtId="164" fontId="1" fillId="0" borderId="23" xfId="0" applyNumberFormat="1" applyFont="1" applyFill="1" applyBorder="1"/>
    <xf numFmtId="172" fontId="1" fillId="0" borderId="24" xfId="0" applyNumberFormat="1" applyFont="1" applyBorder="1"/>
    <xf numFmtId="0" fontId="8" fillId="0" borderId="25" xfId="0" applyFont="1" applyBorder="1"/>
    <xf numFmtId="0" fontId="1" fillId="0" borderId="26" xfId="0" applyFont="1" applyBorder="1"/>
    <xf numFmtId="164" fontId="1" fillId="0" borderId="26" xfId="0" applyNumberFormat="1" applyFont="1" applyFill="1" applyBorder="1"/>
    <xf numFmtId="172" fontId="1" fillId="0" borderId="27" xfId="0" applyNumberFormat="1" applyFont="1" applyBorder="1"/>
    <xf numFmtId="173" fontId="1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Continuous"/>
    </xf>
    <xf numFmtId="0" fontId="28" fillId="0" borderId="0" xfId="0" applyFont="1" applyFill="1"/>
    <xf numFmtId="0" fontId="2" fillId="0" borderId="14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74" fontId="2" fillId="0" borderId="1" xfId="0" applyNumberFormat="1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74" fontId="2" fillId="0" borderId="2" xfId="0" applyNumberFormat="1" applyFont="1" applyFill="1" applyBorder="1" applyAlignment="1">
      <alignment horizontal="center" wrapText="1"/>
    </xf>
    <xf numFmtId="174" fontId="27" fillId="0" borderId="2" xfId="0" applyNumberFormat="1" applyFont="1" applyFill="1" applyBorder="1" applyAlignment="1">
      <alignment horizontal="center" wrapText="1"/>
    </xf>
    <xf numFmtId="174" fontId="2" fillId="0" borderId="2" xfId="0" applyNumberFormat="1" applyFont="1" applyFill="1" applyBorder="1" applyAlignment="1">
      <alignment horizontal="center" vertical="center" wrapText="1"/>
    </xf>
    <xf numFmtId="174" fontId="2" fillId="0" borderId="2" xfId="0" applyNumberFormat="1" applyFont="1" applyFill="1" applyBorder="1" applyAlignment="1">
      <alignment horizontal="center"/>
    </xf>
    <xf numFmtId="174" fontId="26" fillId="0" borderId="2" xfId="0" applyNumberFormat="1" applyFont="1" applyFill="1" applyBorder="1" applyAlignment="1">
      <alignment horizontal="center" wrapText="1"/>
    </xf>
    <xf numFmtId="174" fontId="2" fillId="0" borderId="17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174" fontId="1" fillId="0" borderId="2" xfId="0" applyNumberFormat="1" applyFont="1" applyFill="1" applyBorder="1" applyAlignment="1">
      <alignment horizontal="center" wrapText="1"/>
    </xf>
    <xf numFmtId="174" fontId="28" fillId="0" borderId="2" xfId="0" applyNumberFormat="1" applyFont="1" applyFill="1" applyBorder="1" applyAlignment="1">
      <alignment horizontal="center" wrapText="1"/>
    </xf>
    <xf numFmtId="174" fontId="1" fillId="0" borderId="17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27" fillId="0" borderId="1" xfId="0" applyFont="1" applyFill="1" applyBorder="1"/>
    <xf numFmtId="3" fontId="28" fillId="0" borderId="1" xfId="0" applyNumberFormat="1" applyFont="1" applyFill="1" applyBorder="1"/>
    <xf numFmtId="172" fontId="26" fillId="0" borderId="1" xfId="0" applyNumberFormat="1" applyFont="1" applyFill="1" applyBorder="1"/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1" fillId="0" borderId="19" xfId="0" applyNumberFormat="1" applyFont="1" applyFill="1" applyBorder="1"/>
    <xf numFmtId="0" fontId="28" fillId="0" borderId="0" xfId="0" applyFont="1" applyFill="1" applyBorder="1"/>
    <xf numFmtId="175" fontId="26" fillId="0" borderId="0" xfId="0" applyNumberFormat="1" applyFont="1" applyFill="1" applyBorder="1"/>
    <xf numFmtId="175" fontId="1" fillId="0" borderId="21" xfId="0" applyNumberFormat="1" applyFont="1" applyFill="1" applyBorder="1"/>
    <xf numFmtId="0" fontId="28" fillId="0" borderId="2" xfId="0" applyFont="1" applyFill="1" applyBorder="1"/>
    <xf numFmtId="0" fontId="1" fillId="0" borderId="2" xfId="0" applyFont="1" applyFill="1" applyBorder="1" applyAlignment="1">
      <alignment horizontal="right"/>
    </xf>
    <xf numFmtId="172" fontId="28" fillId="0" borderId="2" xfId="0" applyNumberFormat="1" applyFont="1" applyFill="1" applyBorder="1"/>
    <xf numFmtId="176" fontId="1" fillId="0" borderId="2" xfId="0" applyNumberFormat="1" applyFont="1" applyFill="1" applyBorder="1"/>
    <xf numFmtId="174" fontId="1" fillId="0" borderId="17" xfId="0" applyNumberFormat="1" applyFont="1" applyFill="1" applyBorder="1"/>
    <xf numFmtId="176" fontId="1" fillId="0" borderId="0" xfId="0" applyNumberFormat="1" applyFont="1" applyFill="1" applyBorder="1"/>
    <xf numFmtId="174" fontId="1" fillId="0" borderId="21" xfId="0" applyNumberFormat="1" applyFont="1" applyFill="1" applyBorder="1"/>
    <xf numFmtId="0" fontId="2" fillId="0" borderId="14" xfId="0" applyFont="1" applyFill="1" applyBorder="1" applyProtection="1">
      <protection locked="0"/>
    </xf>
    <xf numFmtId="0" fontId="28" fillId="0" borderId="1" xfId="0" applyFont="1" applyFill="1" applyBorder="1"/>
    <xf numFmtId="172" fontId="1" fillId="0" borderId="21" xfId="0" applyNumberFormat="1" applyFont="1" applyFill="1" applyBorder="1"/>
    <xf numFmtId="174" fontId="28" fillId="0" borderId="0" xfId="0" applyNumberFormat="1" applyFont="1" applyFill="1" applyBorder="1"/>
    <xf numFmtId="172" fontId="28" fillId="0" borderId="0" xfId="0" applyNumberFormat="1" applyFont="1" applyFill="1" applyBorder="1"/>
    <xf numFmtId="175" fontId="28" fillId="0" borderId="0" xfId="0" applyNumberFormat="1" applyFont="1" applyFill="1" applyBorder="1"/>
    <xf numFmtId="172" fontId="28" fillId="0" borderId="1" xfId="0" applyNumberFormat="1" applyFont="1" applyFill="1" applyBorder="1"/>
    <xf numFmtId="172" fontId="26" fillId="0" borderId="2" xfId="0" applyNumberFormat="1" applyFont="1" applyFill="1" applyBorder="1"/>
    <xf numFmtId="172" fontId="2" fillId="0" borderId="1" xfId="0" applyNumberFormat="1" applyFont="1" applyFill="1" applyBorder="1"/>
    <xf numFmtId="172" fontId="2" fillId="0" borderId="19" xfId="0" applyNumberFormat="1" applyFont="1" applyFill="1" applyBorder="1"/>
    <xf numFmtId="177" fontId="28" fillId="0" borderId="2" xfId="0" applyNumberFormat="1" applyFont="1" applyFill="1" applyBorder="1"/>
    <xf numFmtId="177" fontId="1" fillId="0" borderId="2" xfId="0" applyNumberFormat="1" applyFont="1" applyFill="1" applyBorder="1"/>
    <xf numFmtId="172" fontId="1" fillId="0" borderId="17" xfId="0" applyNumberFormat="1" applyFont="1" applyFill="1" applyBorder="1"/>
    <xf numFmtId="0" fontId="27" fillId="0" borderId="3" xfId="0" applyFont="1" applyFill="1" applyBorder="1" applyProtection="1">
      <protection locked="0"/>
    </xf>
    <xf numFmtId="0" fontId="28" fillId="0" borderId="3" xfId="0" applyFont="1" applyFill="1" applyBorder="1"/>
    <xf numFmtId="0" fontId="1" fillId="0" borderId="15" xfId="0" applyFont="1" applyFill="1" applyBorder="1"/>
    <xf numFmtId="0" fontId="27" fillId="0" borderId="0" xfId="0" applyFont="1" applyFill="1" applyBorder="1"/>
    <xf numFmtId="172" fontId="26" fillId="0" borderId="0" xfId="0" applyNumberFormat="1" applyFont="1" applyFill="1"/>
    <xf numFmtId="0" fontId="28" fillId="0" borderId="0" xfId="0" applyFont="1" applyFill="1" applyBorder="1" applyProtection="1">
      <protection locked="0"/>
    </xf>
    <xf numFmtId="3" fontId="28" fillId="0" borderId="0" xfId="0" applyNumberFormat="1" applyFont="1" applyFill="1" applyBorder="1"/>
    <xf numFmtId="0" fontId="27" fillId="0" borderId="2" xfId="0" applyFont="1" applyFill="1" applyBorder="1"/>
    <xf numFmtId="0" fontId="1" fillId="0" borderId="18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17" xfId="0" applyFont="1" applyFill="1" applyBorder="1"/>
    <xf numFmtId="172" fontId="2" fillId="0" borderId="21" xfId="0" applyNumberFormat="1" applyFont="1" applyFill="1" applyBorder="1"/>
    <xf numFmtId="172" fontId="28" fillId="0" borderId="1" xfId="0" applyNumberFormat="1" applyFont="1" applyFill="1" applyBorder="1" applyAlignment="1">
      <alignment horizontal="right"/>
    </xf>
    <xf numFmtId="175" fontId="1" fillId="0" borderId="3" xfId="0" applyNumberFormat="1" applyFont="1" applyFill="1" applyBorder="1"/>
    <xf numFmtId="172" fontId="28" fillId="0" borderId="0" xfId="0" applyNumberFormat="1" applyFont="1" applyFill="1" applyBorder="1" applyAlignment="1">
      <alignment horizontal="right"/>
    </xf>
    <xf numFmtId="3" fontId="28" fillId="0" borderId="2" xfId="0" applyNumberFormat="1" applyFont="1" applyFill="1" applyBorder="1"/>
    <xf numFmtId="0" fontId="2" fillId="0" borderId="20" xfId="0" applyFont="1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172" fontId="2" fillId="0" borderId="21" xfId="0" applyNumberFormat="1" applyFont="1" applyFill="1" applyBorder="1" applyAlignment="1">
      <alignment horizontal="right"/>
    </xf>
    <xf numFmtId="174" fontId="8" fillId="0" borderId="0" xfId="0" applyNumberFormat="1" applyFont="1" applyFill="1" applyBorder="1" applyAlignment="1">
      <alignment horizontal="right"/>
    </xf>
    <xf numFmtId="181" fontId="8" fillId="0" borderId="0" xfId="0" applyNumberFormat="1" applyFont="1" applyFill="1"/>
    <xf numFmtId="181" fontId="26" fillId="0" borderId="0" xfId="0" applyNumberFormat="1" applyFont="1" applyFill="1"/>
    <xf numFmtId="172" fontId="26" fillId="0" borderId="0" xfId="0" applyNumberFormat="1" applyFont="1" applyFill="1" applyBorder="1" applyAlignment="1">
      <alignment horizontal="right"/>
    </xf>
    <xf numFmtId="181" fontId="6" fillId="0" borderId="0" xfId="0" applyNumberFormat="1" applyFont="1" applyFill="1"/>
    <xf numFmtId="0" fontId="2" fillId="0" borderId="18" xfId="0" applyFont="1" applyFill="1" applyBorder="1"/>
    <xf numFmtId="0" fontId="27" fillId="0" borderId="3" xfId="0" applyFont="1" applyFill="1" applyBorder="1"/>
    <xf numFmtId="172" fontId="28" fillId="0" borderId="3" xfId="0" applyNumberFormat="1" applyFont="1" applyFill="1" applyBorder="1"/>
    <xf numFmtId="172" fontId="26" fillId="0" borderId="3" xfId="0" applyNumberFormat="1" applyFont="1" applyFill="1" applyBorder="1"/>
    <xf numFmtId="0" fontId="27" fillId="0" borderId="0" xfId="0" applyFont="1" applyFill="1"/>
    <xf numFmtId="166" fontId="28" fillId="0" borderId="0" xfId="0" applyNumberFormat="1" applyFont="1" applyFill="1" applyBorder="1"/>
    <xf numFmtId="174" fontId="28" fillId="0" borderId="0" xfId="0" applyNumberFormat="1" applyFont="1" applyFill="1"/>
    <xf numFmtId="164" fontId="28" fillId="0" borderId="0" xfId="0" applyNumberFormat="1" applyFont="1" applyFill="1" applyBorder="1"/>
    <xf numFmtId="166" fontId="28" fillId="0" borderId="1" xfId="0" applyNumberFormat="1" applyFont="1" applyFill="1" applyBorder="1"/>
    <xf numFmtId="164" fontId="28" fillId="0" borderId="1" xfId="0" applyNumberFormat="1" applyFont="1" applyFill="1" applyBorder="1"/>
    <xf numFmtId="166" fontId="28" fillId="0" borderId="0" xfId="0" applyNumberFormat="1" applyFont="1" applyFill="1"/>
    <xf numFmtId="164" fontId="28" fillId="0" borderId="0" xfId="0" applyNumberFormat="1" applyFont="1" applyFill="1"/>
    <xf numFmtId="164" fontId="27" fillId="0" borderId="0" xfId="0" applyNumberFormat="1" applyFont="1" applyFill="1"/>
    <xf numFmtId="164" fontId="29" fillId="0" borderId="0" xfId="0" applyNumberFormat="1" applyFont="1" applyFill="1"/>
    <xf numFmtId="164" fontId="30" fillId="0" borderId="0" xfId="0" applyNumberFormat="1" applyFont="1" applyFill="1"/>
    <xf numFmtId="164" fontId="30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/>
    <xf numFmtId="3" fontId="6" fillId="0" borderId="2" xfId="0" applyNumberFormat="1" applyFont="1" applyFill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quotePrefix="1" applyFont="1" applyFill="1" applyAlignment="1">
      <alignment vertical="top"/>
    </xf>
    <xf numFmtId="0" fontId="6" fillId="0" borderId="0" xfId="0" applyFont="1" applyFill="1"/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 applyBorder="1"/>
    <xf numFmtId="0" fontId="2" fillId="0" borderId="0" xfId="0" applyFont="1" applyFill="1" applyAlignment="1"/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74" fontId="2" fillId="2" borderId="2" xfId="0" applyNumberFormat="1" applyFont="1" applyFill="1" applyBorder="1" applyAlignment="1">
      <alignment horizontal="center"/>
    </xf>
    <xf numFmtId="174" fontId="1" fillId="2" borderId="2" xfId="0" applyNumberFormat="1" applyFont="1" applyFill="1" applyBorder="1" applyAlignment="1">
      <alignment horizontal="center"/>
    </xf>
    <xf numFmtId="172" fontId="1" fillId="2" borderId="1" xfId="0" applyNumberFormat="1" applyFont="1" applyFill="1" applyBorder="1"/>
    <xf numFmtId="175" fontId="1" fillId="2" borderId="0" xfId="0" applyNumberFormat="1" applyFont="1" applyFill="1" applyBorder="1"/>
    <xf numFmtId="176" fontId="1" fillId="2" borderId="2" xfId="0" applyNumberFormat="1" applyFont="1" applyFill="1" applyBorder="1"/>
    <xf numFmtId="176" fontId="1" fillId="2" borderId="0" xfId="0" applyNumberFormat="1" applyFont="1" applyFill="1" applyBorder="1"/>
    <xf numFmtId="172" fontId="1" fillId="2" borderId="0" xfId="0" applyNumberFormat="1" applyFont="1" applyFill="1" applyBorder="1"/>
    <xf numFmtId="174" fontId="1" fillId="2" borderId="0" xfId="0" applyNumberFormat="1" applyFont="1" applyFill="1"/>
    <xf numFmtId="172" fontId="1" fillId="2" borderId="2" xfId="0" applyNumberFormat="1" applyFont="1" applyFill="1" applyBorder="1"/>
    <xf numFmtId="172" fontId="1" fillId="2" borderId="0" xfId="0" applyNumberFormat="1" applyFont="1" applyFill="1"/>
    <xf numFmtId="172" fontId="2" fillId="2" borderId="1" xfId="0" applyNumberFormat="1" applyFont="1" applyFill="1" applyBorder="1"/>
    <xf numFmtId="0" fontId="1" fillId="2" borderId="3" xfId="0" applyFont="1" applyFill="1" applyBorder="1"/>
    <xf numFmtId="174" fontId="1" fillId="2" borderId="2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2" xfId="0" applyFont="1" applyFill="1" applyBorder="1"/>
    <xf numFmtId="172" fontId="2" fillId="2" borderId="0" xfId="0" applyNumberFormat="1" applyFont="1" applyFill="1" applyBorder="1"/>
    <xf numFmtId="172" fontId="1" fillId="2" borderId="0" xfId="0" applyNumberFormat="1" applyFont="1" applyFill="1" applyBorder="1" applyAlignment="1">
      <alignment horizontal="right"/>
    </xf>
    <xf numFmtId="10" fontId="8" fillId="2" borderId="0" xfId="0" applyNumberFormat="1" applyFont="1" applyFill="1"/>
    <xf numFmtId="10" fontId="26" fillId="0" borderId="0" xfId="0" applyNumberFormat="1" applyFont="1" applyFill="1"/>
    <xf numFmtId="10" fontId="8" fillId="2" borderId="2" xfId="0" applyNumberFormat="1" applyFont="1" applyFill="1" applyBorder="1"/>
    <xf numFmtId="10" fontId="26" fillId="0" borderId="2" xfId="0" applyNumberFormat="1" applyFont="1" applyFill="1" applyBorder="1"/>
    <xf numFmtId="181" fontId="8" fillId="2" borderId="0" xfId="0" applyNumberFormat="1" applyFont="1" applyFill="1"/>
    <xf numFmtId="172" fontId="1" fillId="2" borderId="3" xfId="0" applyNumberFormat="1" applyFont="1" applyFill="1" applyBorder="1"/>
    <xf numFmtId="168" fontId="6" fillId="0" borderId="0" xfId="0" applyNumberFormat="1" applyFont="1" applyFill="1"/>
    <xf numFmtId="185" fontId="1" fillId="0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Fill="1" applyAlignment="1">
      <alignment horizontal="right"/>
    </xf>
    <xf numFmtId="9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3" fontId="6" fillId="0" borderId="0" xfId="0" applyNumberFormat="1" applyFont="1" applyFill="1" applyBorder="1"/>
    <xf numFmtId="166" fontId="38" fillId="0" borderId="0" xfId="0" applyNumberFormat="1" applyFont="1" applyFill="1"/>
    <xf numFmtId="0" fontId="38" fillId="0" borderId="0" xfId="0" applyFont="1" applyFill="1"/>
    <xf numFmtId="0" fontId="39" fillId="0" borderId="0" xfId="0" applyFont="1" applyFill="1"/>
    <xf numFmtId="3" fontId="23" fillId="0" borderId="0" xfId="0" applyNumberFormat="1" applyFont="1" applyFill="1" applyBorder="1"/>
    <xf numFmtId="14" fontId="1" fillId="0" borderId="0" xfId="0" applyNumberFormat="1" applyFont="1" applyFill="1"/>
    <xf numFmtId="0" fontId="0" fillId="0" borderId="0" xfId="0" applyFont="1" applyBorder="1" applyAlignment="1">
      <alignment horizontal="right"/>
    </xf>
    <xf numFmtId="186" fontId="3" fillId="0" borderId="0" xfId="0" applyNumberFormat="1" applyFont="1" applyFill="1"/>
    <xf numFmtId="187" fontId="3" fillId="0" borderId="0" xfId="0" applyNumberFormat="1" applyFont="1" applyFill="1"/>
    <xf numFmtId="188" fontId="3" fillId="0" borderId="0" xfId="0" applyNumberFormat="1" applyFont="1" applyFill="1"/>
    <xf numFmtId="186" fontId="3" fillId="0" borderId="0" xfId="0" applyNumberFormat="1" applyFont="1" applyFill="1" applyBorder="1"/>
    <xf numFmtId="189" fontId="3" fillId="0" borderId="0" xfId="0" applyNumberFormat="1" applyFont="1" applyFill="1" applyBorder="1"/>
    <xf numFmtId="187" fontId="3" fillId="0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 applyAlignment="1">
      <alignment horizontal="left"/>
    </xf>
    <xf numFmtId="3" fontId="33" fillId="0" borderId="0" xfId="0" applyNumberFormat="1" applyFont="1" applyFill="1" applyBorder="1"/>
    <xf numFmtId="3" fontId="1" fillId="0" borderId="0" xfId="0" applyNumberFormat="1" applyFont="1" applyFill="1" applyAlignment="1"/>
    <xf numFmtId="0" fontId="3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 applyAlignment="1">
      <alignment horizontal="centerContinuous"/>
    </xf>
    <xf numFmtId="0" fontId="32" fillId="0" borderId="0" xfId="0" applyFont="1" applyBorder="1"/>
    <xf numFmtId="0" fontId="32" fillId="0" borderId="0" xfId="0" applyFont="1"/>
    <xf numFmtId="0" fontId="31" fillId="0" borderId="0" xfId="0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left" vertical="top"/>
    </xf>
    <xf numFmtId="0" fontId="32" fillId="0" borderId="28" xfId="0" applyFont="1" applyFill="1" applyBorder="1" applyAlignment="1">
      <alignment horizontal="centerContinuous"/>
    </xf>
    <xf numFmtId="0" fontId="32" fillId="0" borderId="28" xfId="0" applyFont="1" applyFill="1" applyBorder="1"/>
    <xf numFmtId="0" fontId="32" fillId="0" borderId="0" xfId="0" applyFont="1" applyFill="1"/>
    <xf numFmtId="0" fontId="2" fillId="0" borderId="29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42" fontId="1" fillId="0" borderId="34" xfId="0" applyNumberFormat="1" applyFont="1" applyFill="1" applyBorder="1" applyAlignment="1"/>
    <xf numFmtId="0" fontId="1" fillId="0" borderId="35" xfId="0" applyFont="1" applyFill="1" applyBorder="1" applyAlignment="1">
      <alignment horizontal="left"/>
    </xf>
    <xf numFmtId="0" fontId="1" fillId="0" borderId="0" xfId="0" applyFont="1" applyFill="1" applyBorder="1"/>
    <xf numFmtId="9" fontId="1" fillId="0" borderId="0" xfId="0" applyNumberFormat="1" applyFont="1" applyFill="1" applyBorder="1"/>
    <xf numFmtId="164" fontId="1" fillId="0" borderId="34" xfId="0" applyNumberFormat="1" applyFont="1" applyFill="1" applyBorder="1" applyAlignment="1"/>
    <xf numFmtId="0" fontId="33" fillId="0" borderId="0" xfId="0" applyFont="1" applyFill="1"/>
    <xf numFmtId="0" fontId="6" fillId="0" borderId="0" xfId="0" applyFont="1" applyFill="1"/>
    <xf numFmtId="171" fontId="1" fillId="0" borderId="0" xfId="0" applyNumberFormat="1" applyFont="1" applyFill="1" applyBorder="1"/>
    <xf numFmtId="171" fontId="1" fillId="0" borderId="36" xfId="0" applyNumberFormat="1" applyFont="1" applyFill="1" applyBorder="1"/>
    <xf numFmtId="165" fontId="37" fillId="0" borderId="34" xfId="0" applyNumberFormat="1" applyFont="1" applyFill="1" applyBorder="1" applyAlignment="1"/>
    <xf numFmtId="164" fontId="1" fillId="0" borderId="34" xfId="0" applyNumberFormat="1" applyFont="1" applyFill="1" applyBorder="1" applyAlignment="1">
      <alignment horizontal="center"/>
    </xf>
    <xf numFmtId="41" fontId="1" fillId="0" borderId="34" xfId="0" applyNumberFormat="1" applyFont="1" applyFill="1" applyBorder="1" applyAlignment="1"/>
    <xf numFmtId="0" fontId="1" fillId="0" borderId="35" xfId="0" applyFont="1" applyFill="1" applyBorder="1"/>
    <xf numFmtId="0" fontId="1" fillId="0" borderId="36" xfId="0" applyFont="1" applyFill="1" applyBorder="1" applyAlignment="1">
      <alignment horizontal="left"/>
    </xf>
    <xf numFmtId="41" fontId="1" fillId="0" borderId="38" xfId="0" applyNumberFormat="1" applyFont="1" applyFill="1" applyBorder="1" applyAlignment="1"/>
    <xf numFmtId="42" fontId="1" fillId="0" borderId="39" xfId="0" applyNumberFormat="1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164" fontId="1" fillId="0" borderId="34" xfId="0" applyNumberFormat="1" applyFont="1" applyFill="1" applyBorder="1"/>
    <xf numFmtId="0" fontId="35" fillId="0" borderId="35" xfId="0" applyFont="1" applyFill="1" applyBorder="1"/>
    <xf numFmtId="182" fontId="1" fillId="0" borderId="34" xfId="0" applyNumberFormat="1" applyFont="1" applyFill="1" applyBorder="1"/>
    <xf numFmtId="183" fontId="1" fillId="0" borderId="34" xfId="0" applyNumberFormat="1" applyFont="1" applyFill="1" applyBorder="1"/>
    <xf numFmtId="182" fontId="1" fillId="0" borderId="38" xfId="0" applyNumberFormat="1" applyFont="1" applyFill="1" applyBorder="1"/>
    <xf numFmtId="184" fontId="1" fillId="0" borderId="38" xfId="0" applyNumberFormat="1" applyFont="1" applyFill="1" applyBorder="1"/>
    <xf numFmtId="0" fontId="1" fillId="0" borderId="0" xfId="0" applyFont="1" applyFill="1" applyBorder="1" applyAlignment="1">
      <alignment horizontal="center"/>
    </xf>
    <xf numFmtId="9" fontId="1" fillId="0" borderId="34" xfId="0" applyNumberFormat="1" applyFont="1" applyFill="1" applyBorder="1" applyAlignment="1">
      <alignment horizontal="center"/>
    </xf>
    <xf numFmtId="0" fontId="1" fillId="0" borderId="0" xfId="0" applyFont="1" applyFill="1" applyBorder="1"/>
    <xf numFmtId="37" fontId="8" fillId="0" borderId="0" xfId="0" applyNumberFormat="1" applyFont="1" applyFill="1" applyBorder="1"/>
    <xf numFmtId="42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2" fontId="2" fillId="0" borderId="0" xfId="0" applyNumberFormat="1" applyFont="1" applyFill="1" applyBorder="1"/>
    <xf numFmtId="43" fontId="1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36" fillId="0" borderId="0" xfId="0" applyFo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182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1" fontId="1" fillId="0" borderId="0" xfId="0" applyNumberFormat="1" applyFont="1" applyFill="1" applyBorder="1"/>
    <xf numFmtId="41" fontId="1" fillId="0" borderId="0" xfId="0" applyNumberFormat="1" applyFont="1" applyFill="1" applyBorder="1" applyAlignment="1">
      <alignment vertical="top"/>
    </xf>
    <xf numFmtId="0" fontId="1" fillId="0" borderId="0" xfId="0" applyFont="1" applyBorder="1"/>
    <xf numFmtId="0" fontId="34" fillId="0" borderId="0" xfId="0" quotePrefix="1" applyFont="1" applyFill="1" applyBorder="1"/>
    <xf numFmtId="44" fontId="1" fillId="0" borderId="0" xfId="0" applyNumberFormat="1" applyFont="1" applyFill="1" applyBorder="1"/>
    <xf numFmtId="44" fontId="1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/>
    <xf numFmtId="44" fontId="1" fillId="0" borderId="0" xfId="0" applyNumberFormat="1" applyFont="1"/>
    <xf numFmtId="0" fontId="1" fillId="0" borderId="2" xfId="0" applyFont="1" applyFill="1" applyBorder="1" applyAlignment="1">
      <alignment horizontal="center"/>
    </xf>
    <xf numFmtId="165" fontId="15" fillId="0" borderId="2" xfId="0" applyNumberFormat="1" applyFont="1" applyBorder="1"/>
    <xf numFmtId="0" fontId="15" fillId="0" borderId="2" xfId="0" applyFont="1" applyBorder="1"/>
    <xf numFmtId="0" fontId="16" fillId="0" borderId="2" xfId="0" applyFont="1" applyFill="1" applyBorder="1" applyAlignment="1">
      <alignment horizontal="center"/>
    </xf>
    <xf numFmtId="3" fontId="19" fillId="0" borderId="0" xfId="0" applyNumberFormat="1" applyFont="1"/>
    <xf numFmtId="0" fontId="43" fillId="0" borderId="0" xfId="0" applyFont="1"/>
    <xf numFmtId="168" fontId="0" fillId="0" borderId="0" xfId="1" applyNumberFormat="1" applyFont="1"/>
    <xf numFmtId="44" fontId="0" fillId="0" borderId="0" xfId="1" applyFont="1"/>
    <xf numFmtId="44" fontId="0" fillId="0" borderId="0" xfId="0" applyNumberFormat="1"/>
    <xf numFmtId="10" fontId="0" fillId="0" borderId="0" xfId="2" applyNumberFormat="1" applyFont="1"/>
    <xf numFmtId="3" fontId="19" fillId="0" borderId="0" xfId="0" applyNumberFormat="1" applyFont="1" applyFill="1"/>
    <xf numFmtId="3" fontId="19" fillId="0" borderId="0" xfId="0" quotePrefix="1" applyNumberFormat="1" applyFont="1" applyFill="1"/>
    <xf numFmtId="3" fontId="44" fillId="0" borderId="0" xfId="0" applyNumberFormat="1" applyFont="1"/>
    <xf numFmtId="3" fontId="44" fillId="0" borderId="0" xfId="0" applyNumberFormat="1" applyFont="1" applyFill="1"/>
    <xf numFmtId="0" fontId="15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5" fillId="0" borderId="0" xfId="0" applyFont="1" applyFill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23" fillId="0" borderId="0" xfId="0" applyFont="1"/>
    <xf numFmtId="190" fontId="15" fillId="0" borderId="0" xfId="0" applyNumberFormat="1" applyFont="1"/>
    <xf numFmtId="0" fontId="23" fillId="0" borderId="0" xfId="0" applyFont="1" applyBorder="1"/>
    <xf numFmtId="44" fontId="19" fillId="0" borderId="0" xfId="0" applyNumberFormat="1" applyFont="1" applyFill="1"/>
    <xf numFmtId="44" fontId="23" fillId="0" borderId="0" xfId="0" applyNumberFormat="1" applyFont="1" applyBorder="1"/>
    <xf numFmtId="44" fontId="15" fillId="0" borderId="0" xfId="0" applyNumberFormat="1" applyFont="1"/>
    <xf numFmtId="44" fontId="15" fillId="0" borderId="1" xfId="0" applyNumberFormat="1" applyFont="1" applyFill="1" applyBorder="1"/>
    <xf numFmtId="44" fontId="15" fillId="0" borderId="1" xfId="0" applyNumberFormat="1" applyFont="1" applyBorder="1"/>
    <xf numFmtId="44" fontId="15" fillId="0" borderId="0" xfId="0" applyNumberFormat="1" applyFont="1" applyFill="1" applyBorder="1"/>
    <xf numFmtId="44" fontId="15" fillId="0" borderId="0" xfId="0" applyNumberFormat="1" applyFont="1" applyBorder="1"/>
    <xf numFmtId="44" fontId="0" fillId="0" borderId="0" xfId="0" applyNumberFormat="1" applyFont="1"/>
    <xf numFmtId="44" fontId="23" fillId="0" borderId="0" xfId="0" applyNumberFormat="1" applyFont="1" applyFill="1"/>
    <xf numFmtId="167" fontId="19" fillId="0" borderId="0" xfId="0" applyNumberFormat="1" applyFont="1" applyFill="1"/>
    <xf numFmtId="167" fontId="23" fillId="0" borderId="0" xfId="0" applyNumberFormat="1" applyFont="1" applyBorder="1"/>
    <xf numFmtId="167" fontId="15" fillId="0" borderId="0" xfId="0" applyNumberFormat="1" applyFont="1"/>
    <xf numFmtId="167" fontId="0" fillId="0" borderId="0" xfId="0" applyNumberFormat="1" applyFont="1" applyFill="1"/>
    <xf numFmtId="167" fontId="19" fillId="0" borderId="0" xfId="0" applyNumberFormat="1" applyFont="1"/>
    <xf numFmtId="167" fontId="0" fillId="0" borderId="0" xfId="0" applyNumberFormat="1" applyFont="1"/>
    <xf numFmtId="167" fontId="15" fillId="0" borderId="1" xfId="0" applyNumberFormat="1" applyFont="1" applyFill="1" applyBorder="1"/>
    <xf numFmtId="167" fontId="15" fillId="0" borderId="1" xfId="0" applyNumberFormat="1" applyFont="1" applyBorder="1"/>
    <xf numFmtId="190" fontId="15" fillId="0" borderId="1" xfId="0" applyNumberFormat="1" applyFont="1" applyBorder="1"/>
    <xf numFmtId="167" fontId="15" fillId="0" borderId="0" xfId="0" applyNumberFormat="1" applyFont="1" applyBorder="1"/>
    <xf numFmtId="165" fontId="15" fillId="0" borderId="0" xfId="0" applyNumberFormat="1" applyFont="1" applyBorder="1"/>
    <xf numFmtId="10" fontId="15" fillId="0" borderId="0" xfId="0" applyNumberFormat="1" applyFont="1"/>
    <xf numFmtId="0" fontId="15" fillId="0" borderId="0" xfId="0" applyFont="1" applyFill="1" applyAlignment="1"/>
    <xf numFmtId="0" fontId="15" fillId="0" borderId="0" xfId="0" applyFont="1" applyAlignment="1"/>
    <xf numFmtId="44" fontId="16" fillId="0" borderId="0" xfId="0" applyNumberFormat="1" applyFont="1" applyFill="1"/>
    <xf numFmtId="167" fontId="16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5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4" fontId="1" fillId="0" borderId="3" xfId="0" applyNumberFormat="1" applyFont="1" applyBorder="1" applyAlignment="1">
      <alignment horizontal="center"/>
    </xf>
    <xf numFmtId="174" fontId="1" fillId="0" borderId="15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008080"/>
      <color rgb="FFFFCCFF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1005416</xdr:colOff>
      <xdr:row>1</xdr:row>
      <xdr:rowOff>116417</xdr:rowOff>
    </xdr:from>
    <xdr:ext cx="5725583" cy="476250"/>
    <xdr:sp macro="" textlink="">
      <xdr:nvSpPr>
        <xdr:cNvPr id="2" name="TextBox 1"/>
        <xdr:cNvSpPr txBox="1"/>
      </xdr:nvSpPr>
      <xdr:spPr>
        <a:xfrm>
          <a:off x="5386916" y="275167"/>
          <a:ext cx="5725583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 b="1">
              <a:solidFill>
                <a:srgbClr val="FF0000"/>
              </a:solidFill>
            </a:rPr>
            <a:t>Schedule 141N &amp; 141R</a:t>
          </a:r>
          <a:r>
            <a:rPr lang="en-US" sz="1600" b="1" baseline="0">
              <a:solidFill>
                <a:srgbClr val="FF0000"/>
              </a:solidFill>
            </a:rPr>
            <a:t> Rates as approved in Docket UG-230323</a:t>
          </a:r>
          <a:endParaRPr lang="en-US" sz="16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90" zoomScaleNormal="90" workbookViewId="0">
      <pane ySplit="9" topLeftCell="A10" activePane="bottomLeft" state="frozen"/>
      <selection pane="bottomLeft" activeCell="I14" sqref="I14"/>
    </sheetView>
  </sheetViews>
  <sheetFormatPr defaultColWidth="8.85546875" defaultRowHeight="12.75" x14ac:dyDescent="0.2"/>
  <cols>
    <col min="1" max="1" width="4.5703125" style="597" customWidth="1"/>
    <col min="2" max="2" width="2.85546875" style="597" customWidth="1"/>
    <col min="3" max="3" width="26.7109375" style="597" customWidth="1"/>
    <col min="4" max="4" width="8.85546875" style="597" customWidth="1"/>
    <col min="5" max="7" width="12.5703125" style="597" customWidth="1"/>
    <col min="8" max="8" width="10" style="597" customWidth="1"/>
    <col min="9" max="9" width="14.5703125" style="597" customWidth="1"/>
    <col min="10" max="10" width="10.5703125" style="597" customWidth="1"/>
    <col min="11" max="16384" width="8.85546875" style="597"/>
  </cols>
  <sheetData>
    <row r="1" spans="1:10" ht="15" customHeight="1" x14ac:dyDescent="0.2">
      <c r="A1" s="142" t="s">
        <v>12</v>
      </c>
      <c r="B1" s="142"/>
      <c r="C1" s="142"/>
      <c r="D1" s="142"/>
      <c r="E1" s="142"/>
      <c r="F1" s="142"/>
      <c r="G1" s="142"/>
    </row>
    <row r="2" spans="1:10" s="596" customFormat="1" ht="15" customHeight="1" x14ac:dyDescent="0.2">
      <c r="A2" s="142" t="s">
        <v>307</v>
      </c>
      <c r="B2" s="142"/>
      <c r="C2" s="142"/>
      <c r="D2" s="142"/>
      <c r="E2" s="223"/>
      <c r="F2" s="223"/>
      <c r="G2" s="223"/>
    </row>
    <row r="3" spans="1:10" s="596" customFormat="1" ht="15" customHeight="1" x14ac:dyDescent="0.2">
      <c r="A3" s="58" t="s">
        <v>425</v>
      </c>
      <c r="B3" s="58"/>
      <c r="C3" s="58"/>
      <c r="D3" s="58"/>
      <c r="E3" s="58"/>
      <c r="F3" s="58"/>
      <c r="G3" s="58"/>
    </row>
    <row r="4" spans="1:10" s="596" customFormat="1" ht="15" customHeight="1" x14ac:dyDescent="0.2">
      <c r="A4" s="58" t="s">
        <v>308</v>
      </c>
      <c r="B4" s="58"/>
      <c r="C4" s="58"/>
      <c r="D4" s="58"/>
      <c r="E4" s="68"/>
      <c r="F4" s="68"/>
      <c r="G4" s="68"/>
    </row>
    <row r="5" spans="1:10" s="596" customFormat="1" x14ac:dyDescent="0.2">
      <c r="E5" s="537"/>
      <c r="F5" s="537"/>
      <c r="G5" s="537"/>
    </row>
    <row r="6" spans="1:10" s="596" customFormat="1" x14ac:dyDescent="0.2">
      <c r="E6" s="537"/>
      <c r="F6" s="537" t="s">
        <v>469</v>
      </c>
      <c r="G6" s="537"/>
    </row>
    <row r="7" spans="1:10" s="596" customFormat="1" x14ac:dyDescent="0.2">
      <c r="E7" s="537" t="s">
        <v>83</v>
      </c>
      <c r="F7" s="537" t="s">
        <v>470</v>
      </c>
      <c r="G7" s="537" t="s">
        <v>0</v>
      </c>
    </row>
    <row r="8" spans="1:10" s="596" customFormat="1" x14ac:dyDescent="0.2">
      <c r="A8" s="537" t="s">
        <v>36</v>
      </c>
      <c r="D8" s="537" t="s">
        <v>11</v>
      </c>
      <c r="E8" s="537" t="s">
        <v>113</v>
      </c>
      <c r="F8" s="537" t="s">
        <v>113</v>
      </c>
      <c r="G8" s="537" t="s">
        <v>113</v>
      </c>
    </row>
    <row r="9" spans="1:10" s="596" customFormat="1" x14ac:dyDescent="0.2">
      <c r="A9" s="665" t="s">
        <v>310</v>
      </c>
      <c r="B9" s="714" t="s">
        <v>25</v>
      </c>
      <c r="C9" s="714"/>
      <c r="D9" s="665" t="s">
        <v>7</v>
      </c>
      <c r="E9" s="665" t="s">
        <v>79</v>
      </c>
      <c r="F9" s="665" t="s">
        <v>79</v>
      </c>
      <c r="G9" s="665" t="s">
        <v>79</v>
      </c>
    </row>
    <row r="10" spans="1:10" s="596" customFormat="1" x14ac:dyDescent="0.2">
      <c r="A10" s="244"/>
      <c r="B10" s="491"/>
      <c r="C10" s="491" t="s">
        <v>72</v>
      </c>
      <c r="D10" s="491" t="s">
        <v>73</v>
      </c>
      <c r="E10" s="491" t="s">
        <v>74</v>
      </c>
      <c r="F10" s="491" t="s">
        <v>75</v>
      </c>
      <c r="G10" s="491" t="s">
        <v>311</v>
      </c>
    </row>
    <row r="11" spans="1:10" s="596" customFormat="1" x14ac:dyDescent="0.2">
      <c r="A11" s="537">
        <v>1</v>
      </c>
      <c r="B11" s="596" t="s">
        <v>5</v>
      </c>
      <c r="D11" s="537" t="s">
        <v>24</v>
      </c>
      <c r="E11" s="562">
        <v>5.4999999999999997E-3</v>
      </c>
      <c r="F11" s="57">
        <f>ROUND(Rates!I10,5)</f>
        <v>7.979E-2</v>
      </c>
      <c r="G11" s="226">
        <f>E11+F11</f>
        <v>8.5290000000000005E-2</v>
      </c>
      <c r="H11" s="228"/>
      <c r="I11" s="40"/>
      <c r="J11" s="52"/>
    </row>
    <row r="12" spans="1:10" s="596" customFormat="1" x14ac:dyDescent="0.2">
      <c r="A12" s="537"/>
      <c r="D12" s="537"/>
      <c r="E12" s="562"/>
      <c r="F12" s="57"/>
      <c r="G12" s="226"/>
      <c r="H12" s="228"/>
      <c r="I12" s="40"/>
      <c r="J12" s="52"/>
    </row>
    <row r="13" spans="1:10" s="596" customFormat="1" x14ac:dyDescent="0.2">
      <c r="A13" s="537">
        <v>2</v>
      </c>
      <c r="B13" s="596" t="s">
        <v>23</v>
      </c>
      <c r="D13" s="537" t="s">
        <v>33</v>
      </c>
      <c r="E13" s="562">
        <v>4.7200000000000002E-3</v>
      </c>
      <c r="F13" s="57">
        <f>ROUND(Rates!I12,5)</f>
        <v>5.142E-2</v>
      </c>
      <c r="G13" s="226">
        <f t="shared" ref="G13:G46" si="0">E13+F13</f>
        <v>5.6140000000000002E-2</v>
      </c>
      <c r="H13" s="228"/>
      <c r="I13" s="40"/>
      <c r="J13" s="52"/>
    </row>
    <row r="14" spans="1:10" s="596" customFormat="1" x14ac:dyDescent="0.2">
      <c r="A14" s="537"/>
      <c r="D14" s="537"/>
      <c r="E14" s="562"/>
      <c r="F14" s="57"/>
      <c r="G14" s="226"/>
      <c r="H14" s="228"/>
      <c r="I14" s="40"/>
      <c r="J14" s="52"/>
    </row>
    <row r="15" spans="1:10" s="596" customFormat="1" x14ac:dyDescent="0.2">
      <c r="A15" s="537">
        <v>3</v>
      </c>
      <c r="B15" s="596" t="s">
        <v>22</v>
      </c>
      <c r="D15" s="537" t="s">
        <v>32</v>
      </c>
      <c r="E15" s="562">
        <v>2.31E-3</v>
      </c>
      <c r="F15" s="57">
        <f>ROUND(Rates!I14,5)</f>
        <v>1.9140000000000001E-2</v>
      </c>
      <c r="G15" s="226">
        <f t="shared" si="0"/>
        <v>2.145E-2</v>
      </c>
      <c r="H15" s="228"/>
      <c r="I15" s="40"/>
      <c r="J15" s="52"/>
    </row>
    <row r="16" spans="1:10" s="596" customFormat="1" x14ac:dyDescent="0.2">
      <c r="A16" s="537"/>
      <c r="D16" s="537"/>
      <c r="E16" s="562"/>
      <c r="F16" s="57"/>
      <c r="G16" s="226"/>
      <c r="H16" s="228"/>
      <c r="I16" s="40"/>
      <c r="J16" s="52"/>
    </row>
    <row r="17" spans="1:10" s="596" customFormat="1" x14ac:dyDescent="0.2">
      <c r="A17" s="537">
        <v>4</v>
      </c>
      <c r="B17" s="596" t="s">
        <v>4</v>
      </c>
      <c r="D17" s="537">
        <v>85</v>
      </c>
      <c r="E17" s="562"/>
      <c r="F17" s="57"/>
      <c r="G17" s="226"/>
      <c r="H17" s="228"/>
      <c r="I17" s="40"/>
      <c r="J17" s="52"/>
    </row>
    <row r="18" spans="1:10" s="596" customFormat="1" x14ac:dyDescent="0.2">
      <c r="A18" s="537">
        <v>5</v>
      </c>
      <c r="C18" s="596" t="s">
        <v>18</v>
      </c>
      <c r="D18" s="537"/>
      <c r="E18" s="256">
        <v>1.66E-3</v>
      </c>
      <c r="F18" s="57">
        <f>ROUND(Rates!I17,5)</f>
        <v>1.064E-2</v>
      </c>
      <c r="G18" s="226">
        <f t="shared" si="0"/>
        <v>1.23E-2</v>
      </c>
      <c r="H18" s="228"/>
      <c r="I18" s="40"/>
      <c r="J18" s="52"/>
    </row>
    <row r="19" spans="1:10" s="596" customFormat="1" x14ac:dyDescent="0.2">
      <c r="A19" s="537">
        <v>6</v>
      </c>
      <c r="C19" s="596" t="s">
        <v>17</v>
      </c>
      <c r="D19" s="537"/>
      <c r="E19" s="256">
        <v>1.01E-3</v>
      </c>
      <c r="F19" s="57">
        <f>ROUND(Rates!I18,5)</f>
        <v>6.4900000000000001E-3</v>
      </c>
      <c r="G19" s="226">
        <f t="shared" si="0"/>
        <v>7.4999999999999997E-3</v>
      </c>
      <c r="H19" s="228"/>
      <c r="I19" s="40"/>
      <c r="J19" s="52"/>
    </row>
    <row r="20" spans="1:10" s="596" customFormat="1" x14ac:dyDescent="0.2">
      <c r="A20" s="537">
        <v>7</v>
      </c>
      <c r="C20" s="596" t="s">
        <v>21</v>
      </c>
      <c r="D20" s="537"/>
      <c r="E20" s="256">
        <v>5.5000000000000003E-4</v>
      </c>
      <c r="F20" s="57">
        <f>ROUND(Rates!I19,5)</f>
        <v>3.79E-3</v>
      </c>
      <c r="G20" s="226">
        <f t="shared" si="0"/>
        <v>4.3400000000000001E-3</v>
      </c>
      <c r="H20" s="228"/>
      <c r="I20" s="40"/>
      <c r="J20" s="52"/>
    </row>
    <row r="21" spans="1:10" s="596" customFormat="1" x14ac:dyDescent="0.2">
      <c r="A21" s="537">
        <v>8</v>
      </c>
      <c r="C21" s="596" t="s">
        <v>0</v>
      </c>
      <c r="D21" s="537"/>
      <c r="E21" s="562"/>
      <c r="F21" s="57"/>
      <c r="G21" s="226"/>
      <c r="H21" s="228"/>
      <c r="I21" s="40"/>
      <c r="J21" s="52"/>
    </row>
    <row r="22" spans="1:10" s="596" customFormat="1" x14ac:dyDescent="0.2">
      <c r="A22" s="537"/>
      <c r="D22" s="537"/>
      <c r="E22" s="562"/>
      <c r="F22" s="57"/>
      <c r="G22" s="226"/>
      <c r="H22" s="228"/>
      <c r="I22" s="40"/>
      <c r="J22" s="52"/>
    </row>
    <row r="23" spans="1:10" s="596" customFormat="1" x14ac:dyDescent="0.2">
      <c r="A23" s="537">
        <v>9</v>
      </c>
      <c r="B23" s="596" t="s">
        <v>4</v>
      </c>
      <c r="D23" s="537" t="s">
        <v>31</v>
      </c>
      <c r="E23" s="562">
        <v>1.7099999999999999E-3</v>
      </c>
      <c r="F23" s="57">
        <f>ROUND(Rates!I22,5)</f>
        <v>1.5509999999999999E-2</v>
      </c>
      <c r="G23" s="226">
        <f t="shared" si="0"/>
        <v>1.7219999999999999E-2</v>
      </c>
      <c r="H23" s="228"/>
      <c r="I23" s="40"/>
      <c r="J23" s="52"/>
    </row>
    <row r="24" spans="1:10" s="596" customFormat="1" x14ac:dyDescent="0.2">
      <c r="A24" s="537"/>
      <c r="D24" s="537"/>
      <c r="E24" s="562"/>
      <c r="F24" s="57"/>
      <c r="G24" s="226"/>
      <c r="H24" s="228"/>
      <c r="I24" s="40"/>
      <c r="J24" s="52"/>
    </row>
    <row r="25" spans="1:10" s="596" customFormat="1" x14ac:dyDescent="0.2">
      <c r="A25" s="537">
        <v>10</v>
      </c>
      <c r="B25" s="596" t="s">
        <v>4</v>
      </c>
      <c r="D25" s="537">
        <v>87</v>
      </c>
      <c r="E25" s="562"/>
      <c r="F25" s="57"/>
      <c r="G25" s="226"/>
      <c r="H25" s="228"/>
      <c r="I25" s="40"/>
      <c r="J25" s="52"/>
    </row>
    <row r="26" spans="1:10" s="596" customFormat="1" x14ac:dyDescent="0.2">
      <c r="A26" s="537">
        <v>11</v>
      </c>
      <c r="C26" s="596" t="s">
        <v>18</v>
      </c>
      <c r="D26" s="537"/>
      <c r="E26" s="256">
        <v>1.66E-3</v>
      </c>
      <c r="F26" s="57">
        <f>ROUND(Rates!I25,5)</f>
        <v>1.064E-2</v>
      </c>
      <c r="G26" s="226">
        <f t="shared" si="0"/>
        <v>1.23E-2</v>
      </c>
      <c r="H26" s="228"/>
      <c r="I26" s="40"/>
      <c r="J26" s="52"/>
    </row>
    <row r="27" spans="1:10" s="596" customFormat="1" x14ac:dyDescent="0.2">
      <c r="A27" s="537">
        <v>12</v>
      </c>
      <c r="C27" s="596" t="s">
        <v>17</v>
      </c>
      <c r="D27" s="537"/>
      <c r="E27" s="256">
        <v>1.01E-3</v>
      </c>
      <c r="F27" s="57">
        <f>ROUND(Rates!I26,5)</f>
        <v>6.4900000000000001E-3</v>
      </c>
      <c r="G27" s="226">
        <f t="shared" si="0"/>
        <v>7.4999999999999997E-3</v>
      </c>
      <c r="H27" s="228"/>
      <c r="I27" s="40"/>
      <c r="J27" s="52"/>
    </row>
    <row r="28" spans="1:10" s="596" customFormat="1" x14ac:dyDescent="0.2">
      <c r="A28" s="537">
        <v>13</v>
      </c>
      <c r="C28" s="596" t="s">
        <v>16</v>
      </c>
      <c r="D28" s="537"/>
      <c r="E28" s="256">
        <v>6.6E-4</v>
      </c>
      <c r="F28" s="57">
        <f>ROUND(Rates!I27,5)</f>
        <v>4.1900000000000001E-3</v>
      </c>
      <c r="G28" s="226">
        <f t="shared" si="0"/>
        <v>4.8500000000000001E-3</v>
      </c>
      <c r="H28" s="228"/>
      <c r="I28" s="40"/>
      <c r="J28" s="52"/>
    </row>
    <row r="29" spans="1:10" s="596" customFormat="1" x14ac:dyDescent="0.2">
      <c r="A29" s="537">
        <v>14</v>
      </c>
      <c r="C29" s="596" t="s">
        <v>15</v>
      </c>
      <c r="D29" s="537"/>
      <c r="E29" s="256">
        <v>4.2999999999999999E-4</v>
      </c>
      <c r="F29" s="57">
        <f>ROUND(Rates!I28,5)</f>
        <v>2.7399999999999998E-3</v>
      </c>
      <c r="G29" s="226">
        <f t="shared" si="0"/>
        <v>3.1699999999999996E-3</v>
      </c>
      <c r="H29" s="228"/>
      <c r="I29" s="40"/>
      <c r="J29" s="52"/>
    </row>
    <row r="30" spans="1:10" s="596" customFormat="1" x14ac:dyDescent="0.2">
      <c r="A30" s="537">
        <v>15</v>
      </c>
      <c r="C30" s="596" t="s">
        <v>14</v>
      </c>
      <c r="D30" s="537"/>
      <c r="E30" s="256">
        <v>3.2000000000000003E-4</v>
      </c>
      <c r="F30" s="57">
        <f>ROUND(Rates!I29,5)</f>
        <v>2.0200000000000001E-3</v>
      </c>
      <c r="G30" s="226">
        <f t="shared" si="0"/>
        <v>2.3400000000000001E-3</v>
      </c>
      <c r="H30" s="228"/>
      <c r="I30" s="40"/>
      <c r="J30" s="52"/>
    </row>
    <row r="31" spans="1:10" s="596" customFormat="1" x14ac:dyDescent="0.2">
      <c r="A31" s="537">
        <v>16</v>
      </c>
      <c r="C31" s="596" t="s">
        <v>19</v>
      </c>
      <c r="D31" s="537"/>
      <c r="E31" s="256">
        <v>2.1000000000000001E-4</v>
      </c>
      <c r="F31" s="57">
        <f>ROUND(Rates!I30,5)</f>
        <v>1.2700000000000001E-3</v>
      </c>
      <c r="G31" s="226">
        <f t="shared" si="0"/>
        <v>1.48E-3</v>
      </c>
      <c r="H31" s="228"/>
      <c r="I31" s="40"/>
      <c r="J31" s="52"/>
    </row>
    <row r="32" spans="1:10" s="596" customFormat="1" x14ac:dyDescent="0.2">
      <c r="A32" s="537">
        <v>17</v>
      </c>
      <c r="C32" s="596" t="s">
        <v>0</v>
      </c>
      <c r="D32" s="537"/>
      <c r="E32" s="562"/>
      <c r="F32" s="57"/>
      <c r="G32" s="226"/>
      <c r="H32" s="228"/>
      <c r="I32" s="40"/>
      <c r="J32" s="52"/>
    </row>
    <row r="33" spans="1:10" s="596" customFormat="1" x14ac:dyDescent="0.2">
      <c r="A33" s="537"/>
      <c r="D33" s="537"/>
      <c r="E33" s="562"/>
      <c r="F33" s="57"/>
      <c r="G33" s="226"/>
      <c r="H33" s="233"/>
      <c r="I33" s="40"/>
      <c r="J33" s="52"/>
    </row>
    <row r="34" spans="1:10" s="596" customFormat="1" x14ac:dyDescent="0.2">
      <c r="A34" s="537">
        <f>A32+1</f>
        <v>18</v>
      </c>
      <c r="B34" s="596" t="s">
        <v>20</v>
      </c>
      <c r="D34" s="537" t="s">
        <v>3</v>
      </c>
      <c r="E34" s="562"/>
      <c r="F34" s="57"/>
      <c r="G34" s="226"/>
      <c r="H34" s="233"/>
      <c r="I34" s="40"/>
      <c r="J34" s="52"/>
    </row>
    <row r="35" spans="1:10" s="596" customFormat="1" x14ac:dyDescent="0.2">
      <c r="A35" s="537">
        <f>A34+1</f>
        <v>19</v>
      </c>
      <c r="C35" s="596" t="s">
        <v>18</v>
      </c>
      <c r="D35" s="537"/>
      <c r="E35" s="562">
        <v>1.66E-3</v>
      </c>
      <c r="F35" s="57">
        <f>ROUND(Rates!I34,5)</f>
        <v>1.064E-2</v>
      </c>
      <c r="G35" s="226">
        <f t="shared" si="0"/>
        <v>1.23E-2</v>
      </c>
      <c r="H35" s="233"/>
      <c r="I35" s="40"/>
      <c r="J35" s="52"/>
    </row>
    <row r="36" spans="1:10" s="596" customFormat="1" x14ac:dyDescent="0.2">
      <c r="A36" s="537">
        <f>A35+1</f>
        <v>20</v>
      </c>
      <c r="C36" s="596" t="s">
        <v>17</v>
      </c>
      <c r="D36" s="537"/>
      <c r="E36" s="562">
        <v>1.01E-3</v>
      </c>
      <c r="F36" s="57">
        <f>ROUND(Rates!I35,5)</f>
        <v>6.4900000000000001E-3</v>
      </c>
      <c r="G36" s="226">
        <f t="shared" si="0"/>
        <v>7.4999999999999997E-3</v>
      </c>
      <c r="H36" s="233"/>
      <c r="I36" s="40"/>
      <c r="J36" s="52"/>
    </row>
    <row r="37" spans="1:10" s="596" customFormat="1" x14ac:dyDescent="0.2">
      <c r="A37" s="537">
        <f>A36+1</f>
        <v>21</v>
      </c>
      <c r="C37" s="596" t="s">
        <v>21</v>
      </c>
      <c r="D37" s="537"/>
      <c r="E37" s="562">
        <v>5.5000000000000003E-4</v>
      </c>
      <c r="F37" s="57">
        <f>ROUND(Rates!I36,5)</f>
        <v>3.79E-3</v>
      </c>
      <c r="G37" s="226">
        <f t="shared" si="0"/>
        <v>4.3400000000000001E-3</v>
      </c>
      <c r="H37" s="233"/>
      <c r="I37" s="40"/>
      <c r="J37" s="52"/>
    </row>
    <row r="38" spans="1:10" s="596" customFormat="1" x14ac:dyDescent="0.2">
      <c r="A38" s="537">
        <f>A37+1</f>
        <v>22</v>
      </c>
      <c r="C38" s="596" t="s">
        <v>0</v>
      </c>
      <c r="D38" s="537"/>
      <c r="E38" s="562"/>
      <c r="F38" s="57"/>
      <c r="G38" s="226"/>
      <c r="H38" s="228"/>
      <c r="I38" s="40"/>
      <c r="J38" s="52"/>
    </row>
    <row r="39" spans="1:10" s="596" customFormat="1" x14ac:dyDescent="0.2">
      <c r="A39" s="537"/>
      <c r="D39" s="537"/>
      <c r="E39" s="562"/>
      <c r="F39" s="57"/>
      <c r="G39" s="226"/>
      <c r="H39" s="233"/>
      <c r="I39" s="40"/>
      <c r="J39" s="52"/>
    </row>
    <row r="40" spans="1:10" s="596" customFormat="1" x14ac:dyDescent="0.2">
      <c r="A40" s="537">
        <f>A38+1</f>
        <v>23</v>
      </c>
      <c r="B40" s="596" t="s">
        <v>20</v>
      </c>
      <c r="D40" s="537" t="s">
        <v>467</v>
      </c>
      <c r="E40" s="562"/>
      <c r="F40" s="57"/>
      <c r="G40" s="226"/>
      <c r="H40" s="233"/>
      <c r="I40" s="40"/>
      <c r="J40" s="52"/>
    </row>
    <row r="41" spans="1:10" s="596" customFormat="1" x14ac:dyDescent="0.2">
      <c r="A41" s="537">
        <f t="shared" ref="A41:A46" si="1">A40+1</f>
        <v>24</v>
      </c>
      <c r="C41" s="596" t="s">
        <v>18</v>
      </c>
      <c r="D41" s="537"/>
      <c r="E41" s="562">
        <v>1.66E-3</v>
      </c>
      <c r="F41" s="57">
        <f>ROUND(Rates!I40,5)</f>
        <v>1.064E-2</v>
      </c>
      <c r="G41" s="226">
        <f t="shared" si="0"/>
        <v>1.23E-2</v>
      </c>
      <c r="H41" s="233"/>
      <c r="I41" s="40"/>
      <c r="J41" s="52"/>
    </row>
    <row r="42" spans="1:10" s="596" customFormat="1" x14ac:dyDescent="0.2">
      <c r="A42" s="537">
        <f t="shared" si="1"/>
        <v>25</v>
      </c>
      <c r="C42" s="596" t="s">
        <v>17</v>
      </c>
      <c r="D42" s="537"/>
      <c r="E42" s="562">
        <v>1.01E-3</v>
      </c>
      <c r="F42" s="57">
        <f>ROUND(Rates!I41,5)</f>
        <v>6.4900000000000001E-3</v>
      </c>
      <c r="G42" s="226">
        <f t="shared" si="0"/>
        <v>7.4999999999999997E-3</v>
      </c>
      <c r="H42" s="233"/>
      <c r="I42" s="40"/>
      <c r="J42" s="52"/>
    </row>
    <row r="43" spans="1:10" s="596" customFormat="1" x14ac:dyDescent="0.2">
      <c r="A43" s="537">
        <f t="shared" si="1"/>
        <v>26</v>
      </c>
      <c r="C43" s="596" t="s">
        <v>16</v>
      </c>
      <c r="D43" s="537"/>
      <c r="E43" s="562">
        <v>6.6E-4</v>
      </c>
      <c r="F43" s="57">
        <f>ROUND(Rates!I42,5)</f>
        <v>4.1900000000000001E-3</v>
      </c>
      <c r="G43" s="226">
        <f t="shared" si="0"/>
        <v>4.8500000000000001E-3</v>
      </c>
      <c r="H43" s="233"/>
      <c r="I43" s="40"/>
      <c r="J43" s="52"/>
    </row>
    <row r="44" spans="1:10" s="596" customFormat="1" x14ac:dyDescent="0.2">
      <c r="A44" s="537">
        <f t="shared" si="1"/>
        <v>27</v>
      </c>
      <c r="C44" s="596" t="s">
        <v>15</v>
      </c>
      <c r="D44" s="537"/>
      <c r="E44" s="562">
        <v>4.2999999999999999E-4</v>
      </c>
      <c r="F44" s="57">
        <f>ROUND(Rates!I43,5)</f>
        <v>2.7399999999999998E-3</v>
      </c>
      <c r="G44" s="226">
        <f t="shared" si="0"/>
        <v>3.1699999999999996E-3</v>
      </c>
      <c r="H44" s="233"/>
      <c r="I44" s="40"/>
      <c r="J44" s="52"/>
    </row>
    <row r="45" spans="1:10" s="596" customFormat="1" x14ac:dyDescent="0.2">
      <c r="A45" s="537">
        <f t="shared" si="1"/>
        <v>28</v>
      </c>
      <c r="C45" s="596" t="s">
        <v>14</v>
      </c>
      <c r="D45" s="537"/>
      <c r="E45" s="562">
        <v>3.2000000000000003E-4</v>
      </c>
      <c r="F45" s="57">
        <f>ROUND(Rates!I44,5)</f>
        <v>2.0200000000000001E-3</v>
      </c>
      <c r="G45" s="226">
        <f t="shared" si="0"/>
        <v>2.3400000000000001E-3</v>
      </c>
      <c r="H45" s="233"/>
      <c r="I45" s="40"/>
      <c r="J45" s="52"/>
    </row>
    <row r="46" spans="1:10" s="596" customFormat="1" x14ac:dyDescent="0.2">
      <c r="A46" s="537">
        <f t="shared" si="1"/>
        <v>29</v>
      </c>
      <c r="C46" s="596" t="s">
        <v>19</v>
      </c>
      <c r="D46" s="537"/>
      <c r="E46" s="562">
        <v>2.1000000000000001E-4</v>
      </c>
      <c r="F46" s="57">
        <f>ROUND(Rates!I45,5)</f>
        <v>1.2700000000000001E-3</v>
      </c>
      <c r="G46" s="226">
        <f t="shared" si="0"/>
        <v>1.48E-3</v>
      </c>
      <c r="H46" s="233"/>
      <c r="I46" s="40"/>
      <c r="J46" s="52"/>
    </row>
    <row r="47" spans="1:10" x14ac:dyDescent="0.2">
      <c r="B47" s="643"/>
      <c r="C47" s="37"/>
      <c r="D47" s="658"/>
      <c r="F47" s="226"/>
    </row>
    <row r="48" spans="1:10" x14ac:dyDescent="0.2">
      <c r="B48" s="719" t="s">
        <v>468</v>
      </c>
      <c r="C48" s="719"/>
      <c r="D48" s="719"/>
      <c r="E48" s="719"/>
      <c r="F48" s="719"/>
      <c r="G48" s="719"/>
    </row>
    <row r="49" spans="2:7" x14ac:dyDescent="0.2">
      <c r="B49" s="719"/>
      <c r="C49" s="719"/>
      <c r="D49" s="719"/>
      <c r="E49" s="719"/>
      <c r="F49" s="719"/>
      <c r="G49" s="719"/>
    </row>
    <row r="50" spans="2:7" x14ac:dyDescent="0.2">
      <c r="B50" s="36"/>
      <c r="C50" s="36"/>
      <c r="D50" s="655"/>
    </row>
    <row r="51" spans="2:7" x14ac:dyDescent="0.2">
      <c r="D51" s="655"/>
    </row>
    <row r="52" spans="2:7" x14ac:dyDescent="0.2">
      <c r="D52" s="658"/>
    </row>
    <row r="53" spans="2:7" x14ac:dyDescent="0.2">
      <c r="D53" s="658"/>
    </row>
    <row r="54" spans="2:7" x14ac:dyDescent="0.2">
      <c r="D54" s="658"/>
    </row>
  </sheetData>
  <mergeCells count="2">
    <mergeCell ref="B9:C9"/>
    <mergeCell ref="B48:G49"/>
  </mergeCells>
  <printOptions horizontalCentered="1"/>
  <pageMargins left="0.75" right="0.75" top="1" bottom="1" header="0.5" footer="0.5"/>
  <pageSetup orientation="portrait" blackAndWhite="1" horizontalDpi="300" verticalDpi="300" r:id="rId1"/>
  <headerFooter alignWithMargins="0">
    <oddFooter>&amp;L&amp;F 
&amp;A&amp;C&amp;P&amp;R&amp;D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29" sqref="F29"/>
    </sheetView>
  </sheetViews>
  <sheetFormatPr defaultRowHeight="12.75" x14ac:dyDescent="0.2"/>
  <cols>
    <col min="1" max="1" width="8.5703125" style="597" customWidth="1"/>
    <col min="2" max="2" width="43.140625" style="597" customWidth="1"/>
    <col min="3" max="3" width="38.85546875" style="597" customWidth="1"/>
    <col min="4" max="5" width="10.42578125" style="597" customWidth="1"/>
    <col min="6" max="6" width="14.85546875" style="596" bestFit="1" customWidth="1"/>
    <col min="7" max="7" width="13.85546875" style="596" bestFit="1" customWidth="1"/>
    <col min="8" max="8" width="13.85546875" style="596" customWidth="1"/>
    <col min="9" max="11" width="9.85546875" style="596" customWidth="1"/>
    <col min="12" max="20" width="9.140625" style="596"/>
    <col min="21" max="16384" width="9.140625" style="597"/>
  </cols>
  <sheetData>
    <row r="1" spans="1:20" ht="18" x14ac:dyDescent="0.25">
      <c r="A1" s="594" t="s">
        <v>284</v>
      </c>
      <c r="B1" s="595"/>
      <c r="C1" s="595"/>
      <c r="D1" s="595"/>
      <c r="E1" s="595"/>
      <c r="F1" s="595"/>
      <c r="G1" s="595"/>
      <c r="H1" s="595"/>
    </row>
    <row r="2" spans="1:20" ht="18" x14ac:dyDescent="0.25">
      <c r="A2" s="594" t="s">
        <v>285</v>
      </c>
      <c r="B2" s="595"/>
      <c r="C2" s="595"/>
      <c r="D2" s="595"/>
      <c r="E2" s="595"/>
      <c r="F2" s="595"/>
      <c r="G2" s="595"/>
      <c r="H2" s="595"/>
    </row>
    <row r="3" spans="1:20" ht="18" x14ac:dyDescent="0.25">
      <c r="A3" s="594" t="s">
        <v>286</v>
      </c>
      <c r="B3" s="598"/>
      <c r="C3" s="598"/>
      <c r="D3" s="598"/>
      <c r="E3" s="598"/>
      <c r="F3" s="598"/>
      <c r="G3" s="598"/>
      <c r="H3" s="598"/>
    </row>
    <row r="4" spans="1:20" ht="18" x14ac:dyDescent="0.25">
      <c r="A4" s="594" t="s">
        <v>417</v>
      </c>
      <c r="B4" s="598"/>
      <c r="C4" s="598"/>
      <c r="D4" s="598"/>
      <c r="E4" s="598"/>
      <c r="F4" s="598"/>
      <c r="G4" s="598"/>
      <c r="H4" s="598"/>
    </row>
    <row r="5" spans="1:20" s="600" customFormat="1" ht="17.25" customHeight="1" x14ac:dyDescent="0.25">
      <c r="A5" s="599"/>
      <c r="C5" s="601"/>
      <c r="D5" s="602"/>
      <c r="E5" s="603"/>
      <c r="F5" s="604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</row>
    <row r="6" spans="1:20" ht="39.75" customHeight="1" thickBot="1" x14ac:dyDescent="0.25">
      <c r="A6" s="606" t="s">
        <v>287</v>
      </c>
      <c r="B6" s="607"/>
      <c r="C6" s="608"/>
      <c r="D6" s="609" t="s">
        <v>61</v>
      </c>
      <c r="E6" s="610" t="s">
        <v>60</v>
      </c>
      <c r="F6" s="611" t="s">
        <v>288</v>
      </c>
      <c r="G6" s="611" t="s">
        <v>289</v>
      </c>
      <c r="H6" s="611" t="s">
        <v>290</v>
      </c>
    </row>
    <row r="7" spans="1:20" x14ac:dyDescent="0.2">
      <c r="A7" s="612" t="s">
        <v>291</v>
      </c>
      <c r="B7" s="613" t="s">
        <v>292</v>
      </c>
      <c r="C7" s="614" t="s">
        <v>293</v>
      </c>
      <c r="D7" s="614" t="s">
        <v>294</v>
      </c>
      <c r="E7" s="615" t="s">
        <v>295</v>
      </c>
      <c r="F7" s="616" t="s">
        <v>296</v>
      </c>
      <c r="G7" s="616" t="s">
        <v>297</v>
      </c>
      <c r="H7" s="616" t="s">
        <v>298</v>
      </c>
    </row>
    <row r="8" spans="1:20" x14ac:dyDescent="0.2">
      <c r="A8" s="612"/>
      <c r="B8" s="613"/>
      <c r="C8" s="614"/>
      <c r="D8" s="614"/>
      <c r="E8" s="614"/>
      <c r="F8" s="617"/>
      <c r="G8" s="614"/>
      <c r="H8" s="614"/>
    </row>
    <row r="9" spans="1:20" x14ac:dyDescent="0.2">
      <c r="A9" s="612"/>
      <c r="B9" s="618"/>
      <c r="C9" s="619"/>
      <c r="D9" s="620"/>
      <c r="E9" s="620"/>
      <c r="F9" s="617"/>
      <c r="G9" s="621"/>
      <c r="H9" s="617"/>
      <c r="I9" s="622"/>
      <c r="K9" s="623"/>
    </row>
    <row r="10" spans="1:20" s="596" customFormat="1" x14ac:dyDescent="0.2">
      <c r="A10" s="612"/>
      <c r="B10" s="618"/>
      <c r="C10" s="619"/>
      <c r="D10" s="624"/>
      <c r="E10" s="625"/>
      <c r="F10" s="626"/>
      <c r="G10" s="626"/>
      <c r="H10" s="627"/>
    </row>
    <row r="11" spans="1:20" ht="13.5" customHeight="1" x14ac:dyDescent="0.2">
      <c r="A11" s="612">
        <f>ROW()</f>
        <v>11</v>
      </c>
      <c r="B11" s="618" t="s">
        <v>418</v>
      </c>
      <c r="C11" s="619"/>
      <c r="D11" s="624"/>
      <c r="E11" s="625"/>
      <c r="F11" s="621">
        <v>27781984</v>
      </c>
      <c r="G11" s="621">
        <v>9690161</v>
      </c>
      <c r="H11" s="628">
        <f>F11+G11</f>
        <v>37472145</v>
      </c>
    </row>
    <row r="12" spans="1:20" x14ac:dyDescent="0.2">
      <c r="A12" s="612">
        <f>ROW()</f>
        <v>12</v>
      </c>
      <c r="B12" s="629"/>
      <c r="C12" s="619"/>
      <c r="D12" s="619"/>
      <c r="E12" s="630"/>
      <c r="F12" s="631"/>
      <c r="G12" s="631"/>
      <c r="H12" s="631"/>
    </row>
    <row r="13" spans="1:20" s="596" customFormat="1" ht="14.1" customHeight="1" thickBot="1" x14ac:dyDescent="0.25">
      <c r="A13" s="612">
        <f>ROW()</f>
        <v>13</v>
      </c>
      <c r="B13" s="629" t="s">
        <v>419</v>
      </c>
      <c r="C13" s="619"/>
      <c r="F13" s="632">
        <f>F11</f>
        <v>27781984</v>
      </c>
      <c r="G13" s="632">
        <f>G11</f>
        <v>9690161</v>
      </c>
      <c r="H13" s="632">
        <f>SUM(F13:G13)</f>
        <v>37472145</v>
      </c>
    </row>
    <row r="14" spans="1:20" s="596" customFormat="1" ht="14.1" customHeight="1" thickTop="1" x14ac:dyDescent="0.2">
      <c r="A14" s="612">
        <f>ROW()</f>
        <v>14</v>
      </c>
      <c r="B14" s="633"/>
      <c r="C14" s="619"/>
      <c r="D14" s="619"/>
      <c r="E14" s="634"/>
      <c r="F14" s="635"/>
      <c r="G14" s="635"/>
      <c r="H14" s="635"/>
    </row>
    <row r="15" spans="1:20" s="596" customFormat="1" ht="14.1" customHeight="1" x14ac:dyDescent="0.2">
      <c r="A15" s="612">
        <f>ROW()</f>
        <v>15</v>
      </c>
      <c r="B15" s="636" t="s">
        <v>299</v>
      </c>
      <c r="C15" s="619"/>
      <c r="D15" s="619"/>
      <c r="E15" s="634"/>
      <c r="F15" s="635"/>
      <c r="G15" s="635"/>
      <c r="H15" s="635"/>
    </row>
    <row r="16" spans="1:20" s="596" customFormat="1" ht="14.1" customHeight="1" x14ac:dyDescent="0.2">
      <c r="A16" s="612">
        <f>ROW()</f>
        <v>16</v>
      </c>
      <c r="B16" s="633" t="s">
        <v>306</v>
      </c>
      <c r="C16" s="619"/>
      <c r="D16" s="619"/>
      <c r="E16" s="634"/>
      <c r="F16" s="637">
        <v>7.1970000000000003E-3</v>
      </c>
      <c r="G16" s="637">
        <v>4.1980000000000003E-3</v>
      </c>
      <c r="H16" s="635"/>
    </row>
    <row r="17" spans="1:16" s="596" customFormat="1" ht="14.1" customHeight="1" x14ac:dyDescent="0.2">
      <c r="A17" s="612">
        <f>ROW()</f>
        <v>17</v>
      </c>
      <c r="B17" s="633" t="s">
        <v>300</v>
      </c>
      <c r="C17" s="619"/>
      <c r="D17" s="619"/>
      <c r="E17" s="634"/>
      <c r="F17" s="637">
        <v>4.0000000000000001E-3</v>
      </c>
      <c r="G17" s="637">
        <v>4.0000000000000001E-3</v>
      </c>
      <c r="H17" s="635"/>
      <c r="L17" s="622"/>
    </row>
    <row r="18" spans="1:16" s="596" customFormat="1" ht="14.1" customHeight="1" x14ac:dyDescent="0.2">
      <c r="A18" s="612">
        <f>ROW()</f>
        <v>18</v>
      </c>
      <c r="B18" s="633" t="s">
        <v>301</v>
      </c>
      <c r="C18" s="619"/>
      <c r="D18" s="619"/>
      <c r="E18" s="634"/>
      <c r="F18" s="637">
        <v>3.8455000000000003E-2</v>
      </c>
      <c r="G18" s="637">
        <v>3.8358000000000003E-2</v>
      </c>
      <c r="H18" s="635"/>
    </row>
    <row r="19" spans="1:16" s="596" customFormat="1" ht="14.1" customHeight="1" x14ac:dyDescent="0.2">
      <c r="A19" s="612">
        <f>ROW()</f>
        <v>19</v>
      </c>
      <c r="B19" s="633"/>
      <c r="C19" s="619"/>
      <c r="D19" s="619"/>
      <c r="E19" s="634"/>
      <c r="F19" s="638"/>
      <c r="G19" s="638"/>
      <c r="H19" s="635"/>
    </row>
    <row r="20" spans="1:16" s="596" customFormat="1" ht="14.1" customHeight="1" x14ac:dyDescent="0.2">
      <c r="A20" s="612">
        <f>ROW()</f>
        <v>20</v>
      </c>
      <c r="B20" s="629" t="s">
        <v>302</v>
      </c>
      <c r="C20" s="619"/>
      <c r="D20" s="619"/>
      <c r="E20" s="634"/>
      <c r="F20" s="639">
        <f>1-SUM(F16:F18)</f>
        <v>0.95034799999999997</v>
      </c>
      <c r="G20" s="639">
        <f>1-SUM(G16:G18)</f>
        <v>0.95344399999999996</v>
      </c>
      <c r="H20" s="640"/>
    </row>
    <row r="21" spans="1:16" s="596" customFormat="1" ht="14.1" customHeight="1" x14ac:dyDescent="0.2">
      <c r="A21" s="612">
        <f>ROW()</f>
        <v>21</v>
      </c>
      <c r="B21" s="633"/>
      <c r="C21" s="619"/>
      <c r="D21" s="619"/>
      <c r="E21" s="634"/>
      <c r="F21" s="635"/>
      <c r="G21" s="635"/>
      <c r="H21" s="635"/>
    </row>
    <row r="22" spans="1:16" s="596" customFormat="1" ht="14.1" customHeight="1" thickBot="1" x14ac:dyDescent="0.25">
      <c r="A22" s="612">
        <f>ROW()</f>
        <v>22</v>
      </c>
      <c r="B22" s="629" t="s">
        <v>420</v>
      </c>
      <c r="C22" s="619"/>
      <c r="D22" s="619"/>
      <c r="E22" s="634"/>
      <c r="F22" s="632">
        <f>MROUND(F13/F20,1000)</f>
        <v>29233000</v>
      </c>
      <c r="G22" s="632">
        <f>MROUND(G13/G20,1000)</f>
        <v>10163000</v>
      </c>
      <c r="H22" s="632">
        <f>SUM(F22:G22)</f>
        <v>39396000</v>
      </c>
    </row>
    <row r="23" spans="1:16" s="596" customFormat="1" ht="14.1" customHeight="1" thickTop="1" x14ac:dyDescent="0.2">
      <c r="A23" s="641"/>
      <c r="B23" s="619"/>
      <c r="C23" s="619"/>
      <c r="D23" s="619"/>
      <c r="E23" s="634"/>
      <c r="F23" s="642"/>
      <c r="G23" s="642"/>
      <c r="H23" s="642"/>
    </row>
    <row r="24" spans="1:16" s="596" customFormat="1" ht="14.1" customHeight="1" x14ac:dyDescent="0.2">
      <c r="A24" s="641"/>
      <c r="B24" s="643"/>
      <c r="C24" s="619"/>
      <c r="D24" s="619"/>
      <c r="E24" s="619"/>
      <c r="F24" s="644"/>
      <c r="G24" s="644"/>
      <c r="H24" s="645"/>
      <c r="P24" s="623"/>
    </row>
    <row r="25" spans="1:16" s="596" customFormat="1" x14ac:dyDescent="0.2">
      <c r="A25" s="641"/>
      <c r="B25" s="646"/>
      <c r="C25" s="647"/>
      <c r="D25" s="647"/>
      <c r="E25" s="647"/>
      <c r="F25" s="619"/>
      <c r="G25" s="619"/>
      <c r="H25" s="619"/>
    </row>
    <row r="26" spans="1:16" s="596" customFormat="1" x14ac:dyDescent="0.2">
      <c r="A26" s="613"/>
      <c r="B26" s="643"/>
      <c r="C26" s="647"/>
      <c r="D26" s="647"/>
      <c r="E26" s="647"/>
      <c r="F26" s="648"/>
      <c r="G26" s="648"/>
      <c r="H26" s="648"/>
    </row>
    <row r="27" spans="1:16" s="596" customFormat="1" x14ac:dyDescent="0.2">
      <c r="A27" s="614"/>
      <c r="B27" s="614"/>
      <c r="C27" s="619"/>
      <c r="D27" s="619"/>
      <c r="E27" s="619"/>
      <c r="F27" s="619"/>
      <c r="G27" s="619"/>
      <c r="H27" s="619"/>
    </row>
    <row r="28" spans="1:16" s="596" customFormat="1" ht="14.1" customHeight="1" x14ac:dyDescent="0.2">
      <c r="B28" s="614"/>
      <c r="C28" s="619"/>
      <c r="D28" s="619"/>
      <c r="E28" s="619"/>
      <c r="F28" s="649"/>
      <c r="G28" s="649"/>
      <c r="H28" s="650"/>
    </row>
    <row r="29" spans="1:16" s="596" customFormat="1" ht="14.1" customHeight="1" x14ac:dyDescent="0.25">
      <c r="A29" s="651"/>
      <c r="B29" s="614"/>
      <c r="C29" s="619"/>
      <c r="D29" s="619"/>
      <c r="E29" s="619"/>
      <c r="F29" s="649"/>
      <c r="G29" s="649"/>
      <c r="H29" s="650"/>
    </row>
    <row r="30" spans="1:16" s="596" customFormat="1" ht="14.1" customHeight="1" x14ac:dyDescent="0.2">
      <c r="B30" s="614"/>
      <c r="C30" s="619"/>
      <c r="D30" s="619"/>
      <c r="E30" s="619"/>
      <c r="F30" s="649"/>
      <c r="G30" s="649"/>
      <c r="H30" s="650"/>
    </row>
    <row r="31" spans="1:16" s="596" customFormat="1" ht="14.1" customHeight="1" x14ac:dyDescent="0.2">
      <c r="A31" s="652"/>
      <c r="C31" s="619"/>
      <c r="D31" s="619"/>
      <c r="E31" s="619"/>
      <c r="F31" s="646"/>
      <c r="G31" s="646"/>
      <c r="H31" s="650"/>
    </row>
    <row r="32" spans="1:16" s="596" customFormat="1" ht="14.1" customHeight="1" x14ac:dyDescent="0.2">
      <c r="A32" s="653"/>
      <c r="C32" s="619"/>
      <c r="D32" s="619"/>
      <c r="E32" s="619"/>
      <c r="F32" s="654"/>
      <c r="G32" s="654"/>
      <c r="H32" s="649"/>
    </row>
    <row r="33" spans="1:8" s="596" customFormat="1" ht="14.1" customHeight="1" x14ac:dyDescent="0.2">
      <c r="A33" s="655"/>
      <c r="C33" s="619"/>
      <c r="D33" s="619"/>
      <c r="E33" s="619"/>
      <c r="F33" s="656"/>
      <c r="G33" s="656"/>
      <c r="H33" s="656"/>
    </row>
    <row r="34" spans="1:8" s="596" customFormat="1" ht="14.1" customHeight="1" x14ac:dyDescent="0.2">
      <c r="A34" s="618"/>
      <c r="C34" s="619"/>
      <c r="D34" s="619"/>
      <c r="E34" s="619"/>
      <c r="F34" s="656"/>
      <c r="G34" s="656"/>
      <c r="H34" s="656"/>
    </row>
    <row r="35" spans="1:8" s="596" customFormat="1" x14ac:dyDescent="0.2">
      <c r="A35" s="719"/>
      <c r="B35" s="719"/>
      <c r="C35" s="719"/>
      <c r="D35" s="719"/>
      <c r="E35" s="719"/>
      <c r="F35" s="657"/>
      <c r="G35" s="657"/>
      <c r="H35" s="657"/>
    </row>
    <row r="36" spans="1:8" s="596" customFormat="1" x14ac:dyDescent="0.2">
      <c r="A36" s="653"/>
      <c r="F36" s="656"/>
      <c r="G36" s="656"/>
      <c r="H36" s="657"/>
    </row>
    <row r="37" spans="1:8" s="596" customFormat="1" x14ac:dyDescent="0.2">
      <c r="A37" s="655"/>
      <c r="F37" s="656"/>
      <c r="G37" s="656"/>
      <c r="H37" s="657"/>
    </row>
    <row r="38" spans="1:8" s="596" customFormat="1" x14ac:dyDescent="0.2">
      <c r="A38" s="655"/>
      <c r="F38" s="656"/>
      <c r="G38" s="656"/>
      <c r="H38" s="657"/>
    </row>
    <row r="39" spans="1:8" s="596" customFormat="1" x14ac:dyDescent="0.2">
      <c r="A39" s="619"/>
      <c r="B39" s="619"/>
      <c r="C39" s="619"/>
      <c r="D39" s="619"/>
      <c r="E39" s="619"/>
      <c r="F39" s="656"/>
      <c r="G39" s="656"/>
      <c r="H39" s="657"/>
    </row>
    <row r="40" spans="1:8" s="596" customFormat="1" x14ac:dyDescent="0.2">
      <c r="A40" s="652"/>
      <c r="B40" s="619"/>
      <c r="C40" s="619"/>
      <c r="D40" s="619"/>
      <c r="E40" s="619"/>
      <c r="F40" s="648"/>
      <c r="G40" s="648"/>
      <c r="H40" s="648"/>
    </row>
    <row r="41" spans="1:8" s="596" customFormat="1" x14ac:dyDescent="0.2">
      <c r="A41" s="658"/>
      <c r="B41" s="619"/>
      <c r="C41" s="619"/>
      <c r="D41" s="619"/>
      <c r="E41" s="619"/>
      <c r="F41" s="619"/>
      <c r="G41" s="619"/>
      <c r="H41" s="619"/>
    </row>
    <row r="42" spans="1:8" s="596" customFormat="1" x14ac:dyDescent="0.2">
      <c r="A42" s="619"/>
      <c r="B42" s="619"/>
      <c r="C42" s="619"/>
      <c r="D42" s="619"/>
      <c r="E42" s="619"/>
      <c r="F42" s="619"/>
      <c r="G42" s="619"/>
      <c r="H42" s="619"/>
    </row>
    <row r="43" spans="1:8" s="596" customFormat="1" x14ac:dyDescent="0.2">
      <c r="A43" s="659"/>
      <c r="B43" s="619"/>
      <c r="C43" s="619"/>
      <c r="D43" s="619"/>
      <c r="E43" s="619"/>
      <c r="F43" s="660"/>
      <c r="G43" s="660"/>
      <c r="H43" s="619"/>
    </row>
    <row r="44" spans="1:8" s="596" customFormat="1" x14ac:dyDescent="0.2">
      <c r="F44" s="661"/>
      <c r="G44" s="661"/>
    </row>
    <row r="45" spans="1:8" s="596" customFormat="1" x14ac:dyDescent="0.2">
      <c r="C45" s="662"/>
      <c r="D45" s="662"/>
    </row>
    <row r="46" spans="1:8" s="596" customFormat="1" x14ac:dyDescent="0.2"/>
    <row r="47" spans="1:8" s="596" customFormat="1" x14ac:dyDescent="0.2">
      <c r="A47" s="597"/>
      <c r="B47" s="597"/>
      <c r="C47" s="663"/>
      <c r="D47" s="663"/>
      <c r="E47" s="597"/>
    </row>
    <row r="48" spans="1:8" s="596" customFormat="1" x14ac:dyDescent="0.2">
      <c r="A48" s="597"/>
      <c r="B48" s="597"/>
      <c r="C48" s="664"/>
      <c r="D48" s="664"/>
      <c r="E48" s="597"/>
    </row>
  </sheetData>
  <mergeCells count="1">
    <mergeCell ref="A35:E35"/>
  </mergeCells>
  <pageMargins left="0.7" right="0.7" top="0.75" bottom="0.75" header="0.3" footer="0.3"/>
  <pageSetup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N299"/>
  <sheetViews>
    <sheetView zoomScale="90" zoomScaleNormal="90" workbookViewId="0">
      <pane ySplit="6" topLeftCell="A163" activePane="bottomLeft" state="frozen"/>
      <selection pane="bottomLeft" activeCell="L202" sqref="L202"/>
    </sheetView>
  </sheetViews>
  <sheetFormatPr defaultColWidth="9.140625" defaultRowHeight="12.75" x14ac:dyDescent="0.2"/>
  <cols>
    <col min="1" max="1" width="2.28515625" style="42" customWidth="1"/>
    <col min="2" max="2" width="41.5703125" style="42" customWidth="1"/>
    <col min="3" max="3" width="9.85546875" style="42" bestFit="1" customWidth="1"/>
    <col min="4" max="9" width="12.85546875" style="42" bestFit="1" customWidth="1"/>
    <col min="10" max="12" width="11" style="42" bestFit="1" customWidth="1"/>
    <col min="13" max="15" width="12.85546875" style="42" bestFit="1" customWidth="1"/>
    <col min="16" max="16" width="13.5703125" style="42" bestFit="1" customWidth="1"/>
    <col min="17" max="17" width="12.7109375" style="42" customWidth="1"/>
    <col min="18" max="18" width="12.42578125" style="42" bestFit="1" customWidth="1"/>
    <col min="19" max="19" width="9.140625" style="42"/>
    <col min="20" max="20" width="13.42578125" style="42" bestFit="1" customWidth="1"/>
    <col min="21" max="16384" width="9.140625" style="42"/>
  </cols>
  <sheetData>
    <row r="1" spans="2:19" x14ac:dyDescent="0.2">
      <c r="B1" s="33" t="s">
        <v>12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2:19" x14ac:dyDescent="0.2">
      <c r="B2" s="33" t="s">
        <v>328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2:19" x14ac:dyDescent="0.2">
      <c r="B3" s="33" t="s">
        <v>329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9" x14ac:dyDescent="0.2">
      <c r="B4" s="276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9" x14ac:dyDescent="0.2">
      <c r="B5" s="27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2:19" x14ac:dyDescent="0.2">
      <c r="B6" s="293" t="s">
        <v>8</v>
      </c>
      <c r="C6" s="293" t="s">
        <v>330</v>
      </c>
      <c r="D6" s="563">
        <v>44927</v>
      </c>
      <c r="E6" s="563">
        <f>EDATE(D6,1)</f>
        <v>44958</v>
      </c>
      <c r="F6" s="563">
        <f t="shared" ref="F6:O6" si="0">EDATE(E6,1)</f>
        <v>44986</v>
      </c>
      <c r="G6" s="563">
        <f t="shared" si="0"/>
        <v>45017</v>
      </c>
      <c r="H6" s="563">
        <f t="shared" si="0"/>
        <v>45047</v>
      </c>
      <c r="I6" s="563">
        <f t="shared" si="0"/>
        <v>45078</v>
      </c>
      <c r="J6" s="563">
        <f t="shared" si="0"/>
        <v>45108</v>
      </c>
      <c r="K6" s="563">
        <f t="shared" si="0"/>
        <v>45139</v>
      </c>
      <c r="L6" s="563">
        <f t="shared" si="0"/>
        <v>45170</v>
      </c>
      <c r="M6" s="563">
        <f t="shared" si="0"/>
        <v>45200</v>
      </c>
      <c r="N6" s="563">
        <f t="shared" si="0"/>
        <v>45231</v>
      </c>
      <c r="O6" s="563">
        <f t="shared" si="0"/>
        <v>45261</v>
      </c>
      <c r="P6" s="536" t="s">
        <v>0</v>
      </c>
      <c r="Q6" s="43"/>
    </row>
    <row r="7" spans="2:19" x14ac:dyDescent="0.2">
      <c r="B7" s="278" t="s">
        <v>331</v>
      </c>
      <c r="C7" s="564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</row>
    <row r="8" spans="2:19" s="41" customFormat="1" x14ac:dyDescent="0.2">
      <c r="B8" s="41" t="s">
        <v>332</v>
      </c>
      <c r="C8" s="566">
        <v>16</v>
      </c>
      <c r="D8" s="524">
        <v>517.11649999999997</v>
      </c>
      <c r="E8" s="524">
        <v>532</v>
      </c>
      <c r="F8" s="524">
        <v>532</v>
      </c>
      <c r="G8" s="524">
        <v>532</v>
      </c>
      <c r="H8" s="524">
        <v>532</v>
      </c>
      <c r="I8" s="524">
        <v>532</v>
      </c>
      <c r="J8" s="524">
        <v>532</v>
      </c>
      <c r="K8" s="524">
        <v>532</v>
      </c>
      <c r="L8" s="524">
        <v>478.16700000000003</v>
      </c>
      <c r="M8" s="524">
        <v>579.5</v>
      </c>
      <c r="N8" s="524">
        <v>601.0335</v>
      </c>
      <c r="O8" s="524">
        <v>438.26650000000001</v>
      </c>
      <c r="P8" s="34">
        <f>SUM(D8:O8)</f>
        <v>6338.0835000000006</v>
      </c>
      <c r="Q8" s="34"/>
      <c r="S8" s="34"/>
    </row>
    <row r="9" spans="2:19" s="41" customFormat="1" x14ac:dyDescent="0.2">
      <c r="B9" s="41" t="s">
        <v>5</v>
      </c>
      <c r="C9" s="41">
        <v>23</v>
      </c>
      <c r="D9" s="524">
        <v>88231675.985398218</v>
      </c>
      <c r="E9" s="524">
        <v>85452089.333169565</v>
      </c>
      <c r="F9" s="524">
        <v>80440350.5504096</v>
      </c>
      <c r="G9" s="524">
        <v>58749843.158049569</v>
      </c>
      <c r="H9" s="524">
        <v>24799831.241840549</v>
      </c>
      <c r="I9" s="524">
        <v>17581152.413171992</v>
      </c>
      <c r="J9" s="524">
        <v>12475673.02442559</v>
      </c>
      <c r="K9" s="524">
        <v>12218378.582241647</v>
      </c>
      <c r="L9" s="524">
        <v>18489378.332819529</v>
      </c>
      <c r="M9" s="524">
        <v>40105300.784285836</v>
      </c>
      <c r="N9" s="524">
        <v>71936676.658596918</v>
      </c>
      <c r="O9" s="524">
        <v>77147551.357476771</v>
      </c>
      <c r="P9" s="34">
        <f t="shared" ref="P9:P33" si="1">SUM(D9:O9)</f>
        <v>587627901.42188573</v>
      </c>
      <c r="Q9" s="34"/>
      <c r="R9" s="567"/>
    </row>
    <row r="10" spans="2:19" s="41" customFormat="1" x14ac:dyDescent="0.2">
      <c r="B10" s="41" t="s">
        <v>333</v>
      </c>
      <c r="C10" s="41">
        <v>53</v>
      </c>
      <c r="D10" s="524">
        <v>0</v>
      </c>
      <c r="E10" s="524">
        <v>0</v>
      </c>
      <c r="F10" s="524">
        <v>0</v>
      </c>
      <c r="G10" s="524">
        <v>0</v>
      </c>
      <c r="H10" s="524">
        <v>0</v>
      </c>
      <c r="I10" s="524">
        <v>0</v>
      </c>
      <c r="J10" s="524">
        <v>0</v>
      </c>
      <c r="K10" s="524">
        <v>0</v>
      </c>
      <c r="L10" s="524">
        <v>0</v>
      </c>
      <c r="M10" s="524">
        <v>0</v>
      </c>
      <c r="N10" s="524">
        <v>0</v>
      </c>
      <c r="O10" s="524">
        <v>0</v>
      </c>
      <c r="P10" s="34">
        <f t="shared" si="1"/>
        <v>0</v>
      </c>
      <c r="Q10" s="34"/>
      <c r="R10" s="567"/>
    </row>
    <row r="11" spans="2:19" s="41" customFormat="1" x14ac:dyDescent="0.2">
      <c r="B11" s="41" t="s">
        <v>334</v>
      </c>
      <c r="C11" s="41">
        <v>31</v>
      </c>
      <c r="D11" s="524">
        <v>31089776.294393972</v>
      </c>
      <c r="E11" s="524">
        <v>30572243.752152506</v>
      </c>
      <c r="F11" s="524">
        <v>29187786.662201561</v>
      </c>
      <c r="G11" s="524">
        <v>22212275.687534489</v>
      </c>
      <c r="H11" s="524">
        <v>11001528.48670423</v>
      </c>
      <c r="I11" s="524">
        <v>9544656.1776437033</v>
      </c>
      <c r="J11" s="524">
        <v>7692326.9344980828</v>
      </c>
      <c r="K11" s="524">
        <v>7619881.4227667497</v>
      </c>
      <c r="L11" s="524">
        <v>9185660.3166621923</v>
      </c>
      <c r="M11" s="524">
        <v>14947179.690258853</v>
      </c>
      <c r="N11" s="524">
        <v>25352109.120822906</v>
      </c>
      <c r="O11" s="524">
        <v>26970374.112081159</v>
      </c>
      <c r="P11" s="34">
        <f t="shared" si="1"/>
        <v>225375798.65772042</v>
      </c>
      <c r="Q11" s="34"/>
    </row>
    <row r="12" spans="2:19" s="41" customFormat="1" x14ac:dyDescent="0.2">
      <c r="B12" s="41" t="s">
        <v>335</v>
      </c>
      <c r="C12" s="41">
        <v>41</v>
      </c>
      <c r="D12" s="524">
        <v>7350815.2661991511</v>
      </c>
      <c r="E12" s="524">
        <v>7513557.6280724984</v>
      </c>
      <c r="F12" s="524">
        <v>7878450.9937997945</v>
      </c>
      <c r="G12" s="524">
        <v>5530044.2838672483</v>
      </c>
      <c r="H12" s="524">
        <v>3494838.4742392376</v>
      </c>
      <c r="I12" s="524">
        <v>3278862.7461252245</v>
      </c>
      <c r="J12" s="524">
        <v>2331032.6117742495</v>
      </c>
      <c r="K12" s="524">
        <v>2226615.1317861509</v>
      </c>
      <c r="L12" s="524">
        <v>2779298.0620971662</v>
      </c>
      <c r="M12" s="524">
        <v>4292429.5693447599</v>
      </c>
      <c r="N12" s="524">
        <v>7310756.3555564396</v>
      </c>
      <c r="O12" s="524">
        <v>5834304.4813735103</v>
      </c>
      <c r="P12" s="34">
        <f t="shared" si="1"/>
        <v>59821005.604235433</v>
      </c>
      <c r="Q12" s="34"/>
      <c r="R12" s="568"/>
    </row>
    <row r="13" spans="2:19" s="41" customFormat="1" x14ac:dyDescent="0.2">
      <c r="B13" s="41" t="s">
        <v>336</v>
      </c>
      <c r="C13" s="41">
        <v>50</v>
      </c>
      <c r="D13" s="524">
        <v>0</v>
      </c>
      <c r="E13" s="524">
        <v>0</v>
      </c>
      <c r="F13" s="524">
        <v>0</v>
      </c>
      <c r="G13" s="524">
        <v>0</v>
      </c>
      <c r="H13" s="524">
        <v>0</v>
      </c>
      <c r="I13" s="524">
        <v>0</v>
      </c>
      <c r="J13" s="524">
        <v>0</v>
      </c>
      <c r="K13" s="524">
        <v>0</v>
      </c>
      <c r="L13" s="524">
        <v>0</v>
      </c>
      <c r="M13" s="524">
        <v>0</v>
      </c>
      <c r="N13" s="524">
        <v>0</v>
      </c>
      <c r="O13" s="524">
        <v>0</v>
      </c>
      <c r="P13" s="34">
        <f t="shared" si="1"/>
        <v>0</v>
      </c>
      <c r="Q13" s="34"/>
    </row>
    <row r="14" spans="2:19" s="41" customFormat="1" x14ac:dyDescent="0.2">
      <c r="B14" s="41" t="s">
        <v>337</v>
      </c>
      <c r="C14" s="41">
        <v>85</v>
      </c>
      <c r="D14" s="524">
        <v>2254539.0140789198</v>
      </c>
      <c r="E14" s="524">
        <v>1682553.3882857999</v>
      </c>
      <c r="F14" s="524">
        <v>2004446.6080421398</v>
      </c>
      <c r="G14" s="524">
        <v>2321376.3210575404</v>
      </c>
      <c r="H14" s="524">
        <v>968245.7671944605</v>
      </c>
      <c r="I14" s="524">
        <v>967054.13310791331</v>
      </c>
      <c r="J14" s="524">
        <v>665122.13163380488</v>
      </c>
      <c r="K14" s="524">
        <v>1562055.1032487692</v>
      </c>
      <c r="L14" s="524">
        <v>899867.46378713194</v>
      </c>
      <c r="M14" s="524">
        <v>1094912.30287575</v>
      </c>
      <c r="N14" s="524">
        <v>1627589.841220784</v>
      </c>
      <c r="O14" s="524">
        <v>2137199.3391672908</v>
      </c>
      <c r="P14" s="34">
        <f t="shared" si="1"/>
        <v>18184961.413700305</v>
      </c>
      <c r="Q14" s="34"/>
    </row>
    <row r="15" spans="2:19" s="41" customFormat="1" x14ac:dyDescent="0.2">
      <c r="B15" s="41" t="s">
        <v>338</v>
      </c>
      <c r="C15" s="41">
        <v>86</v>
      </c>
      <c r="D15" s="524">
        <v>833354.1927044976</v>
      </c>
      <c r="E15" s="524">
        <v>703959.79473607684</v>
      </c>
      <c r="F15" s="524">
        <v>740296.61895869731</v>
      </c>
      <c r="G15" s="524">
        <v>597647.93694112962</v>
      </c>
      <c r="H15" s="524">
        <v>385564.74185002572</v>
      </c>
      <c r="I15" s="524">
        <v>205126.19891178678</v>
      </c>
      <c r="J15" s="524">
        <v>136454.88908722281</v>
      </c>
      <c r="K15" s="524">
        <v>124157.12523060878</v>
      </c>
      <c r="L15" s="524">
        <v>186171.1365671308</v>
      </c>
      <c r="M15" s="524">
        <v>363539.71926523675</v>
      </c>
      <c r="N15" s="524">
        <v>575071.0171126643</v>
      </c>
      <c r="O15" s="524">
        <v>548201.69925483083</v>
      </c>
      <c r="P15" s="34">
        <f t="shared" si="1"/>
        <v>5399545.0706199072</v>
      </c>
      <c r="Q15" s="34"/>
    </row>
    <row r="16" spans="2:19" s="41" customFormat="1" x14ac:dyDescent="0.2">
      <c r="B16" s="41" t="s">
        <v>339</v>
      </c>
      <c r="C16" s="41">
        <v>87</v>
      </c>
      <c r="D16" s="524">
        <v>3569335.9020000002</v>
      </c>
      <c r="E16" s="524">
        <v>4324734.5455000009</v>
      </c>
      <c r="F16" s="524">
        <v>-924064.8600000001</v>
      </c>
      <c r="G16" s="524">
        <v>4877996.5855</v>
      </c>
      <c r="H16" s="524">
        <v>-1040935.385</v>
      </c>
      <c r="I16" s="524">
        <v>1626842.2785</v>
      </c>
      <c r="J16" s="524">
        <v>907108.32249999989</v>
      </c>
      <c r="K16" s="524">
        <v>1003583.997</v>
      </c>
      <c r="L16" s="524">
        <v>780582.4155</v>
      </c>
      <c r="M16" s="524">
        <v>1491653.1800000002</v>
      </c>
      <c r="N16" s="524">
        <v>1721893.1375</v>
      </c>
      <c r="O16" s="524">
        <v>2386006.9024999999</v>
      </c>
      <c r="P16" s="34">
        <f t="shared" si="1"/>
        <v>20724737.021499999</v>
      </c>
      <c r="Q16" s="34"/>
    </row>
    <row r="17" spans="2:18" s="41" customFormat="1" x14ac:dyDescent="0.2">
      <c r="B17" s="41" t="s">
        <v>340</v>
      </c>
      <c r="C17" s="41">
        <v>31</v>
      </c>
      <c r="D17" s="524">
        <v>1842234.9868875495</v>
      </c>
      <c r="E17" s="524">
        <v>1870744.2063166311</v>
      </c>
      <c r="F17" s="524">
        <v>1975815.2887095374</v>
      </c>
      <c r="G17" s="524">
        <v>1459600.2938934783</v>
      </c>
      <c r="H17" s="524">
        <v>448328.758692028</v>
      </c>
      <c r="I17" s="524">
        <v>444878.10728257964</v>
      </c>
      <c r="J17" s="524">
        <v>319297.80119267479</v>
      </c>
      <c r="K17" s="524">
        <v>284475.26553090021</v>
      </c>
      <c r="L17" s="524">
        <v>318909.83072926174</v>
      </c>
      <c r="M17" s="524">
        <v>793938.3778185111</v>
      </c>
      <c r="N17" s="524">
        <v>1546365.498565834</v>
      </c>
      <c r="O17" s="524">
        <v>1547740.4714233926</v>
      </c>
      <c r="P17" s="34">
        <f t="shared" si="1"/>
        <v>12852328.887042379</v>
      </c>
      <c r="Q17" s="34"/>
    </row>
    <row r="18" spans="2:18" s="41" customFormat="1" x14ac:dyDescent="0.2">
      <c r="B18" s="41" t="s">
        <v>341</v>
      </c>
      <c r="C18" s="41">
        <v>41</v>
      </c>
      <c r="D18" s="524">
        <v>933579.18781204917</v>
      </c>
      <c r="E18" s="524">
        <v>1032209.9638352795</v>
      </c>
      <c r="F18" s="524">
        <v>935130.95715464186</v>
      </c>
      <c r="G18" s="524">
        <v>767182.76054772199</v>
      </c>
      <c r="H18" s="524">
        <v>776937.078795393</v>
      </c>
      <c r="I18" s="524">
        <v>622451.20855929295</v>
      </c>
      <c r="J18" s="524">
        <v>574634.96339031449</v>
      </c>
      <c r="K18" s="524">
        <v>568619.06906328909</v>
      </c>
      <c r="L18" s="524">
        <v>620960.48620329448</v>
      </c>
      <c r="M18" s="524">
        <v>751034.10331617808</v>
      </c>
      <c r="N18" s="524">
        <v>875050.16348072642</v>
      </c>
      <c r="O18" s="524">
        <v>858365.31668268749</v>
      </c>
      <c r="P18" s="34">
        <f t="shared" si="1"/>
        <v>9316155.2588408682</v>
      </c>
      <c r="Q18" s="34"/>
    </row>
    <row r="19" spans="2:18" s="41" customFormat="1" x14ac:dyDescent="0.2">
      <c r="B19" s="41" t="s">
        <v>342</v>
      </c>
      <c r="C19" s="41">
        <v>85</v>
      </c>
      <c r="D19" s="524">
        <v>363931.35430000001</v>
      </c>
      <c r="E19" s="524">
        <v>508304.62093599996</v>
      </c>
      <c r="F19" s="524">
        <v>582034.32858720003</v>
      </c>
      <c r="G19" s="524">
        <v>395025.30238160002</v>
      </c>
      <c r="H19" s="524">
        <v>259705.8275672</v>
      </c>
      <c r="I19" s="524">
        <v>516057.12640160008</v>
      </c>
      <c r="J19" s="524">
        <v>146550.65983839994</v>
      </c>
      <c r="K19" s="524">
        <v>279133.73411119997</v>
      </c>
      <c r="L19" s="524">
        <v>576408.05201600003</v>
      </c>
      <c r="M19" s="524">
        <v>292937.83705839998</v>
      </c>
      <c r="N19" s="524">
        <v>417497.80412479996</v>
      </c>
      <c r="O19" s="524">
        <v>274042.83501759998</v>
      </c>
      <c r="P19" s="34">
        <f t="shared" si="1"/>
        <v>4611629.4823399996</v>
      </c>
      <c r="Q19" s="34"/>
    </row>
    <row r="20" spans="2:18" s="41" customFormat="1" x14ac:dyDescent="0.2">
      <c r="B20" s="41" t="s">
        <v>343</v>
      </c>
      <c r="C20" s="41">
        <v>86</v>
      </c>
      <c r="D20" s="524">
        <v>49945.435999999994</v>
      </c>
      <c r="E20" s="524">
        <v>53345.078999999998</v>
      </c>
      <c r="F20" s="524">
        <v>41111.002</v>
      </c>
      <c r="G20" s="524">
        <v>31471.757000000001</v>
      </c>
      <c r="H20" s="524">
        <v>25900.152999999998</v>
      </c>
      <c r="I20" s="524">
        <v>21468.952000000001</v>
      </c>
      <c r="J20" s="524">
        <v>19090.617000000002</v>
      </c>
      <c r="K20" s="524">
        <v>18514.774999999998</v>
      </c>
      <c r="L20" s="524">
        <v>15262.121000000001</v>
      </c>
      <c r="M20" s="524">
        <v>18724.300000000003</v>
      </c>
      <c r="N20" s="524">
        <v>27025.655000000002</v>
      </c>
      <c r="O20" s="524">
        <v>32823.43</v>
      </c>
      <c r="P20" s="34">
        <f t="shared" si="1"/>
        <v>354683.277</v>
      </c>
      <c r="Q20" s="34"/>
    </row>
    <row r="21" spans="2:18" s="41" customFormat="1" x14ac:dyDescent="0.2">
      <c r="B21" s="41" t="s">
        <v>344</v>
      </c>
      <c r="C21" s="41">
        <v>87</v>
      </c>
      <c r="D21" s="524">
        <v>0</v>
      </c>
      <c r="E21" s="524">
        <v>0</v>
      </c>
      <c r="F21" s="524">
        <v>0</v>
      </c>
      <c r="G21" s="524">
        <v>0</v>
      </c>
      <c r="H21" s="524">
        <v>0</v>
      </c>
      <c r="I21" s="524">
        <v>0</v>
      </c>
      <c r="J21" s="524">
        <v>0</v>
      </c>
      <c r="K21" s="524">
        <v>0</v>
      </c>
      <c r="L21" s="524">
        <v>0</v>
      </c>
      <c r="M21" s="524">
        <v>0</v>
      </c>
      <c r="N21" s="524">
        <v>0</v>
      </c>
      <c r="O21" s="524">
        <v>0</v>
      </c>
      <c r="P21" s="34">
        <f t="shared" si="1"/>
        <v>0</v>
      </c>
      <c r="Q21" s="34"/>
    </row>
    <row r="22" spans="2:18" s="41" customFormat="1" x14ac:dyDescent="0.2">
      <c r="B22" s="42" t="s">
        <v>345</v>
      </c>
      <c r="C22" s="566" t="s">
        <v>190</v>
      </c>
      <c r="D22" s="524">
        <v>527.80999999999995</v>
      </c>
      <c r="E22" s="524">
        <v>60.5</v>
      </c>
      <c r="F22" s="524">
        <v>0</v>
      </c>
      <c r="G22" s="524">
        <v>0</v>
      </c>
      <c r="H22" s="524">
        <v>0</v>
      </c>
      <c r="I22" s="524">
        <v>0</v>
      </c>
      <c r="J22" s="524">
        <v>0</v>
      </c>
      <c r="K22" s="524">
        <v>0</v>
      </c>
      <c r="L22" s="524">
        <v>0</v>
      </c>
      <c r="M22" s="524">
        <v>0</v>
      </c>
      <c r="N22" s="524">
        <v>0</v>
      </c>
      <c r="O22" s="524">
        <v>0</v>
      </c>
      <c r="P22" s="34">
        <f t="shared" si="1"/>
        <v>588.30999999999995</v>
      </c>
      <c r="Q22" s="34"/>
    </row>
    <row r="23" spans="2:18" s="41" customFormat="1" x14ac:dyDescent="0.2">
      <c r="B23" s="42" t="s">
        <v>346</v>
      </c>
      <c r="C23" s="569" t="s">
        <v>192</v>
      </c>
      <c r="D23" s="524">
        <v>1639373.2499999998</v>
      </c>
      <c r="E23" s="524">
        <v>1233750.9800000002</v>
      </c>
      <c r="F23" s="524">
        <v>1495082.71</v>
      </c>
      <c r="G23" s="524">
        <v>2248077.37</v>
      </c>
      <c r="H23" s="524">
        <v>33276.93999999974</v>
      </c>
      <c r="I23" s="524">
        <v>1069645.9700000002</v>
      </c>
      <c r="J23" s="524">
        <v>980747.60999999975</v>
      </c>
      <c r="K23" s="524">
        <v>926323.22999999986</v>
      </c>
      <c r="L23" s="524">
        <v>1026882.9800000001</v>
      </c>
      <c r="M23" s="524">
        <v>1203414.17</v>
      </c>
      <c r="N23" s="524">
        <v>1236648.1399999999</v>
      </c>
      <c r="O23" s="524">
        <v>1393710.49</v>
      </c>
      <c r="P23" s="34">
        <f t="shared" si="1"/>
        <v>14486933.84</v>
      </c>
      <c r="Q23" s="34"/>
    </row>
    <row r="24" spans="2:18" s="41" customFormat="1" x14ac:dyDescent="0.2">
      <c r="B24" s="42" t="s">
        <v>347</v>
      </c>
      <c r="C24" s="569" t="s">
        <v>3</v>
      </c>
      <c r="D24" s="524">
        <v>1612621.04</v>
      </c>
      <c r="E24" s="524">
        <v>1167942.8799999997</v>
      </c>
      <c r="F24" s="524">
        <v>1833706.09</v>
      </c>
      <c r="G24" s="524">
        <v>2000514.4600000002</v>
      </c>
      <c r="H24" s="524">
        <v>2455971.5099999998</v>
      </c>
      <c r="I24" s="524">
        <v>-848898.91999999969</v>
      </c>
      <c r="J24" s="524">
        <v>1119098.02</v>
      </c>
      <c r="K24" s="524">
        <v>1148608.17</v>
      </c>
      <c r="L24" s="524">
        <v>1290817.6800000002</v>
      </c>
      <c r="M24" s="524">
        <v>1328780.5</v>
      </c>
      <c r="N24" s="524">
        <v>1395202.3699999996</v>
      </c>
      <c r="O24" s="524">
        <v>1497978.15</v>
      </c>
      <c r="P24" s="34">
        <f t="shared" si="1"/>
        <v>16002341.949999999</v>
      </c>
      <c r="Q24" s="34"/>
    </row>
    <row r="25" spans="2:18" s="41" customFormat="1" x14ac:dyDescent="0.2">
      <c r="B25" s="41" t="s">
        <v>347</v>
      </c>
      <c r="C25" s="566" t="s">
        <v>195</v>
      </c>
      <c r="D25" s="524">
        <v>322473.87</v>
      </c>
      <c r="E25" s="524">
        <v>144661.56</v>
      </c>
      <c r="F25" s="524">
        <v>77666.78</v>
      </c>
      <c r="G25" s="524">
        <v>188089.41</v>
      </c>
      <c r="H25" s="524">
        <v>-1804.31</v>
      </c>
      <c r="I25" s="524">
        <v>113595.58</v>
      </c>
      <c r="J25" s="524">
        <v>117096.02</v>
      </c>
      <c r="K25" s="524">
        <v>161105.41</v>
      </c>
      <c r="L25" s="524">
        <v>61016.79</v>
      </c>
      <c r="M25" s="524">
        <v>21128.18</v>
      </c>
      <c r="N25" s="524">
        <v>8938.01</v>
      </c>
      <c r="O25" s="524">
        <v>529.14</v>
      </c>
      <c r="P25" s="34">
        <f t="shared" si="1"/>
        <v>1214496.4399999997</v>
      </c>
      <c r="Q25" s="34"/>
    </row>
    <row r="26" spans="2:18" s="41" customFormat="1" x14ac:dyDescent="0.2">
      <c r="B26" s="42" t="s">
        <v>348</v>
      </c>
      <c r="C26" s="569" t="s">
        <v>2</v>
      </c>
      <c r="D26" s="524">
        <v>1836166.6000000008</v>
      </c>
      <c r="E26" s="524">
        <v>1523181.47</v>
      </c>
      <c r="F26" s="524">
        <v>1865676.7400000002</v>
      </c>
      <c r="G26" s="524">
        <v>3029176.8199999994</v>
      </c>
      <c r="H26" s="524">
        <v>-27767.609999999986</v>
      </c>
      <c r="I26" s="524">
        <v>1190617.18</v>
      </c>
      <c r="J26" s="524">
        <v>1117477.3600000001</v>
      </c>
      <c r="K26" s="524">
        <v>1209520.79</v>
      </c>
      <c r="L26" s="524">
        <v>1105717.1199999999</v>
      </c>
      <c r="M26" s="524">
        <v>1650631.89</v>
      </c>
      <c r="N26" s="524">
        <v>1685473.6800000002</v>
      </c>
      <c r="O26" s="524">
        <v>1800575.42</v>
      </c>
      <c r="P26" s="34">
        <f t="shared" si="1"/>
        <v>17986447.459999997</v>
      </c>
      <c r="Q26" s="34"/>
    </row>
    <row r="27" spans="2:18" s="41" customFormat="1" x14ac:dyDescent="0.2">
      <c r="B27" s="42" t="s">
        <v>349</v>
      </c>
      <c r="C27" s="569" t="s">
        <v>192</v>
      </c>
      <c r="D27" s="524">
        <v>502975.03999999992</v>
      </c>
      <c r="E27" s="524">
        <v>364714.1100000001</v>
      </c>
      <c r="F27" s="524">
        <v>681047.72</v>
      </c>
      <c r="G27" s="524">
        <v>1024661.4700000001</v>
      </c>
      <c r="H27" s="524">
        <v>287263.98</v>
      </c>
      <c r="I27" s="524">
        <v>528178.55000000005</v>
      </c>
      <c r="J27" s="524">
        <v>498739.21000000008</v>
      </c>
      <c r="K27" s="524">
        <v>323903.68999999994</v>
      </c>
      <c r="L27" s="524">
        <v>748853.38</v>
      </c>
      <c r="M27" s="524">
        <v>513052.11</v>
      </c>
      <c r="N27" s="524">
        <v>463063.90000000008</v>
      </c>
      <c r="O27" s="524">
        <v>539846.15</v>
      </c>
      <c r="P27" s="34">
        <f t="shared" si="1"/>
        <v>6476299.3100000005</v>
      </c>
      <c r="Q27" s="34"/>
    </row>
    <row r="28" spans="2:18" s="41" customFormat="1" x14ac:dyDescent="0.2">
      <c r="B28" s="42" t="s">
        <v>350</v>
      </c>
      <c r="C28" s="569" t="s">
        <v>3</v>
      </c>
      <c r="D28" s="524">
        <v>3158455.86</v>
      </c>
      <c r="E28" s="524">
        <v>2465375.1800000002</v>
      </c>
      <c r="F28" s="524">
        <v>4745088.1099999994</v>
      </c>
      <c r="G28" s="524">
        <v>6469218.1299999999</v>
      </c>
      <c r="H28" s="524">
        <v>693171.70999999985</v>
      </c>
      <c r="I28" s="524">
        <v>3194524.5100000002</v>
      </c>
      <c r="J28" s="524">
        <v>3265020.42</v>
      </c>
      <c r="K28" s="524">
        <v>3275402.62</v>
      </c>
      <c r="L28" s="524">
        <v>3742584.3200000003</v>
      </c>
      <c r="M28" s="524">
        <v>3814583.6899999995</v>
      </c>
      <c r="N28" s="524">
        <v>3556285.4899999998</v>
      </c>
      <c r="O28" s="524">
        <v>3635826.62</v>
      </c>
      <c r="P28" s="34">
        <f t="shared" si="1"/>
        <v>42015536.660000004</v>
      </c>
      <c r="Q28" s="34"/>
    </row>
    <row r="29" spans="2:18" s="41" customFormat="1" x14ac:dyDescent="0.2">
      <c r="B29" s="41" t="s">
        <v>351</v>
      </c>
      <c r="C29" s="569" t="s">
        <v>195</v>
      </c>
      <c r="D29" s="524">
        <v>39179.449999999997</v>
      </c>
      <c r="E29" s="524">
        <v>59879</v>
      </c>
      <c r="F29" s="524">
        <v>37407.11</v>
      </c>
      <c r="G29" s="524">
        <v>86262.579999999987</v>
      </c>
      <c r="H29" s="524">
        <v>12516.38000000001</v>
      </c>
      <c r="I29" s="524">
        <v>55217.459999999992</v>
      </c>
      <c r="J29" s="524">
        <v>42138.979999999989</v>
      </c>
      <c r="K29" s="524">
        <v>36998.29</v>
      </c>
      <c r="L29" s="524">
        <v>52591.969999999994</v>
      </c>
      <c r="M29" s="524">
        <v>73997.240000000005</v>
      </c>
      <c r="N29" s="524">
        <v>54382.310000000005</v>
      </c>
      <c r="O29" s="524">
        <v>43838.029999999992</v>
      </c>
      <c r="P29" s="34">
        <f t="shared" si="1"/>
        <v>594408.79999999993</v>
      </c>
      <c r="Q29" s="34"/>
    </row>
    <row r="30" spans="2:18" s="41" customFormat="1" x14ac:dyDescent="0.2">
      <c r="B30" s="42" t="s">
        <v>352</v>
      </c>
      <c r="C30" s="569" t="s">
        <v>2</v>
      </c>
      <c r="D30" s="524">
        <v>7663530.6600000001</v>
      </c>
      <c r="E30" s="524">
        <v>4504225.54</v>
      </c>
      <c r="F30" s="524">
        <v>4246838.7699999986</v>
      </c>
      <c r="G30" s="524">
        <v>8959352.2700000014</v>
      </c>
      <c r="H30" s="524">
        <v>9146271.8699999992</v>
      </c>
      <c r="I30" s="524">
        <v>-289195.59000000148</v>
      </c>
      <c r="J30" s="524">
        <v>10281165.350000001</v>
      </c>
      <c r="K30" s="524">
        <v>5683839.9299999997</v>
      </c>
      <c r="L30" s="524">
        <v>4364881.6999999993</v>
      </c>
      <c r="M30" s="524">
        <v>6452460.6000000015</v>
      </c>
      <c r="N30" s="524">
        <v>4803161.9799999986</v>
      </c>
      <c r="O30" s="524">
        <v>5485468.3400000008</v>
      </c>
      <c r="P30" s="34">
        <f t="shared" si="1"/>
        <v>71302001.420000002</v>
      </c>
      <c r="Q30" s="34"/>
    </row>
    <row r="31" spans="2:18" s="44" customFormat="1" ht="15" x14ac:dyDescent="0.25">
      <c r="B31" s="44" t="s">
        <v>353</v>
      </c>
      <c r="C31" s="570" t="s">
        <v>354</v>
      </c>
      <c r="D31" s="524">
        <v>3704397.25</v>
      </c>
      <c r="E31" s="524">
        <v>1371351.4100000001</v>
      </c>
      <c r="F31" s="524">
        <v>6032128.0300000003</v>
      </c>
      <c r="G31" s="524">
        <v>34297.089999968768</v>
      </c>
      <c r="H31" s="524">
        <v>5081262.3300000364</v>
      </c>
      <c r="I31" s="524">
        <v>1839517.6399999997</v>
      </c>
      <c r="J31" s="524">
        <v>1681835.35</v>
      </c>
      <c r="K31" s="524">
        <v>1653340.1099999999</v>
      </c>
      <c r="L31" s="524">
        <v>1784397.1</v>
      </c>
      <c r="M31" s="571">
        <v>2438936.9499999997</v>
      </c>
      <c r="N31" s="571">
        <v>3679132.0199999996</v>
      </c>
      <c r="O31" s="571">
        <v>-7336780.5399999991</v>
      </c>
      <c r="P31" s="79">
        <f t="shared" si="1"/>
        <v>21963814.74000001</v>
      </c>
      <c r="Q31" s="38"/>
    </row>
    <row r="32" spans="2:18" s="41" customFormat="1" x14ac:dyDescent="0.2">
      <c r="B32" s="41" t="s">
        <v>355</v>
      </c>
      <c r="D32" s="15">
        <f t="shared" ref="D32:O32" si="2">SUM(D8:D31)</f>
        <v>156999405.56627434</v>
      </c>
      <c r="E32" s="15">
        <f t="shared" si="2"/>
        <v>146549416.94200435</v>
      </c>
      <c r="F32" s="15">
        <f t="shared" si="2"/>
        <v>143876532.20986319</v>
      </c>
      <c r="G32" s="15">
        <f t="shared" si="2"/>
        <v>120982645.68677275</v>
      </c>
      <c r="H32" s="15">
        <f t="shared" si="2"/>
        <v>58800639.944883145</v>
      </c>
      <c r="I32" s="15">
        <f t="shared" si="2"/>
        <v>41662283.721704073</v>
      </c>
      <c r="J32" s="15">
        <f t="shared" si="2"/>
        <v>44371142.275340341</v>
      </c>
      <c r="K32" s="15">
        <f t="shared" si="2"/>
        <v>40324988.445979312</v>
      </c>
      <c r="L32" s="15">
        <f t="shared" si="2"/>
        <v>48030719.424381696</v>
      </c>
      <c r="M32" s="15">
        <f t="shared" si="2"/>
        <v>81649214.694223508</v>
      </c>
      <c r="N32" s="15">
        <f t="shared" si="2"/>
        <v>128272924.1854811</v>
      </c>
      <c r="O32" s="15">
        <f t="shared" si="2"/>
        <v>124798040.01147726</v>
      </c>
      <c r="P32" s="34">
        <f t="shared" si="1"/>
        <v>1136317953.1083851</v>
      </c>
      <c r="Q32" s="38"/>
      <c r="R32" s="34"/>
    </row>
    <row r="33" spans="2:40" s="41" customFormat="1" x14ac:dyDescent="0.2">
      <c r="B33" s="41" t="s">
        <v>356</v>
      </c>
      <c r="D33" s="38">
        <f>SUM(D22:D31)</f>
        <v>20479700.829999998</v>
      </c>
      <c r="E33" s="38">
        <f t="shared" ref="E33:O33" si="3">SUM(E22:E31)</f>
        <v>12835142.629999999</v>
      </c>
      <c r="F33" s="38">
        <f t="shared" si="3"/>
        <v>21014642.059999999</v>
      </c>
      <c r="G33" s="38">
        <f t="shared" si="3"/>
        <v>24039649.599999972</v>
      </c>
      <c r="H33" s="38">
        <f t="shared" si="3"/>
        <v>17680162.800000034</v>
      </c>
      <c r="I33" s="38">
        <f t="shared" si="3"/>
        <v>6853202.379999999</v>
      </c>
      <c r="J33" s="38">
        <f t="shared" si="3"/>
        <v>19103318.320000004</v>
      </c>
      <c r="K33" s="38">
        <f t="shared" si="3"/>
        <v>14419042.239999998</v>
      </c>
      <c r="L33" s="38">
        <f t="shared" si="3"/>
        <v>14177743.039999999</v>
      </c>
      <c r="M33" s="38">
        <f t="shared" si="3"/>
        <v>17496985.330000002</v>
      </c>
      <c r="N33" s="38">
        <f t="shared" si="3"/>
        <v>16882287.899999999</v>
      </c>
      <c r="O33" s="38">
        <f t="shared" si="3"/>
        <v>7060991.8000000007</v>
      </c>
      <c r="P33" s="34">
        <f t="shared" si="1"/>
        <v>192042868.93000004</v>
      </c>
      <c r="Q33" s="34"/>
    </row>
    <row r="34" spans="2:40" x14ac:dyDescent="0.2">
      <c r="C34" s="569"/>
      <c r="D34" s="381"/>
      <c r="E34" s="381"/>
      <c r="F34" s="381"/>
      <c r="G34" s="381"/>
      <c r="H34" s="524"/>
      <c r="I34" s="524"/>
      <c r="J34" s="524"/>
      <c r="K34" s="381"/>
      <c r="L34" s="381"/>
      <c r="M34" s="381"/>
      <c r="N34" s="381"/>
      <c r="O34" s="381"/>
      <c r="P34" s="34"/>
      <c r="Q34" s="381"/>
    </row>
    <row r="35" spans="2:40" x14ac:dyDescent="0.2">
      <c r="B35" s="278" t="s">
        <v>357</v>
      </c>
      <c r="C35" s="564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</row>
    <row r="36" spans="2:40" x14ac:dyDescent="0.2">
      <c r="B36" s="41" t="s">
        <v>332</v>
      </c>
      <c r="C36" s="566">
        <v>16</v>
      </c>
      <c r="D36" s="524">
        <v>3</v>
      </c>
      <c r="E36" s="524">
        <v>3</v>
      </c>
      <c r="F36" s="524">
        <v>3</v>
      </c>
      <c r="G36" s="524">
        <v>4</v>
      </c>
      <c r="H36" s="524">
        <v>4</v>
      </c>
      <c r="I36" s="524">
        <v>4</v>
      </c>
      <c r="J36" s="524">
        <v>5</v>
      </c>
      <c r="K36" s="524">
        <v>4</v>
      </c>
      <c r="L36" s="524">
        <v>5</v>
      </c>
      <c r="M36" s="524">
        <v>5</v>
      </c>
      <c r="N36" s="524">
        <v>3</v>
      </c>
      <c r="O36" s="524">
        <v>4</v>
      </c>
      <c r="P36" s="34">
        <f t="shared" ref="P36:P63" si="4">SUM(D36:O36)</f>
        <v>47</v>
      </c>
      <c r="Q36" s="572"/>
      <c r="R36" s="566"/>
      <c r="S36" s="572"/>
      <c r="T36" s="572"/>
      <c r="U36" s="573"/>
      <c r="V36" s="573"/>
      <c r="W36" s="572"/>
      <c r="X36" s="572"/>
      <c r="Y36" s="572"/>
      <c r="Z36" s="572"/>
      <c r="AA36" s="572"/>
      <c r="AB36" s="573"/>
      <c r="AC36" s="572"/>
      <c r="AD36" s="572"/>
      <c r="AE36" s="574"/>
      <c r="AF36" s="572"/>
      <c r="AG36" s="572"/>
      <c r="AH36" s="572"/>
      <c r="AI36" s="572"/>
      <c r="AJ36" s="572"/>
      <c r="AK36" s="572"/>
      <c r="AL36" s="572"/>
      <c r="AM36" s="572"/>
      <c r="AN36" s="572"/>
    </row>
    <row r="37" spans="2:40" s="41" customFormat="1" x14ac:dyDescent="0.2">
      <c r="B37" s="41" t="s">
        <v>5</v>
      </c>
      <c r="C37" s="41">
        <v>23</v>
      </c>
      <c r="D37" s="524">
        <v>813476</v>
      </c>
      <c r="E37" s="524">
        <v>814242</v>
      </c>
      <c r="F37" s="524">
        <v>814694</v>
      </c>
      <c r="G37" s="524">
        <v>814916</v>
      </c>
      <c r="H37" s="524">
        <v>815054</v>
      </c>
      <c r="I37" s="524">
        <v>815306</v>
      </c>
      <c r="J37" s="524">
        <v>815068</v>
      </c>
      <c r="K37" s="524">
        <v>815372</v>
      </c>
      <c r="L37" s="524">
        <v>815670</v>
      </c>
      <c r="M37" s="524">
        <v>816331</v>
      </c>
      <c r="N37" s="524">
        <v>817287</v>
      </c>
      <c r="O37" s="524">
        <v>817979</v>
      </c>
      <c r="P37" s="34">
        <f t="shared" si="4"/>
        <v>9785395</v>
      </c>
      <c r="Q37" s="572"/>
    </row>
    <row r="38" spans="2:40" s="41" customFormat="1" x14ac:dyDescent="0.2">
      <c r="B38" s="41" t="s">
        <v>333</v>
      </c>
      <c r="C38" s="41">
        <v>53</v>
      </c>
      <c r="D38" s="524">
        <v>0</v>
      </c>
      <c r="E38" s="524">
        <v>0</v>
      </c>
      <c r="F38" s="524">
        <v>0</v>
      </c>
      <c r="G38" s="524">
        <v>0</v>
      </c>
      <c r="H38" s="524">
        <v>0</v>
      </c>
      <c r="I38" s="524">
        <v>0</v>
      </c>
      <c r="J38" s="524">
        <v>0</v>
      </c>
      <c r="K38" s="524">
        <v>0</v>
      </c>
      <c r="L38" s="524">
        <v>0</v>
      </c>
      <c r="M38" s="524">
        <v>0</v>
      </c>
      <c r="N38" s="524">
        <v>0</v>
      </c>
      <c r="O38" s="524">
        <v>0</v>
      </c>
      <c r="P38" s="34">
        <f t="shared" si="4"/>
        <v>0</v>
      </c>
      <c r="Q38" s="572"/>
    </row>
    <row r="39" spans="2:40" s="41" customFormat="1" x14ac:dyDescent="0.2">
      <c r="B39" s="41" t="s">
        <v>358</v>
      </c>
      <c r="C39" s="41">
        <v>61</v>
      </c>
      <c r="D39" s="524"/>
      <c r="E39" s="524"/>
      <c r="F39" s="524"/>
      <c r="G39" s="524"/>
      <c r="H39" s="524"/>
      <c r="I39" s="524"/>
      <c r="J39" s="524"/>
      <c r="K39" s="524"/>
      <c r="L39" s="524"/>
      <c r="M39" s="524"/>
      <c r="N39" s="524"/>
      <c r="O39" s="524"/>
      <c r="P39" s="34">
        <f t="shared" si="4"/>
        <v>0</v>
      </c>
      <c r="Q39" s="572"/>
    </row>
    <row r="40" spans="2:40" s="41" customFormat="1" x14ac:dyDescent="0.2">
      <c r="B40" s="41" t="s">
        <v>359</v>
      </c>
      <c r="C40" s="41">
        <v>31</v>
      </c>
      <c r="D40" s="524">
        <v>55773</v>
      </c>
      <c r="E40" s="524">
        <v>55816</v>
      </c>
      <c r="F40" s="524">
        <v>55849</v>
      </c>
      <c r="G40" s="524">
        <v>55839</v>
      </c>
      <c r="H40" s="524">
        <v>55803</v>
      </c>
      <c r="I40" s="524">
        <v>55727</v>
      </c>
      <c r="J40" s="524">
        <v>55679</v>
      </c>
      <c r="K40" s="524">
        <v>55623</v>
      </c>
      <c r="L40" s="524">
        <v>55603</v>
      </c>
      <c r="M40" s="524">
        <v>55604</v>
      </c>
      <c r="N40" s="524">
        <v>55689</v>
      </c>
      <c r="O40" s="524">
        <v>55764</v>
      </c>
      <c r="P40" s="34">
        <f t="shared" si="4"/>
        <v>668769</v>
      </c>
      <c r="Q40" s="572"/>
    </row>
    <row r="41" spans="2:40" s="41" customFormat="1" x14ac:dyDescent="0.2">
      <c r="B41" s="41" t="s">
        <v>360</v>
      </c>
      <c r="C41" s="41">
        <v>41</v>
      </c>
      <c r="D41" s="524">
        <v>1172</v>
      </c>
      <c r="E41" s="524">
        <v>1178</v>
      </c>
      <c r="F41" s="524">
        <v>1186</v>
      </c>
      <c r="G41" s="524">
        <v>1180</v>
      </c>
      <c r="H41" s="524">
        <v>1187</v>
      </c>
      <c r="I41" s="524">
        <v>1192</v>
      </c>
      <c r="J41" s="524">
        <v>1194</v>
      </c>
      <c r="K41" s="524">
        <v>1214</v>
      </c>
      <c r="L41" s="524">
        <v>1215</v>
      </c>
      <c r="M41" s="524">
        <v>1218</v>
      </c>
      <c r="N41" s="524">
        <v>1252</v>
      </c>
      <c r="O41" s="524">
        <v>1252</v>
      </c>
      <c r="P41" s="34">
        <f t="shared" si="4"/>
        <v>14440</v>
      </c>
      <c r="Q41" s="572"/>
    </row>
    <row r="42" spans="2:40" s="41" customFormat="1" x14ac:dyDescent="0.2">
      <c r="B42" s="41" t="s">
        <v>336</v>
      </c>
      <c r="C42" s="41">
        <v>50</v>
      </c>
      <c r="D42" s="524"/>
      <c r="E42" s="524"/>
      <c r="F42" s="524"/>
      <c r="G42" s="524"/>
      <c r="H42" s="524"/>
      <c r="I42" s="524"/>
      <c r="J42" s="524"/>
      <c r="K42" s="524"/>
      <c r="L42" s="524"/>
      <c r="M42" s="524"/>
      <c r="N42" s="524"/>
      <c r="O42" s="524"/>
      <c r="P42" s="34">
        <f t="shared" si="4"/>
        <v>0</v>
      </c>
      <c r="Q42" s="572"/>
    </row>
    <row r="43" spans="2:40" s="41" customFormat="1" x14ac:dyDescent="0.2">
      <c r="B43" s="41" t="s">
        <v>361</v>
      </c>
      <c r="C43" s="41">
        <v>61</v>
      </c>
      <c r="D43" s="524"/>
      <c r="E43" s="524"/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34">
        <f t="shared" si="4"/>
        <v>0</v>
      </c>
      <c r="Q43" s="572"/>
    </row>
    <row r="44" spans="2:40" s="41" customFormat="1" x14ac:dyDescent="0.2">
      <c r="B44" s="41" t="s">
        <v>337</v>
      </c>
      <c r="C44" s="41">
        <v>85</v>
      </c>
      <c r="D44" s="524">
        <v>29</v>
      </c>
      <c r="E44" s="524">
        <v>28</v>
      </c>
      <c r="F44" s="524">
        <v>28</v>
      </c>
      <c r="G44" s="524">
        <v>28</v>
      </c>
      <c r="H44" s="524">
        <v>28</v>
      </c>
      <c r="I44" s="524">
        <v>28</v>
      </c>
      <c r="J44" s="524">
        <v>28</v>
      </c>
      <c r="K44" s="524">
        <v>28</v>
      </c>
      <c r="L44" s="524">
        <v>28</v>
      </c>
      <c r="M44" s="524">
        <v>28</v>
      </c>
      <c r="N44" s="524">
        <v>28</v>
      </c>
      <c r="O44" s="524">
        <v>28</v>
      </c>
      <c r="P44" s="34">
        <f t="shared" si="4"/>
        <v>337</v>
      </c>
      <c r="Q44" s="572"/>
    </row>
    <row r="45" spans="2:40" s="41" customFormat="1" x14ac:dyDescent="0.2">
      <c r="B45" s="41" t="s">
        <v>338</v>
      </c>
      <c r="C45" s="41">
        <v>86</v>
      </c>
      <c r="D45" s="524">
        <v>101</v>
      </c>
      <c r="E45" s="524">
        <v>101</v>
      </c>
      <c r="F45" s="524">
        <v>101</v>
      </c>
      <c r="G45" s="524">
        <v>100</v>
      </c>
      <c r="H45" s="524">
        <v>100</v>
      </c>
      <c r="I45" s="524">
        <v>99</v>
      </c>
      <c r="J45" s="524">
        <v>99</v>
      </c>
      <c r="K45" s="524">
        <v>99</v>
      </c>
      <c r="L45" s="524">
        <v>98</v>
      </c>
      <c r="M45" s="524">
        <v>95</v>
      </c>
      <c r="N45" s="524">
        <v>95</v>
      </c>
      <c r="O45" s="524">
        <v>95</v>
      </c>
      <c r="P45" s="34">
        <f t="shared" si="4"/>
        <v>1183</v>
      </c>
      <c r="Q45" s="572"/>
    </row>
    <row r="46" spans="2:40" s="41" customFormat="1" x14ac:dyDescent="0.2">
      <c r="B46" s="41" t="s">
        <v>362</v>
      </c>
      <c r="C46" s="41">
        <v>87</v>
      </c>
      <c r="D46" s="524">
        <v>4</v>
      </c>
      <c r="E46" s="524">
        <v>4</v>
      </c>
      <c r="F46" s="524">
        <v>4</v>
      </c>
      <c r="G46" s="524">
        <v>4</v>
      </c>
      <c r="H46" s="524">
        <v>4</v>
      </c>
      <c r="I46" s="524">
        <v>4</v>
      </c>
      <c r="J46" s="524">
        <v>4</v>
      </c>
      <c r="K46" s="524">
        <v>4</v>
      </c>
      <c r="L46" s="524">
        <v>4</v>
      </c>
      <c r="M46" s="524">
        <v>4</v>
      </c>
      <c r="N46" s="524">
        <v>4</v>
      </c>
      <c r="O46" s="524">
        <v>4</v>
      </c>
      <c r="P46" s="34">
        <f t="shared" si="4"/>
        <v>48</v>
      </c>
      <c r="Q46" s="572"/>
    </row>
    <row r="47" spans="2:40" s="41" customFormat="1" x14ac:dyDescent="0.2">
      <c r="B47" s="41" t="s">
        <v>340</v>
      </c>
      <c r="C47" s="41">
        <v>31</v>
      </c>
      <c r="D47" s="524">
        <v>2196</v>
      </c>
      <c r="E47" s="524">
        <v>2195</v>
      </c>
      <c r="F47" s="524">
        <v>2197</v>
      </c>
      <c r="G47" s="524">
        <v>2201</v>
      </c>
      <c r="H47" s="524">
        <v>2196</v>
      </c>
      <c r="I47" s="524">
        <v>2193</v>
      </c>
      <c r="J47" s="524">
        <v>2183</v>
      </c>
      <c r="K47" s="524">
        <v>2183</v>
      </c>
      <c r="L47" s="524">
        <v>2183</v>
      </c>
      <c r="M47" s="524">
        <v>2185</v>
      </c>
      <c r="N47" s="524">
        <v>2191</v>
      </c>
      <c r="O47" s="524">
        <v>2191</v>
      </c>
      <c r="P47" s="34">
        <f t="shared" si="4"/>
        <v>26294</v>
      </c>
      <c r="Q47" s="572"/>
    </row>
    <row r="48" spans="2:40" s="41" customFormat="1" ht="15" x14ac:dyDescent="0.25">
      <c r="B48" s="41" t="s">
        <v>341</v>
      </c>
      <c r="C48" s="41">
        <v>41</v>
      </c>
      <c r="D48" s="524">
        <v>70</v>
      </c>
      <c r="E48" s="524">
        <v>69</v>
      </c>
      <c r="F48" s="524">
        <v>69</v>
      </c>
      <c r="G48" s="524">
        <v>69</v>
      </c>
      <c r="H48" s="524">
        <v>70</v>
      </c>
      <c r="I48" s="524">
        <v>69</v>
      </c>
      <c r="J48" s="524">
        <v>69</v>
      </c>
      <c r="K48" s="524">
        <v>69</v>
      </c>
      <c r="L48" s="524">
        <v>70</v>
      </c>
      <c r="M48" s="524">
        <v>69</v>
      </c>
      <c r="N48" s="524">
        <v>69</v>
      </c>
      <c r="O48" s="524">
        <v>68</v>
      </c>
      <c r="P48" s="34">
        <f t="shared" si="4"/>
        <v>830</v>
      </c>
      <c r="Q48" s="572"/>
      <c r="S48" s="34"/>
      <c r="T48" s="575"/>
    </row>
    <row r="49" spans="2:20" s="41" customFormat="1" x14ac:dyDescent="0.2">
      <c r="B49" s="41" t="s">
        <v>363</v>
      </c>
      <c r="C49" s="41">
        <v>61</v>
      </c>
      <c r="D49" s="524"/>
      <c r="E49" s="524"/>
      <c r="F49" s="524"/>
      <c r="G49" s="524"/>
      <c r="H49" s="524"/>
      <c r="I49" s="524"/>
      <c r="J49" s="524"/>
      <c r="K49" s="524"/>
      <c r="L49" s="524"/>
      <c r="M49" s="524"/>
      <c r="N49" s="524"/>
      <c r="O49" s="524"/>
      <c r="P49" s="34">
        <f t="shared" si="4"/>
        <v>0</v>
      </c>
      <c r="Q49" s="572"/>
      <c r="S49" s="34"/>
    </row>
    <row r="50" spans="2:20" s="41" customFormat="1" x14ac:dyDescent="0.2">
      <c r="B50" s="41" t="s">
        <v>342</v>
      </c>
      <c r="C50" s="41">
        <v>85</v>
      </c>
      <c r="D50" s="524">
        <v>6</v>
      </c>
      <c r="E50" s="524">
        <v>6</v>
      </c>
      <c r="F50" s="524">
        <v>6</v>
      </c>
      <c r="G50" s="524">
        <v>5</v>
      </c>
      <c r="H50" s="524">
        <v>5</v>
      </c>
      <c r="I50" s="524">
        <v>5</v>
      </c>
      <c r="J50" s="524">
        <v>5</v>
      </c>
      <c r="K50" s="524">
        <v>5</v>
      </c>
      <c r="L50" s="524">
        <v>5</v>
      </c>
      <c r="M50" s="524">
        <v>5</v>
      </c>
      <c r="N50" s="524">
        <v>5</v>
      </c>
      <c r="O50" s="524">
        <v>5</v>
      </c>
      <c r="P50" s="34">
        <f t="shared" si="4"/>
        <v>63</v>
      </c>
      <c r="Q50" s="572"/>
    </row>
    <row r="51" spans="2:20" s="41" customFormat="1" x14ac:dyDescent="0.2">
      <c r="B51" s="41" t="s">
        <v>343</v>
      </c>
      <c r="C51" s="41">
        <v>86</v>
      </c>
      <c r="D51" s="524">
        <v>6</v>
      </c>
      <c r="E51" s="524">
        <v>6</v>
      </c>
      <c r="F51" s="524">
        <v>6</v>
      </c>
      <c r="G51" s="524">
        <v>6</v>
      </c>
      <c r="H51" s="524">
        <v>6</v>
      </c>
      <c r="I51" s="524">
        <v>6</v>
      </c>
      <c r="J51" s="524">
        <v>6</v>
      </c>
      <c r="K51" s="524">
        <v>6</v>
      </c>
      <c r="L51" s="524">
        <v>6</v>
      </c>
      <c r="M51" s="524">
        <v>6</v>
      </c>
      <c r="N51" s="524">
        <v>6</v>
      </c>
      <c r="O51" s="524">
        <v>6</v>
      </c>
      <c r="P51" s="34">
        <f t="shared" si="4"/>
        <v>72</v>
      </c>
      <c r="Q51" s="572"/>
    </row>
    <row r="52" spans="2:20" s="41" customFormat="1" x14ac:dyDescent="0.2">
      <c r="B52" s="41" t="s">
        <v>344</v>
      </c>
      <c r="C52" s="41">
        <v>87</v>
      </c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4"/>
      <c r="O52" s="524"/>
      <c r="P52" s="34">
        <f t="shared" si="4"/>
        <v>0</v>
      </c>
      <c r="Q52" s="572"/>
    </row>
    <row r="53" spans="2:20" s="41" customFormat="1" x14ac:dyDescent="0.2">
      <c r="B53" s="42" t="s">
        <v>345</v>
      </c>
      <c r="C53" s="566" t="s">
        <v>190</v>
      </c>
      <c r="D53" s="524">
        <v>0</v>
      </c>
      <c r="E53" s="524">
        <v>0</v>
      </c>
      <c r="F53" s="524">
        <v>0</v>
      </c>
      <c r="G53" s="524">
        <v>0</v>
      </c>
      <c r="H53" s="524">
        <v>0</v>
      </c>
      <c r="I53" s="524">
        <v>0</v>
      </c>
      <c r="J53" s="524">
        <v>0</v>
      </c>
      <c r="K53" s="524">
        <v>0</v>
      </c>
      <c r="L53" s="524">
        <v>0</v>
      </c>
      <c r="M53" s="524">
        <v>0</v>
      </c>
      <c r="N53" s="524">
        <v>0</v>
      </c>
      <c r="O53" s="524">
        <v>0</v>
      </c>
      <c r="P53" s="34">
        <f t="shared" si="4"/>
        <v>0</v>
      </c>
      <c r="Q53" s="572"/>
      <c r="R53" s="566"/>
    </row>
    <row r="54" spans="2:20" s="41" customFormat="1" x14ac:dyDescent="0.2">
      <c r="B54" s="42" t="s">
        <v>346</v>
      </c>
      <c r="C54" s="569" t="s">
        <v>192</v>
      </c>
      <c r="D54" s="524">
        <v>77</v>
      </c>
      <c r="E54" s="524">
        <v>77</v>
      </c>
      <c r="F54" s="524">
        <v>77</v>
      </c>
      <c r="G54" s="524">
        <v>75</v>
      </c>
      <c r="H54" s="524">
        <v>75</v>
      </c>
      <c r="I54" s="524">
        <v>75</v>
      </c>
      <c r="J54" s="524">
        <v>75</v>
      </c>
      <c r="K54" s="524">
        <v>75</v>
      </c>
      <c r="L54" s="524">
        <v>75</v>
      </c>
      <c r="M54" s="524">
        <v>75</v>
      </c>
      <c r="N54" s="524">
        <v>75</v>
      </c>
      <c r="O54" s="524">
        <v>75</v>
      </c>
      <c r="P54" s="34">
        <f t="shared" si="4"/>
        <v>906</v>
      </c>
      <c r="Q54" s="572"/>
      <c r="R54" s="569"/>
    </row>
    <row r="55" spans="2:20" s="41" customFormat="1" x14ac:dyDescent="0.2">
      <c r="B55" s="42" t="s">
        <v>347</v>
      </c>
      <c r="C55" s="569" t="s">
        <v>3</v>
      </c>
      <c r="D55" s="524">
        <v>23</v>
      </c>
      <c r="E55" s="524">
        <v>23</v>
      </c>
      <c r="F55" s="524">
        <v>23</v>
      </c>
      <c r="G55" s="524">
        <v>23</v>
      </c>
      <c r="H55" s="524">
        <v>23</v>
      </c>
      <c r="I55" s="524">
        <v>23</v>
      </c>
      <c r="J55" s="524">
        <v>23</v>
      </c>
      <c r="K55" s="524">
        <v>23</v>
      </c>
      <c r="L55" s="524">
        <v>23</v>
      </c>
      <c r="M55" s="524">
        <v>23</v>
      </c>
      <c r="N55" s="524">
        <v>23</v>
      </c>
      <c r="O55" s="524">
        <v>23</v>
      </c>
      <c r="P55" s="34">
        <f t="shared" si="4"/>
        <v>276</v>
      </c>
      <c r="Q55" s="572"/>
      <c r="R55" s="569"/>
    </row>
    <row r="56" spans="2:20" s="41" customFormat="1" x14ac:dyDescent="0.2">
      <c r="B56" s="41" t="s">
        <v>364</v>
      </c>
      <c r="C56" s="569" t="s">
        <v>195</v>
      </c>
      <c r="D56" s="524">
        <v>2</v>
      </c>
      <c r="E56" s="524">
        <v>2</v>
      </c>
      <c r="F56" s="524">
        <v>2</v>
      </c>
      <c r="G56" s="524">
        <v>2</v>
      </c>
      <c r="H56" s="524">
        <v>2</v>
      </c>
      <c r="I56" s="524">
        <v>2</v>
      </c>
      <c r="J56" s="524">
        <v>2</v>
      </c>
      <c r="K56" s="524">
        <v>2</v>
      </c>
      <c r="L56" s="524">
        <v>2</v>
      </c>
      <c r="M56" s="524">
        <v>1</v>
      </c>
      <c r="N56" s="524">
        <v>1</v>
      </c>
      <c r="O56" s="524">
        <v>1</v>
      </c>
      <c r="P56" s="34">
        <f t="shared" si="4"/>
        <v>21</v>
      </c>
      <c r="Q56" s="572"/>
      <c r="R56" s="569"/>
    </row>
    <row r="57" spans="2:20" s="41" customFormat="1" x14ac:dyDescent="0.2">
      <c r="B57" s="42" t="s">
        <v>348</v>
      </c>
      <c r="C57" s="569" t="s">
        <v>2</v>
      </c>
      <c r="D57" s="524">
        <v>3</v>
      </c>
      <c r="E57" s="524">
        <v>3</v>
      </c>
      <c r="F57" s="524">
        <v>3</v>
      </c>
      <c r="G57" s="524">
        <v>3</v>
      </c>
      <c r="H57" s="524">
        <v>3</v>
      </c>
      <c r="I57" s="524">
        <v>3</v>
      </c>
      <c r="J57" s="524">
        <v>3</v>
      </c>
      <c r="K57" s="524">
        <v>3</v>
      </c>
      <c r="L57" s="524">
        <v>3</v>
      </c>
      <c r="M57" s="524">
        <v>3</v>
      </c>
      <c r="N57" s="524">
        <v>3</v>
      </c>
      <c r="O57" s="524">
        <v>3</v>
      </c>
      <c r="P57" s="34">
        <f t="shared" si="4"/>
        <v>36</v>
      </c>
      <c r="Q57" s="572"/>
      <c r="R57" s="569"/>
    </row>
    <row r="58" spans="2:20" s="41" customFormat="1" x14ac:dyDescent="0.2">
      <c r="B58" s="42" t="s">
        <v>365</v>
      </c>
      <c r="C58" s="566" t="s">
        <v>190</v>
      </c>
      <c r="D58" s="524">
        <v>1</v>
      </c>
      <c r="E58" s="524">
        <v>1</v>
      </c>
      <c r="F58" s="524">
        <v>1</v>
      </c>
      <c r="G58" s="524">
        <v>1</v>
      </c>
      <c r="H58" s="524">
        <v>1</v>
      </c>
      <c r="I58" s="524">
        <v>1</v>
      </c>
      <c r="J58" s="524">
        <v>1</v>
      </c>
      <c r="K58" s="524">
        <v>1</v>
      </c>
      <c r="L58" s="524">
        <v>1</v>
      </c>
      <c r="M58" s="524">
        <v>1</v>
      </c>
      <c r="N58" s="524">
        <v>1</v>
      </c>
      <c r="O58" s="524">
        <v>1</v>
      </c>
      <c r="P58" s="34">
        <f t="shared" si="4"/>
        <v>12</v>
      </c>
      <c r="Q58" s="572"/>
      <c r="R58" s="566"/>
    </row>
    <row r="59" spans="2:20" s="41" customFormat="1" x14ac:dyDescent="0.2">
      <c r="B59" s="42" t="s">
        <v>349</v>
      </c>
      <c r="C59" s="569" t="s">
        <v>192</v>
      </c>
      <c r="D59" s="524">
        <v>17</v>
      </c>
      <c r="E59" s="524">
        <v>17</v>
      </c>
      <c r="F59" s="524">
        <v>17</v>
      </c>
      <c r="G59" s="524">
        <v>17</v>
      </c>
      <c r="H59" s="524">
        <v>17</v>
      </c>
      <c r="I59" s="524">
        <v>17</v>
      </c>
      <c r="J59" s="524">
        <v>17</v>
      </c>
      <c r="K59" s="524">
        <v>17</v>
      </c>
      <c r="L59" s="524">
        <v>17</v>
      </c>
      <c r="M59" s="524">
        <v>17</v>
      </c>
      <c r="N59" s="524">
        <v>17</v>
      </c>
      <c r="O59" s="524">
        <v>17</v>
      </c>
      <c r="P59" s="34">
        <f t="shared" si="4"/>
        <v>204</v>
      </c>
      <c r="Q59" s="572"/>
      <c r="R59" s="569"/>
      <c r="T59" s="576"/>
    </row>
    <row r="60" spans="2:20" s="41" customFormat="1" x14ac:dyDescent="0.2">
      <c r="B60" s="42" t="s">
        <v>350</v>
      </c>
      <c r="C60" s="569" t="s">
        <v>3</v>
      </c>
      <c r="D60" s="524">
        <v>59</v>
      </c>
      <c r="E60" s="524">
        <v>59</v>
      </c>
      <c r="F60" s="524">
        <v>58</v>
      </c>
      <c r="G60" s="524">
        <v>58</v>
      </c>
      <c r="H60" s="524">
        <v>58</v>
      </c>
      <c r="I60" s="524">
        <v>58</v>
      </c>
      <c r="J60" s="524">
        <v>58</v>
      </c>
      <c r="K60" s="524">
        <v>58</v>
      </c>
      <c r="L60" s="524">
        <v>57</v>
      </c>
      <c r="M60" s="524">
        <v>58</v>
      </c>
      <c r="N60" s="524">
        <v>58</v>
      </c>
      <c r="O60" s="524">
        <v>58</v>
      </c>
      <c r="P60" s="34">
        <f t="shared" si="4"/>
        <v>697</v>
      </c>
      <c r="Q60" s="572"/>
      <c r="R60" s="569"/>
      <c r="T60" s="576"/>
    </row>
    <row r="61" spans="2:20" s="41" customFormat="1" x14ac:dyDescent="0.2">
      <c r="B61" s="41" t="s">
        <v>351</v>
      </c>
      <c r="C61" s="569" t="s">
        <v>195</v>
      </c>
      <c r="D61" s="524">
        <v>4</v>
      </c>
      <c r="E61" s="524">
        <v>4</v>
      </c>
      <c r="F61" s="524">
        <v>4</v>
      </c>
      <c r="G61" s="524">
        <v>4</v>
      </c>
      <c r="H61" s="524">
        <v>4</v>
      </c>
      <c r="I61" s="524">
        <v>4</v>
      </c>
      <c r="J61" s="524">
        <v>4</v>
      </c>
      <c r="K61" s="524">
        <v>4</v>
      </c>
      <c r="L61" s="524">
        <v>4</v>
      </c>
      <c r="M61" s="524">
        <v>4</v>
      </c>
      <c r="N61" s="524">
        <v>4</v>
      </c>
      <c r="O61" s="524">
        <v>4</v>
      </c>
      <c r="P61" s="34">
        <f t="shared" si="4"/>
        <v>48</v>
      </c>
      <c r="Q61" s="572"/>
      <c r="R61" s="569"/>
    </row>
    <row r="62" spans="2:20" s="41" customFormat="1" x14ac:dyDescent="0.2">
      <c r="B62" s="42" t="s">
        <v>352</v>
      </c>
      <c r="C62" s="569" t="s">
        <v>2</v>
      </c>
      <c r="D62" s="524">
        <v>8</v>
      </c>
      <c r="E62" s="524">
        <v>8</v>
      </c>
      <c r="F62" s="524">
        <v>8</v>
      </c>
      <c r="G62" s="524">
        <v>8</v>
      </c>
      <c r="H62" s="524">
        <v>8</v>
      </c>
      <c r="I62" s="524">
        <v>8</v>
      </c>
      <c r="J62" s="524">
        <v>8</v>
      </c>
      <c r="K62" s="524">
        <v>7</v>
      </c>
      <c r="L62" s="524">
        <v>7</v>
      </c>
      <c r="M62" s="524">
        <v>7</v>
      </c>
      <c r="N62" s="524">
        <v>7</v>
      </c>
      <c r="O62" s="524">
        <v>7</v>
      </c>
      <c r="P62" s="34">
        <f t="shared" si="4"/>
        <v>91</v>
      </c>
      <c r="Q62" s="572"/>
      <c r="R62" s="569"/>
    </row>
    <row r="63" spans="2:20" s="44" customFormat="1" ht="15" x14ac:dyDescent="0.25">
      <c r="B63" s="44" t="s">
        <v>353</v>
      </c>
      <c r="C63" s="570" t="s">
        <v>354</v>
      </c>
      <c r="D63" s="571">
        <v>9</v>
      </c>
      <c r="E63" s="571">
        <v>9</v>
      </c>
      <c r="F63" s="571">
        <v>9</v>
      </c>
      <c r="G63" s="571">
        <v>9</v>
      </c>
      <c r="H63" s="571">
        <v>9</v>
      </c>
      <c r="I63" s="571">
        <v>9</v>
      </c>
      <c r="J63" s="571">
        <v>9</v>
      </c>
      <c r="K63" s="571">
        <v>9</v>
      </c>
      <c r="L63" s="571">
        <v>9</v>
      </c>
      <c r="M63" s="571">
        <v>9</v>
      </c>
      <c r="N63" s="571">
        <v>9</v>
      </c>
      <c r="O63" s="571">
        <v>9</v>
      </c>
      <c r="P63" s="79">
        <f t="shared" si="4"/>
        <v>108</v>
      </c>
      <c r="Q63" s="572"/>
      <c r="R63" s="570"/>
    </row>
    <row r="64" spans="2:20" s="41" customFormat="1" x14ac:dyDescent="0.2">
      <c r="B64" s="41" t="s">
        <v>0</v>
      </c>
      <c r="D64" s="15">
        <f>SUM(D36:D63)</f>
        <v>873039</v>
      </c>
      <c r="E64" s="15">
        <f t="shared" ref="E64:O64" si="5">SUM(E36:E63)</f>
        <v>873851</v>
      </c>
      <c r="F64" s="15">
        <f t="shared" si="5"/>
        <v>874345</v>
      </c>
      <c r="G64" s="15">
        <f t="shared" si="5"/>
        <v>874552</v>
      </c>
      <c r="H64" s="15">
        <f t="shared" si="5"/>
        <v>874657</v>
      </c>
      <c r="I64" s="15">
        <f t="shared" si="5"/>
        <v>874833</v>
      </c>
      <c r="J64" s="15">
        <f t="shared" si="5"/>
        <v>874540</v>
      </c>
      <c r="K64" s="15">
        <f t="shared" si="5"/>
        <v>874806</v>
      </c>
      <c r="L64" s="15">
        <f t="shared" si="5"/>
        <v>875085</v>
      </c>
      <c r="M64" s="15">
        <f t="shared" si="5"/>
        <v>875748</v>
      </c>
      <c r="N64" s="15">
        <f t="shared" si="5"/>
        <v>876827</v>
      </c>
      <c r="O64" s="15">
        <f t="shared" si="5"/>
        <v>877594</v>
      </c>
      <c r="P64" s="34">
        <f>SUM(D64:O64)</f>
        <v>10499877</v>
      </c>
      <c r="Q64" s="38"/>
    </row>
    <row r="65" spans="2:17" s="41" customFormat="1" x14ac:dyDescent="0.2">
      <c r="C65" s="566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2:17" x14ac:dyDescent="0.2">
      <c r="B66" s="278" t="s">
        <v>366</v>
      </c>
      <c r="C66" s="569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381"/>
      <c r="Q66" s="381"/>
    </row>
    <row r="67" spans="2:17" x14ac:dyDescent="0.2">
      <c r="B67" s="42" t="s">
        <v>5</v>
      </c>
      <c r="C67" s="569">
        <v>23</v>
      </c>
      <c r="D67" s="381">
        <f t="shared" ref="D67:I67" si="6">IFERROR(D9/D37,0)</f>
        <v>108.46254343754237</v>
      </c>
      <c r="E67" s="381">
        <f t="shared" si="6"/>
        <v>104.94679632488814</v>
      </c>
      <c r="F67" s="381">
        <f t="shared" si="6"/>
        <v>98.736888390499502</v>
      </c>
      <c r="G67" s="381">
        <f t="shared" si="6"/>
        <v>72.093127583762708</v>
      </c>
      <c r="H67" s="381">
        <f t="shared" si="6"/>
        <v>30.427224750557077</v>
      </c>
      <c r="I67" s="381">
        <f t="shared" si="6"/>
        <v>21.563869777938582</v>
      </c>
      <c r="J67" s="381">
        <f>IFERROR(J9/J37,0)</f>
        <v>15.306297173273384</v>
      </c>
      <c r="K67" s="381">
        <f t="shared" ref="K67:O67" si="7">IFERROR(K9/K37,0)</f>
        <v>14.985035765566694</v>
      </c>
      <c r="L67" s="381">
        <f t="shared" si="7"/>
        <v>22.667718970686096</v>
      </c>
      <c r="M67" s="381">
        <f t="shared" si="7"/>
        <v>49.128724480983614</v>
      </c>
      <c r="N67" s="381">
        <f t="shared" si="7"/>
        <v>88.018868107038188</v>
      </c>
      <c r="O67" s="381">
        <f t="shared" si="7"/>
        <v>94.314831257864526</v>
      </c>
      <c r="P67" s="381">
        <f>SUM(D67:O67)</f>
        <v>720.65192602060085</v>
      </c>
      <c r="Q67" s="381"/>
    </row>
    <row r="68" spans="2:17" x14ac:dyDescent="0.2">
      <c r="B68" s="41" t="s">
        <v>334</v>
      </c>
      <c r="C68" s="41">
        <v>31</v>
      </c>
      <c r="D68" s="381">
        <f t="shared" ref="D68:I69" si="8">IFERROR(D11/D40,0)</f>
        <v>557.43417593448396</v>
      </c>
      <c r="E68" s="381">
        <f t="shared" si="8"/>
        <v>547.73261703010792</v>
      </c>
      <c r="F68" s="381">
        <f t="shared" si="8"/>
        <v>522.61968275531456</v>
      </c>
      <c r="G68" s="381">
        <f t="shared" si="8"/>
        <v>397.79143049722398</v>
      </c>
      <c r="H68" s="381">
        <f t="shared" si="8"/>
        <v>197.14940929169094</v>
      </c>
      <c r="I68" s="381">
        <f t="shared" si="8"/>
        <v>171.27525575831649</v>
      </c>
      <c r="J68" s="381">
        <f>IFERROR(J11/J40,0)</f>
        <v>138.15490462289341</v>
      </c>
      <c r="K68" s="381">
        <f t="shared" ref="K68:O69" si="9">IFERROR(K11/K40,0)</f>
        <v>136.99155785856121</v>
      </c>
      <c r="L68" s="381">
        <f t="shared" si="9"/>
        <v>165.20080421312144</v>
      </c>
      <c r="M68" s="381">
        <f t="shared" si="9"/>
        <v>268.81482789473517</v>
      </c>
      <c r="N68" s="381">
        <f t="shared" si="9"/>
        <v>455.24446696516202</v>
      </c>
      <c r="O68" s="381">
        <f t="shared" si="9"/>
        <v>483.65207144539772</v>
      </c>
      <c r="P68" s="381">
        <f t="shared" ref="P68:P78" si="10">SUM(D68:O68)</f>
        <v>4042.0612042670086</v>
      </c>
      <c r="Q68" s="381"/>
    </row>
    <row r="69" spans="2:17" s="41" customFormat="1" x14ac:dyDescent="0.2">
      <c r="B69" s="41" t="s">
        <v>335</v>
      </c>
      <c r="C69" s="41">
        <v>41</v>
      </c>
      <c r="D69" s="34">
        <f t="shared" si="8"/>
        <v>6272.0266776443268</v>
      </c>
      <c r="E69" s="34">
        <f t="shared" si="8"/>
        <v>6378.2322818951598</v>
      </c>
      <c r="F69" s="34">
        <f t="shared" si="8"/>
        <v>6642.876048735071</v>
      </c>
      <c r="G69" s="34">
        <f t="shared" si="8"/>
        <v>4686.4782066671596</v>
      </c>
      <c r="H69" s="34">
        <f t="shared" si="8"/>
        <v>2944.2615621223567</v>
      </c>
      <c r="I69" s="34">
        <f t="shared" si="8"/>
        <v>2750.7237803063963</v>
      </c>
      <c r="J69" s="34">
        <f>IFERROR(J12/J41,0)</f>
        <v>1952.2886195764233</v>
      </c>
      <c r="K69" s="34">
        <f t="shared" si="9"/>
        <v>1834.114606084144</v>
      </c>
      <c r="L69" s="34">
        <f t="shared" si="9"/>
        <v>2287.4881169524001</v>
      </c>
      <c r="M69" s="34">
        <f t="shared" si="9"/>
        <v>3524.1622080006241</v>
      </c>
      <c r="N69" s="34">
        <f t="shared" si="9"/>
        <v>5839.2622648214374</v>
      </c>
      <c r="O69" s="34">
        <f t="shared" si="9"/>
        <v>4659.9876049309187</v>
      </c>
      <c r="P69" s="381">
        <f t="shared" si="10"/>
        <v>49771.901977736416</v>
      </c>
      <c r="Q69" s="381"/>
    </row>
    <row r="70" spans="2:17" s="41" customFormat="1" x14ac:dyDescent="0.2">
      <c r="B70" s="41" t="s">
        <v>341</v>
      </c>
      <c r="C70" s="41">
        <v>41</v>
      </c>
      <c r="D70" s="34">
        <f t="shared" ref="D70:I70" si="11">IFERROR(D18/D48,0)</f>
        <v>13336.845540172131</v>
      </c>
      <c r="E70" s="34">
        <f t="shared" si="11"/>
        <v>14959.56469326492</v>
      </c>
      <c r="F70" s="34">
        <f t="shared" si="11"/>
        <v>13552.622567458578</v>
      </c>
      <c r="G70" s="34">
        <f t="shared" si="11"/>
        <v>11118.590732575682</v>
      </c>
      <c r="H70" s="34">
        <f t="shared" si="11"/>
        <v>11099.101125648471</v>
      </c>
      <c r="I70" s="34">
        <f t="shared" si="11"/>
        <v>9021.0320081056943</v>
      </c>
      <c r="J70" s="34">
        <f>IFERROR(J18/J48,0)</f>
        <v>8328.0429476857171</v>
      </c>
      <c r="K70" s="34">
        <f t="shared" ref="K70:O70" si="12">IFERROR(K18/K48,0)</f>
        <v>8240.8560733810009</v>
      </c>
      <c r="L70" s="34">
        <f t="shared" si="12"/>
        <v>8870.864088618493</v>
      </c>
      <c r="M70" s="34">
        <f t="shared" si="12"/>
        <v>10884.552221973596</v>
      </c>
      <c r="N70" s="34">
        <f t="shared" si="12"/>
        <v>12681.886427256904</v>
      </c>
      <c r="O70" s="34">
        <f t="shared" si="12"/>
        <v>12623.019362980698</v>
      </c>
      <c r="P70" s="381">
        <f t="shared" si="10"/>
        <v>134716.97778912188</v>
      </c>
      <c r="Q70" s="381"/>
    </row>
    <row r="71" spans="2:17" x14ac:dyDescent="0.2">
      <c r="B71" s="42" t="s">
        <v>346</v>
      </c>
      <c r="C71" s="569" t="s">
        <v>192</v>
      </c>
      <c r="D71" s="381">
        <f t="shared" ref="D71:I72" si="13">IFERROR(D23/D54,0)</f>
        <v>21290.561688311685</v>
      </c>
      <c r="E71" s="381">
        <f t="shared" si="13"/>
        <v>16022.740000000003</v>
      </c>
      <c r="F71" s="381">
        <f t="shared" si="13"/>
        <v>19416.658571428572</v>
      </c>
      <c r="G71" s="381">
        <f t="shared" si="13"/>
        <v>29974.364933333334</v>
      </c>
      <c r="H71" s="381">
        <f t="shared" si="13"/>
        <v>443.69253333332989</v>
      </c>
      <c r="I71" s="381">
        <f t="shared" si="13"/>
        <v>14261.94626666667</v>
      </c>
      <c r="J71" s="381">
        <f>IFERROR(J23/J54,0)</f>
        <v>13076.634799999996</v>
      </c>
      <c r="K71" s="381">
        <f t="shared" ref="K71:O72" si="14">IFERROR(K23/K54,0)</f>
        <v>12350.976399999998</v>
      </c>
      <c r="L71" s="381">
        <f t="shared" si="14"/>
        <v>13691.773066666668</v>
      </c>
      <c r="M71" s="381">
        <f t="shared" si="14"/>
        <v>16045.522266666665</v>
      </c>
      <c r="N71" s="381">
        <f t="shared" si="14"/>
        <v>16488.641866666665</v>
      </c>
      <c r="O71" s="381">
        <f t="shared" si="14"/>
        <v>18582.806533333332</v>
      </c>
      <c r="P71" s="381">
        <f t="shared" si="10"/>
        <v>191646.31892640691</v>
      </c>
      <c r="Q71" s="381"/>
    </row>
    <row r="72" spans="2:17" x14ac:dyDescent="0.2">
      <c r="B72" s="42" t="s">
        <v>347</v>
      </c>
      <c r="C72" s="569" t="s">
        <v>3</v>
      </c>
      <c r="D72" s="381">
        <f t="shared" si="13"/>
        <v>70113.958260869564</v>
      </c>
      <c r="E72" s="381">
        <f t="shared" si="13"/>
        <v>50780.125217391287</v>
      </c>
      <c r="F72" s="381">
        <f t="shared" si="13"/>
        <v>79726.351739130434</v>
      </c>
      <c r="G72" s="381">
        <f t="shared" si="13"/>
        <v>86978.889565217396</v>
      </c>
      <c r="H72" s="381">
        <f t="shared" si="13"/>
        <v>106781.37</v>
      </c>
      <c r="I72" s="381">
        <f t="shared" si="13"/>
        <v>-36908.648695652162</v>
      </c>
      <c r="J72" s="381">
        <f>IFERROR(J24/J55,0)</f>
        <v>48656.435652173917</v>
      </c>
      <c r="K72" s="381">
        <f t="shared" si="14"/>
        <v>49939.485652173913</v>
      </c>
      <c r="L72" s="381">
        <f t="shared" si="14"/>
        <v>56122.507826086963</v>
      </c>
      <c r="M72" s="381">
        <f t="shared" si="14"/>
        <v>57773.065217391304</v>
      </c>
      <c r="N72" s="381">
        <f t="shared" si="14"/>
        <v>60660.972608695636</v>
      </c>
      <c r="O72" s="381">
        <f t="shared" si="14"/>
        <v>65129.484782608692</v>
      </c>
      <c r="P72" s="381">
        <f t="shared" si="10"/>
        <v>695753.99782608694</v>
      </c>
      <c r="Q72" s="381"/>
    </row>
    <row r="73" spans="2:17" x14ac:dyDescent="0.2">
      <c r="B73" s="42" t="s">
        <v>348</v>
      </c>
      <c r="C73" s="569" t="s">
        <v>2</v>
      </c>
      <c r="D73" s="381">
        <f t="shared" ref="D73:I73" si="15">IFERROR(D26/D57,0)</f>
        <v>612055.53333333356</v>
      </c>
      <c r="E73" s="381">
        <f t="shared" si="15"/>
        <v>507727.15666666668</v>
      </c>
      <c r="F73" s="381">
        <f t="shared" si="15"/>
        <v>621892.2466666667</v>
      </c>
      <c r="G73" s="381">
        <f t="shared" si="15"/>
        <v>1009725.6066666665</v>
      </c>
      <c r="H73" s="381">
        <f t="shared" si="15"/>
        <v>-9255.8699999999953</v>
      </c>
      <c r="I73" s="381">
        <f t="shared" si="15"/>
        <v>396872.39333333331</v>
      </c>
      <c r="J73" s="381">
        <f>IFERROR(J26/J57,0)</f>
        <v>372492.45333333337</v>
      </c>
      <c r="K73" s="381">
        <f t="shared" ref="K73:O73" si="16">IFERROR(K26/K57,0)</f>
        <v>403173.59666666668</v>
      </c>
      <c r="L73" s="381">
        <f t="shared" si="16"/>
        <v>368572.37333333329</v>
      </c>
      <c r="M73" s="381">
        <f t="shared" si="16"/>
        <v>550210.63</v>
      </c>
      <c r="N73" s="381">
        <f t="shared" si="16"/>
        <v>561824.56000000006</v>
      </c>
      <c r="O73" s="381">
        <f t="shared" si="16"/>
        <v>600191.80666666664</v>
      </c>
      <c r="P73" s="381">
        <f t="shared" si="10"/>
        <v>5995482.4866666663</v>
      </c>
      <c r="Q73" s="381"/>
    </row>
    <row r="74" spans="2:17" x14ac:dyDescent="0.2">
      <c r="B74" s="42" t="s">
        <v>337</v>
      </c>
      <c r="C74" s="42">
        <v>85</v>
      </c>
      <c r="D74" s="381">
        <f t="shared" ref="D74:I77" si="17">IFERROR(D14/D44,0)</f>
        <v>77742.724623411021</v>
      </c>
      <c r="E74" s="381">
        <f t="shared" si="17"/>
        <v>60091.192438778569</v>
      </c>
      <c r="F74" s="381">
        <f t="shared" si="17"/>
        <v>71587.378858647848</v>
      </c>
      <c r="G74" s="381">
        <f t="shared" si="17"/>
        <v>82906.29718062644</v>
      </c>
      <c r="H74" s="381">
        <f t="shared" si="17"/>
        <v>34580.205971230731</v>
      </c>
      <c r="I74" s="381">
        <f t="shared" si="17"/>
        <v>34537.647610996901</v>
      </c>
      <c r="J74" s="381">
        <f>IFERROR(J14/J44,0)</f>
        <v>23754.36184406446</v>
      </c>
      <c r="K74" s="381">
        <f t="shared" ref="K74:O77" si="18">IFERROR(K14/K44,0)</f>
        <v>55787.682258884612</v>
      </c>
      <c r="L74" s="381">
        <f t="shared" si="18"/>
        <v>32138.123706683284</v>
      </c>
      <c r="M74" s="381">
        <f t="shared" si="18"/>
        <v>39104.010816991075</v>
      </c>
      <c r="N74" s="381">
        <f t="shared" si="18"/>
        <v>58128.208615028001</v>
      </c>
      <c r="O74" s="381">
        <f t="shared" si="18"/>
        <v>76328.54782740325</v>
      </c>
      <c r="P74" s="381">
        <f t="shared" si="10"/>
        <v>646686.38175274618</v>
      </c>
      <c r="Q74" s="381"/>
    </row>
    <row r="75" spans="2:17" x14ac:dyDescent="0.2">
      <c r="B75" s="42" t="s">
        <v>338</v>
      </c>
      <c r="C75" s="42">
        <v>86</v>
      </c>
      <c r="D75" s="381">
        <f t="shared" si="17"/>
        <v>8251.031610935619</v>
      </c>
      <c r="E75" s="381">
        <f t="shared" si="17"/>
        <v>6969.8989577829389</v>
      </c>
      <c r="F75" s="381">
        <f t="shared" si="17"/>
        <v>7329.6694946405678</v>
      </c>
      <c r="G75" s="381">
        <f t="shared" si="17"/>
        <v>5976.4793694112959</v>
      </c>
      <c r="H75" s="381">
        <f t="shared" si="17"/>
        <v>3855.6474185002571</v>
      </c>
      <c r="I75" s="381">
        <f t="shared" si="17"/>
        <v>2071.9818071897653</v>
      </c>
      <c r="J75" s="381">
        <f>IFERROR(J15/J45,0)</f>
        <v>1378.3322130022507</v>
      </c>
      <c r="K75" s="381">
        <f t="shared" si="18"/>
        <v>1254.1123760667554</v>
      </c>
      <c r="L75" s="381">
        <f t="shared" si="18"/>
        <v>1899.7054751748042</v>
      </c>
      <c r="M75" s="381">
        <f t="shared" si="18"/>
        <v>3826.7338870024923</v>
      </c>
      <c r="N75" s="381">
        <f t="shared" si="18"/>
        <v>6053.3791275017293</v>
      </c>
      <c r="O75" s="381">
        <f t="shared" si="18"/>
        <v>5770.5442026824294</v>
      </c>
      <c r="P75" s="381">
        <f t="shared" si="10"/>
        <v>54637.515939890909</v>
      </c>
      <c r="Q75" s="381"/>
    </row>
    <row r="76" spans="2:17" x14ac:dyDescent="0.2">
      <c r="B76" s="41" t="s">
        <v>362</v>
      </c>
      <c r="C76" s="41">
        <v>87</v>
      </c>
      <c r="D76" s="381">
        <f t="shared" si="17"/>
        <v>892333.97550000006</v>
      </c>
      <c r="E76" s="381">
        <f t="shared" si="17"/>
        <v>1081183.6363750002</v>
      </c>
      <c r="F76" s="381">
        <f t="shared" si="17"/>
        <v>-231016.21500000003</v>
      </c>
      <c r="G76" s="381">
        <f t="shared" si="17"/>
        <v>1219499.146375</v>
      </c>
      <c r="H76" s="381">
        <f t="shared" si="17"/>
        <v>-260233.84625</v>
      </c>
      <c r="I76" s="381">
        <f t="shared" si="17"/>
        <v>406710.569625</v>
      </c>
      <c r="J76" s="381">
        <f>IFERROR(J16/J46,0)</f>
        <v>226777.08062499997</v>
      </c>
      <c r="K76" s="381">
        <f t="shared" si="18"/>
        <v>250895.99924999999</v>
      </c>
      <c r="L76" s="381">
        <f t="shared" si="18"/>
        <v>195145.603875</v>
      </c>
      <c r="M76" s="381">
        <f t="shared" si="18"/>
        <v>372913.29500000004</v>
      </c>
      <c r="N76" s="381">
        <f t="shared" si="18"/>
        <v>430473.28437499999</v>
      </c>
      <c r="O76" s="381">
        <f t="shared" si="18"/>
        <v>596501.72562499996</v>
      </c>
      <c r="P76" s="381">
        <f t="shared" si="10"/>
        <v>5181184.2553749997</v>
      </c>
      <c r="Q76" s="381"/>
    </row>
    <row r="77" spans="2:17" x14ac:dyDescent="0.2">
      <c r="B77" s="42" t="s">
        <v>340</v>
      </c>
      <c r="C77" s="42">
        <v>31</v>
      </c>
      <c r="D77" s="381">
        <f t="shared" si="17"/>
        <v>838.90482098704445</v>
      </c>
      <c r="E77" s="381">
        <f t="shared" si="17"/>
        <v>852.27526483673398</v>
      </c>
      <c r="F77" s="381">
        <f t="shared" si="17"/>
        <v>899.32420969937982</v>
      </c>
      <c r="G77" s="381">
        <f t="shared" si="17"/>
        <v>663.15324574896795</v>
      </c>
      <c r="H77" s="381">
        <f t="shared" si="17"/>
        <v>204.15699393990346</v>
      </c>
      <c r="I77" s="381">
        <f t="shared" si="17"/>
        <v>202.86279401850416</v>
      </c>
      <c r="J77" s="381">
        <f>IFERROR(J17/J47,0)</f>
        <v>146.26559834753769</v>
      </c>
      <c r="K77" s="381">
        <f t="shared" si="18"/>
        <v>130.31391000041236</v>
      </c>
      <c r="L77" s="381">
        <f t="shared" si="18"/>
        <v>146.08787481871815</v>
      </c>
      <c r="M77" s="381">
        <f t="shared" si="18"/>
        <v>363.35852531739636</v>
      </c>
      <c r="N77" s="381">
        <f t="shared" si="18"/>
        <v>705.78069309257603</v>
      </c>
      <c r="O77" s="381">
        <f t="shared" si="18"/>
        <v>706.40824802528186</v>
      </c>
      <c r="P77" s="381">
        <f t="shared" si="10"/>
        <v>5858.8921788324569</v>
      </c>
      <c r="Q77" s="381"/>
    </row>
    <row r="78" spans="2:17" s="35" customFormat="1" ht="15" x14ac:dyDescent="0.25">
      <c r="B78" s="44" t="s">
        <v>353</v>
      </c>
      <c r="C78" s="577" t="s">
        <v>354</v>
      </c>
      <c r="D78" s="279">
        <f t="shared" ref="D78:I78" si="19">IFERROR(D31/D63,0)</f>
        <v>411599.69444444444</v>
      </c>
      <c r="E78" s="279">
        <f t="shared" si="19"/>
        <v>152372.3788888889</v>
      </c>
      <c r="F78" s="279">
        <f t="shared" si="19"/>
        <v>670236.44777777779</v>
      </c>
      <c r="G78" s="279">
        <f t="shared" si="19"/>
        <v>3810.7877777743074</v>
      </c>
      <c r="H78" s="279">
        <f t="shared" si="19"/>
        <v>564584.70333333733</v>
      </c>
      <c r="I78" s="279">
        <f t="shared" si="19"/>
        <v>204390.84888888884</v>
      </c>
      <c r="J78" s="279">
        <f>IFERROR(J31/J63,0)</f>
        <v>186870.59444444446</v>
      </c>
      <c r="K78" s="279">
        <f t="shared" ref="K78:O78" si="20">IFERROR(K31/K63,0)</f>
        <v>183704.45666666667</v>
      </c>
      <c r="L78" s="279">
        <f t="shared" si="20"/>
        <v>198266.34444444446</v>
      </c>
      <c r="M78" s="279">
        <f t="shared" si="20"/>
        <v>270992.99444444443</v>
      </c>
      <c r="N78" s="279">
        <f t="shared" si="20"/>
        <v>408792.4466666666</v>
      </c>
      <c r="O78" s="279">
        <f t="shared" si="20"/>
        <v>-815197.83777777769</v>
      </c>
      <c r="P78" s="381">
        <f t="shared" si="10"/>
        <v>2440423.8600000003</v>
      </c>
      <c r="Q78" s="279"/>
    </row>
    <row r="79" spans="2:17" x14ac:dyDescent="0.2">
      <c r="C79" s="569"/>
      <c r="D79" s="381"/>
      <c r="E79" s="381"/>
      <c r="F79" s="381"/>
      <c r="G79" s="381"/>
      <c r="H79" s="381"/>
      <c r="I79" s="381"/>
      <c r="J79" s="381"/>
      <c r="K79" s="381"/>
      <c r="L79" s="381"/>
      <c r="M79" s="381"/>
      <c r="N79" s="381"/>
      <c r="O79" s="381"/>
      <c r="P79" s="381"/>
      <c r="Q79" s="381"/>
    </row>
    <row r="80" spans="2:17" x14ac:dyDescent="0.2">
      <c r="B80" s="278" t="s">
        <v>367</v>
      </c>
      <c r="C80" s="569"/>
      <c r="D80" s="524"/>
      <c r="E80" s="524"/>
      <c r="F80" s="524"/>
      <c r="G80" s="524"/>
      <c r="H80" s="524"/>
      <c r="I80" s="524"/>
      <c r="J80" s="524"/>
      <c r="K80" s="524"/>
      <c r="L80" s="524"/>
      <c r="M80" s="524"/>
      <c r="N80" s="524"/>
      <c r="O80" s="524"/>
      <c r="P80" s="381"/>
      <c r="Q80" s="381"/>
    </row>
    <row r="81" spans="2:23" s="41" customFormat="1" x14ac:dyDescent="0.2">
      <c r="B81" s="41" t="s">
        <v>368</v>
      </c>
      <c r="C81" s="566"/>
      <c r="D81" s="524">
        <v>671.33333333333326</v>
      </c>
      <c r="E81" s="524">
        <v>682.83333333333337</v>
      </c>
      <c r="F81" s="524">
        <v>648.375</v>
      </c>
      <c r="G81" s="524">
        <v>511.45833333333337</v>
      </c>
      <c r="H81" s="524">
        <v>189.04166666666669</v>
      </c>
      <c r="I81" s="524">
        <v>135.41666666666669</v>
      </c>
      <c r="J81" s="524">
        <v>13.5</v>
      </c>
      <c r="K81" s="524">
        <v>16.25</v>
      </c>
      <c r="L81" s="524">
        <v>133.041666666667</v>
      </c>
      <c r="M81" s="524">
        <v>345.66666666666703</v>
      </c>
      <c r="N81" s="524">
        <v>604.33333333333303</v>
      </c>
      <c r="O81" s="524">
        <v>609.20833333333303</v>
      </c>
      <c r="P81" s="34">
        <f>SUM(D81:O81)</f>
        <v>4560.458333333333</v>
      </c>
      <c r="Q81" s="34"/>
    </row>
    <row r="82" spans="2:23" s="41" customFormat="1" x14ac:dyDescent="0.2">
      <c r="B82" s="41" t="s">
        <v>369</v>
      </c>
      <c r="C82" s="566"/>
      <c r="D82" s="524">
        <v>667.3</v>
      </c>
      <c r="E82" s="524">
        <v>590.70000000000005</v>
      </c>
      <c r="F82" s="524">
        <v>563</v>
      </c>
      <c r="G82" s="524">
        <v>416.9</v>
      </c>
      <c r="H82" s="524">
        <v>246.8</v>
      </c>
      <c r="I82" s="524">
        <v>114.5</v>
      </c>
      <c r="J82" s="524">
        <v>31.2</v>
      </c>
      <c r="K82" s="524">
        <v>24.2</v>
      </c>
      <c r="L82" s="524">
        <v>111.7</v>
      </c>
      <c r="M82" s="524">
        <v>350.8</v>
      </c>
      <c r="N82" s="524">
        <v>538.20000000000005</v>
      </c>
      <c r="O82" s="524">
        <v>707.1</v>
      </c>
      <c r="P82" s="34">
        <f>SUM(D82:O82)</f>
        <v>4362.4000000000005</v>
      </c>
      <c r="Q82" s="34"/>
    </row>
    <row r="83" spans="2:23" s="41" customFormat="1" x14ac:dyDescent="0.2">
      <c r="B83" s="41" t="s">
        <v>370</v>
      </c>
      <c r="C83" s="566"/>
      <c r="D83" s="15">
        <f t="shared" ref="D83:P83" si="21">D81-D82</f>
        <v>4.033333333333303</v>
      </c>
      <c r="E83" s="15">
        <f t="shared" si="21"/>
        <v>92.133333333333326</v>
      </c>
      <c r="F83" s="15">
        <f t="shared" si="21"/>
        <v>85.375</v>
      </c>
      <c r="G83" s="15">
        <f t="shared" si="21"/>
        <v>94.558333333333394</v>
      </c>
      <c r="H83" s="15">
        <f t="shared" si="21"/>
        <v>-57.758333333333326</v>
      </c>
      <c r="I83" s="15">
        <f t="shared" si="21"/>
        <v>20.916666666666686</v>
      </c>
      <c r="J83" s="15">
        <f t="shared" si="21"/>
        <v>-17.7</v>
      </c>
      <c r="K83" s="15">
        <f t="shared" si="21"/>
        <v>-7.9499999999999993</v>
      </c>
      <c r="L83" s="15">
        <f t="shared" si="21"/>
        <v>21.341666666666995</v>
      </c>
      <c r="M83" s="15">
        <f t="shared" si="21"/>
        <v>-5.1333333333329847</v>
      </c>
      <c r="N83" s="15">
        <f t="shared" si="21"/>
        <v>66.133333333332985</v>
      </c>
      <c r="O83" s="15">
        <f t="shared" si="21"/>
        <v>-97.891666666666993</v>
      </c>
      <c r="P83" s="15">
        <f t="shared" si="21"/>
        <v>198.05833333333248</v>
      </c>
      <c r="Q83" s="105"/>
    </row>
    <row r="84" spans="2:23" x14ac:dyDescent="0.2">
      <c r="C84" s="569"/>
      <c r="D84" s="381"/>
      <c r="E84" s="381"/>
      <c r="F84" s="381"/>
      <c r="G84" s="381"/>
      <c r="H84" s="381"/>
      <c r="I84" s="381"/>
      <c r="J84" s="381"/>
      <c r="K84" s="381"/>
      <c r="L84" s="381"/>
      <c r="M84" s="381"/>
      <c r="N84" s="381"/>
      <c r="O84" s="381"/>
      <c r="P84" s="381"/>
      <c r="Q84" s="381"/>
    </row>
    <row r="85" spans="2:23" x14ac:dyDescent="0.2">
      <c r="B85" s="278" t="s">
        <v>371</v>
      </c>
      <c r="C85" s="569"/>
      <c r="D85" s="381"/>
      <c r="E85" s="381"/>
      <c r="F85" s="381"/>
      <c r="G85" s="381"/>
      <c r="H85" s="381"/>
      <c r="I85" s="381"/>
      <c r="J85" s="381"/>
      <c r="K85" s="381"/>
      <c r="L85" s="381"/>
      <c r="M85" s="381"/>
      <c r="N85" s="381"/>
      <c r="O85" s="381"/>
      <c r="P85" s="381"/>
      <c r="Q85" s="381"/>
    </row>
    <row r="86" spans="2:23" s="41" customFormat="1" x14ac:dyDescent="0.2">
      <c r="B86" s="42" t="s">
        <v>5</v>
      </c>
      <c r="C86" s="566">
        <v>23</v>
      </c>
      <c r="D86" s="578">
        <v>0.14610600000000001</v>
      </c>
      <c r="E86" s="578">
        <v>0.13005900000000001</v>
      </c>
      <c r="F86" s="578">
        <v>0.12708900000000001</v>
      </c>
      <c r="G86" s="578">
        <v>9.8351999999999995E-2</v>
      </c>
      <c r="H86" s="578">
        <v>7.3646000000000003E-2</v>
      </c>
      <c r="I86" s="578">
        <v>4.6559000000000003E-2</v>
      </c>
      <c r="J86" s="578">
        <v>0</v>
      </c>
      <c r="K86" s="578">
        <v>0</v>
      </c>
      <c r="L86" s="578">
        <v>7.2701000000000002E-2</v>
      </c>
      <c r="M86" s="578">
        <v>0.104546</v>
      </c>
      <c r="N86" s="578">
        <v>0.12842700000000001</v>
      </c>
      <c r="O86" s="578">
        <v>0.133077</v>
      </c>
      <c r="P86" s="34"/>
      <c r="Q86" s="34"/>
      <c r="R86" s="579"/>
      <c r="S86" s="579"/>
      <c r="T86" s="579"/>
      <c r="U86" s="579"/>
      <c r="V86" s="579"/>
      <c r="W86" s="579"/>
    </row>
    <row r="87" spans="2:23" s="41" customFormat="1" x14ac:dyDescent="0.2">
      <c r="B87" s="41" t="s">
        <v>334</v>
      </c>
      <c r="C87" s="41">
        <v>31</v>
      </c>
      <c r="D87" s="578">
        <v>0.60108399999999995</v>
      </c>
      <c r="E87" s="578">
        <v>0.52999600000000002</v>
      </c>
      <c r="F87" s="578">
        <v>0.51928300000000005</v>
      </c>
      <c r="G87" s="578">
        <v>0.37405500000000003</v>
      </c>
      <c r="H87" s="578">
        <v>0.233959</v>
      </c>
      <c r="I87" s="578">
        <v>0</v>
      </c>
      <c r="J87" s="578">
        <v>0</v>
      </c>
      <c r="K87" s="578">
        <v>0</v>
      </c>
      <c r="L87" s="578">
        <v>0</v>
      </c>
      <c r="M87" s="578">
        <v>0.34386699999999998</v>
      </c>
      <c r="N87" s="578">
        <v>0.48571399999999998</v>
      </c>
      <c r="O87" s="578">
        <v>0.54058300000000004</v>
      </c>
      <c r="P87" s="34"/>
      <c r="Q87" s="34"/>
      <c r="R87" s="579"/>
      <c r="S87" s="579"/>
      <c r="T87" s="579"/>
      <c r="U87" s="579"/>
      <c r="V87" s="579"/>
      <c r="W87" s="579"/>
    </row>
    <row r="88" spans="2:23" s="41" customFormat="1" x14ac:dyDescent="0.2">
      <c r="B88" s="41" t="s">
        <v>335</v>
      </c>
      <c r="C88" s="41">
        <v>41</v>
      </c>
      <c r="D88" s="578">
        <v>5.6750790000000002</v>
      </c>
      <c r="E88" s="578">
        <v>5.1515389999999996</v>
      </c>
      <c r="F88" s="578">
        <v>5.3184370000000003</v>
      </c>
      <c r="G88" s="578">
        <v>4.4039900000000003</v>
      </c>
      <c r="H88" s="578">
        <v>3.7625700000000002</v>
      </c>
      <c r="I88" s="578">
        <v>2.3358829999999999</v>
      </c>
      <c r="J88" s="578">
        <v>0</v>
      </c>
      <c r="K88" s="578">
        <v>0</v>
      </c>
      <c r="L88" s="578">
        <v>0</v>
      </c>
      <c r="M88" s="578">
        <v>3.820138</v>
      </c>
      <c r="N88" s="578">
        <v>4.813618</v>
      </c>
      <c r="O88" s="578">
        <v>5.1364400000000003</v>
      </c>
      <c r="P88" s="34"/>
      <c r="Q88" s="34"/>
      <c r="R88" s="579"/>
      <c r="S88" s="579"/>
      <c r="T88" s="579"/>
      <c r="U88" s="579"/>
      <c r="V88" s="579"/>
      <c r="W88" s="579"/>
    </row>
    <row r="89" spans="2:23" s="41" customFormat="1" x14ac:dyDescent="0.2">
      <c r="B89" s="42" t="s">
        <v>346</v>
      </c>
      <c r="C89" s="569" t="s">
        <v>192</v>
      </c>
      <c r="D89" s="578">
        <v>7.2375309999999997</v>
      </c>
      <c r="E89" s="578">
        <v>5.6013630000000001</v>
      </c>
      <c r="F89" s="578">
        <v>7.7509449999999998</v>
      </c>
      <c r="G89" s="578">
        <v>5.2120470000000001</v>
      </c>
      <c r="H89" s="578">
        <v>3.5580120000000002</v>
      </c>
      <c r="I89" s="578">
        <v>0</v>
      </c>
      <c r="J89" s="578">
        <v>0</v>
      </c>
      <c r="K89" s="578">
        <v>0</v>
      </c>
      <c r="L89" s="578">
        <v>0</v>
      </c>
      <c r="M89" s="578">
        <v>6.3689660000000003</v>
      </c>
      <c r="N89" s="578">
        <v>6.3884100000000004</v>
      </c>
      <c r="O89" s="578">
        <v>6.453335</v>
      </c>
      <c r="P89" s="34"/>
      <c r="Q89" s="34"/>
      <c r="R89" s="579"/>
      <c r="S89" s="579"/>
      <c r="T89" s="579"/>
      <c r="U89" s="579"/>
      <c r="V89" s="579"/>
      <c r="W89" s="579"/>
    </row>
    <row r="90" spans="2:23" s="41" customFormat="1" x14ac:dyDescent="0.2">
      <c r="B90" s="42" t="s">
        <v>347</v>
      </c>
      <c r="C90" s="569" t="s">
        <v>3</v>
      </c>
      <c r="D90" s="578">
        <v>23.095510000000001</v>
      </c>
      <c r="E90" s="578">
        <v>15.08614</v>
      </c>
      <c r="F90" s="578">
        <v>22.083020000000001</v>
      </c>
      <c r="G90" s="578">
        <v>15.23142</v>
      </c>
      <c r="H90" s="578">
        <v>12.611039999999999</v>
      </c>
      <c r="I90" s="578">
        <v>0</v>
      </c>
      <c r="J90" s="578">
        <v>0</v>
      </c>
      <c r="K90" s="578">
        <v>0</v>
      </c>
      <c r="L90" s="578">
        <v>0</v>
      </c>
      <c r="M90" s="578">
        <v>17.87275</v>
      </c>
      <c r="N90" s="578">
        <v>18.312139999999999</v>
      </c>
      <c r="O90" s="578">
        <v>20.76868</v>
      </c>
      <c r="P90" s="34"/>
      <c r="Q90" s="34"/>
      <c r="R90" s="579"/>
      <c r="S90" s="579"/>
      <c r="T90" s="579"/>
      <c r="U90" s="579"/>
      <c r="V90" s="579"/>
      <c r="W90" s="579"/>
    </row>
    <row r="91" spans="2:23" s="41" customFormat="1" x14ac:dyDescent="0.2">
      <c r="B91" s="42" t="s">
        <v>348</v>
      </c>
      <c r="C91" s="569" t="s">
        <v>2</v>
      </c>
      <c r="D91" s="578">
        <v>419.04629999999997</v>
      </c>
      <c r="E91" s="578">
        <v>405.92259999999999</v>
      </c>
      <c r="F91" s="578">
        <v>411.16359999999997</v>
      </c>
      <c r="G91" s="578">
        <v>347.39449999999999</v>
      </c>
      <c r="H91" s="578">
        <v>299.33960000000002</v>
      </c>
      <c r="I91" s="578">
        <v>173.41149999999999</v>
      </c>
      <c r="J91" s="578">
        <v>0</v>
      </c>
      <c r="K91" s="578">
        <v>0</v>
      </c>
      <c r="L91" s="578">
        <v>0</v>
      </c>
      <c r="M91" s="578">
        <v>319.36770000000001</v>
      </c>
      <c r="N91" s="578">
        <v>354.35969999999998</v>
      </c>
      <c r="O91" s="578">
        <v>437.89710000000002</v>
      </c>
      <c r="P91" s="34"/>
      <c r="Q91" s="34"/>
      <c r="R91" s="579"/>
      <c r="S91" s="579"/>
      <c r="T91" s="579"/>
      <c r="U91" s="579"/>
      <c r="V91" s="579"/>
      <c r="W91" s="579"/>
    </row>
    <row r="92" spans="2:23" s="41" customFormat="1" x14ac:dyDescent="0.2">
      <c r="B92" s="41" t="s">
        <v>337</v>
      </c>
      <c r="C92" s="41">
        <v>85</v>
      </c>
      <c r="D92" s="578">
        <v>62.676409999999997</v>
      </c>
      <c r="E92" s="578">
        <v>54.244480000000003</v>
      </c>
      <c r="F92" s="578">
        <v>59.313760000000002</v>
      </c>
      <c r="G92" s="578">
        <v>48.260179999999998</v>
      </c>
      <c r="H92" s="578">
        <v>44.15945</v>
      </c>
      <c r="I92" s="578">
        <v>0</v>
      </c>
      <c r="J92" s="578">
        <v>0</v>
      </c>
      <c r="K92" s="578">
        <v>0</v>
      </c>
      <c r="L92" s="578">
        <v>0</v>
      </c>
      <c r="M92" s="578">
        <v>49.020330000000001</v>
      </c>
      <c r="N92" s="578">
        <v>52.847329999999999</v>
      </c>
      <c r="O92" s="578">
        <v>56.096780000000003</v>
      </c>
      <c r="P92" s="34"/>
      <c r="Q92" s="34"/>
      <c r="R92" s="579"/>
      <c r="S92" s="579"/>
      <c r="T92" s="579"/>
      <c r="U92" s="579"/>
      <c r="V92" s="579"/>
      <c r="W92" s="579"/>
    </row>
    <row r="93" spans="2:23" s="41" customFormat="1" x14ac:dyDescent="0.2">
      <c r="B93" s="41" t="s">
        <v>338</v>
      </c>
      <c r="C93" s="41">
        <v>86</v>
      </c>
      <c r="D93" s="578">
        <v>7.829237</v>
      </c>
      <c r="E93" s="578">
        <v>6.9332260000000003</v>
      </c>
      <c r="F93" s="578">
        <v>7.4236259999999996</v>
      </c>
      <c r="G93" s="578">
        <v>6.2983909999999996</v>
      </c>
      <c r="H93" s="578">
        <v>4.9086119999999998</v>
      </c>
      <c r="I93" s="578">
        <v>0</v>
      </c>
      <c r="J93" s="578">
        <v>0</v>
      </c>
      <c r="K93" s="578">
        <v>0</v>
      </c>
      <c r="L93" s="578">
        <v>0</v>
      </c>
      <c r="M93" s="578">
        <v>5.7562360000000004</v>
      </c>
      <c r="N93" s="578">
        <v>6.7379499999999997</v>
      </c>
      <c r="O93" s="578">
        <v>7.0350539999999997</v>
      </c>
      <c r="P93" s="34"/>
      <c r="Q93" s="34"/>
      <c r="R93" s="579"/>
      <c r="S93" s="579"/>
      <c r="T93" s="579"/>
      <c r="U93" s="579"/>
      <c r="V93" s="579"/>
      <c r="W93" s="579"/>
    </row>
    <row r="94" spans="2:23" s="41" customFormat="1" x14ac:dyDescent="0.2">
      <c r="B94" s="41" t="s">
        <v>362</v>
      </c>
      <c r="C94" s="41">
        <v>87</v>
      </c>
      <c r="D94" s="578">
        <v>425.18830000000003</v>
      </c>
      <c r="E94" s="578">
        <v>400.25970000000001</v>
      </c>
      <c r="F94" s="578">
        <v>402.84690000000001</v>
      </c>
      <c r="G94" s="578">
        <v>345.8734</v>
      </c>
      <c r="H94" s="578">
        <v>264.28890000000001</v>
      </c>
      <c r="I94" s="578">
        <v>0</v>
      </c>
      <c r="J94" s="578">
        <v>0</v>
      </c>
      <c r="K94" s="578">
        <v>0</v>
      </c>
      <c r="L94" s="578">
        <v>0</v>
      </c>
      <c r="M94" s="578">
        <v>302.1105</v>
      </c>
      <c r="N94" s="578">
        <v>350.93270000000001</v>
      </c>
      <c r="O94" s="578">
        <v>416.48340000000002</v>
      </c>
      <c r="P94" s="34"/>
      <c r="Q94" s="34"/>
      <c r="R94" s="580"/>
      <c r="S94" s="580"/>
      <c r="T94" s="579"/>
      <c r="U94" s="579"/>
      <c r="V94" s="579"/>
      <c r="W94" s="579"/>
    </row>
    <row r="95" spans="2:23" s="41" customFormat="1" x14ac:dyDescent="0.2">
      <c r="B95" s="41" t="s">
        <v>340</v>
      </c>
      <c r="C95" s="41">
        <v>31</v>
      </c>
      <c r="D95" s="578">
        <v>1.105515</v>
      </c>
      <c r="E95" s="578">
        <v>0.99494400000000005</v>
      </c>
      <c r="F95" s="578">
        <v>0.99145099999999997</v>
      </c>
      <c r="G95" s="578">
        <v>0.74944</v>
      </c>
      <c r="H95" s="578">
        <v>0.51061199999999995</v>
      </c>
      <c r="I95" s="578">
        <v>0.24365899999999999</v>
      </c>
      <c r="J95" s="578">
        <v>0</v>
      </c>
      <c r="K95" s="578">
        <v>0</v>
      </c>
      <c r="L95" s="578">
        <v>0.48316900000000002</v>
      </c>
      <c r="M95" s="578">
        <v>0.69913999999999998</v>
      </c>
      <c r="N95" s="578">
        <v>0.91513699999999998</v>
      </c>
      <c r="O95" s="578">
        <v>0.985093</v>
      </c>
      <c r="P95" s="34"/>
      <c r="Q95" s="34"/>
      <c r="R95" s="579"/>
      <c r="S95" s="579"/>
      <c r="T95" s="579"/>
      <c r="U95" s="579"/>
      <c r="V95" s="579"/>
      <c r="W95" s="579"/>
    </row>
    <row r="96" spans="2:23" s="41" customFormat="1" x14ac:dyDescent="0.2">
      <c r="B96" s="41" t="s">
        <v>341</v>
      </c>
      <c r="C96" s="41">
        <v>41</v>
      </c>
      <c r="D96" s="578">
        <v>6.0500249999999998</v>
      </c>
      <c r="E96" s="578">
        <v>5.4988530000000004</v>
      </c>
      <c r="F96" s="578">
        <v>6.201003</v>
      </c>
      <c r="G96" s="578">
        <v>4.2220719999999998</v>
      </c>
      <c r="H96" s="578">
        <v>4.0925649999999996</v>
      </c>
      <c r="I96" s="578">
        <v>0</v>
      </c>
      <c r="J96" s="578">
        <v>0</v>
      </c>
      <c r="K96" s="578">
        <v>0</v>
      </c>
      <c r="L96" s="578">
        <v>0</v>
      </c>
      <c r="M96" s="578">
        <v>5.0669690000000003</v>
      </c>
      <c r="N96" s="578">
        <v>5.5150699999999997</v>
      </c>
      <c r="O96" s="578">
        <v>5.3053990000000004</v>
      </c>
      <c r="P96" s="34"/>
      <c r="Q96" s="34"/>
      <c r="R96" s="579"/>
      <c r="S96" s="579"/>
      <c r="T96" s="579"/>
      <c r="U96" s="579"/>
      <c r="V96" s="579"/>
      <c r="W96" s="579"/>
    </row>
    <row r="97" spans="2:23" s="44" customFormat="1" ht="15" x14ac:dyDescent="0.25">
      <c r="B97" s="577"/>
      <c r="C97" s="570" t="s">
        <v>354</v>
      </c>
      <c r="D97" s="581">
        <v>320.61860000000001</v>
      </c>
      <c r="E97" s="578">
        <v>312.69990000000001</v>
      </c>
      <c r="F97" s="581">
        <v>303.79320000000001</v>
      </c>
      <c r="G97" s="578">
        <v>253.73249999999999</v>
      </c>
      <c r="H97" s="578">
        <v>187.8879</v>
      </c>
      <c r="I97" s="578">
        <v>0</v>
      </c>
      <c r="J97" s="578">
        <v>0</v>
      </c>
      <c r="K97" s="578">
        <v>0</v>
      </c>
      <c r="L97" s="578">
        <v>0</v>
      </c>
      <c r="M97" s="581">
        <v>264.30500000000001</v>
      </c>
      <c r="N97" s="581">
        <v>290.54860000000002</v>
      </c>
      <c r="O97" s="581">
        <v>291.71589999999998</v>
      </c>
      <c r="P97" s="38"/>
      <c r="Q97" s="38"/>
      <c r="R97" s="582"/>
      <c r="S97" s="582"/>
      <c r="T97" s="583"/>
      <c r="U97" s="583"/>
      <c r="V97" s="583"/>
      <c r="W97" s="583"/>
    </row>
    <row r="98" spans="2:23" x14ac:dyDescent="0.2">
      <c r="C98" s="569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  <c r="O98" s="381"/>
      <c r="P98" s="381"/>
      <c r="Q98" s="381"/>
    </row>
    <row r="99" spans="2:23" x14ac:dyDescent="0.2">
      <c r="B99" s="278" t="s">
        <v>372</v>
      </c>
      <c r="C99" s="569"/>
      <c r="D99" s="381"/>
      <c r="E99" s="381"/>
      <c r="F99" s="381"/>
      <c r="G99" s="381"/>
      <c r="H99" s="381"/>
      <c r="I99" s="381"/>
      <c r="J99" s="381"/>
      <c r="K99" s="381"/>
      <c r="L99" s="381"/>
      <c r="M99" s="381"/>
      <c r="N99" s="381"/>
      <c r="O99" s="381"/>
      <c r="P99" s="381"/>
      <c r="Q99" s="381"/>
    </row>
    <row r="100" spans="2:23" x14ac:dyDescent="0.2">
      <c r="B100" s="42" t="s">
        <v>5</v>
      </c>
      <c r="C100" s="569">
        <v>23</v>
      </c>
      <c r="D100" s="381">
        <f>IF(D67=0,0,D67+D86*(-D$83))</f>
        <v>107.87324923754237</v>
      </c>
      <c r="E100" s="381">
        <f t="shared" ref="E100:O102" si="22">IF(E67=0,0,E67+E86*(-E$83))</f>
        <v>92.964027124888133</v>
      </c>
      <c r="F100" s="381">
        <f t="shared" si="22"/>
        <v>87.886665015499503</v>
      </c>
      <c r="G100" s="381">
        <f t="shared" si="22"/>
        <v>62.793126383762704</v>
      </c>
      <c r="H100" s="381">
        <f t="shared" si="22"/>
        <v>34.680894967223743</v>
      </c>
      <c r="I100" s="381">
        <f t="shared" si="22"/>
        <v>20.590010694605247</v>
      </c>
      <c r="J100" s="381">
        <f t="shared" si="22"/>
        <v>15.306297173273384</v>
      </c>
      <c r="K100" s="381">
        <f t="shared" si="22"/>
        <v>14.985035765566694</v>
      </c>
      <c r="L100" s="381">
        <f t="shared" si="22"/>
        <v>21.11615846235274</v>
      </c>
      <c r="M100" s="381">
        <f t="shared" si="22"/>
        <v>49.665393947650244</v>
      </c>
      <c r="N100" s="381">
        <f t="shared" si="22"/>
        <v>79.525562507038231</v>
      </c>
      <c r="O100" s="381">
        <f t="shared" si="22"/>
        <v>107.34196058286457</v>
      </c>
      <c r="P100" s="381">
        <f>SUM(D100:O100)</f>
        <v>694.7283818622675</v>
      </c>
      <c r="Q100" s="381"/>
    </row>
    <row r="101" spans="2:23" x14ac:dyDescent="0.2">
      <c r="B101" s="41" t="s">
        <v>334</v>
      </c>
      <c r="C101" s="569">
        <v>31</v>
      </c>
      <c r="D101" s="381">
        <f>IF(D68=0,0,D68+D87*(-D$83))</f>
        <v>555.00980380115061</v>
      </c>
      <c r="E101" s="381">
        <f t="shared" si="22"/>
        <v>498.9023188967746</v>
      </c>
      <c r="F101" s="381">
        <f t="shared" si="22"/>
        <v>478.28589663031454</v>
      </c>
      <c r="G101" s="381">
        <f t="shared" si="22"/>
        <v>362.42141312222395</v>
      </c>
      <c r="H101" s="381">
        <f t="shared" si="22"/>
        <v>210.66249120002428</v>
      </c>
      <c r="I101" s="381">
        <f t="shared" si="22"/>
        <v>171.27525575831649</v>
      </c>
      <c r="J101" s="381">
        <f t="shared" si="22"/>
        <v>138.15490462289341</v>
      </c>
      <c r="K101" s="381">
        <f t="shared" si="22"/>
        <v>136.99155785856121</v>
      </c>
      <c r="L101" s="381">
        <f t="shared" si="22"/>
        <v>165.20080421312144</v>
      </c>
      <c r="M101" s="381">
        <f t="shared" si="22"/>
        <v>270.58001182806839</v>
      </c>
      <c r="N101" s="381">
        <f t="shared" si="22"/>
        <v>423.12258109849552</v>
      </c>
      <c r="O101" s="381">
        <f t="shared" si="22"/>
        <v>536.57064228706463</v>
      </c>
      <c r="P101" s="381">
        <f t="shared" ref="P101:P111" si="23">SUM(D101:O101)</f>
        <v>3947.177681317009</v>
      </c>
      <c r="Q101" s="381"/>
    </row>
    <row r="102" spans="2:23" x14ac:dyDescent="0.2">
      <c r="B102" s="41" t="s">
        <v>335</v>
      </c>
      <c r="C102" s="41">
        <v>41</v>
      </c>
      <c r="D102" s="381">
        <f>IF(D69=0,0,D69+D88*(-D$83))</f>
        <v>6249.1371923443266</v>
      </c>
      <c r="E102" s="381">
        <f t="shared" si="22"/>
        <v>5903.6038220284936</v>
      </c>
      <c r="F102" s="381">
        <f t="shared" si="22"/>
        <v>6188.8144898600713</v>
      </c>
      <c r="G102" s="381">
        <f t="shared" si="22"/>
        <v>4270.0442522504927</v>
      </c>
      <c r="H102" s="381">
        <f t="shared" si="22"/>
        <v>3161.5813343723567</v>
      </c>
      <c r="I102" s="381">
        <f t="shared" si="22"/>
        <v>2701.8648942230629</v>
      </c>
      <c r="J102" s="381">
        <f t="shared" si="22"/>
        <v>1952.2886195764233</v>
      </c>
      <c r="K102" s="381">
        <f t="shared" si="22"/>
        <v>1834.114606084144</v>
      </c>
      <c r="L102" s="381">
        <f t="shared" si="22"/>
        <v>2287.4881169524001</v>
      </c>
      <c r="M102" s="381">
        <f t="shared" si="22"/>
        <v>3543.772249733956</v>
      </c>
      <c r="N102" s="381">
        <f t="shared" si="22"/>
        <v>5520.9216610881058</v>
      </c>
      <c r="O102" s="381">
        <f t="shared" si="22"/>
        <v>5162.8022772642535</v>
      </c>
      <c r="P102" s="381">
        <f t="shared" si="23"/>
        <v>48776.433515778081</v>
      </c>
      <c r="Q102" s="381"/>
    </row>
    <row r="103" spans="2:23" x14ac:dyDescent="0.2">
      <c r="B103" s="42" t="s">
        <v>346</v>
      </c>
      <c r="C103" s="569" t="s">
        <v>192</v>
      </c>
      <c r="D103" s="381">
        <f t="shared" ref="D103:O109" si="24">IF(D71=0,0,D71+D89*(-D$83))</f>
        <v>21261.370313278352</v>
      </c>
      <c r="E103" s="381">
        <f t="shared" si="24"/>
        <v>15506.667755600003</v>
      </c>
      <c r="F103" s="381">
        <f t="shared" si="24"/>
        <v>18754.92164205357</v>
      </c>
      <c r="G103" s="381">
        <f t="shared" si="24"/>
        <v>29481.522455758335</v>
      </c>
      <c r="H103" s="381">
        <f t="shared" si="24"/>
        <v>649.19737643332985</v>
      </c>
      <c r="I103" s="381">
        <f t="shared" si="24"/>
        <v>14261.94626666667</v>
      </c>
      <c r="J103" s="381">
        <f t="shared" si="24"/>
        <v>13076.634799999996</v>
      </c>
      <c r="K103" s="381">
        <f t="shared" si="24"/>
        <v>12350.976399999998</v>
      </c>
      <c r="L103" s="381">
        <f t="shared" si="24"/>
        <v>13691.773066666668</v>
      </c>
      <c r="M103" s="381">
        <f t="shared" si="24"/>
        <v>16078.216292133329</v>
      </c>
      <c r="N103" s="381">
        <f t="shared" si="24"/>
        <v>16066.155018666666</v>
      </c>
      <c r="O103" s="381">
        <f t="shared" si="24"/>
        <v>19214.534252041667</v>
      </c>
      <c r="P103" s="381">
        <f t="shared" si="23"/>
        <v>190393.91563929856</v>
      </c>
      <c r="Q103" s="381"/>
    </row>
    <row r="104" spans="2:23" x14ac:dyDescent="0.2">
      <c r="B104" s="42" t="s">
        <v>347</v>
      </c>
      <c r="C104" s="569" t="s">
        <v>3</v>
      </c>
      <c r="D104" s="381">
        <f t="shared" si="24"/>
        <v>70020.806370536229</v>
      </c>
      <c r="E104" s="381">
        <f t="shared" si="24"/>
        <v>49390.188852057952</v>
      </c>
      <c r="F104" s="381">
        <f t="shared" si="24"/>
        <v>77841.01390663044</v>
      </c>
      <c r="G104" s="381">
        <f t="shared" si="24"/>
        <v>85538.631875717401</v>
      </c>
      <c r="H104" s="381">
        <f t="shared" si="24"/>
        <v>107509.76265199999</v>
      </c>
      <c r="I104" s="381">
        <f t="shared" si="24"/>
        <v>-36908.648695652162</v>
      </c>
      <c r="J104" s="381">
        <f t="shared" si="24"/>
        <v>48656.435652173917</v>
      </c>
      <c r="K104" s="381">
        <f t="shared" si="24"/>
        <v>49939.485652173913</v>
      </c>
      <c r="L104" s="381">
        <f t="shared" si="24"/>
        <v>56122.507826086963</v>
      </c>
      <c r="M104" s="381">
        <f t="shared" si="24"/>
        <v>57864.812000724633</v>
      </c>
      <c r="N104" s="381">
        <f t="shared" si="24"/>
        <v>59449.929750028976</v>
      </c>
      <c r="O104" s="381">
        <f t="shared" si="24"/>
        <v>67162.565482275371</v>
      </c>
      <c r="P104" s="381">
        <f t="shared" si="23"/>
        <v>692587.49132475362</v>
      </c>
      <c r="Q104" s="381"/>
    </row>
    <row r="105" spans="2:23" x14ac:dyDescent="0.2">
      <c r="B105" s="42" t="s">
        <v>348</v>
      </c>
      <c r="C105" s="569" t="s">
        <v>2</v>
      </c>
      <c r="D105" s="381">
        <f t="shared" si="24"/>
        <v>610365.37992333353</v>
      </c>
      <c r="E105" s="381">
        <f t="shared" si="24"/>
        <v>470328.15445333335</v>
      </c>
      <c r="F105" s="381">
        <f t="shared" si="24"/>
        <v>586789.15431666665</v>
      </c>
      <c r="G105" s="381">
        <f t="shared" si="24"/>
        <v>976876.56173749978</v>
      </c>
      <c r="H105" s="381">
        <f t="shared" si="24"/>
        <v>8033.4863966666708</v>
      </c>
      <c r="I105" s="381">
        <f t="shared" si="24"/>
        <v>393245.20279166667</v>
      </c>
      <c r="J105" s="381">
        <f t="shared" si="24"/>
        <v>372492.45333333337</v>
      </c>
      <c r="K105" s="381">
        <f t="shared" si="24"/>
        <v>403173.59666666668</v>
      </c>
      <c r="L105" s="381">
        <f t="shared" si="24"/>
        <v>368572.37333333329</v>
      </c>
      <c r="M105" s="381">
        <f t="shared" si="24"/>
        <v>551850.05085999984</v>
      </c>
      <c r="N105" s="381">
        <f t="shared" si="24"/>
        <v>538389.57184000022</v>
      </c>
      <c r="O105" s="381">
        <f t="shared" si="24"/>
        <v>643058.28361416678</v>
      </c>
      <c r="P105" s="381">
        <f t="shared" si="23"/>
        <v>5923174.2692666668</v>
      </c>
      <c r="Q105" s="381"/>
    </row>
    <row r="106" spans="2:23" x14ac:dyDescent="0.2">
      <c r="B106" s="42" t="s">
        <v>337</v>
      </c>
      <c r="C106" s="42">
        <v>85</v>
      </c>
      <c r="D106" s="381">
        <f t="shared" si="24"/>
        <v>77489.929769744354</v>
      </c>
      <c r="E106" s="381">
        <f t="shared" si="24"/>
        <v>55093.46768144524</v>
      </c>
      <c r="F106" s="381">
        <f t="shared" si="24"/>
        <v>66523.46659864785</v>
      </c>
      <c r="G106" s="381">
        <f t="shared" si="24"/>
        <v>78342.894993459777</v>
      </c>
      <c r="H106" s="381">
        <f t="shared" si="24"/>
        <v>37130.782204147399</v>
      </c>
      <c r="I106" s="381">
        <f t="shared" si="24"/>
        <v>34537.647610996901</v>
      </c>
      <c r="J106" s="381">
        <f t="shared" si="24"/>
        <v>23754.36184406446</v>
      </c>
      <c r="K106" s="381">
        <f t="shared" si="24"/>
        <v>55787.682258884612</v>
      </c>
      <c r="L106" s="381">
        <f t="shared" si="24"/>
        <v>32138.123706683284</v>
      </c>
      <c r="M106" s="381">
        <f t="shared" si="24"/>
        <v>39355.648510991057</v>
      </c>
      <c r="N106" s="381">
        <f t="shared" si="24"/>
        <v>54633.238524361353</v>
      </c>
      <c r="O106" s="381">
        <f t="shared" si="24"/>
        <v>81819.955116236597</v>
      </c>
      <c r="P106" s="381">
        <f t="shared" si="23"/>
        <v>636607.19881966279</v>
      </c>
      <c r="Q106" s="381"/>
    </row>
    <row r="107" spans="2:23" x14ac:dyDescent="0.2">
      <c r="B107" s="42" t="s">
        <v>338</v>
      </c>
      <c r="C107" s="42">
        <v>86</v>
      </c>
      <c r="D107" s="381">
        <f t="shared" si="24"/>
        <v>8219.4536883689525</v>
      </c>
      <c r="E107" s="381">
        <f t="shared" si="24"/>
        <v>6331.1177356496055</v>
      </c>
      <c r="F107" s="381">
        <f t="shared" si="24"/>
        <v>6695.8774248905675</v>
      </c>
      <c r="G107" s="381">
        <f t="shared" si="24"/>
        <v>5380.9140137696286</v>
      </c>
      <c r="H107" s="381">
        <f t="shared" si="24"/>
        <v>4139.1606666002572</v>
      </c>
      <c r="I107" s="381">
        <f t="shared" si="24"/>
        <v>2071.9818071897653</v>
      </c>
      <c r="J107" s="381">
        <f t="shared" si="24"/>
        <v>1378.3322130022507</v>
      </c>
      <c r="K107" s="381">
        <f t="shared" si="24"/>
        <v>1254.1123760667554</v>
      </c>
      <c r="L107" s="381">
        <f t="shared" si="24"/>
        <v>1899.7054751748042</v>
      </c>
      <c r="M107" s="381">
        <f t="shared" si="24"/>
        <v>3856.2825651358235</v>
      </c>
      <c r="N107" s="381">
        <f t="shared" si="24"/>
        <v>5607.7760341683979</v>
      </c>
      <c r="O107" s="381">
        <f t="shared" si="24"/>
        <v>6459.2173638324311</v>
      </c>
      <c r="P107" s="381">
        <f t="shared" si="23"/>
        <v>53293.931363849239</v>
      </c>
      <c r="Q107" s="381"/>
    </row>
    <row r="108" spans="2:23" x14ac:dyDescent="0.2">
      <c r="B108" s="41" t="s">
        <v>362</v>
      </c>
      <c r="C108" s="41">
        <v>87</v>
      </c>
      <c r="D108" s="381">
        <f t="shared" si="24"/>
        <v>890619.04935666674</v>
      </c>
      <c r="E108" s="381">
        <f t="shared" si="24"/>
        <v>1044306.3760150003</v>
      </c>
      <c r="F108" s="381">
        <f t="shared" si="24"/>
        <v>-265409.26908750006</v>
      </c>
      <c r="G108" s="381">
        <f t="shared" si="24"/>
        <v>1186793.9341266667</v>
      </c>
      <c r="H108" s="381">
        <f t="shared" si="24"/>
        <v>-244968.9598675</v>
      </c>
      <c r="I108" s="381">
        <f t="shared" si="24"/>
        <v>406710.569625</v>
      </c>
      <c r="J108" s="381">
        <f t="shared" si="24"/>
        <v>226777.08062499997</v>
      </c>
      <c r="K108" s="381">
        <f t="shared" si="24"/>
        <v>250895.99924999999</v>
      </c>
      <c r="L108" s="381">
        <f t="shared" si="24"/>
        <v>195145.603875</v>
      </c>
      <c r="M108" s="381">
        <f t="shared" si="24"/>
        <v>374464.12889999995</v>
      </c>
      <c r="N108" s="381">
        <f t="shared" si="24"/>
        <v>407264.93514833343</v>
      </c>
      <c r="O108" s="381">
        <f t="shared" si="24"/>
        <v>637271.97979000013</v>
      </c>
      <c r="P108" s="381">
        <f t="shared" si="23"/>
        <v>5109871.4277566671</v>
      </c>
      <c r="Q108" s="381"/>
    </row>
    <row r="109" spans="2:23" x14ac:dyDescent="0.2">
      <c r="B109" s="42" t="s">
        <v>340</v>
      </c>
      <c r="C109" s="42">
        <v>31</v>
      </c>
      <c r="D109" s="381">
        <f t="shared" si="24"/>
        <v>834.44591048704444</v>
      </c>
      <c r="E109" s="381">
        <f t="shared" si="24"/>
        <v>760.60775763673394</v>
      </c>
      <c r="F109" s="381">
        <f t="shared" si="24"/>
        <v>814.67908057437978</v>
      </c>
      <c r="G109" s="381">
        <f t="shared" si="24"/>
        <v>592.28744841563457</v>
      </c>
      <c r="H109" s="381">
        <f t="shared" si="24"/>
        <v>233.64909203990345</v>
      </c>
      <c r="I109" s="381">
        <f t="shared" si="24"/>
        <v>197.76625993517084</v>
      </c>
      <c r="J109" s="381">
        <f t="shared" si="24"/>
        <v>146.26559834753769</v>
      </c>
      <c r="K109" s="381">
        <f t="shared" si="24"/>
        <v>130.31391000041236</v>
      </c>
      <c r="L109" s="381">
        <f t="shared" si="24"/>
        <v>135.77624307705133</v>
      </c>
      <c r="M109" s="381">
        <f t="shared" si="24"/>
        <v>366.94744398406277</v>
      </c>
      <c r="N109" s="381">
        <f t="shared" si="24"/>
        <v>645.25963282590965</v>
      </c>
      <c r="O109" s="381">
        <f t="shared" si="24"/>
        <v>802.84064361694891</v>
      </c>
      <c r="P109" s="381">
        <f t="shared" si="23"/>
        <v>5660.8390209407889</v>
      </c>
      <c r="Q109" s="381"/>
    </row>
    <row r="110" spans="2:23" x14ac:dyDescent="0.2">
      <c r="B110" s="41" t="s">
        <v>341</v>
      </c>
      <c r="C110" s="41">
        <v>41</v>
      </c>
      <c r="D110" s="381">
        <f>IF(D70=0,0,D70+D96*(-D$83))</f>
        <v>13312.443772672132</v>
      </c>
      <c r="E110" s="381">
        <f t="shared" ref="E110:O110" si="25">IF(E70=0,0,E70+E96*(-E$83))</f>
        <v>14452.93703686492</v>
      </c>
      <c r="F110" s="381">
        <f t="shared" si="25"/>
        <v>13023.211936333579</v>
      </c>
      <c r="G110" s="381">
        <f t="shared" si="25"/>
        <v>10719.358641042349</v>
      </c>
      <c r="H110" s="381">
        <f t="shared" si="25"/>
        <v>11335.480859106805</v>
      </c>
      <c r="I110" s="381">
        <f t="shared" si="25"/>
        <v>9021.0320081056943</v>
      </c>
      <c r="J110" s="381">
        <f t="shared" si="25"/>
        <v>8328.0429476857171</v>
      </c>
      <c r="K110" s="381">
        <f t="shared" si="25"/>
        <v>8240.8560733810009</v>
      </c>
      <c r="L110" s="381">
        <f t="shared" si="25"/>
        <v>8870.864088618493</v>
      </c>
      <c r="M110" s="381">
        <f t="shared" si="25"/>
        <v>10910.562662840261</v>
      </c>
      <c r="N110" s="381">
        <f t="shared" si="25"/>
        <v>12317.15646459024</v>
      </c>
      <c r="O110" s="381">
        <f t="shared" si="25"/>
        <v>13142.373713422367</v>
      </c>
      <c r="P110" s="381">
        <f t="shared" si="23"/>
        <v>133674.32020466356</v>
      </c>
      <c r="Q110" s="381"/>
    </row>
    <row r="111" spans="2:23" s="35" customFormat="1" ht="15" x14ac:dyDescent="0.25">
      <c r="B111" s="44" t="s">
        <v>353</v>
      </c>
      <c r="C111" s="577" t="s">
        <v>354</v>
      </c>
      <c r="D111" s="279">
        <f>IF(D78=0,0,D78+D97*(-D$83))</f>
        <v>410306.53275777778</v>
      </c>
      <c r="E111" s="279">
        <f t="shared" ref="E111:O111" si="26">IF(E78=0,0,E78+E97*(-E$83))</f>
        <v>123562.2947688889</v>
      </c>
      <c r="F111" s="279">
        <f t="shared" si="26"/>
        <v>644300.10332777782</v>
      </c>
      <c r="G111" s="279">
        <f t="shared" si="26"/>
        <v>-20181.734534725707</v>
      </c>
      <c r="H111" s="279">
        <f t="shared" si="26"/>
        <v>575436.7952908373</v>
      </c>
      <c r="I111" s="279">
        <f t="shared" si="26"/>
        <v>204390.84888888884</v>
      </c>
      <c r="J111" s="279">
        <f t="shared" si="26"/>
        <v>186870.59444444446</v>
      </c>
      <c r="K111" s="279">
        <f t="shared" si="26"/>
        <v>183704.45666666667</v>
      </c>
      <c r="L111" s="279">
        <f t="shared" si="26"/>
        <v>198266.34444444446</v>
      </c>
      <c r="M111" s="279">
        <f t="shared" si="26"/>
        <v>272349.76011111098</v>
      </c>
      <c r="N111" s="279">
        <f t="shared" si="26"/>
        <v>389577.49925333337</v>
      </c>
      <c r="O111" s="279">
        <f t="shared" si="26"/>
        <v>-786641.28213361092</v>
      </c>
      <c r="P111" s="381">
        <f t="shared" si="23"/>
        <v>2381942.2132858336</v>
      </c>
      <c r="Q111" s="279"/>
    </row>
    <row r="112" spans="2:23" x14ac:dyDescent="0.2">
      <c r="C112" s="569"/>
      <c r="D112" s="381"/>
      <c r="E112" s="381"/>
      <c r="F112" s="381"/>
      <c r="G112" s="381"/>
      <c r="H112" s="381"/>
      <c r="I112" s="381"/>
      <c r="J112" s="381"/>
      <c r="K112" s="381"/>
      <c r="L112" s="381"/>
      <c r="M112" s="381"/>
      <c r="N112" s="381"/>
      <c r="O112" s="381"/>
      <c r="P112" s="381"/>
      <c r="Q112" s="381"/>
    </row>
    <row r="113" spans="2:17" x14ac:dyDescent="0.2">
      <c r="B113" s="278" t="s">
        <v>373</v>
      </c>
      <c r="C113" s="569"/>
      <c r="D113" s="381"/>
      <c r="E113" s="381"/>
      <c r="F113" s="381"/>
      <c r="G113" s="381"/>
      <c r="H113" s="381"/>
      <c r="I113" s="381"/>
      <c r="J113" s="381"/>
      <c r="K113" s="381"/>
      <c r="L113" s="381"/>
      <c r="M113" s="381"/>
      <c r="N113" s="381"/>
      <c r="O113" s="381"/>
      <c r="P113" s="381"/>
      <c r="Q113" s="381"/>
    </row>
    <row r="114" spans="2:17" x14ac:dyDescent="0.2">
      <c r="B114" s="42" t="s">
        <v>5</v>
      </c>
      <c r="C114" s="569">
        <v>23</v>
      </c>
      <c r="D114" s="381">
        <f>D100*D37</f>
        <v>87752299.296759009</v>
      </c>
      <c r="E114" s="381">
        <f t="shared" ref="E114:O114" si="27">E100*E37</f>
        <v>75695215.374223158</v>
      </c>
      <c r="F114" s="381">
        <f t="shared" si="27"/>
        <v>71600738.668137357</v>
      </c>
      <c r="G114" s="381">
        <f t="shared" si="27"/>
        <v>51171123.38015037</v>
      </c>
      <c r="H114" s="381">
        <f t="shared" si="27"/>
        <v>28266802.166615579</v>
      </c>
      <c r="I114" s="381">
        <f t="shared" si="27"/>
        <v>16787159.259375826</v>
      </c>
      <c r="J114" s="381">
        <f t="shared" si="27"/>
        <v>12475673.02442559</v>
      </c>
      <c r="K114" s="381">
        <f t="shared" si="27"/>
        <v>12218378.582241647</v>
      </c>
      <c r="L114" s="381">
        <f t="shared" si="27"/>
        <v>17223816.972987261</v>
      </c>
      <c r="M114" s="381">
        <f t="shared" si="27"/>
        <v>40543400.70667927</v>
      </c>
      <c r="N114" s="381">
        <f t="shared" si="27"/>
        <v>64995208.404689752</v>
      </c>
      <c r="O114" s="381">
        <f t="shared" si="27"/>
        <v>87803469.57561098</v>
      </c>
      <c r="P114" s="381">
        <f>SUM(D114:O114)</f>
        <v>566533285.41189575</v>
      </c>
      <c r="Q114" s="381"/>
    </row>
    <row r="115" spans="2:17" x14ac:dyDescent="0.2">
      <c r="B115" s="41" t="s">
        <v>334</v>
      </c>
      <c r="C115" s="569">
        <v>31</v>
      </c>
      <c r="D115" s="381">
        <f>D101*D40</f>
        <v>30954561.787401572</v>
      </c>
      <c r="E115" s="381">
        <f t="shared" ref="E115:O116" si="28">E101*E40</f>
        <v>27846731.831542373</v>
      </c>
      <c r="F115" s="381">
        <f t="shared" si="28"/>
        <v>26711789.040906437</v>
      </c>
      <c r="G115" s="381">
        <f t="shared" si="28"/>
        <v>20237249.287331864</v>
      </c>
      <c r="H115" s="381">
        <f t="shared" si="28"/>
        <v>11755598.996434955</v>
      </c>
      <c r="I115" s="381">
        <f t="shared" si="28"/>
        <v>9544656.1776437033</v>
      </c>
      <c r="J115" s="381">
        <f t="shared" si="28"/>
        <v>7692326.9344980819</v>
      </c>
      <c r="K115" s="381">
        <f t="shared" si="28"/>
        <v>7619881.4227667497</v>
      </c>
      <c r="L115" s="381">
        <f t="shared" si="28"/>
        <v>9185660.3166621923</v>
      </c>
      <c r="M115" s="381">
        <f t="shared" si="28"/>
        <v>15045330.977687916</v>
      </c>
      <c r="N115" s="381">
        <f t="shared" si="28"/>
        <v>23563273.418794118</v>
      </c>
      <c r="O115" s="381">
        <f t="shared" si="28"/>
        <v>29921325.296495873</v>
      </c>
      <c r="P115" s="381">
        <f t="shared" ref="P115:P126" si="29">SUM(D115:O115)</f>
        <v>220078385.48816586</v>
      </c>
      <c r="Q115" s="381"/>
    </row>
    <row r="116" spans="2:17" x14ac:dyDescent="0.2">
      <c r="B116" s="41" t="s">
        <v>335</v>
      </c>
      <c r="C116" s="41">
        <v>41</v>
      </c>
      <c r="D116" s="381">
        <f>D102*D41</f>
        <v>7323988.7894275505</v>
      </c>
      <c r="E116" s="381">
        <f t="shared" si="28"/>
        <v>6954445.3023495656</v>
      </c>
      <c r="F116" s="381">
        <f t="shared" si="28"/>
        <v>7339933.9849740444</v>
      </c>
      <c r="G116" s="381">
        <f t="shared" si="28"/>
        <v>5038652.2176555814</v>
      </c>
      <c r="H116" s="381">
        <f t="shared" si="28"/>
        <v>3752797.0438999874</v>
      </c>
      <c r="I116" s="381">
        <f t="shared" si="28"/>
        <v>3220622.9539138912</v>
      </c>
      <c r="J116" s="381">
        <f t="shared" si="28"/>
        <v>2331032.6117742495</v>
      </c>
      <c r="K116" s="381">
        <f t="shared" si="28"/>
        <v>2226615.1317861509</v>
      </c>
      <c r="L116" s="381">
        <f t="shared" si="28"/>
        <v>2779298.0620971662</v>
      </c>
      <c r="M116" s="381">
        <f t="shared" si="28"/>
        <v>4316314.6001759581</v>
      </c>
      <c r="N116" s="381">
        <f t="shared" si="28"/>
        <v>6912193.9196823081</v>
      </c>
      <c r="O116" s="381">
        <f t="shared" si="28"/>
        <v>6463828.4511348456</v>
      </c>
      <c r="P116" s="381">
        <f t="shared" si="29"/>
        <v>58659723.068871304</v>
      </c>
      <c r="Q116" s="381"/>
    </row>
    <row r="117" spans="2:17" x14ac:dyDescent="0.2">
      <c r="B117" s="42" t="s">
        <v>346</v>
      </c>
      <c r="C117" s="569" t="s">
        <v>192</v>
      </c>
      <c r="D117" s="381">
        <f>D103*D54</f>
        <v>1637125.514122433</v>
      </c>
      <c r="E117" s="381">
        <f t="shared" ref="E117:O118" si="30">E103*E54</f>
        <v>1194013.4171812003</v>
      </c>
      <c r="F117" s="381">
        <f t="shared" si="30"/>
        <v>1444128.9664381249</v>
      </c>
      <c r="G117" s="381">
        <f t="shared" si="30"/>
        <v>2211114.1841818751</v>
      </c>
      <c r="H117" s="381">
        <f t="shared" si="30"/>
        <v>48689.80323249974</v>
      </c>
      <c r="I117" s="381">
        <f t="shared" si="30"/>
        <v>1069645.9700000002</v>
      </c>
      <c r="J117" s="381">
        <f t="shared" si="30"/>
        <v>980747.60999999975</v>
      </c>
      <c r="K117" s="381">
        <f t="shared" si="30"/>
        <v>926323.22999999986</v>
      </c>
      <c r="L117" s="381">
        <f t="shared" si="30"/>
        <v>1026882.9800000001</v>
      </c>
      <c r="M117" s="381">
        <f t="shared" si="30"/>
        <v>1205866.2219099996</v>
      </c>
      <c r="N117" s="381">
        <f t="shared" si="30"/>
        <v>1204961.6264</v>
      </c>
      <c r="O117" s="381">
        <f t="shared" si="30"/>
        <v>1441090.0689031251</v>
      </c>
      <c r="P117" s="381">
        <f t="shared" ref="P117:P118" si="31">P103*P59</f>
        <v>38840358.790416904</v>
      </c>
      <c r="Q117" s="381"/>
    </row>
    <row r="118" spans="2:17" x14ac:dyDescent="0.2">
      <c r="B118" s="42" t="s">
        <v>347</v>
      </c>
      <c r="C118" s="569" t="s">
        <v>3</v>
      </c>
      <c r="D118" s="381">
        <f>D104*D55</f>
        <v>1610478.5465223333</v>
      </c>
      <c r="E118" s="381">
        <f t="shared" si="30"/>
        <v>1135974.3435973329</v>
      </c>
      <c r="F118" s="381">
        <f t="shared" si="30"/>
        <v>1790343.3198525002</v>
      </c>
      <c r="G118" s="381">
        <f t="shared" si="30"/>
        <v>1967388.5331415003</v>
      </c>
      <c r="H118" s="381">
        <f t="shared" si="30"/>
        <v>2472724.5409959997</v>
      </c>
      <c r="I118" s="381">
        <f t="shared" si="30"/>
        <v>-848898.91999999969</v>
      </c>
      <c r="J118" s="381">
        <f t="shared" si="30"/>
        <v>1119098.02</v>
      </c>
      <c r="K118" s="381">
        <f t="shared" si="30"/>
        <v>1148608.17</v>
      </c>
      <c r="L118" s="381">
        <f t="shared" si="30"/>
        <v>1290817.6800000002</v>
      </c>
      <c r="M118" s="381">
        <f t="shared" si="30"/>
        <v>1330890.6760166665</v>
      </c>
      <c r="N118" s="381">
        <f t="shared" si="30"/>
        <v>1367348.3842506665</v>
      </c>
      <c r="O118" s="381">
        <f t="shared" si="30"/>
        <v>1544739.0060923335</v>
      </c>
      <c r="P118" s="381">
        <f t="shared" si="31"/>
        <v>482733481.45335329</v>
      </c>
      <c r="Q118" s="381"/>
    </row>
    <row r="119" spans="2:17" x14ac:dyDescent="0.2">
      <c r="B119" s="42" t="s">
        <v>348</v>
      </c>
      <c r="C119" s="569" t="s">
        <v>2</v>
      </c>
      <c r="D119" s="381">
        <f>D105*D57</f>
        <v>1831096.1397700007</v>
      </c>
      <c r="E119" s="381">
        <f t="shared" ref="E119:O119" si="32">E105*E57</f>
        <v>1410984.4633599999</v>
      </c>
      <c r="F119" s="381">
        <f t="shared" si="32"/>
        <v>1760367.4629500001</v>
      </c>
      <c r="G119" s="381">
        <f t="shared" si="32"/>
        <v>2930629.6852124995</v>
      </c>
      <c r="H119" s="381">
        <f t="shared" si="32"/>
        <v>24100.459190000012</v>
      </c>
      <c r="I119" s="381">
        <f t="shared" si="32"/>
        <v>1179735.6083750001</v>
      </c>
      <c r="J119" s="381">
        <f t="shared" si="32"/>
        <v>1117477.3600000001</v>
      </c>
      <c r="K119" s="381">
        <f t="shared" si="32"/>
        <v>1209520.79</v>
      </c>
      <c r="L119" s="381">
        <f t="shared" si="32"/>
        <v>1105717.1199999999</v>
      </c>
      <c r="M119" s="381">
        <f t="shared" si="32"/>
        <v>1655550.1525799995</v>
      </c>
      <c r="N119" s="381">
        <f t="shared" si="32"/>
        <v>1615168.7155200006</v>
      </c>
      <c r="O119" s="381">
        <f t="shared" si="32"/>
        <v>1929174.8508425003</v>
      </c>
      <c r="P119" s="381">
        <f t="shared" si="29"/>
        <v>17769522.807799999</v>
      </c>
      <c r="Q119" s="381"/>
    </row>
    <row r="120" spans="2:17" x14ac:dyDescent="0.2">
      <c r="B120" s="42" t="s">
        <v>337</v>
      </c>
      <c r="C120" s="42">
        <v>85</v>
      </c>
      <c r="D120" s="381">
        <f>D106*D44</f>
        <v>2247207.9633225864</v>
      </c>
      <c r="E120" s="381">
        <f t="shared" ref="E120:O124" si="33">E106*E44</f>
        <v>1542617.0950804667</v>
      </c>
      <c r="F120" s="381">
        <f t="shared" si="33"/>
        <v>1862657.0647621397</v>
      </c>
      <c r="G120" s="381">
        <f t="shared" si="33"/>
        <v>2193601.0598168736</v>
      </c>
      <c r="H120" s="381">
        <f t="shared" si="33"/>
        <v>1039661.9017161272</v>
      </c>
      <c r="I120" s="381">
        <f t="shared" si="33"/>
        <v>967054.13310791319</v>
      </c>
      <c r="J120" s="381">
        <f t="shared" si="33"/>
        <v>665122.13163380488</v>
      </c>
      <c r="K120" s="381">
        <f t="shared" si="33"/>
        <v>1562055.1032487692</v>
      </c>
      <c r="L120" s="381">
        <f t="shared" si="33"/>
        <v>899867.46378713194</v>
      </c>
      <c r="M120" s="381">
        <f t="shared" si="33"/>
        <v>1101958.1583077495</v>
      </c>
      <c r="N120" s="381">
        <f t="shared" si="33"/>
        <v>1529730.678682118</v>
      </c>
      <c r="O120" s="381">
        <f t="shared" si="33"/>
        <v>2290958.7432546248</v>
      </c>
      <c r="P120" s="381">
        <f t="shared" si="29"/>
        <v>17902491.496720307</v>
      </c>
      <c r="Q120" s="381"/>
    </row>
    <row r="121" spans="2:17" x14ac:dyDescent="0.2">
      <c r="B121" s="42" t="s">
        <v>338</v>
      </c>
      <c r="C121" s="42">
        <v>86</v>
      </c>
      <c r="D121" s="381">
        <f>D107*D45</f>
        <v>830164.82252526423</v>
      </c>
      <c r="E121" s="381">
        <f t="shared" si="33"/>
        <v>639442.89130061015</v>
      </c>
      <c r="F121" s="381">
        <f t="shared" si="33"/>
        <v>676283.6199139473</v>
      </c>
      <c r="G121" s="381">
        <f t="shared" si="33"/>
        <v>538091.40137696289</v>
      </c>
      <c r="H121" s="381">
        <f>H107*H45</f>
        <v>413916.06666002574</v>
      </c>
      <c r="I121" s="381">
        <f t="shared" si="33"/>
        <v>205126.19891178675</v>
      </c>
      <c r="J121" s="381">
        <f t="shared" si="33"/>
        <v>136454.88908722281</v>
      </c>
      <c r="K121" s="381">
        <f t="shared" si="33"/>
        <v>124157.12523060878</v>
      </c>
      <c r="L121" s="381">
        <f t="shared" si="33"/>
        <v>186171.1365671308</v>
      </c>
      <c r="M121" s="381">
        <f t="shared" si="33"/>
        <v>366346.84368790325</v>
      </c>
      <c r="N121" s="381">
        <f t="shared" si="33"/>
        <v>532738.7232459978</v>
      </c>
      <c r="O121" s="381">
        <f t="shared" si="33"/>
        <v>613625.64956408099</v>
      </c>
      <c r="P121" s="381">
        <f t="shared" si="29"/>
        <v>5262519.3680715412</v>
      </c>
      <c r="Q121" s="381"/>
    </row>
    <row r="122" spans="2:17" x14ac:dyDescent="0.2">
      <c r="B122" s="41" t="s">
        <v>362</v>
      </c>
      <c r="C122" s="41">
        <v>87</v>
      </c>
      <c r="D122" s="381">
        <f>D108*D46</f>
        <v>3562476.197426667</v>
      </c>
      <c r="E122" s="381">
        <f t="shared" si="33"/>
        <v>4177225.5040600011</v>
      </c>
      <c r="F122" s="381">
        <f t="shared" si="33"/>
        <v>-1061637.0763500002</v>
      </c>
      <c r="G122" s="381">
        <f t="shared" si="33"/>
        <v>4747175.736506667</v>
      </c>
      <c r="H122" s="381">
        <f t="shared" si="33"/>
        <v>-979875.83947000001</v>
      </c>
      <c r="I122" s="381">
        <f t="shared" si="33"/>
        <v>1626842.2785</v>
      </c>
      <c r="J122" s="381">
        <f t="shared" si="33"/>
        <v>907108.32249999989</v>
      </c>
      <c r="K122" s="381">
        <f t="shared" si="33"/>
        <v>1003583.997</v>
      </c>
      <c r="L122" s="381">
        <f t="shared" si="33"/>
        <v>780582.4155</v>
      </c>
      <c r="M122" s="381">
        <f t="shared" si="33"/>
        <v>1497856.5155999998</v>
      </c>
      <c r="N122" s="381">
        <f t="shared" si="33"/>
        <v>1629059.7405933337</v>
      </c>
      <c r="O122" s="381">
        <f t="shared" si="33"/>
        <v>2549087.9191600005</v>
      </c>
      <c r="P122" s="381">
        <f t="shared" si="29"/>
        <v>20439485.711026669</v>
      </c>
      <c r="Q122" s="381"/>
    </row>
    <row r="123" spans="2:17" x14ac:dyDescent="0.2">
      <c r="B123" s="42" t="s">
        <v>340</v>
      </c>
      <c r="C123" s="42">
        <v>31</v>
      </c>
      <c r="D123" s="381">
        <f>D109*D47</f>
        <v>1832443.2194295495</v>
      </c>
      <c r="E123" s="381">
        <f t="shared" si="33"/>
        <v>1669534.028012631</v>
      </c>
      <c r="F123" s="381">
        <f t="shared" si="33"/>
        <v>1789849.9400219123</v>
      </c>
      <c r="G123" s="381">
        <f t="shared" si="33"/>
        <v>1303624.6739628117</v>
      </c>
      <c r="H123" s="381">
        <f t="shared" si="33"/>
        <v>513093.40611962799</v>
      </c>
      <c r="I123" s="381">
        <f t="shared" si="33"/>
        <v>433701.40803782962</v>
      </c>
      <c r="J123" s="381">
        <f t="shared" si="33"/>
        <v>319297.80119267479</v>
      </c>
      <c r="K123" s="381">
        <f t="shared" si="33"/>
        <v>284475.26553090021</v>
      </c>
      <c r="L123" s="381">
        <f t="shared" si="33"/>
        <v>296399.53863720305</v>
      </c>
      <c r="M123" s="381">
        <f t="shared" si="33"/>
        <v>801780.16510517721</v>
      </c>
      <c r="N123" s="381">
        <f t="shared" si="33"/>
        <v>1413763.8555215681</v>
      </c>
      <c r="O123" s="381">
        <f t="shared" si="33"/>
        <v>1759023.850164735</v>
      </c>
      <c r="P123" s="381">
        <f t="shared" si="29"/>
        <v>12416987.151736619</v>
      </c>
      <c r="Q123" s="381"/>
    </row>
    <row r="124" spans="2:17" x14ac:dyDescent="0.2">
      <c r="B124" s="41" t="s">
        <v>341</v>
      </c>
      <c r="C124" s="41">
        <v>41</v>
      </c>
      <c r="D124" s="381">
        <f>D110*D48</f>
        <v>931871.06408704922</v>
      </c>
      <c r="E124" s="381">
        <f t="shared" si="33"/>
        <v>997252.65554367949</v>
      </c>
      <c r="F124" s="381">
        <f t="shared" si="33"/>
        <v>898601.62360701698</v>
      </c>
      <c r="G124" s="381">
        <f t="shared" si="33"/>
        <v>739635.74623192206</v>
      </c>
      <c r="H124" s="381">
        <f t="shared" si="33"/>
        <v>793483.6601374764</v>
      </c>
      <c r="I124" s="381">
        <f t="shared" si="33"/>
        <v>622451.20855929295</v>
      </c>
      <c r="J124" s="381">
        <f t="shared" si="33"/>
        <v>574634.96339031449</v>
      </c>
      <c r="K124" s="381">
        <f t="shared" si="33"/>
        <v>568619.06906328909</v>
      </c>
      <c r="L124" s="381">
        <f t="shared" si="33"/>
        <v>620960.48620329448</v>
      </c>
      <c r="M124" s="381">
        <f t="shared" si="33"/>
        <v>752828.82373597799</v>
      </c>
      <c r="N124" s="381">
        <f t="shared" si="33"/>
        <v>849883.7960567266</v>
      </c>
      <c r="O124" s="381">
        <f t="shared" si="33"/>
        <v>893681.41251272091</v>
      </c>
      <c r="P124" s="381">
        <f t="shared" si="29"/>
        <v>9243904.5091287624</v>
      </c>
      <c r="Q124" s="381"/>
    </row>
    <row r="125" spans="2:17" s="35" customFormat="1" ht="15" x14ac:dyDescent="0.25">
      <c r="B125" s="44" t="s">
        <v>353</v>
      </c>
      <c r="C125" s="577" t="s">
        <v>354</v>
      </c>
      <c r="D125" s="279">
        <f>D111*D63</f>
        <v>3692758.79482</v>
      </c>
      <c r="E125" s="279">
        <f t="shared" ref="E125:O125" si="34">E111*E63</f>
        <v>1112060.65292</v>
      </c>
      <c r="F125" s="279">
        <f t="shared" si="34"/>
        <v>5798700.9299500007</v>
      </c>
      <c r="G125" s="279">
        <f t="shared" si="34"/>
        <v>-181635.61081253138</v>
      </c>
      <c r="H125" s="279">
        <f t="shared" si="34"/>
        <v>5178931.1576175354</v>
      </c>
      <c r="I125" s="279">
        <f t="shared" si="34"/>
        <v>1839517.6399999997</v>
      </c>
      <c r="J125" s="279">
        <f t="shared" si="34"/>
        <v>1681835.35</v>
      </c>
      <c r="K125" s="279">
        <f t="shared" si="34"/>
        <v>1653340.1099999999</v>
      </c>
      <c r="L125" s="279">
        <f t="shared" si="34"/>
        <v>1784397.1</v>
      </c>
      <c r="M125" s="279">
        <f t="shared" si="34"/>
        <v>2451147.8409999991</v>
      </c>
      <c r="N125" s="279">
        <f t="shared" si="34"/>
        <v>3506197.4932800005</v>
      </c>
      <c r="O125" s="279">
        <f t="shared" si="34"/>
        <v>-7079771.5392024983</v>
      </c>
      <c r="P125" s="335">
        <f t="shared" si="29"/>
        <v>21437479.91957251</v>
      </c>
      <c r="Q125" s="279"/>
    </row>
    <row r="126" spans="2:17" x14ac:dyDescent="0.2">
      <c r="B126" s="42" t="s">
        <v>374</v>
      </c>
      <c r="C126" s="569"/>
      <c r="D126" s="584">
        <f t="shared" ref="D126:O126" si="35">SUM(D114:D125)</f>
        <v>144206472.13561404</v>
      </c>
      <c r="E126" s="584">
        <f t="shared" si="35"/>
        <v>124375497.55917101</v>
      </c>
      <c r="F126" s="584">
        <f t="shared" si="35"/>
        <v>120611757.5451635</v>
      </c>
      <c r="G126" s="584">
        <f t="shared" si="35"/>
        <v>92896650.294756383</v>
      </c>
      <c r="H126" s="584">
        <f t="shared" si="35"/>
        <v>53279923.363149822</v>
      </c>
      <c r="I126" s="584">
        <f t="shared" si="35"/>
        <v>36647613.916425236</v>
      </c>
      <c r="J126" s="584">
        <f t="shared" si="35"/>
        <v>30000809.018501937</v>
      </c>
      <c r="K126" s="584">
        <f t="shared" si="35"/>
        <v>30545557.996868111</v>
      </c>
      <c r="L126" s="584">
        <f t="shared" si="35"/>
        <v>37180571.272441387</v>
      </c>
      <c r="M126" s="584">
        <f t="shared" si="35"/>
        <v>71069271.682486624</v>
      </c>
      <c r="N126" s="584">
        <f t="shared" si="35"/>
        <v>109119528.75671658</v>
      </c>
      <c r="O126" s="584">
        <f t="shared" si="35"/>
        <v>130130233.28453334</v>
      </c>
      <c r="P126" s="381">
        <f t="shared" si="29"/>
        <v>980063886.82582819</v>
      </c>
      <c r="Q126" s="279"/>
    </row>
    <row r="127" spans="2:17" x14ac:dyDescent="0.2">
      <c r="C127" s="569"/>
      <c r="D127" s="381"/>
      <c r="E127" s="381"/>
      <c r="F127" s="381"/>
      <c r="G127" s="381"/>
      <c r="H127" s="381"/>
      <c r="I127" s="381"/>
      <c r="J127" s="381"/>
      <c r="K127" s="381"/>
      <c r="L127" s="381"/>
      <c r="M127" s="381"/>
      <c r="N127" s="381"/>
      <c r="O127" s="381"/>
      <c r="P127" s="381"/>
      <c r="Q127" s="381"/>
    </row>
    <row r="128" spans="2:17" s="41" customFormat="1" x14ac:dyDescent="0.2">
      <c r="B128" s="41" t="s">
        <v>375</v>
      </c>
      <c r="C128" s="41">
        <v>16</v>
      </c>
      <c r="D128" s="34">
        <f t="shared" ref="D128:O128" si="36">D8</f>
        <v>517.11649999999997</v>
      </c>
      <c r="E128" s="34">
        <f t="shared" si="36"/>
        <v>532</v>
      </c>
      <c r="F128" s="34">
        <f t="shared" si="36"/>
        <v>532</v>
      </c>
      <c r="G128" s="34">
        <f t="shared" si="36"/>
        <v>532</v>
      </c>
      <c r="H128" s="34">
        <f t="shared" si="36"/>
        <v>532</v>
      </c>
      <c r="I128" s="34">
        <f t="shared" si="36"/>
        <v>532</v>
      </c>
      <c r="J128" s="34">
        <f t="shared" si="36"/>
        <v>532</v>
      </c>
      <c r="K128" s="34">
        <f t="shared" si="36"/>
        <v>532</v>
      </c>
      <c r="L128" s="34">
        <f t="shared" si="36"/>
        <v>478.16700000000003</v>
      </c>
      <c r="M128" s="34">
        <f t="shared" si="36"/>
        <v>579.5</v>
      </c>
      <c r="N128" s="34">
        <f t="shared" si="36"/>
        <v>601.0335</v>
      </c>
      <c r="O128" s="34">
        <f t="shared" si="36"/>
        <v>438.26650000000001</v>
      </c>
      <c r="P128" s="34">
        <f t="shared" ref="P128:P139" si="37">SUM(D128:O128)</f>
        <v>6338.0835000000006</v>
      </c>
      <c r="Q128" s="34"/>
    </row>
    <row r="129" spans="2:18" s="41" customFormat="1" x14ac:dyDescent="0.2">
      <c r="B129" s="41" t="str">
        <f t="shared" ref="B129:O129" si="38">B10</f>
        <v>Propane</v>
      </c>
      <c r="C129" s="566">
        <f t="shared" si="38"/>
        <v>53</v>
      </c>
      <c r="D129" s="34">
        <f t="shared" si="38"/>
        <v>0</v>
      </c>
      <c r="E129" s="34">
        <f t="shared" si="38"/>
        <v>0</v>
      </c>
      <c r="F129" s="34">
        <f t="shared" si="38"/>
        <v>0</v>
      </c>
      <c r="G129" s="34">
        <f t="shared" si="38"/>
        <v>0</v>
      </c>
      <c r="H129" s="34">
        <f t="shared" si="38"/>
        <v>0</v>
      </c>
      <c r="I129" s="34">
        <f t="shared" si="38"/>
        <v>0</v>
      </c>
      <c r="J129" s="34">
        <f t="shared" si="38"/>
        <v>0</v>
      </c>
      <c r="K129" s="34">
        <f t="shared" si="38"/>
        <v>0</v>
      </c>
      <c r="L129" s="34">
        <f t="shared" si="38"/>
        <v>0</v>
      </c>
      <c r="M129" s="34">
        <f t="shared" si="38"/>
        <v>0</v>
      </c>
      <c r="N129" s="34">
        <f t="shared" si="38"/>
        <v>0</v>
      </c>
      <c r="O129" s="34">
        <f t="shared" si="38"/>
        <v>0</v>
      </c>
      <c r="P129" s="34">
        <f t="shared" si="37"/>
        <v>0</v>
      </c>
      <c r="Q129" s="34"/>
    </row>
    <row r="130" spans="2:18" s="41" customFormat="1" x14ac:dyDescent="0.2">
      <c r="B130" s="41" t="s">
        <v>336</v>
      </c>
      <c r="C130" s="41">
        <v>50</v>
      </c>
      <c r="D130" s="34">
        <f t="shared" ref="D130:O130" si="39">D13</f>
        <v>0</v>
      </c>
      <c r="E130" s="34">
        <f t="shared" si="39"/>
        <v>0</v>
      </c>
      <c r="F130" s="34">
        <f t="shared" si="39"/>
        <v>0</v>
      </c>
      <c r="G130" s="34">
        <f t="shared" si="39"/>
        <v>0</v>
      </c>
      <c r="H130" s="34">
        <f t="shared" si="39"/>
        <v>0</v>
      </c>
      <c r="I130" s="34">
        <f t="shared" si="39"/>
        <v>0</v>
      </c>
      <c r="J130" s="34">
        <f t="shared" si="39"/>
        <v>0</v>
      </c>
      <c r="K130" s="34">
        <f t="shared" si="39"/>
        <v>0</v>
      </c>
      <c r="L130" s="34">
        <f t="shared" si="39"/>
        <v>0</v>
      </c>
      <c r="M130" s="34">
        <f t="shared" si="39"/>
        <v>0</v>
      </c>
      <c r="N130" s="34">
        <f t="shared" si="39"/>
        <v>0</v>
      </c>
      <c r="O130" s="34">
        <f t="shared" si="39"/>
        <v>0</v>
      </c>
      <c r="P130" s="34">
        <f t="shared" si="37"/>
        <v>0</v>
      </c>
      <c r="Q130" s="34"/>
    </row>
    <row r="131" spans="2:18" s="41" customFormat="1" x14ac:dyDescent="0.2">
      <c r="B131" s="42" t="s">
        <v>376</v>
      </c>
      <c r="C131" s="569" t="s">
        <v>190</v>
      </c>
      <c r="D131" s="34">
        <f t="shared" ref="D131:O131" si="40">D22</f>
        <v>527.80999999999995</v>
      </c>
      <c r="E131" s="34">
        <f t="shared" si="40"/>
        <v>60.5</v>
      </c>
      <c r="F131" s="34">
        <f t="shared" si="40"/>
        <v>0</v>
      </c>
      <c r="G131" s="34">
        <f t="shared" si="40"/>
        <v>0</v>
      </c>
      <c r="H131" s="34">
        <f t="shared" si="40"/>
        <v>0</v>
      </c>
      <c r="I131" s="34">
        <f t="shared" si="40"/>
        <v>0</v>
      </c>
      <c r="J131" s="34">
        <f t="shared" si="40"/>
        <v>0</v>
      </c>
      <c r="K131" s="34">
        <f t="shared" si="40"/>
        <v>0</v>
      </c>
      <c r="L131" s="34">
        <f t="shared" si="40"/>
        <v>0</v>
      </c>
      <c r="M131" s="34">
        <f t="shared" si="40"/>
        <v>0</v>
      </c>
      <c r="N131" s="34">
        <f t="shared" si="40"/>
        <v>0</v>
      </c>
      <c r="O131" s="34">
        <f t="shared" si="40"/>
        <v>0</v>
      </c>
      <c r="P131" s="34">
        <f t="shared" si="37"/>
        <v>588.30999999999995</v>
      </c>
      <c r="Q131" s="34"/>
    </row>
    <row r="132" spans="2:18" s="41" customFormat="1" x14ac:dyDescent="0.2">
      <c r="B132" s="41" t="s">
        <v>377</v>
      </c>
      <c r="C132" s="569" t="s">
        <v>195</v>
      </c>
      <c r="D132" s="34">
        <f t="shared" ref="D132:O132" si="41">D25</f>
        <v>322473.87</v>
      </c>
      <c r="E132" s="34">
        <f t="shared" si="41"/>
        <v>144661.56</v>
      </c>
      <c r="F132" s="34">
        <f t="shared" si="41"/>
        <v>77666.78</v>
      </c>
      <c r="G132" s="34">
        <f t="shared" si="41"/>
        <v>188089.41</v>
      </c>
      <c r="H132" s="34">
        <f t="shared" si="41"/>
        <v>-1804.31</v>
      </c>
      <c r="I132" s="34">
        <f t="shared" si="41"/>
        <v>113595.58</v>
      </c>
      <c r="J132" s="34">
        <f t="shared" si="41"/>
        <v>117096.02</v>
      </c>
      <c r="K132" s="34">
        <f t="shared" si="41"/>
        <v>161105.41</v>
      </c>
      <c r="L132" s="34">
        <f t="shared" si="41"/>
        <v>61016.79</v>
      </c>
      <c r="M132" s="34">
        <f t="shared" si="41"/>
        <v>21128.18</v>
      </c>
      <c r="N132" s="34">
        <f t="shared" si="41"/>
        <v>8938.01</v>
      </c>
      <c r="O132" s="34">
        <f t="shared" si="41"/>
        <v>529.14</v>
      </c>
      <c r="P132" s="34">
        <f t="shared" si="37"/>
        <v>1214496.4399999997</v>
      </c>
      <c r="Q132" s="34"/>
    </row>
    <row r="133" spans="2:18" s="41" customFormat="1" x14ac:dyDescent="0.2">
      <c r="B133" s="41" t="str">
        <f t="shared" ref="B133:O135" si="42">B19</f>
        <v>Interruptible with firm option - ind</v>
      </c>
      <c r="C133" s="566">
        <f t="shared" si="42"/>
        <v>85</v>
      </c>
      <c r="D133" s="34">
        <f t="shared" si="42"/>
        <v>363931.35430000001</v>
      </c>
      <c r="E133" s="34">
        <f t="shared" si="42"/>
        <v>508304.62093599996</v>
      </c>
      <c r="F133" s="34">
        <f t="shared" si="42"/>
        <v>582034.32858720003</v>
      </c>
      <c r="G133" s="34">
        <f t="shared" si="42"/>
        <v>395025.30238160002</v>
      </c>
      <c r="H133" s="34">
        <f t="shared" si="42"/>
        <v>259705.8275672</v>
      </c>
      <c r="I133" s="34">
        <f t="shared" si="42"/>
        <v>516057.12640160008</v>
      </c>
      <c r="J133" s="34">
        <f t="shared" si="42"/>
        <v>146550.65983839994</v>
      </c>
      <c r="K133" s="34">
        <f t="shared" si="42"/>
        <v>279133.73411119997</v>
      </c>
      <c r="L133" s="34">
        <f t="shared" si="42"/>
        <v>576408.05201600003</v>
      </c>
      <c r="M133" s="34">
        <f t="shared" si="42"/>
        <v>292937.83705839998</v>
      </c>
      <c r="N133" s="34">
        <f t="shared" si="42"/>
        <v>417497.80412479996</v>
      </c>
      <c r="O133" s="34">
        <f t="shared" si="42"/>
        <v>274042.83501759998</v>
      </c>
      <c r="P133" s="34">
        <f t="shared" si="37"/>
        <v>4611629.4823399996</v>
      </c>
      <c r="Q133" s="34"/>
    </row>
    <row r="134" spans="2:18" s="41" customFormat="1" x14ac:dyDescent="0.2">
      <c r="B134" s="41" t="str">
        <f t="shared" si="42"/>
        <v>Limited interrupt w/ firm option - ind</v>
      </c>
      <c r="C134" s="566">
        <f t="shared" si="42"/>
        <v>86</v>
      </c>
      <c r="D134" s="34">
        <f t="shared" si="42"/>
        <v>49945.435999999994</v>
      </c>
      <c r="E134" s="34">
        <f t="shared" si="42"/>
        <v>53345.078999999998</v>
      </c>
      <c r="F134" s="34">
        <f t="shared" si="42"/>
        <v>41111.002</v>
      </c>
      <c r="G134" s="34">
        <f t="shared" si="42"/>
        <v>31471.757000000001</v>
      </c>
      <c r="H134" s="34">
        <f t="shared" si="42"/>
        <v>25900.152999999998</v>
      </c>
      <c r="I134" s="34">
        <f t="shared" si="42"/>
        <v>21468.952000000001</v>
      </c>
      <c r="J134" s="34">
        <f t="shared" si="42"/>
        <v>19090.617000000002</v>
      </c>
      <c r="K134" s="34">
        <f t="shared" si="42"/>
        <v>18514.774999999998</v>
      </c>
      <c r="L134" s="34">
        <f t="shared" si="42"/>
        <v>15262.121000000001</v>
      </c>
      <c r="M134" s="34">
        <f t="shared" si="42"/>
        <v>18724.300000000003</v>
      </c>
      <c r="N134" s="34">
        <f t="shared" si="42"/>
        <v>27025.655000000002</v>
      </c>
      <c r="O134" s="34">
        <f t="shared" si="42"/>
        <v>32823.43</v>
      </c>
      <c r="P134" s="34">
        <f t="shared" si="37"/>
        <v>354683.277</v>
      </c>
      <c r="Q134" s="34"/>
    </row>
    <row r="135" spans="2:18" s="41" customFormat="1" x14ac:dyDescent="0.2">
      <c r="B135" s="41" t="str">
        <f t="shared" si="42"/>
        <v>Non-excl interrupt w/ firm option - ind</v>
      </c>
      <c r="C135" s="566">
        <f t="shared" si="42"/>
        <v>87</v>
      </c>
      <c r="D135" s="34">
        <f t="shared" si="42"/>
        <v>0</v>
      </c>
      <c r="E135" s="34">
        <f t="shared" si="42"/>
        <v>0</v>
      </c>
      <c r="F135" s="34">
        <f t="shared" si="42"/>
        <v>0</v>
      </c>
      <c r="G135" s="34">
        <f t="shared" si="42"/>
        <v>0</v>
      </c>
      <c r="H135" s="34">
        <f t="shared" si="42"/>
        <v>0</v>
      </c>
      <c r="I135" s="34">
        <f t="shared" si="42"/>
        <v>0</v>
      </c>
      <c r="J135" s="34">
        <f t="shared" si="42"/>
        <v>0</v>
      </c>
      <c r="K135" s="34">
        <f t="shared" si="42"/>
        <v>0</v>
      </c>
      <c r="L135" s="34">
        <f t="shared" si="42"/>
        <v>0</v>
      </c>
      <c r="M135" s="34">
        <f t="shared" si="42"/>
        <v>0</v>
      </c>
      <c r="N135" s="34">
        <f t="shared" si="42"/>
        <v>0</v>
      </c>
      <c r="O135" s="34">
        <f t="shared" si="42"/>
        <v>0</v>
      </c>
      <c r="P135" s="34">
        <f t="shared" si="37"/>
        <v>0</v>
      </c>
      <c r="Q135" s="34"/>
    </row>
    <row r="136" spans="2:18" s="41" customFormat="1" x14ac:dyDescent="0.2">
      <c r="B136" s="42" t="s">
        <v>349</v>
      </c>
      <c r="C136" s="569" t="s">
        <v>192</v>
      </c>
      <c r="D136" s="34">
        <f t="shared" ref="D136:O139" si="43">D27</f>
        <v>502975.03999999992</v>
      </c>
      <c r="E136" s="34">
        <f t="shared" si="43"/>
        <v>364714.1100000001</v>
      </c>
      <c r="F136" s="34">
        <f t="shared" si="43"/>
        <v>681047.72</v>
      </c>
      <c r="G136" s="34">
        <f t="shared" si="43"/>
        <v>1024661.4700000001</v>
      </c>
      <c r="H136" s="34">
        <f t="shared" si="43"/>
        <v>287263.98</v>
      </c>
      <c r="I136" s="34">
        <f t="shared" si="43"/>
        <v>528178.55000000005</v>
      </c>
      <c r="J136" s="34">
        <f t="shared" si="43"/>
        <v>498739.21000000008</v>
      </c>
      <c r="K136" s="34">
        <f t="shared" si="43"/>
        <v>323903.68999999994</v>
      </c>
      <c r="L136" s="34">
        <f t="shared" si="43"/>
        <v>748853.38</v>
      </c>
      <c r="M136" s="34">
        <f t="shared" si="43"/>
        <v>513052.11</v>
      </c>
      <c r="N136" s="34">
        <f t="shared" si="43"/>
        <v>463063.90000000008</v>
      </c>
      <c r="O136" s="34">
        <f t="shared" si="43"/>
        <v>539846.15</v>
      </c>
      <c r="P136" s="34">
        <f t="shared" si="37"/>
        <v>6476299.3100000005</v>
      </c>
      <c r="Q136" s="34"/>
    </row>
    <row r="137" spans="2:18" s="41" customFormat="1" x14ac:dyDescent="0.2">
      <c r="B137" s="42" t="s">
        <v>350</v>
      </c>
      <c r="C137" s="569" t="s">
        <v>3</v>
      </c>
      <c r="D137" s="34">
        <f t="shared" si="43"/>
        <v>3158455.86</v>
      </c>
      <c r="E137" s="34">
        <f t="shared" si="43"/>
        <v>2465375.1800000002</v>
      </c>
      <c r="F137" s="34">
        <f t="shared" si="43"/>
        <v>4745088.1099999994</v>
      </c>
      <c r="G137" s="34">
        <f t="shared" si="43"/>
        <v>6469218.1299999999</v>
      </c>
      <c r="H137" s="34">
        <f t="shared" si="43"/>
        <v>693171.70999999985</v>
      </c>
      <c r="I137" s="34">
        <f t="shared" si="43"/>
        <v>3194524.5100000002</v>
      </c>
      <c r="J137" s="34">
        <f t="shared" si="43"/>
        <v>3265020.42</v>
      </c>
      <c r="K137" s="34">
        <f t="shared" si="43"/>
        <v>3275402.62</v>
      </c>
      <c r="L137" s="34">
        <f t="shared" si="43"/>
        <v>3742584.3200000003</v>
      </c>
      <c r="M137" s="34">
        <f t="shared" si="43"/>
        <v>3814583.6899999995</v>
      </c>
      <c r="N137" s="34">
        <f t="shared" si="43"/>
        <v>3556285.4899999998</v>
      </c>
      <c r="O137" s="34">
        <f t="shared" si="43"/>
        <v>3635826.62</v>
      </c>
      <c r="P137" s="34">
        <f t="shared" si="37"/>
        <v>42015536.660000004</v>
      </c>
      <c r="Q137" s="34"/>
    </row>
    <row r="138" spans="2:18" s="41" customFormat="1" x14ac:dyDescent="0.2">
      <c r="B138" s="41" t="s">
        <v>351</v>
      </c>
      <c r="C138" s="569" t="s">
        <v>195</v>
      </c>
      <c r="D138" s="34">
        <f t="shared" si="43"/>
        <v>39179.449999999997</v>
      </c>
      <c r="E138" s="34">
        <f t="shared" si="43"/>
        <v>59879</v>
      </c>
      <c r="F138" s="34">
        <f t="shared" si="43"/>
        <v>37407.11</v>
      </c>
      <c r="G138" s="34">
        <f t="shared" si="43"/>
        <v>86262.579999999987</v>
      </c>
      <c r="H138" s="34">
        <f t="shared" si="43"/>
        <v>12516.38000000001</v>
      </c>
      <c r="I138" s="34">
        <f t="shared" si="43"/>
        <v>55217.459999999992</v>
      </c>
      <c r="J138" s="34">
        <f t="shared" si="43"/>
        <v>42138.979999999989</v>
      </c>
      <c r="K138" s="34">
        <f t="shared" si="43"/>
        <v>36998.29</v>
      </c>
      <c r="L138" s="34">
        <f t="shared" si="43"/>
        <v>52591.969999999994</v>
      </c>
      <c r="M138" s="34">
        <f t="shared" si="43"/>
        <v>73997.240000000005</v>
      </c>
      <c r="N138" s="34">
        <f t="shared" si="43"/>
        <v>54382.310000000005</v>
      </c>
      <c r="O138" s="34">
        <f t="shared" si="43"/>
        <v>43838.029999999992</v>
      </c>
      <c r="P138" s="34">
        <f t="shared" si="37"/>
        <v>594408.79999999993</v>
      </c>
      <c r="Q138" s="34"/>
    </row>
    <row r="139" spans="2:18" s="41" customFormat="1" x14ac:dyDescent="0.2">
      <c r="B139" s="42" t="s">
        <v>352</v>
      </c>
      <c r="C139" s="569" t="s">
        <v>2</v>
      </c>
      <c r="D139" s="34">
        <f t="shared" si="43"/>
        <v>7663530.6600000001</v>
      </c>
      <c r="E139" s="34">
        <f t="shared" si="43"/>
        <v>4504225.54</v>
      </c>
      <c r="F139" s="34">
        <f t="shared" si="43"/>
        <v>4246838.7699999986</v>
      </c>
      <c r="G139" s="34">
        <f t="shared" si="43"/>
        <v>8959352.2700000014</v>
      </c>
      <c r="H139" s="34">
        <f t="shared" si="43"/>
        <v>9146271.8699999992</v>
      </c>
      <c r="I139" s="34">
        <f t="shared" si="43"/>
        <v>-289195.59000000148</v>
      </c>
      <c r="J139" s="34">
        <f t="shared" si="43"/>
        <v>10281165.350000001</v>
      </c>
      <c r="K139" s="34">
        <f t="shared" si="43"/>
        <v>5683839.9299999997</v>
      </c>
      <c r="L139" s="34">
        <f t="shared" si="43"/>
        <v>4364881.6999999993</v>
      </c>
      <c r="M139" s="34">
        <f t="shared" si="43"/>
        <v>6452460.6000000015</v>
      </c>
      <c r="N139" s="34">
        <f t="shared" si="43"/>
        <v>4803161.9799999986</v>
      </c>
      <c r="O139" s="34">
        <f t="shared" si="43"/>
        <v>5485468.3400000008</v>
      </c>
      <c r="P139" s="34">
        <f t="shared" si="37"/>
        <v>71302001.420000002</v>
      </c>
      <c r="Q139" s="34"/>
    </row>
    <row r="140" spans="2:18" s="41" customFormat="1" x14ac:dyDescent="0.2">
      <c r="B140" s="41" t="s">
        <v>378</v>
      </c>
      <c r="C140" s="566"/>
      <c r="D140" s="15">
        <f>SUM(D128:D139)</f>
        <v>12101536.596799999</v>
      </c>
      <c r="E140" s="15">
        <f t="shared" ref="E140:O140" si="44">SUM(E128:E139)</f>
        <v>8101097.5899360003</v>
      </c>
      <c r="F140" s="15">
        <f t="shared" si="44"/>
        <v>10411725.820587199</v>
      </c>
      <c r="G140" s="15">
        <f t="shared" si="44"/>
        <v>17154612.919381604</v>
      </c>
      <c r="H140" s="15">
        <f t="shared" si="44"/>
        <v>10423557.610567199</v>
      </c>
      <c r="I140" s="15">
        <f t="shared" si="44"/>
        <v>4140378.5884015989</v>
      </c>
      <c r="J140" s="15">
        <f t="shared" si="44"/>
        <v>14370333.256838402</v>
      </c>
      <c r="K140" s="15">
        <f t="shared" si="44"/>
        <v>9779430.4491112009</v>
      </c>
      <c r="L140" s="15">
        <f t="shared" si="44"/>
        <v>9562076.5000160001</v>
      </c>
      <c r="M140" s="15">
        <f t="shared" si="44"/>
        <v>11187463.4570584</v>
      </c>
      <c r="N140" s="15">
        <f t="shared" si="44"/>
        <v>9330956.1826247983</v>
      </c>
      <c r="O140" s="15">
        <f t="shared" si="44"/>
        <v>10012812.8115176</v>
      </c>
      <c r="P140" s="15">
        <f>SUM(P128:P139)</f>
        <v>126575981.78284</v>
      </c>
      <c r="Q140" s="38"/>
    </row>
    <row r="141" spans="2:18" s="41" customFormat="1" x14ac:dyDescent="0.2">
      <c r="C141" s="566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</row>
    <row r="142" spans="2:18" s="41" customFormat="1" x14ac:dyDescent="0.2">
      <c r="B142" s="41" t="s">
        <v>379</v>
      </c>
      <c r="C142" s="566"/>
      <c r="D142" s="15">
        <f>D126+D140</f>
        <v>156308008.73241404</v>
      </c>
      <c r="E142" s="15">
        <f t="shared" ref="E142:P142" si="45">E126+E140</f>
        <v>132476595.14910701</v>
      </c>
      <c r="F142" s="15">
        <f t="shared" si="45"/>
        <v>131023483.3657507</v>
      </c>
      <c r="G142" s="15">
        <f t="shared" si="45"/>
        <v>110051263.21413799</v>
      </c>
      <c r="H142" s="15">
        <f t="shared" si="45"/>
        <v>63703480.973717019</v>
      </c>
      <c r="I142" s="15">
        <f t="shared" si="45"/>
        <v>40787992.504826836</v>
      </c>
      <c r="J142" s="15">
        <f t="shared" si="45"/>
        <v>44371142.275340341</v>
      </c>
      <c r="K142" s="15">
        <f t="shared" si="45"/>
        <v>40324988.445979312</v>
      </c>
      <c r="L142" s="15">
        <f t="shared" si="45"/>
        <v>46742647.772457391</v>
      </c>
      <c r="M142" s="15">
        <f t="shared" si="45"/>
        <v>82256735.139545023</v>
      </c>
      <c r="N142" s="15">
        <f t="shared" si="45"/>
        <v>118450484.93934138</v>
      </c>
      <c r="O142" s="15">
        <f t="shared" si="45"/>
        <v>140143046.09605095</v>
      </c>
      <c r="P142" s="15">
        <f t="shared" si="45"/>
        <v>1106639868.6086681</v>
      </c>
      <c r="Q142" s="38"/>
      <c r="R142" s="34"/>
    </row>
    <row r="143" spans="2:18" x14ac:dyDescent="0.2">
      <c r="C143" s="56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</row>
    <row r="144" spans="2:18" s="41" customFormat="1" x14ac:dyDescent="0.2">
      <c r="B144" s="60" t="s">
        <v>380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2:17" s="41" customFormat="1" x14ac:dyDescent="0.2">
      <c r="B145" s="42" t="s">
        <v>5</v>
      </c>
      <c r="C145" s="566">
        <v>23</v>
      </c>
      <c r="D145" s="34">
        <f>D114-D9</f>
        <v>-479376.68863920867</v>
      </c>
      <c r="E145" s="34">
        <f t="shared" ref="E145:O145" si="46">E114-E9</f>
        <v>-9756873.9589464068</v>
      </c>
      <c r="F145" s="34">
        <f t="shared" si="46"/>
        <v>-8839611.8822722435</v>
      </c>
      <c r="G145" s="34">
        <f t="shared" si="46"/>
        <v>-7578719.7778991982</v>
      </c>
      <c r="H145" s="34">
        <f t="shared" si="46"/>
        <v>3466970.9247750305</v>
      </c>
      <c r="I145" s="34">
        <f t="shared" si="46"/>
        <v>-793993.15379616618</v>
      </c>
      <c r="J145" s="34">
        <f t="shared" si="46"/>
        <v>0</v>
      </c>
      <c r="K145" s="34">
        <f t="shared" si="46"/>
        <v>0</v>
      </c>
      <c r="L145" s="34">
        <f t="shared" si="46"/>
        <v>-1265561.3598322682</v>
      </c>
      <c r="M145" s="34">
        <f t="shared" si="46"/>
        <v>438099.92239343375</v>
      </c>
      <c r="N145" s="34">
        <f t="shared" si="46"/>
        <v>-6941468.2539071664</v>
      </c>
      <c r="O145" s="34">
        <f t="shared" si="46"/>
        <v>10655918.21813421</v>
      </c>
      <c r="P145" s="34">
        <f>SUM(D145:O145)</f>
        <v>-21094616.009989984</v>
      </c>
      <c r="Q145" s="34"/>
    </row>
    <row r="146" spans="2:17" s="41" customFormat="1" x14ac:dyDescent="0.2">
      <c r="B146" s="41" t="s">
        <v>334</v>
      </c>
      <c r="C146" s="569">
        <v>31</v>
      </c>
      <c r="D146" s="34">
        <f t="shared" ref="D146:O147" si="47">D115-D11</f>
        <v>-135214.50699239969</v>
      </c>
      <c r="E146" s="34">
        <f t="shared" si="47"/>
        <v>-2725511.9206101336</v>
      </c>
      <c r="F146" s="34">
        <f t="shared" si="47"/>
        <v>-2475997.6212951243</v>
      </c>
      <c r="G146" s="34">
        <f t="shared" si="47"/>
        <v>-1975026.4002026245</v>
      </c>
      <c r="H146" s="34">
        <f t="shared" si="47"/>
        <v>754070.50973072462</v>
      </c>
      <c r="I146" s="34">
        <f t="shared" si="47"/>
        <v>0</v>
      </c>
      <c r="J146" s="34">
        <f t="shared" si="47"/>
        <v>0</v>
      </c>
      <c r="K146" s="34">
        <f t="shared" si="47"/>
        <v>0</v>
      </c>
      <c r="L146" s="34">
        <f t="shared" si="47"/>
        <v>0</v>
      </c>
      <c r="M146" s="34">
        <f t="shared" si="47"/>
        <v>98151.28742906265</v>
      </c>
      <c r="N146" s="34">
        <f t="shared" si="47"/>
        <v>-1788835.7020287886</v>
      </c>
      <c r="O146" s="34">
        <f t="shared" si="47"/>
        <v>2950951.1844147146</v>
      </c>
      <c r="P146" s="34">
        <f t="shared" ref="P146:P157" si="48">SUM(D146:O146)</f>
        <v>-5297413.1695545688</v>
      </c>
      <c r="Q146" s="34"/>
    </row>
    <row r="147" spans="2:17" s="41" customFormat="1" x14ac:dyDescent="0.2">
      <c r="B147" s="41" t="s">
        <v>335</v>
      </c>
      <c r="C147" s="41">
        <v>41</v>
      </c>
      <c r="D147" s="34">
        <f t="shared" si="47"/>
        <v>-26826.476771600544</v>
      </c>
      <c r="E147" s="34">
        <f t="shared" si="47"/>
        <v>-559112.32572293282</v>
      </c>
      <c r="F147" s="34">
        <f t="shared" si="47"/>
        <v>-538517.00882575009</v>
      </c>
      <c r="G147" s="34">
        <f t="shared" si="47"/>
        <v>-491392.06621166691</v>
      </c>
      <c r="H147" s="34">
        <f t="shared" si="47"/>
        <v>257958.56966074975</v>
      </c>
      <c r="I147" s="34">
        <f t="shared" si="47"/>
        <v>-58239.79221133329</v>
      </c>
      <c r="J147" s="34">
        <f t="shared" si="47"/>
        <v>0</v>
      </c>
      <c r="K147" s="34">
        <f t="shared" si="47"/>
        <v>0</v>
      </c>
      <c r="L147" s="34">
        <f t="shared" si="47"/>
        <v>0</v>
      </c>
      <c r="M147" s="34">
        <f t="shared" si="47"/>
        <v>23885.030831198208</v>
      </c>
      <c r="N147" s="34">
        <f t="shared" si="47"/>
        <v>-398562.43587413151</v>
      </c>
      <c r="O147" s="34">
        <f t="shared" si="47"/>
        <v>629523.96976133529</v>
      </c>
      <c r="P147" s="34">
        <f t="shared" si="48"/>
        <v>-1161282.5353641319</v>
      </c>
      <c r="Q147" s="34"/>
    </row>
    <row r="148" spans="2:17" s="41" customFormat="1" x14ac:dyDescent="0.2">
      <c r="B148" s="42" t="s">
        <v>346</v>
      </c>
      <c r="C148" s="569" t="s">
        <v>192</v>
      </c>
      <c r="D148" s="34">
        <f t="shared" ref="D148:O149" si="49">D117-D23</f>
        <v>-2247.7358775667381</v>
      </c>
      <c r="E148" s="34">
        <f t="shared" si="49"/>
        <v>-39737.562818799866</v>
      </c>
      <c r="F148" s="34">
        <f t="shared" si="49"/>
        <v>-50953.743561875075</v>
      </c>
      <c r="G148" s="34">
        <f t="shared" si="49"/>
        <v>-36963.185818125028</v>
      </c>
      <c r="H148" s="34">
        <f t="shared" si="49"/>
        <v>15412.8632325</v>
      </c>
      <c r="I148" s="34">
        <f t="shared" si="49"/>
        <v>0</v>
      </c>
      <c r="J148" s="34">
        <f t="shared" si="49"/>
        <v>0</v>
      </c>
      <c r="K148" s="34">
        <f t="shared" si="49"/>
        <v>0</v>
      </c>
      <c r="L148" s="34">
        <f t="shared" si="49"/>
        <v>0</v>
      </c>
      <c r="M148" s="34">
        <f t="shared" si="49"/>
        <v>2452.0519099996891</v>
      </c>
      <c r="N148" s="34">
        <f t="shared" si="49"/>
        <v>-31686.513599999947</v>
      </c>
      <c r="O148" s="34">
        <f t="shared" si="49"/>
        <v>47379.578903125133</v>
      </c>
      <c r="P148" s="34">
        <f t="shared" si="48"/>
        <v>-96344.247630741826</v>
      </c>
      <c r="Q148" s="34"/>
    </row>
    <row r="149" spans="2:17" s="41" customFormat="1" x14ac:dyDescent="0.2">
      <c r="B149" s="42" t="s">
        <v>347</v>
      </c>
      <c r="C149" s="569" t="s">
        <v>3</v>
      </c>
      <c r="D149" s="34">
        <f t="shared" si="49"/>
        <v>-2142.4934776667506</v>
      </c>
      <c r="E149" s="34">
        <f t="shared" si="49"/>
        <v>-31968.536402666708</v>
      </c>
      <c r="F149" s="34">
        <f t="shared" si="49"/>
        <v>-43362.770147499861</v>
      </c>
      <c r="G149" s="34">
        <f t="shared" si="49"/>
        <v>-33125.926858499879</v>
      </c>
      <c r="H149" s="34">
        <f t="shared" si="49"/>
        <v>16753.030995999929</v>
      </c>
      <c r="I149" s="34">
        <f t="shared" si="49"/>
        <v>0</v>
      </c>
      <c r="J149" s="34">
        <f t="shared" si="49"/>
        <v>0</v>
      </c>
      <c r="K149" s="34">
        <f t="shared" si="49"/>
        <v>0</v>
      </c>
      <c r="L149" s="34">
        <f t="shared" si="49"/>
        <v>0</v>
      </c>
      <c r="M149" s="34">
        <f t="shared" si="49"/>
        <v>2110.1760166664608</v>
      </c>
      <c r="N149" s="34">
        <f t="shared" si="49"/>
        <v>-27853.985749333166</v>
      </c>
      <c r="O149" s="34">
        <f t="shared" si="49"/>
        <v>46760.856092333561</v>
      </c>
      <c r="P149" s="34">
        <f t="shared" si="48"/>
        <v>-72829.649530666415</v>
      </c>
      <c r="Q149" s="34"/>
    </row>
    <row r="150" spans="2:17" s="41" customFormat="1" x14ac:dyDescent="0.2">
      <c r="B150" s="42" t="s">
        <v>348</v>
      </c>
      <c r="C150" s="569" t="s">
        <v>2</v>
      </c>
      <c r="D150" s="34">
        <f>D119-D26</f>
        <v>-5070.4602300000843</v>
      </c>
      <c r="E150" s="34">
        <f t="shared" ref="E150:O150" si="50">E119-E26</f>
        <v>-112197.00664000004</v>
      </c>
      <c r="F150" s="34">
        <f t="shared" si="50"/>
        <v>-105309.27705000015</v>
      </c>
      <c r="G150" s="34">
        <f t="shared" si="50"/>
        <v>-98547.134787499905</v>
      </c>
      <c r="H150" s="34">
        <f t="shared" si="50"/>
        <v>51868.069189999995</v>
      </c>
      <c r="I150" s="34">
        <f t="shared" si="50"/>
        <v>-10881.571624999866</v>
      </c>
      <c r="J150" s="34">
        <f t="shared" si="50"/>
        <v>0</v>
      </c>
      <c r="K150" s="34">
        <f t="shared" si="50"/>
        <v>0</v>
      </c>
      <c r="L150" s="34">
        <f t="shared" si="50"/>
        <v>0</v>
      </c>
      <c r="M150" s="34">
        <f t="shared" si="50"/>
        <v>4918.2625799996313</v>
      </c>
      <c r="N150" s="34">
        <f t="shared" si="50"/>
        <v>-70304.964479999617</v>
      </c>
      <c r="O150" s="34">
        <f t="shared" si="50"/>
        <v>128599.43084250041</v>
      </c>
      <c r="P150" s="34">
        <f t="shared" si="48"/>
        <v>-216924.6521999996</v>
      </c>
      <c r="Q150" s="34"/>
    </row>
    <row r="151" spans="2:17" s="41" customFormat="1" x14ac:dyDescent="0.2">
      <c r="B151" s="41" t="s">
        <v>337</v>
      </c>
      <c r="C151" s="41">
        <v>85</v>
      </c>
      <c r="D151" s="34">
        <f t="shared" ref="D151:O155" si="51">D120-D14</f>
        <v>-7331.0507563333958</v>
      </c>
      <c r="E151" s="34">
        <f t="shared" si="51"/>
        <v>-139936.29320533318</v>
      </c>
      <c r="F151" s="34">
        <f t="shared" si="51"/>
        <v>-141789.5432800001</v>
      </c>
      <c r="G151" s="34">
        <f t="shared" si="51"/>
        <v>-127775.26124066673</v>
      </c>
      <c r="H151" s="34">
        <f t="shared" si="51"/>
        <v>71416.134521666681</v>
      </c>
      <c r="I151" s="34">
        <f t="shared" si="51"/>
        <v>0</v>
      </c>
      <c r="J151" s="34">
        <f t="shared" si="51"/>
        <v>0</v>
      </c>
      <c r="K151" s="34">
        <f t="shared" si="51"/>
        <v>0</v>
      </c>
      <c r="L151" s="34">
        <f t="shared" si="51"/>
        <v>0</v>
      </c>
      <c r="M151" s="34">
        <f t="shared" si="51"/>
        <v>7045.8554319995455</v>
      </c>
      <c r="N151" s="34">
        <f t="shared" si="51"/>
        <v>-97859.162538666045</v>
      </c>
      <c r="O151" s="34">
        <f t="shared" si="51"/>
        <v>153759.40408733394</v>
      </c>
      <c r="P151" s="34">
        <f t="shared" si="48"/>
        <v>-282469.91697999928</v>
      </c>
      <c r="Q151" s="34"/>
    </row>
    <row r="152" spans="2:17" s="41" customFormat="1" x14ac:dyDescent="0.2">
      <c r="B152" s="41" t="s">
        <v>338</v>
      </c>
      <c r="C152" s="41">
        <v>86</v>
      </c>
      <c r="D152" s="34">
        <f t="shared" si="51"/>
        <v>-3189.3701792333741</v>
      </c>
      <c r="E152" s="34">
        <f t="shared" si="51"/>
        <v>-64516.903435466695</v>
      </c>
      <c r="F152" s="34">
        <f t="shared" si="51"/>
        <v>-64012.999044750002</v>
      </c>
      <c r="G152" s="34">
        <f t="shared" si="51"/>
        <v>-59556.535564166727</v>
      </c>
      <c r="H152" s="34">
        <f t="shared" si="51"/>
        <v>28351.32481000002</v>
      </c>
      <c r="I152" s="34">
        <f t="shared" si="51"/>
        <v>0</v>
      </c>
      <c r="J152" s="34">
        <f t="shared" si="51"/>
        <v>0</v>
      </c>
      <c r="K152" s="34">
        <f t="shared" si="51"/>
        <v>0</v>
      </c>
      <c r="L152" s="34">
        <f t="shared" si="51"/>
        <v>0</v>
      </c>
      <c r="M152" s="34">
        <f t="shared" si="51"/>
        <v>2807.1244226665003</v>
      </c>
      <c r="N152" s="34">
        <f t="shared" si="51"/>
        <v>-42332.2938666665</v>
      </c>
      <c r="O152" s="34">
        <f t="shared" si="51"/>
        <v>65423.950309250155</v>
      </c>
      <c r="P152" s="34">
        <f t="shared" si="48"/>
        <v>-137025.70254836662</v>
      </c>
      <c r="Q152" s="34"/>
    </row>
    <row r="153" spans="2:17" s="41" customFormat="1" x14ac:dyDescent="0.2">
      <c r="B153" s="41" t="s">
        <v>362</v>
      </c>
      <c r="C153" s="41">
        <v>87</v>
      </c>
      <c r="D153" s="34">
        <f t="shared" si="51"/>
        <v>-6859.7045733332634</v>
      </c>
      <c r="E153" s="34">
        <f t="shared" si="51"/>
        <v>-147509.04143999983</v>
      </c>
      <c r="F153" s="34">
        <f t="shared" si="51"/>
        <v>-137572.21635000012</v>
      </c>
      <c r="G153" s="34">
        <f t="shared" si="51"/>
        <v>-130820.84899333306</v>
      </c>
      <c r="H153" s="34">
        <f t="shared" si="51"/>
        <v>61059.545530000003</v>
      </c>
      <c r="I153" s="34">
        <f t="shared" si="51"/>
        <v>0</v>
      </c>
      <c r="J153" s="34">
        <f t="shared" si="51"/>
        <v>0</v>
      </c>
      <c r="K153" s="34">
        <f t="shared" si="51"/>
        <v>0</v>
      </c>
      <c r="L153" s="34">
        <f t="shared" si="51"/>
        <v>0</v>
      </c>
      <c r="M153" s="34">
        <f t="shared" si="51"/>
        <v>6203.335599999642</v>
      </c>
      <c r="N153" s="34">
        <f t="shared" si="51"/>
        <v>-92833.396906666225</v>
      </c>
      <c r="O153" s="34">
        <f t="shared" si="51"/>
        <v>163081.01666000066</v>
      </c>
      <c r="P153" s="34">
        <f t="shared" si="48"/>
        <v>-285251.31047333218</v>
      </c>
      <c r="Q153" s="34"/>
    </row>
    <row r="154" spans="2:17" s="41" customFormat="1" x14ac:dyDescent="0.2">
      <c r="B154" s="41" t="s">
        <v>340</v>
      </c>
      <c r="C154" s="41">
        <v>31</v>
      </c>
      <c r="D154" s="34">
        <f t="shared" si="51"/>
        <v>-9791.7674579999875</v>
      </c>
      <c r="E154" s="34">
        <f t="shared" si="51"/>
        <v>-201210.17830400006</v>
      </c>
      <c r="F154" s="34">
        <f t="shared" si="51"/>
        <v>-185965.34868762502</v>
      </c>
      <c r="G154" s="34">
        <f t="shared" si="51"/>
        <v>-155975.61993066664</v>
      </c>
      <c r="H154" s="34">
        <f t="shared" si="51"/>
        <v>64764.647427599994</v>
      </c>
      <c r="I154" s="34">
        <f t="shared" si="51"/>
        <v>-11176.699244750023</v>
      </c>
      <c r="J154" s="34">
        <f t="shared" si="51"/>
        <v>0</v>
      </c>
      <c r="K154" s="34">
        <f t="shared" si="51"/>
        <v>0</v>
      </c>
      <c r="L154" s="34">
        <f t="shared" si="51"/>
        <v>-22510.292092058691</v>
      </c>
      <c r="M154" s="34">
        <f t="shared" si="51"/>
        <v>7841.7872866661055</v>
      </c>
      <c r="N154" s="34">
        <f t="shared" si="51"/>
        <v>-132601.64304426592</v>
      </c>
      <c r="O154" s="34">
        <f t="shared" si="51"/>
        <v>211283.37874134234</v>
      </c>
      <c r="P154" s="34">
        <f t="shared" si="48"/>
        <v>-435341.73530575796</v>
      </c>
      <c r="Q154" s="34"/>
    </row>
    <row r="155" spans="2:17" s="41" customFormat="1" x14ac:dyDescent="0.2">
      <c r="B155" s="41" t="s">
        <v>341</v>
      </c>
      <c r="C155" s="41">
        <v>41</v>
      </c>
      <c r="D155" s="34">
        <f t="shared" si="51"/>
        <v>-1708.123724999954</v>
      </c>
      <c r="E155" s="34">
        <f t="shared" si="51"/>
        <v>-34957.308291599969</v>
      </c>
      <c r="F155" s="34">
        <f t="shared" si="51"/>
        <v>-36529.333547624876</v>
      </c>
      <c r="G155" s="34">
        <f t="shared" si="51"/>
        <v>-27547.014315799926</v>
      </c>
      <c r="H155" s="34">
        <f t="shared" si="51"/>
        <v>16546.581342083402</v>
      </c>
      <c r="I155" s="34">
        <f t="shared" si="51"/>
        <v>0</v>
      </c>
      <c r="J155" s="34">
        <f t="shared" si="51"/>
        <v>0</v>
      </c>
      <c r="K155" s="34">
        <f t="shared" si="51"/>
        <v>0</v>
      </c>
      <c r="L155" s="34">
        <f t="shared" si="51"/>
        <v>0</v>
      </c>
      <c r="M155" s="34">
        <f t="shared" si="51"/>
        <v>1794.720419799909</v>
      </c>
      <c r="N155" s="34">
        <f t="shared" si="51"/>
        <v>-25166.367423999822</v>
      </c>
      <c r="O155" s="34">
        <f t="shared" si="51"/>
        <v>35316.095830033417</v>
      </c>
      <c r="P155" s="34">
        <f t="shared" si="48"/>
        <v>-72250.74971210782</v>
      </c>
      <c r="Q155" s="34"/>
    </row>
    <row r="156" spans="2:17" s="44" customFormat="1" ht="15" x14ac:dyDescent="0.25">
      <c r="B156" s="44" t="s">
        <v>353</v>
      </c>
      <c r="C156" s="577" t="s">
        <v>354</v>
      </c>
      <c r="D156" s="38">
        <f>D125-D31</f>
        <v>-11638.455180000048</v>
      </c>
      <c r="E156" s="38">
        <f t="shared" ref="E156:O156" si="52">E125-E31</f>
        <v>-259290.75708000013</v>
      </c>
      <c r="F156" s="38">
        <f t="shared" si="52"/>
        <v>-233427.10004999954</v>
      </c>
      <c r="G156" s="38">
        <f t="shared" si="52"/>
        <v>-215932.70081250014</v>
      </c>
      <c r="H156" s="38">
        <f t="shared" si="52"/>
        <v>97668.827617499046</v>
      </c>
      <c r="I156" s="38">
        <f t="shared" si="52"/>
        <v>0</v>
      </c>
      <c r="J156" s="38">
        <f t="shared" si="52"/>
        <v>0</v>
      </c>
      <c r="K156" s="38">
        <f t="shared" si="52"/>
        <v>0</v>
      </c>
      <c r="L156" s="38">
        <f t="shared" si="52"/>
        <v>0</v>
      </c>
      <c r="M156" s="38">
        <f t="shared" si="52"/>
        <v>12210.890999999363</v>
      </c>
      <c r="N156" s="38">
        <f t="shared" si="52"/>
        <v>-172934.52671999903</v>
      </c>
      <c r="O156" s="38">
        <f t="shared" si="52"/>
        <v>257009.00079750083</v>
      </c>
      <c r="P156" s="79">
        <f t="shared" si="48"/>
        <v>-526334.82042749971</v>
      </c>
      <c r="Q156" s="38"/>
    </row>
    <row r="157" spans="2:17" s="41" customFormat="1" x14ac:dyDescent="0.2">
      <c r="B157" s="41" t="s">
        <v>381</v>
      </c>
      <c r="C157" s="566"/>
      <c r="D157" s="15">
        <f t="shared" ref="D157:O157" si="53">SUM(D145:D156)</f>
        <v>-691396.83386034251</v>
      </c>
      <c r="E157" s="15">
        <f t="shared" si="53"/>
        <v>-14072821.792897338</v>
      </c>
      <c r="F157" s="15">
        <f t="shared" si="53"/>
        <v>-12853048.844112493</v>
      </c>
      <c r="G157" s="15">
        <f t="shared" si="53"/>
        <v>-10931382.472634748</v>
      </c>
      <c r="H157" s="15">
        <f t="shared" si="53"/>
        <v>4902841.0288338531</v>
      </c>
      <c r="I157" s="15">
        <f t="shared" si="53"/>
        <v>-874291.2168772493</v>
      </c>
      <c r="J157" s="15">
        <f t="shared" si="53"/>
        <v>0</v>
      </c>
      <c r="K157" s="15">
        <f t="shared" si="53"/>
        <v>0</v>
      </c>
      <c r="L157" s="15">
        <f t="shared" si="53"/>
        <v>-1288071.651924327</v>
      </c>
      <c r="M157" s="15">
        <f t="shared" si="53"/>
        <v>607520.44532149145</v>
      </c>
      <c r="N157" s="15">
        <f t="shared" si="53"/>
        <v>-9822439.2461396828</v>
      </c>
      <c r="O157" s="15">
        <f t="shared" si="53"/>
        <v>15345006.084573679</v>
      </c>
      <c r="P157" s="34">
        <f t="shared" si="48"/>
        <v>-29678084.499717161</v>
      </c>
      <c r="Q157" s="38"/>
    </row>
    <row r="158" spans="2:17" s="41" customFormat="1" x14ac:dyDescent="0.2">
      <c r="B158" s="41" t="s">
        <v>382</v>
      </c>
      <c r="C158" s="566"/>
      <c r="D158" s="105">
        <f t="shared" ref="D158:I158" si="54">IFERROR(D157/D32,0)</f>
        <v>-4.4038181633017865E-3</v>
      </c>
      <c r="E158" s="105">
        <f t="shared" si="54"/>
        <v>-9.6027825197465874E-2</v>
      </c>
      <c r="F158" s="105">
        <f t="shared" si="54"/>
        <v>-8.9333879866972332E-2</v>
      </c>
      <c r="G158" s="105">
        <f t="shared" si="54"/>
        <v>-9.0354962983173512E-2</v>
      </c>
      <c r="H158" s="105">
        <f t="shared" si="54"/>
        <v>8.3380742682894901E-2</v>
      </c>
      <c r="I158" s="105">
        <f t="shared" si="54"/>
        <v>-2.0985196652140915E-2</v>
      </c>
      <c r="J158" s="105">
        <f>IFERROR(J157/J32,0)</f>
        <v>0</v>
      </c>
      <c r="K158" s="105">
        <f t="shared" ref="K158:P158" si="55">IFERROR(K157/K32,0)</f>
        <v>0</v>
      </c>
      <c r="L158" s="105">
        <f t="shared" si="55"/>
        <v>-2.6817663098972173E-2</v>
      </c>
      <c r="M158" s="105">
        <f t="shared" si="55"/>
        <v>7.4406159030023363E-3</v>
      </c>
      <c r="N158" s="105">
        <f t="shared" si="55"/>
        <v>-7.6574532844800161E-2</v>
      </c>
      <c r="O158" s="105">
        <f t="shared" si="55"/>
        <v>0.12295871059483346</v>
      </c>
      <c r="P158" s="105">
        <f t="shared" si="55"/>
        <v>-2.6117764326906118E-2</v>
      </c>
      <c r="Q158" s="83"/>
    </row>
    <row r="159" spans="2:17" s="41" customFormat="1" x14ac:dyDescent="0.2">
      <c r="C159" s="566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</row>
    <row r="160" spans="2:17" x14ac:dyDescent="0.2">
      <c r="B160" s="60" t="s">
        <v>383</v>
      </c>
      <c r="C160" s="56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</row>
    <row r="161" spans="2:17" x14ac:dyDescent="0.2">
      <c r="B161" s="585" t="s">
        <v>384</v>
      </c>
      <c r="C161" s="569"/>
      <c r="D161" s="279">
        <v>0</v>
      </c>
      <c r="E161" s="279">
        <v>0</v>
      </c>
      <c r="F161" s="279">
        <v>0</v>
      </c>
      <c r="G161" s="279">
        <v>0</v>
      </c>
      <c r="H161" s="279">
        <v>0</v>
      </c>
      <c r="I161" s="279">
        <v>0</v>
      </c>
      <c r="J161" s="279">
        <v>0</v>
      </c>
      <c r="K161" s="279">
        <v>0</v>
      </c>
      <c r="L161" s="279">
        <v>0</v>
      </c>
      <c r="M161" s="279">
        <v>0</v>
      </c>
      <c r="N161" s="279">
        <v>0</v>
      </c>
      <c r="O161" s="279">
        <v>0</v>
      </c>
      <c r="P161" s="381">
        <f t="shared" ref="P161:P175" si="56">SUM(D161:O161)</f>
        <v>0</v>
      </c>
      <c r="Q161" s="381"/>
    </row>
    <row r="162" spans="2:17" x14ac:dyDescent="0.2">
      <c r="B162" s="585" t="s">
        <v>385</v>
      </c>
      <c r="C162" s="569"/>
      <c r="D162" s="279">
        <f>D145</f>
        <v>-479376.68863920867</v>
      </c>
      <c r="E162" s="279">
        <f t="shared" ref="E162:O162" si="57">E145</f>
        <v>-9756873.9589464068</v>
      </c>
      <c r="F162" s="279">
        <f t="shared" si="57"/>
        <v>-8839611.8822722435</v>
      </c>
      <c r="G162" s="279">
        <f t="shared" si="57"/>
        <v>-7578719.7778991982</v>
      </c>
      <c r="H162" s="279">
        <f t="shared" si="57"/>
        <v>3466970.9247750305</v>
      </c>
      <c r="I162" s="279">
        <f t="shared" si="57"/>
        <v>-793993.15379616618</v>
      </c>
      <c r="J162" s="279">
        <f t="shared" si="57"/>
        <v>0</v>
      </c>
      <c r="K162" s="279">
        <f t="shared" si="57"/>
        <v>0</v>
      </c>
      <c r="L162" s="279">
        <f t="shared" si="57"/>
        <v>-1265561.3598322682</v>
      </c>
      <c r="M162" s="279">
        <f t="shared" si="57"/>
        <v>438099.92239343375</v>
      </c>
      <c r="N162" s="279">
        <f t="shared" si="57"/>
        <v>-6941468.2539071664</v>
      </c>
      <c r="O162" s="279">
        <f t="shared" si="57"/>
        <v>10655918.21813421</v>
      </c>
      <c r="P162" s="381">
        <f t="shared" si="56"/>
        <v>-21094616.009989984</v>
      </c>
      <c r="Q162" s="381"/>
    </row>
    <row r="163" spans="2:17" x14ac:dyDescent="0.2">
      <c r="B163" s="531" t="s">
        <v>386</v>
      </c>
      <c r="C163" s="569"/>
      <c r="D163" s="279">
        <f>D146+D154</f>
        <v>-145006.27445039968</v>
      </c>
      <c r="E163" s="279">
        <f t="shared" ref="E163:O164" si="58">E146+E154</f>
        <v>-2926722.0989141334</v>
      </c>
      <c r="F163" s="279">
        <f t="shared" si="58"/>
        <v>-2661962.9699827493</v>
      </c>
      <c r="G163" s="279">
        <f t="shared" si="58"/>
        <v>-2131002.0201332914</v>
      </c>
      <c r="H163" s="279">
        <f t="shared" si="58"/>
        <v>818835.15715832461</v>
      </c>
      <c r="I163" s="279">
        <f t="shared" si="58"/>
        <v>-11176.699244750023</v>
      </c>
      <c r="J163" s="279">
        <f t="shared" si="58"/>
        <v>0</v>
      </c>
      <c r="K163" s="279">
        <f t="shared" si="58"/>
        <v>0</v>
      </c>
      <c r="L163" s="279">
        <f t="shared" si="58"/>
        <v>-22510.292092058691</v>
      </c>
      <c r="M163" s="279">
        <f t="shared" si="58"/>
        <v>105993.07471572876</v>
      </c>
      <c r="N163" s="279">
        <f t="shared" si="58"/>
        <v>-1921437.3450730545</v>
      </c>
      <c r="O163" s="279">
        <f t="shared" si="58"/>
        <v>3162234.5631560571</v>
      </c>
      <c r="P163" s="381">
        <f t="shared" si="56"/>
        <v>-5732754.904860327</v>
      </c>
      <c r="Q163" s="381"/>
    </row>
    <row r="164" spans="2:17" x14ac:dyDescent="0.2">
      <c r="B164" s="585" t="s">
        <v>387</v>
      </c>
      <c r="C164" s="569"/>
      <c r="D164" s="279">
        <f>D147+D155</f>
        <v>-28534.600496600498</v>
      </c>
      <c r="E164" s="279">
        <f t="shared" si="58"/>
        <v>-594069.63401453278</v>
      </c>
      <c r="F164" s="279">
        <f t="shared" si="58"/>
        <v>-575046.34237337497</v>
      </c>
      <c r="G164" s="279">
        <f t="shared" si="58"/>
        <v>-518939.08052746684</v>
      </c>
      <c r="H164" s="279">
        <f t="shared" si="58"/>
        <v>274505.15100283315</v>
      </c>
      <c r="I164" s="279">
        <f t="shared" si="58"/>
        <v>-58239.79221133329</v>
      </c>
      <c r="J164" s="279">
        <f t="shared" si="58"/>
        <v>0</v>
      </c>
      <c r="K164" s="279">
        <f t="shared" si="58"/>
        <v>0</v>
      </c>
      <c r="L164" s="279">
        <f t="shared" si="58"/>
        <v>0</v>
      </c>
      <c r="M164" s="279">
        <f t="shared" si="58"/>
        <v>25679.751250998117</v>
      </c>
      <c r="N164" s="279">
        <f t="shared" si="58"/>
        <v>-423728.80329813133</v>
      </c>
      <c r="O164" s="279">
        <f t="shared" si="58"/>
        <v>664840.06559136871</v>
      </c>
      <c r="P164" s="381">
        <f t="shared" si="56"/>
        <v>-1233533.2850762396</v>
      </c>
      <c r="Q164" s="381"/>
    </row>
    <row r="165" spans="2:17" x14ac:dyDescent="0.2">
      <c r="B165" s="585" t="s">
        <v>388</v>
      </c>
      <c r="C165" s="569"/>
      <c r="D165" s="279">
        <v>0</v>
      </c>
      <c r="E165" s="279">
        <v>0</v>
      </c>
      <c r="F165" s="279">
        <v>0</v>
      </c>
      <c r="G165" s="279">
        <v>0</v>
      </c>
      <c r="H165" s="279">
        <v>0</v>
      </c>
      <c r="I165" s="279">
        <v>0</v>
      </c>
      <c r="J165" s="279">
        <v>0</v>
      </c>
      <c r="K165" s="279">
        <v>0</v>
      </c>
      <c r="L165" s="279">
        <v>0</v>
      </c>
      <c r="M165" s="279">
        <v>0</v>
      </c>
      <c r="N165" s="279">
        <v>0</v>
      </c>
      <c r="O165" s="279">
        <v>0</v>
      </c>
      <c r="P165" s="381">
        <f t="shared" si="56"/>
        <v>0</v>
      </c>
      <c r="Q165" s="381"/>
    </row>
    <row r="166" spans="2:17" x14ac:dyDescent="0.2">
      <c r="B166" s="585" t="s">
        <v>389</v>
      </c>
      <c r="C166" s="569"/>
      <c r="D166" s="279">
        <v>0</v>
      </c>
      <c r="E166" s="279">
        <v>0</v>
      </c>
      <c r="F166" s="279">
        <v>0</v>
      </c>
      <c r="G166" s="279">
        <v>0</v>
      </c>
      <c r="H166" s="279">
        <v>0</v>
      </c>
      <c r="I166" s="279">
        <v>0</v>
      </c>
      <c r="J166" s="279">
        <v>0</v>
      </c>
      <c r="K166" s="279">
        <v>0</v>
      </c>
      <c r="L166" s="279">
        <v>0</v>
      </c>
      <c r="M166" s="279">
        <v>0</v>
      </c>
      <c r="N166" s="279">
        <v>0</v>
      </c>
      <c r="O166" s="279">
        <v>0</v>
      </c>
      <c r="P166" s="381">
        <f t="shared" si="56"/>
        <v>0</v>
      </c>
      <c r="Q166" s="381"/>
    </row>
    <row r="167" spans="2:17" x14ac:dyDescent="0.2">
      <c r="B167" s="585" t="s">
        <v>390</v>
      </c>
      <c r="C167" s="569"/>
      <c r="D167" s="279">
        <f>D151</f>
        <v>-7331.0507563333958</v>
      </c>
      <c r="E167" s="279">
        <f t="shared" ref="E167:O169" si="59">E151</f>
        <v>-139936.29320533318</v>
      </c>
      <c r="F167" s="279">
        <f t="shared" si="59"/>
        <v>-141789.5432800001</v>
      </c>
      <c r="G167" s="279">
        <f t="shared" si="59"/>
        <v>-127775.26124066673</v>
      </c>
      <c r="H167" s="279">
        <f t="shared" si="59"/>
        <v>71416.134521666681</v>
      </c>
      <c r="I167" s="279">
        <f t="shared" si="59"/>
        <v>0</v>
      </c>
      <c r="J167" s="279">
        <f t="shared" si="59"/>
        <v>0</v>
      </c>
      <c r="K167" s="279">
        <f t="shared" si="59"/>
        <v>0</v>
      </c>
      <c r="L167" s="279">
        <f t="shared" si="59"/>
        <v>0</v>
      </c>
      <c r="M167" s="279">
        <f t="shared" si="59"/>
        <v>7045.8554319995455</v>
      </c>
      <c r="N167" s="279">
        <f t="shared" si="59"/>
        <v>-97859.162538666045</v>
      </c>
      <c r="O167" s="279">
        <f t="shared" si="59"/>
        <v>153759.40408733394</v>
      </c>
      <c r="P167" s="381">
        <f t="shared" si="56"/>
        <v>-282469.91697999928</v>
      </c>
      <c r="Q167" s="381"/>
    </row>
    <row r="168" spans="2:17" x14ac:dyDescent="0.2">
      <c r="B168" s="585" t="s">
        <v>391</v>
      </c>
      <c r="C168" s="569"/>
      <c r="D168" s="279">
        <f>D152</f>
        <v>-3189.3701792333741</v>
      </c>
      <c r="E168" s="279">
        <f t="shared" si="59"/>
        <v>-64516.903435466695</v>
      </c>
      <c r="F168" s="279">
        <f t="shared" si="59"/>
        <v>-64012.999044750002</v>
      </c>
      <c r="G168" s="279">
        <f t="shared" si="59"/>
        <v>-59556.535564166727</v>
      </c>
      <c r="H168" s="279">
        <f t="shared" si="59"/>
        <v>28351.32481000002</v>
      </c>
      <c r="I168" s="279">
        <f t="shared" si="59"/>
        <v>0</v>
      </c>
      <c r="J168" s="279">
        <f t="shared" si="59"/>
        <v>0</v>
      </c>
      <c r="K168" s="279">
        <f t="shared" si="59"/>
        <v>0</v>
      </c>
      <c r="L168" s="279">
        <f t="shared" si="59"/>
        <v>0</v>
      </c>
      <c r="M168" s="279">
        <f t="shared" si="59"/>
        <v>2807.1244226665003</v>
      </c>
      <c r="N168" s="279">
        <f t="shared" si="59"/>
        <v>-42332.2938666665</v>
      </c>
      <c r="O168" s="279">
        <f t="shared" si="59"/>
        <v>65423.950309250155</v>
      </c>
      <c r="P168" s="381">
        <f t="shared" si="56"/>
        <v>-137025.70254836662</v>
      </c>
      <c r="Q168" s="381"/>
    </row>
    <row r="169" spans="2:17" x14ac:dyDescent="0.2">
      <c r="B169" s="585" t="s">
        <v>392</v>
      </c>
      <c r="C169" s="569"/>
      <c r="D169" s="279">
        <f>D153</f>
        <v>-6859.7045733332634</v>
      </c>
      <c r="E169" s="279">
        <f t="shared" si="59"/>
        <v>-147509.04143999983</v>
      </c>
      <c r="F169" s="279">
        <f t="shared" si="59"/>
        <v>-137572.21635000012</v>
      </c>
      <c r="G169" s="279">
        <f t="shared" si="59"/>
        <v>-130820.84899333306</v>
      </c>
      <c r="H169" s="279">
        <f t="shared" si="59"/>
        <v>61059.545530000003</v>
      </c>
      <c r="I169" s="279">
        <f t="shared" si="59"/>
        <v>0</v>
      </c>
      <c r="J169" s="279">
        <f t="shared" si="59"/>
        <v>0</v>
      </c>
      <c r="K169" s="279">
        <f t="shared" si="59"/>
        <v>0</v>
      </c>
      <c r="L169" s="279">
        <f t="shared" si="59"/>
        <v>0</v>
      </c>
      <c r="M169" s="279">
        <f t="shared" si="59"/>
        <v>6203.335599999642</v>
      </c>
      <c r="N169" s="279">
        <f t="shared" si="59"/>
        <v>-92833.396906666225</v>
      </c>
      <c r="O169" s="279">
        <f t="shared" si="59"/>
        <v>163081.01666000066</v>
      </c>
      <c r="P169" s="381">
        <f t="shared" si="56"/>
        <v>-285251.31047333218</v>
      </c>
      <c r="Q169" s="381"/>
    </row>
    <row r="170" spans="2:17" x14ac:dyDescent="0.2">
      <c r="B170" s="42" t="s">
        <v>393</v>
      </c>
      <c r="C170" s="569"/>
      <c r="D170" s="279">
        <v>0</v>
      </c>
      <c r="E170" s="279">
        <v>0</v>
      </c>
      <c r="F170" s="279">
        <v>0</v>
      </c>
      <c r="G170" s="279">
        <v>0</v>
      </c>
      <c r="H170" s="279">
        <v>0</v>
      </c>
      <c r="I170" s="279">
        <v>0</v>
      </c>
      <c r="J170" s="279">
        <v>0</v>
      </c>
      <c r="K170" s="279">
        <v>0</v>
      </c>
      <c r="L170" s="279">
        <v>0</v>
      </c>
      <c r="M170" s="279">
        <v>0</v>
      </c>
      <c r="N170" s="279">
        <v>0</v>
      </c>
      <c r="O170" s="279">
        <v>0</v>
      </c>
      <c r="P170" s="381">
        <f t="shared" si="56"/>
        <v>0</v>
      </c>
      <c r="Q170" s="381"/>
    </row>
    <row r="171" spans="2:17" x14ac:dyDescent="0.2">
      <c r="B171" s="42" t="s">
        <v>394</v>
      </c>
      <c r="C171" s="569"/>
      <c r="D171" s="279">
        <f>D148</f>
        <v>-2247.7358775667381</v>
      </c>
      <c r="E171" s="279">
        <f t="shared" ref="E171:O172" si="60">E148</f>
        <v>-39737.562818799866</v>
      </c>
      <c r="F171" s="279">
        <f t="shared" si="60"/>
        <v>-50953.743561875075</v>
      </c>
      <c r="G171" s="279">
        <f t="shared" si="60"/>
        <v>-36963.185818125028</v>
      </c>
      <c r="H171" s="279">
        <f t="shared" si="60"/>
        <v>15412.8632325</v>
      </c>
      <c r="I171" s="279">
        <f t="shared" si="60"/>
        <v>0</v>
      </c>
      <c r="J171" s="279">
        <f t="shared" si="60"/>
        <v>0</v>
      </c>
      <c r="K171" s="279">
        <f t="shared" si="60"/>
        <v>0</v>
      </c>
      <c r="L171" s="279">
        <f t="shared" si="60"/>
        <v>0</v>
      </c>
      <c r="M171" s="279">
        <f t="shared" si="60"/>
        <v>2452.0519099996891</v>
      </c>
      <c r="N171" s="279">
        <f t="shared" si="60"/>
        <v>-31686.513599999947</v>
      </c>
      <c r="O171" s="279">
        <f t="shared" si="60"/>
        <v>47379.578903125133</v>
      </c>
      <c r="P171" s="381">
        <f t="shared" si="56"/>
        <v>-96344.247630741826</v>
      </c>
      <c r="Q171" s="381"/>
    </row>
    <row r="172" spans="2:17" x14ac:dyDescent="0.2">
      <c r="B172" s="42" t="s">
        <v>395</v>
      </c>
      <c r="C172" s="569"/>
      <c r="D172" s="279">
        <f>D149</f>
        <v>-2142.4934776667506</v>
      </c>
      <c r="E172" s="279">
        <f t="shared" si="60"/>
        <v>-31968.536402666708</v>
      </c>
      <c r="F172" s="279">
        <f t="shared" si="60"/>
        <v>-43362.770147499861</v>
      </c>
      <c r="G172" s="279">
        <f t="shared" si="60"/>
        <v>-33125.926858499879</v>
      </c>
      <c r="H172" s="279">
        <f t="shared" si="60"/>
        <v>16753.030995999929</v>
      </c>
      <c r="I172" s="279">
        <f t="shared" si="60"/>
        <v>0</v>
      </c>
      <c r="J172" s="279">
        <f t="shared" si="60"/>
        <v>0</v>
      </c>
      <c r="K172" s="279">
        <f t="shared" si="60"/>
        <v>0</v>
      </c>
      <c r="L172" s="279">
        <f t="shared" si="60"/>
        <v>0</v>
      </c>
      <c r="M172" s="279">
        <f t="shared" si="60"/>
        <v>2110.1760166664608</v>
      </c>
      <c r="N172" s="279">
        <f t="shared" si="60"/>
        <v>-27853.985749333166</v>
      </c>
      <c r="O172" s="279">
        <f t="shared" si="60"/>
        <v>46760.856092333561</v>
      </c>
      <c r="P172" s="381">
        <f t="shared" si="56"/>
        <v>-72829.649530666415</v>
      </c>
      <c r="Q172" s="381"/>
    </row>
    <row r="173" spans="2:17" x14ac:dyDescent="0.2">
      <c r="B173" s="41" t="s">
        <v>396</v>
      </c>
      <c r="C173" s="569"/>
      <c r="D173" s="279">
        <v>0</v>
      </c>
      <c r="E173" s="279">
        <v>0</v>
      </c>
      <c r="F173" s="279">
        <v>0</v>
      </c>
      <c r="G173" s="279">
        <v>0</v>
      </c>
      <c r="H173" s="279">
        <v>0</v>
      </c>
      <c r="I173" s="279">
        <v>0</v>
      </c>
      <c r="J173" s="279">
        <v>0</v>
      </c>
      <c r="K173" s="279">
        <v>0</v>
      </c>
      <c r="L173" s="279">
        <v>0</v>
      </c>
      <c r="M173" s="279">
        <v>0</v>
      </c>
      <c r="N173" s="279">
        <v>0</v>
      </c>
      <c r="O173" s="279">
        <v>0</v>
      </c>
      <c r="P173" s="381">
        <f t="shared" si="56"/>
        <v>0</v>
      </c>
      <c r="Q173" s="381"/>
    </row>
    <row r="174" spans="2:17" x14ac:dyDescent="0.2">
      <c r="B174" s="42" t="s">
        <v>397</v>
      </c>
      <c r="C174" s="569"/>
      <c r="D174" s="279">
        <f>D150</f>
        <v>-5070.4602300000843</v>
      </c>
      <c r="E174" s="279">
        <f t="shared" ref="E174:O174" si="61">E150</f>
        <v>-112197.00664000004</v>
      </c>
      <c r="F174" s="279">
        <f t="shared" si="61"/>
        <v>-105309.27705000015</v>
      </c>
      <c r="G174" s="279">
        <f t="shared" si="61"/>
        <v>-98547.134787499905</v>
      </c>
      <c r="H174" s="279">
        <f t="shared" si="61"/>
        <v>51868.069189999995</v>
      </c>
      <c r="I174" s="279">
        <f t="shared" si="61"/>
        <v>-10881.571624999866</v>
      </c>
      <c r="J174" s="279">
        <f t="shared" si="61"/>
        <v>0</v>
      </c>
      <c r="K174" s="279">
        <f t="shared" si="61"/>
        <v>0</v>
      </c>
      <c r="L174" s="279">
        <f t="shared" si="61"/>
        <v>0</v>
      </c>
      <c r="M174" s="279">
        <f t="shared" si="61"/>
        <v>4918.2625799996313</v>
      </c>
      <c r="N174" s="279">
        <f t="shared" si="61"/>
        <v>-70304.964479999617</v>
      </c>
      <c r="O174" s="279">
        <f t="shared" si="61"/>
        <v>128599.43084250041</v>
      </c>
      <c r="P174" s="381">
        <f t="shared" si="56"/>
        <v>-216924.6521999996</v>
      </c>
      <c r="Q174" s="381"/>
    </row>
    <row r="175" spans="2:17" s="35" customFormat="1" x14ac:dyDescent="0.2">
      <c r="B175" s="586" t="s">
        <v>197</v>
      </c>
      <c r="C175" s="587"/>
      <c r="D175" s="279">
        <f>D156</f>
        <v>-11638.455180000048</v>
      </c>
      <c r="E175" s="279">
        <f t="shared" ref="E175:O175" si="62">E156</f>
        <v>-259290.75708000013</v>
      </c>
      <c r="F175" s="279">
        <f t="shared" si="62"/>
        <v>-233427.10004999954</v>
      </c>
      <c r="G175" s="279">
        <f t="shared" si="62"/>
        <v>-215932.70081250014</v>
      </c>
      <c r="H175" s="279">
        <f t="shared" si="62"/>
        <v>97668.827617499046</v>
      </c>
      <c r="I175" s="279">
        <f t="shared" si="62"/>
        <v>0</v>
      </c>
      <c r="J175" s="279">
        <f t="shared" si="62"/>
        <v>0</v>
      </c>
      <c r="K175" s="279">
        <f t="shared" si="62"/>
        <v>0</v>
      </c>
      <c r="L175" s="279">
        <f t="shared" si="62"/>
        <v>0</v>
      </c>
      <c r="M175" s="279">
        <f t="shared" si="62"/>
        <v>12210.890999999363</v>
      </c>
      <c r="N175" s="279">
        <f t="shared" si="62"/>
        <v>-172934.52671999903</v>
      </c>
      <c r="O175" s="279">
        <f t="shared" si="62"/>
        <v>257009.00079750083</v>
      </c>
      <c r="P175" s="279">
        <f t="shared" si="56"/>
        <v>-526334.82042749971</v>
      </c>
      <c r="Q175" s="279"/>
    </row>
    <row r="176" spans="2:17" x14ac:dyDescent="0.2">
      <c r="B176" s="585" t="s">
        <v>381</v>
      </c>
      <c r="C176" s="569"/>
      <c r="D176" s="584">
        <f t="shared" ref="D176:P176" si="63">SUM(D161:D175)</f>
        <v>-691396.83386034251</v>
      </c>
      <c r="E176" s="584">
        <f t="shared" si="63"/>
        <v>-14072821.79289734</v>
      </c>
      <c r="F176" s="584">
        <f t="shared" si="63"/>
        <v>-12853048.844112493</v>
      </c>
      <c r="G176" s="584">
        <f t="shared" si="63"/>
        <v>-10931382.472634748</v>
      </c>
      <c r="H176" s="584">
        <f t="shared" si="63"/>
        <v>4902841.0288338549</v>
      </c>
      <c r="I176" s="584">
        <f t="shared" si="63"/>
        <v>-874291.2168772493</v>
      </c>
      <c r="J176" s="584">
        <f t="shared" si="63"/>
        <v>0</v>
      </c>
      <c r="K176" s="584">
        <f t="shared" si="63"/>
        <v>0</v>
      </c>
      <c r="L176" s="584">
        <f t="shared" si="63"/>
        <v>-1288071.651924327</v>
      </c>
      <c r="M176" s="584">
        <f t="shared" si="63"/>
        <v>607520.44532149145</v>
      </c>
      <c r="N176" s="584">
        <f t="shared" si="63"/>
        <v>-9822439.246139681</v>
      </c>
      <c r="O176" s="584">
        <f t="shared" si="63"/>
        <v>15345006.084573682</v>
      </c>
      <c r="P176" s="584">
        <f t="shared" si="63"/>
        <v>-29678084.499717154</v>
      </c>
      <c r="Q176" s="279"/>
    </row>
    <row r="177" spans="2:17" x14ac:dyDescent="0.2">
      <c r="B177" s="588" t="s">
        <v>13</v>
      </c>
      <c r="C177" s="589"/>
      <c r="D177" s="590">
        <f>D157-D176</f>
        <v>0</v>
      </c>
      <c r="E177" s="590">
        <f t="shared" ref="E177:P177" si="64">E157-E176</f>
        <v>0</v>
      </c>
      <c r="F177" s="590">
        <f t="shared" si="64"/>
        <v>0</v>
      </c>
      <c r="G177" s="590">
        <f t="shared" si="64"/>
        <v>0</v>
      </c>
      <c r="H177" s="590">
        <f t="shared" si="64"/>
        <v>0</v>
      </c>
      <c r="I177" s="590">
        <f t="shared" si="64"/>
        <v>0</v>
      </c>
      <c r="J177" s="590">
        <f t="shared" si="64"/>
        <v>0</v>
      </c>
      <c r="K177" s="590">
        <f t="shared" si="64"/>
        <v>0</v>
      </c>
      <c r="L177" s="590">
        <f t="shared" si="64"/>
        <v>0</v>
      </c>
      <c r="M177" s="590">
        <f t="shared" si="64"/>
        <v>0</v>
      </c>
      <c r="N177" s="590">
        <f t="shared" si="64"/>
        <v>0</v>
      </c>
      <c r="O177" s="590">
        <f t="shared" si="64"/>
        <v>0</v>
      </c>
      <c r="P177" s="590">
        <f t="shared" si="64"/>
        <v>0</v>
      </c>
      <c r="Q177" s="279"/>
    </row>
    <row r="178" spans="2:17" x14ac:dyDescent="0.2">
      <c r="C178" s="569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</row>
    <row r="179" spans="2:17" x14ac:dyDescent="0.2">
      <c r="B179" s="60" t="s">
        <v>398</v>
      </c>
      <c r="C179" s="569"/>
      <c r="D179" s="279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</row>
    <row r="180" spans="2:17" x14ac:dyDescent="0.2">
      <c r="B180" s="585" t="s">
        <v>384</v>
      </c>
      <c r="C180" s="569"/>
      <c r="D180" s="279">
        <f t="shared" ref="D180:O180" si="65">D128</f>
        <v>517.11649999999997</v>
      </c>
      <c r="E180" s="279">
        <f t="shared" si="65"/>
        <v>532</v>
      </c>
      <c r="F180" s="279">
        <f t="shared" si="65"/>
        <v>532</v>
      </c>
      <c r="G180" s="279">
        <f t="shared" si="65"/>
        <v>532</v>
      </c>
      <c r="H180" s="279">
        <f t="shared" si="65"/>
        <v>532</v>
      </c>
      <c r="I180" s="279">
        <f t="shared" si="65"/>
        <v>532</v>
      </c>
      <c r="J180" s="279">
        <f t="shared" si="65"/>
        <v>532</v>
      </c>
      <c r="K180" s="279">
        <f t="shared" si="65"/>
        <v>532</v>
      </c>
      <c r="L180" s="279">
        <f t="shared" si="65"/>
        <v>478.16700000000003</v>
      </c>
      <c r="M180" s="279">
        <f t="shared" si="65"/>
        <v>579.5</v>
      </c>
      <c r="N180" s="279">
        <f t="shared" si="65"/>
        <v>601.0335</v>
      </c>
      <c r="O180" s="279">
        <f t="shared" si="65"/>
        <v>438.26650000000001</v>
      </c>
      <c r="P180" s="381">
        <f t="shared" ref="P180:P194" si="66">SUM(D180:O180)</f>
        <v>6338.0835000000006</v>
      </c>
      <c r="Q180" s="381"/>
    </row>
    <row r="181" spans="2:17" x14ac:dyDescent="0.2">
      <c r="B181" s="585" t="s">
        <v>385</v>
      </c>
      <c r="C181" s="569"/>
      <c r="D181" s="279">
        <f>D114+D129</f>
        <v>87752299.296759009</v>
      </c>
      <c r="E181" s="279">
        <f t="shared" ref="E181:O181" si="67">E114+E129</f>
        <v>75695215.374223158</v>
      </c>
      <c r="F181" s="279">
        <f t="shared" si="67"/>
        <v>71600738.668137357</v>
      </c>
      <c r="G181" s="279">
        <f t="shared" si="67"/>
        <v>51171123.38015037</v>
      </c>
      <c r="H181" s="279">
        <f t="shared" si="67"/>
        <v>28266802.166615579</v>
      </c>
      <c r="I181" s="279">
        <f t="shared" si="67"/>
        <v>16787159.259375826</v>
      </c>
      <c r="J181" s="279">
        <f t="shared" si="67"/>
        <v>12475673.02442559</v>
      </c>
      <c r="K181" s="279">
        <f t="shared" si="67"/>
        <v>12218378.582241647</v>
      </c>
      <c r="L181" s="279">
        <f t="shared" si="67"/>
        <v>17223816.972987261</v>
      </c>
      <c r="M181" s="279">
        <f t="shared" si="67"/>
        <v>40543400.70667927</v>
      </c>
      <c r="N181" s="279">
        <f t="shared" si="67"/>
        <v>64995208.404689752</v>
      </c>
      <c r="O181" s="279">
        <f t="shared" si="67"/>
        <v>87803469.57561098</v>
      </c>
      <c r="P181" s="381">
        <f t="shared" si="66"/>
        <v>566533285.41189575</v>
      </c>
      <c r="Q181" s="381"/>
    </row>
    <row r="182" spans="2:17" x14ac:dyDescent="0.2">
      <c r="B182" s="531" t="s">
        <v>386</v>
      </c>
      <c r="C182" s="569"/>
      <c r="D182" s="279">
        <f>D115+D123</f>
        <v>32787005.006831121</v>
      </c>
      <c r="E182" s="279">
        <f t="shared" ref="E182:O183" si="68">E115+E123</f>
        <v>29516265.859555002</v>
      </c>
      <c r="F182" s="279">
        <f t="shared" si="68"/>
        <v>28501638.98092835</v>
      </c>
      <c r="G182" s="279">
        <f t="shared" si="68"/>
        <v>21540873.961294677</v>
      </c>
      <c r="H182" s="279">
        <f t="shared" si="68"/>
        <v>12268692.402554583</v>
      </c>
      <c r="I182" s="279">
        <f t="shared" si="68"/>
        <v>9978357.5856815334</v>
      </c>
      <c r="J182" s="279">
        <f t="shared" si="68"/>
        <v>8011624.7356907567</v>
      </c>
      <c r="K182" s="279">
        <f t="shared" si="68"/>
        <v>7904356.6882976498</v>
      </c>
      <c r="L182" s="279">
        <f t="shared" si="68"/>
        <v>9482059.8552993946</v>
      </c>
      <c r="M182" s="279">
        <f t="shared" si="68"/>
        <v>15847111.142793093</v>
      </c>
      <c r="N182" s="279">
        <f t="shared" si="68"/>
        <v>24977037.274315685</v>
      </c>
      <c r="O182" s="279">
        <f t="shared" si="68"/>
        <v>31680349.146660607</v>
      </c>
      <c r="P182" s="381">
        <f t="shared" si="66"/>
        <v>232495372.63990244</v>
      </c>
      <c r="Q182" s="381"/>
    </row>
    <row r="183" spans="2:17" x14ac:dyDescent="0.2">
      <c r="B183" s="585" t="s">
        <v>387</v>
      </c>
      <c r="C183" s="569"/>
      <c r="D183" s="279">
        <f>D116+D124</f>
        <v>8255859.8535145996</v>
      </c>
      <c r="E183" s="279">
        <f t="shared" si="68"/>
        <v>7951697.9578932449</v>
      </c>
      <c r="F183" s="279">
        <f t="shared" si="68"/>
        <v>8238535.6085810615</v>
      </c>
      <c r="G183" s="279">
        <f t="shared" si="68"/>
        <v>5778287.9638875034</v>
      </c>
      <c r="H183" s="279">
        <f t="shared" si="68"/>
        <v>4546280.7040374633</v>
      </c>
      <c r="I183" s="279">
        <f t="shared" si="68"/>
        <v>3843074.1624731841</v>
      </c>
      <c r="J183" s="279">
        <f t="shared" si="68"/>
        <v>2905667.575164564</v>
      </c>
      <c r="K183" s="279">
        <f t="shared" si="68"/>
        <v>2795234.2008494399</v>
      </c>
      <c r="L183" s="279">
        <f t="shared" si="68"/>
        <v>3400258.5483004609</v>
      </c>
      <c r="M183" s="279">
        <f t="shared" si="68"/>
        <v>5069143.4239119366</v>
      </c>
      <c r="N183" s="279">
        <f t="shared" si="68"/>
        <v>7762077.715739035</v>
      </c>
      <c r="O183" s="279">
        <f t="shared" si="68"/>
        <v>7357509.8636475662</v>
      </c>
      <c r="P183" s="381">
        <f t="shared" si="66"/>
        <v>67903627.578000069</v>
      </c>
      <c r="Q183" s="381"/>
    </row>
    <row r="184" spans="2:17" x14ac:dyDescent="0.2">
      <c r="B184" s="585" t="s">
        <v>388</v>
      </c>
      <c r="C184" s="569"/>
      <c r="D184" s="279">
        <f t="shared" ref="D184:O184" si="69">D130</f>
        <v>0</v>
      </c>
      <c r="E184" s="279">
        <f t="shared" si="69"/>
        <v>0</v>
      </c>
      <c r="F184" s="279">
        <f t="shared" si="69"/>
        <v>0</v>
      </c>
      <c r="G184" s="279">
        <f t="shared" si="69"/>
        <v>0</v>
      </c>
      <c r="H184" s="279">
        <f t="shared" si="69"/>
        <v>0</v>
      </c>
      <c r="I184" s="279">
        <f t="shared" si="69"/>
        <v>0</v>
      </c>
      <c r="J184" s="279">
        <f t="shared" si="69"/>
        <v>0</v>
      </c>
      <c r="K184" s="279">
        <f t="shared" si="69"/>
        <v>0</v>
      </c>
      <c r="L184" s="279">
        <f t="shared" si="69"/>
        <v>0</v>
      </c>
      <c r="M184" s="279">
        <f t="shared" si="69"/>
        <v>0</v>
      </c>
      <c r="N184" s="279">
        <f t="shared" si="69"/>
        <v>0</v>
      </c>
      <c r="O184" s="279">
        <f t="shared" si="69"/>
        <v>0</v>
      </c>
      <c r="P184" s="381">
        <f t="shared" si="66"/>
        <v>0</v>
      </c>
      <c r="Q184" s="381"/>
    </row>
    <row r="185" spans="2:17" x14ac:dyDescent="0.2">
      <c r="B185" s="585" t="s">
        <v>389</v>
      </c>
      <c r="C185" s="569"/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381">
        <f t="shared" si="66"/>
        <v>0</v>
      </c>
      <c r="Q185" s="381"/>
    </row>
    <row r="186" spans="2:17" x14ac:dyDescent="0.2">
      <c r="B186" s="585" t="s">
        <v>390</v>
      </c>
      <c r="C186" s="569"/>
      <c r="D186" s="279">
        <f>D120+D133</f>
        <v>2611139.3176225862</v>
      </c>
      <c r="E186" s="279">
        <f t="shared" ref="E186:O188" si="70">E120+E133</f>
        <v>2050921.7160164667</v>
      </c>
      <c r="F186" s="279">
        <f t="shared" si="70"/>
        <v>2444691.3933493397</v>
      </c>
      <c r="G186" s="279">
        <f t="shared" si="70"/>
        <v>2588626.3621984739</v>
      </c>
      <c r="H186" s="279">
        <f t="shared" si="70"/>
        <v>1299367.7292833272</v>
      </c>
      <c r="I186" s="279">
        <f t="shared" si="70"/>
        <v>1483111.2595095132</v>
      </c>
      <c r="J186" s="279">
        <f t="shared" si="70"/>
        <v>811672.79147220484</v>
      </c>
      <c r="K186" s="279">
        <f t="shared" si="70"/>
        <v>1841188.837359969</v>
      </c>
      <c r="L186" s="279">
        <f t="shared" si="70"/>
        <v>1476275.515803132</v>
      </c>
      <c r="M186" s="279">
        <f t="shared" si="70"/>
        <v>1394895.9953661496</v>
      </c>
      <c r="N186" s="279">
        <f t="shared" si="70"/>
        <v>1947228.482806918</v>
      </c>
      <c r="O186" s="279">
        <f t="shared" si="70"/>
        <v>2565001.5782722249</v>
      </c>
      <c r="P186" s="381">
        <f t="shared" si="66"/>
        <v>22514120.979060303</v>
      </c>
      <c r="Q186" s="381"/>
    </row>
    <row r="187" spans="2:17" x14ac:dyDescent="0.2">
      <c r="B187" s="585" t="s">
        <v>391</v>
      </c>
      <c r="C187" s="569"/>
      <c r="D187" s="279">
        <f>D121+D134</f>
        <v>880110.25852526422</v>
      </c>
      <c r="E187" s="279">
        <f t="shared" si="70"/>
        <v>692787.97030061018</v>
      </c>
      <c r="F187" s="279">
        <f t="shared" si="70"/>
        <v>717394.62191394728</v>
      </c>
      <c r="G187" s="279">
        <f t="shared" si="70"/>
        <v>569563.15837696288</v>
      </c>
      <c r="H187" s="279">
        <f t="shared" si="70"/>
        <v>439816.21966002573</v>
      </c>
      <c r="I187" s="279">
        <f t="shared" si="70"/>
        <v>226595.15091178674</v>
      </c>
      <c r="J187" s="279">
        <f t="shared" si="70"/>
        <v>155545.50608722281</v>
      </c>
      <c r="K187" s="279">
        <f t="shared" si="70"/>
        <v>142671.90023060879</v>
      </c>
      <c r="L187" s="279">
        <f t="shared" si="70"/>
        <v>201433.25756713082</v>
      </c>
      <c r="M187" s="279">
        <f t="shared" si="70"/>
        <v>385071.14368790324</v>
      </c>
      <c r="N187" s="279">
        <f t="shared" si="70"/>
        <v>559764.37824599782</v>
      </c>
      <c r="O187" s="279">
        <f t="shared" si="70"/>
        <v>646449.07956408104</v>
      </c>
      <c r="P187" s="381">
        <f t="shared" si="66"/>
        <v>5617202.6450715419</v>
      </c>
      <c r="Q187" s="381"/>
    </row>
    <row r="188" spans="2:17" x14ac:dyDescent="0.2">
      <c r="B188" s="585" t="s">
        <v>392</v>
      </c>
      <c r="C188" s="569"/>
      <c r="D188" s="279">
        <f>D122+D135</f>
        <v>3562476.197426667</v>
      </c>
      <c r="E188" s="279">
        <f t="shared" si="70"/>
        <v>4177225.5040600011</v>
      </c>
      <c r="F188" s="279">
        <f t="shared" si="70"/>
        <v>-1061637.0763500002</v>
      </c>
      <c r="G188" s="279">
        <f t="shared" si="70"/>
        <v>4747175.736506667</v>
      </c>
      <c r="H188" s="279">
        <f t="shared" si="70"/>
        <v>-979875.83947000001</v>
      </c>
      <c r="I188" s="279">
        <f t="shared" si="70"/>
        <v>1626842.2785</v>
      </c>
      <c r="J188" s="279">
        <f t="shared" si="70"/>
        <v>907108.32249999989</v>
      </c>
      <c r="K188" s="279">
        <f t="shared" si="70"/>
        <v>1003583.997</v>
      </c>
      <c r="L188" s="279">
        <f t="shared" si="70"/>
        <v>780582.4155</v>
      </c>
      <c r="M188" s="279">
        <f t="shared" si="70"/>
        <v>1497856.5155999998</v>
      </c>
      <c r="N188" s="279">
        <f t="shared" si="70"/>
        <v>1629059.7405933337</v>
      </c>
      <c r="O188" s="279">
        <f t="shared" si="70"/>
        <v>2549087.9191600005</v>
      </c>
      <c r="P188" s="381">
        <f t="shared" si="66"/>
        <v>20439485.711026669</v>
      </c>
      <c r="Q188" s="381"/>
    </row>
    <row r="189" spans="2:17" x14ac:dyDescent="0.2">
      <c r="B189" s="42" t="s">
        <v>393</v>
      </c>
      <c r="C189" s="569"/>
      <c r="D189" s="279">
        <f t="shared" ref="D189:O189" si="71">D131</f>
        <v>527.80999999999995</v>
      </c>
      <c r="E189" s="279">
        <f t="shared" si="71"/>
        <v>60.5</v>
      </c>
      <c r="F189" s="279">
        <f t="shared" si="71"/>
        <v>0</v>
      </c>
      <c r="G189" s="279">
        <f t="shared" si="71"/>
        <v>0</v>
      </c>
      <c r="H189" s="279">
        <f t="shared" si="71"/>
        <v>0</v>
      </c>
      <c r="I189" s="279">
        <f t="shared" si="71"/>
        <v>0</v>
      </c>
      <c r="J189" s="279">
        <f t="shared" si="71"/>
        <v>0</v>
      </c>
      <c r="K189" s="279">
        <f t="shared" si="71"/>
        <v>0</v>
      </c>
      <c r="L189" s="279">
        <f t="shared" si="71"/>
        <v>0</v>
      </c>
      <c r="M189" s="279">
        <f t="shared" si="71"/>
        <v>0</v>
      </c>
      <c r="N189" s="279">
        <f t="shared" si="71"/>
        <v>0</v>
      </c>
      <c r="O189" s="279">
        <f t="shared" si="71"/>
        <v>0</v>
      </c>
      <c r="P189" s="381">
        <f t="shared" si="66"/>
        <v>588.30999999999995</v>
      </c>
      <c r="Q189" s="381"/>
    </row>
    <row r="190" spans="2:17" x14ac:dyDescent="0.2">
      <c r="B190" s="42" t="s">
        <v>394</v>
      </c>
      <c r="C190" s="569"/>
      <c r="D190" s="279">
        <f>D117+D136</f>
        <v>2140100.5541224331</v>
      </c>
      <c r="E190" s="279">
        <f t="shared" ref="E190:O191" si="72">E117+E136</f>
        <v>1558727.5271812005</v>
      </c>
      <c r="F190" s="279">
        <f t="shared" si="72"/>
        <v>2125176.6864381246</v>
      </c>
      <c r="G190" s="279">
        <f t="shared" si="72"/>
        <v>3235775.6541818753</v>
      </c>
      <c r="H190" s="279">
        <f t="shared" si="72"/>
        <v>335953.78323249973</v>
      </c>
      <c r="I190" s="279">
        <f t="shared" si="72"/>
        <v>1597824.5200000003</v>
      </c>
      <c r="J190" s="279">
        <f t="shared" si="72"/>
        <v>1479486.8199999998</v>
      </c>
      <c r="K190" s="279">
        <f t="shared" si="72"/>
        <v>1250226.92</v>
      </c>
      <c r="L190" s="279">
        <f t="shared" si="72"/>
        <v>1775736.36</v>
      </c>
      <c r="M190" s="279">
        <f t="shared" si="72"/>
        <v>1718918.3319099997</v>
      </c>
      <c r="N190" s="279">
        <f t="shared" si="72"/>
        <v>1668025.5264000001</v>
      </c>
      <c r="O190" s="279">
        <f t="shared" si="72"/>
        <v>1980936.2189031253</v>
      </c>
      <c r="P190" s="381">
        <f t="shared" si="66"/>
        <v>20866888.902369257</v>
      </c>
      <c r="Q190" s="381"/>
    </row>
    <row r="191" spans="2:17" x14ac:dyDescent="0.2">
      <c r="B191" s="42" t="s">
        <v>395</v>
      </c>
      <c r="C191" s="569"/>
      <c r="D191" s="279">
        <f>D118+D137</f>
        <v>4768934.4065223336</v>
      </c>
      <c r="E191" s="279">
        <f t="shared" si="72"/>
        <v>3601349.5235973331</v>
      </c>
      <c r="F191" s="279">
        <f t="shared" si="72"/>
        <v>6535431.4298524996</v>
      </c>
      <c r="G191" s="279">
        <f t="shared" si="72"/>
        <v>8436606.6631415002</v>
      </c>
      <c r="H191" s="279">
        <f t="shared" si="72"/>
        <v>3165896.2509959997</v>
      </c>
      <c r="I191" s="279">
        <f t="shared" si="72"/>
        <v>2345625.5900000008</v>
      </c>
      <c r="J191" s="279">
        <f t="shared" si="72"/>
        <v>4384118.4399999995</v>
      </c>
      <c r="K191" s="279">
        <f t="shared" si="72"/>
        <v>4424010.79</v>
      </c>
      <c r="L191" s="279">
        <f t="shared" si="72"/>
        <v>5033402</v>
      </c>
      <c r="M191" s="279">
        <f t="shared" si="72"/>
        <v>5145474.3660166655</v>
      </c>
      <c r="N191" s="279">
        <f t="shared" si="72"/>
        <v>4923633.8742506662</v>
      </c>
      <c r="O191" s="279">
        <f t="shared" si="72"/>
        <v>5180565.6260923333</v>
      </c>
      <c r="P191" s="381">
        <f t="shared" si="66"/>
        <v>57945048.960469335</v>
      </c>
      <c r="Q191" s="381"/>
    </row>
    <row r="192" spans="2:17" x14ac:dyDescent="0.2">
      <c r="B192" s="41" t="s">
        <v>399</v>
      </c>
      <c r="C192" s="569"/>
      <c r="D192" s="279">
        <f t="shared" ref="D192:O192" si="73">D138+D132</f>
        <v>361653.32</v>
      </c>
      <c r="E192" s="279">
        <f t="shared" si="73"/>
        <v>204540.56</v>
      </c>
      <c r="F192" s="279">
        <f t="shared" si="73"/>
        <v>115073.89</v>
      </c>
      <c r="G192" s="279">
        <f t="shared" si="73"/>
        <v>274351.99</v>
      </c>
      <c r="H192" s="279">
        <f t="shared" si="73"/>
        <v>10712.070000000011</v>
      </c>
      <c r="I192" s="279">
        <f t="shared" si="73"/>
        <v>168813.03999999998</v>
      </c>
      <c r="J192" s="279">
        <f t="shared" si="73"/>
        <v>159235</v>
      </c>
      <c r="K192" s="279">
        <f t="shared" si="73"/>
        <v>198103.7</v>
      </c>
      <c r="L192" s="279">
        <f t="shared" si="73"/>
        <v>113608.76</v>
      </c>
      <c r="M192" s="279">
        <f t="shared" si="73"/>
        <v>95125.420000000013</v>
      </c>
      <c r="N192" s="279">
        <f t="shared" si="73"/>
        <v>63320.320000000007</v>
      </c>
      <c r="O192" s="279">
        <f t="shared" si="73"/>
        <v>44367.169999999991</v>
      </c>
      <c r="P192" s="381">
        <f t="shared" si="66"/>
        <v>1808905.24</v>
      </c>
      <c r="Q192" s="381"/>
    </row>
    <row r="193" spans="2:17" x14ac:dyDescent="0.2">
      <c r="B193" s="42" t="s">
        <v>397</v>
      </c>
      <c r="C193" s="569"/>
      <c r="D193" s="279">
        <f>D119+D139</f>
        <v>9494626.7997700013</v>
      </c>
      <c r="E193" s="279">
        <f t="shared" ref="E193:O193" si="74">E119+E139</f>
        <v>5915210.0033599995</v>
      </c>
      <c r="F193" s="279">
        <f t="shared" si="74"/>
        <v>6007206.2329499982</v>
      </c>
      <c r="G193" s="279">
        <f t="shared" si="74"/>
        <v>11889981.9552125</v>
      </c>
      <c r="H193" s="279">
        <f t="shared" si="74"/>
        <v>9170372.329189999</v>
      </c>
      <c r="I193" s="279">
        <f t="shared" si="74"/>
        <v>890540.01837499859</v>
      </c>
      <c r="J193" s="279">
        <f t="shared" si="74"/>
        <v>11398642.710000001</v>
      </c>
      <c r="K193" s="279">
        <f t="shared" si="74"/>
        <v>6893360.7199999997</v>
      </c>
      <c r="L193" s="279">
        <f t="shared" si="74"/>
        <v>5470598.8199999994</v>
      </c>
      <c r="M193" s="279">
        <f t="shared" si="74"/>
        <v>8108010.752580001</v>
      </c>
      <c r="N193" s="279">
        <f t="shared" si="74"/>
        <v>6418330.6955199987</v>
      </c>
      <c r="O193" s="279">
        <f t="shared" si="74"/>
        <v>7414643.1908425009</v>
      </c>
      <c r="P193" s="381">
        <f t="shared" si="66"/>
        <v>89071524.227799997</v>
      </c>
      <c r="Q193" s="381"/>
    </row>
    <row r="194" spans="2:17" s="35" customFormat="1" x14ac:dyDescent="0.2">
      <c r="B194" s="586" t="s">
        <v>197</v>
      </c>
      <c r="C194" s="587"/>
      <c r="D194" s="279">
        <f>D125</f>
        <v>3692758.79482</v>
      </c>
      <c r="E194" s="279">
        <f t="shared" ref="E194:O194" si="75">E125</f>
        <v>1112060.65292</v>
      </c>
      <c r="F194" s="279">
        <f t="shared" si="75"/>
        <v>5798700.9299500007</v>
      </c>
      <c r="G194" s="279">
        <f t="shared" si="75"/>
        <v>-181635.61081253138</v>
      </c>
      <c r="H194" s="279">
        <f t="shared" si="75"/>
        <v>5178931.1576175354</v>
      </c>
      <c r="I194" s="279">
        <f t="shared" si="75"/>
        <v>1839517.6399999997</v>
      </c>
      <c r="J194" s="279">
        <f t="shared" si="75"/>
        <v>1681835.35</v>
      </c>
      <c r="K194" s="279">
        <f t="shared" si="75"/>
        <v>1653340.1099999999</v>
      </c>
      <c r="L194" s="279">
        <f t="shared" si="75"/>
        <v>1784397.1</v>
      </c>
      <c r="M194" s="279">
        <f t="shared" si="75"/>
        <v>2451147.8409999991</v>
      </c>
      <c r="N194" s="279">
        <f t="shared" si="75"/>
        <v>3506197.4932800005</v>
      </c>
      <c r="O194" s="279">
        <f t="shared" si="75"/>
        <v>-7079771.5392024983</v>
      </c>
      <c r="P194" s="381">
        <f t="shared" si="66"/>
        <v>21437479.91957251</v>
      </c>
      <c r="Q194" s="279"/>
    </row>
    <row r="195" spans="2:17" x14ac:dyDescent="0.2">
      <c r="B195" s="585" t="s">
        <v>400</v>
      </c>
      <c r="C195" s="569"/>
      <c r="D195" s="584">
        <f t="shared" ref="D195:P195" si="76">SUM(D180:D194)</f>
        <v>156308008.73241401</v>
      </c>
      <c r="E195" s="584">
        <f t="shared" si="76"/>
        <v>132476595.14910701</v>
      </c>
      <c r="F195" s="584">
        <f t="shared" si="76"/>
        <v>131023483.36575069</v>
      </c>
      <c r="G195" s="584">
        <f t="shared" si="76"/>
        <v>110051263.21413799</v>
      </c>
      <c r="H195" s="584">
        <f t="shared" si="76"/>
        <v>63703480.973717019</v>
      </c>
      <c r="I195" s="584">
        <f t="shared" si="76"/>
        <v>40787992.504826851</v>
      </c>
      <c r="J195" s="584">
        <f t="shared" si="76"/>
        <v>44371142.275340341</v>
      </c>
      <c r="K195" s="584">
        <f t="shared" si="76"/>
        <v>40324988.44597932</v>
      </c>
      <c r="L195" s="584">
        <f t="shared" si="76"/>
        <v>46742647.772457376</v>
      </c>
      <c r="M195" s="584">
        <f t="shared" si="76"/>
        <v>82256735.139545023</v>
      </c>
      <c r="N195" s="584">
        <f t="shared" si="76"/>
        <v>118450484.93934137</v>
      </c>
      <c r="O195" s="584">
        <f t="shared" si="76"/>
        <v>140143046.09605092</v>
      </c>
      <c r="P195" s="584">
        <f t="shared" si="76"/>
        <v>1106639868.6086679</v>
      </c>
      <c r="Q195" s="279"/>
    </row>
    <row r="196" spans="2:17" x14ac:dyDescent="0.2">
      <c r="B196" s="588" t="s">
        <v>13</v>
      </c>
      <c r="C196" s="589"/>
      <c r="D196" s="590">
        <f t="shared" ref="D196:P196" si="77">D195-D142</f>
        <v>0</v>
      </c>
      <c r="E196" s="590">
        <f t="shared" si="77"/>
        <v>0</v>
      </c>
      <c r="F196" s="590">
        <f t="shared" si="77"/>
        <v>0</v>
      </c>
      <c r="G196" s="590">
        <f t="shared" si="77"/>
        <v>0</v>
      </c>
      <c r="H196" s="590">
        <f t="shared" si="77"/>
        <v>0</v>
      </c>
      <c r="I196" s="590">
        <f t="shared" si="77"/>
        <v>0</v>
      </c>
      <c r="J196" s="590">
        <f t="shared" si="77"/>
        <v>0</v>
      </c>
      <c r="K196" s="590">
        <f t="shared" si="77"/>
        <v>0</v>
      </c>
      <c r="L196" s="590">
        <f t="shared" si="77"/>
        <v>0</v>
      </c>
      <c r="M196" s="590">
        <f t="shared" si="77"/>
        <v>0</v>
      </c>
      <c r="N196" s="590">
        <f t="shared" si="77"/>
        <v>0</v>
      </c>
      <c r="O196" s="590">
        <f t="shared" si="77"/>
        <v>0</v>
      </c>
      <c r="P196" s="590">
        <f t="shared" si="77"/>
        <v>0</v>
      </c>
      <c r="Q196" s="279"/>
    </row>
    <row r="197" spans="2:17" x14ac:dyDescent="0.2">
      <c r="C197" s="569"/>
      <c r="D197" s="279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</row>
    <row r="198" spans="2:17" x14ac:dyDescent="0.2">
      <c r="B198" s="60" t="s">
        <v>401</v>
      </c>
      <c r="C198" s="569"/>
      <c r="D198" s="279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</row>
    <row r="199" spans="2:17" s="41" customFormat="1" x14ac:dyDescent="0.2">
      <c r="B199" s="586" t="s">
        <v>402</v>
      </c>
      <c r="C199" s="566"/>
      <c r="D199" s="38">
        <f t="shared" ref="D199:O199" si="78">SUM(D36:D38)</f>
        <v>813479</v>
      </c>
      <c r="E199" s="38">
        <f t="shared" si="78"/>
        <v>814245</v>
      </c>
      <c r="F199" s="38">
        <f t="shared" si="78"/>
        <v>814697</v>
      </c>
      <c r="G199" s="38">
        <f t="shared" si="78"/>
        <v>814920</v>
      </c>
      <c r="H199" s="38">
        <f t="shared" si="78"/>
        <v>815058</v>
      </c>
      <c r="I199" s="38">
        <f t="shared" si="78"/>
        <v>815310</v>
      </c>
      <c r="J199" s="38">
        <f t="shared" si="78"/>
        <v>815073</v>
      </c>
      <c r="K199" s="38">
        <f t="shared" si="78"/>
        <v>815376</v>
      </c>
      <c r="L199" s="38">
        <f t="shared" si="78"/>
        <v>815675</v>
      </c>
      <c r="M199" s="38">
        <f t="shared" si="78"/>
        <v>816336</v>
      </c>
      <c r="N199" s="38">
        <f t="shared" si="78"/>
        <v>817290</v>
      </c>
      <c r="O199" s="38">
        <f t="shared" si="78"/>
        <v>817983</v>
      </c>
      <c r="P199" s="38">
        <f t="shared" ref="P199:P212" si="79">SUM(D199:O199)</f>
        <v>9785442</v>
      </c>
      <c r="Q199" s="38"/>
    </row>
    <row r="200" spans="2:17" s="41" customFormat="1" x14ac:dyDescent="0.2">
      <c r="B200" s="531" t="s">
        <v>386</v>
      </c>
      <c r="C200" s="566"/>
      <c r="D200" s="38">
        <f t="shared" ref="D200:O200" si="80">SUM(D40,D47)</f>
        <v>57969</v>
      </c>
      <c r="E200" s="38">
        <f t="shared" si="80"/>
        <v>58011</v>
      </c>
      <c r="F200" s="38">
        <f t="shared" si="80"/>
        <v>58046</v>
      </c>
      <c r="G200" s="38">
        <f t="shared" si="80"/>
        <v>58040</v>
      </c>
      <c r="H200" s="38">
        <f t="shared" si="80"/>
        <v>57999</v>
      </c>
      <c r="I200" s="38">
        <f t="shared" si="80"/>
        <v>57920</v>
      </c>
      <c r="J200" s="38">
        <f t="shared" si="80"/>
        <v>57862</v>
      </c>
      <c r="K200" s="38">
        <f t="shared" si="80"/>
        <v>57806</v>
      </c>
      <c r="L200" s="38">
        <f t="shared" si="80"/>
        <v>57786</v>
      </c>
      <c r="M200" s="38">
        <f t="shared" si="80"/>
        <v>57789</v>
      </c>
      <c r="N200" s="38">
        <f t="shared" si="80"/>
        <v>57880</v>
      </c>
      <c r="O200" s="38">
        <f t="shared" si="80"/>
        <v>57955</v>
      </c>
      <c r="P200" s="38">
        <f t="shared" si="79"/>
        <v>695063</v>
      </c>
      <c r="Q200" s="38"/>
    </row>
    <row r="201" spans="2:17" x14ac:dyDescent="0.2">
      <c r="B201" s="586" t="s">
        <v>387</v>
      </c>
      <c r="C201" s="569"/>
      <c r="D201" s="279">
        <f t="shared" ref="D201:O201" si="81">D41+D48</f>
        <v>1242</v>
      </c>
      <c r="E201" s="279">
        <f t="shared" si="81"/>
        <v>1247</v>
      </c>
      <c r="F201" s="279">
        <f t="shared" si="81"/>
        <v>1255</v>
      </c>
      <c r="G201" s="279">
        <f t="shared" si="81"/>
        <v>1249</v>
      </c>
      <c r="H201" s="279">
        <f t="shared" si="81"/>
        <v>1257</v>
      </c>
      <c r="I201" s="279">
        <f t="shared" si="81"/>
        <v>1261</v>
      </c>
      <c r="J201" s="279">
        <f t="shared" si="81"/>
        <v>1263</v>
      </c>
      <c r="K201" s="279">
        <f t="shared" si="81"/>
        <v>1283</v>
      </c>
      <c r="L201" s="279">
        <f t="shared" si="81"/>
        <v>1285</v>
      </c>
      <c r="M201" s="279">
        <f t="shared" si="81"/>
        <v>1287</v>
      </c>
      <c r="N201" s="279">
        <f t="shared" si="81"/>
        <v>1321</v>
      </c>
      <c r="O201" s="279">
        <f t="shared" si="81"/>
        <v>1320</v>
      </c>
      <c r="P201" s="279">
        <f t="shared" si="79"/>
        <v>15270</v>
      </c>
      <c r="Q201" s="279"/>
    </row>
    <row r="202" spans="2:17" x14ac:dyDescent="0.2">
      <c r="B202" s="585" t="s">
        <v>388</v>
      </c>
      <c r="C202" s="569"/>
      <c r="D202" s="279">
        <f t="shared" ref="D202:O202" si="82">D42</f>
        <v>0</v>
      </c>
      <c r="E202" s="279">
        <f t="shared" si="82"/>
        <v>0</v>
      </c>
      <c r="F202" s="279">
        <f t="shared" si="82"/>
        <v>0</v>
      </c>
      <c r="G202" s="279">
        <f t="shared" si="82"/>
        <v>0</v>
      </c>
      <c r="H202" s="279">
        <f t="shared" si="82"/>
        <v>0</v>
      </c>
      <c r="I202" s="279">
        <f t="shared" si="82"/>
        <v>0</v>
      </c>
      <c r="J202" s="279">
        <f t="shared" si="82"/>
        <v>0</v>
      </c>
      <c r="K202" s="279">
        <f t="shared" si="82"/>
        <v>0</v>
      </c>
      <c r="L202" s="279">
        <f t="shared" si="82"/>
        <v>0</v>
      </c>
      <c r="M202" s="279">
        <f t="shared" si="82"/>
        <v>0</v>
      </c>
      <c r="N202" s="279">
        <f t="shared" si="82"/>
        <v>0</v>
      </c>
      <c r="O202" s="279">
        <f t="shared" si="82"/>
        <v>0</v>
      </c>
      <c r="P202" s="279">
        <f t="shared" si="79"/>
        <v>0</v>
      </c>
      <c r="Q202" s="279"/>
    </row>
    <row r="203" spans="2:17" x14ac:dyDescent="0.2">
      <c r="B203" s="586" t="s">
        <v>403</v>
      </c>
      <c r="C203" s="569"/>
      <c r="D203" s="279">
        <f t="shared" ref="D203:O203" si="83">SUM(D39,D43,D49)</f>
        <v>0</v>
      </c>
      <c r="E203" s="279">
        <f t="shared" si="83"/>
        <v>0</v>
      </c>
      <c r="F203" s="279">
        <f t="shared" si="83"/>
        <v>0</v>
      </c>
      <c r="G203" s="279">
        <f t="shared" si="83"/>
        <v>0</v>
      </c>
      <c r="H203" s="279">
        <f t="shared" si="83"/>
        <v>0</v>
      </c>
      <c r="I203" s="279">
        <f t="shared" si="83"/>
        <v>0</v>
      </c>
      <c r="J203" s="279">
        <f t="shared" si="83"/>
        <v>0</v>
      </c>
      <c r="K203" s="279">
        <f t="shared" si="83"/>
        <v>0</v>
      </c>
      <c r="L203" s="279">
        <f t="shared" si="83"/>
        <v>0</v>
      </c>
      <c r="M203" s="279">
        <f t="shared" si="83"/>
        <v>0</v>
      </c>
      <c r="N203" s="279">
        <f t="shared" si="83"/>
        <v>0</v>
      </c>
      <c r="O203" s="279">
        <f t="shared" si="83"/>
        <v>0</v>
      </c>
      <c r="P203" s="279">
        <f t="shared" si="79"/>
        <v>0</v>
      </c>
      <c r="Q203" s="279"/>
    </row>
    <row r="204" spans="2:17" x14ac:dyDescent="0.2">
      <c r="B204" s="586" t="s">
        <v>390</v>
      </c>
      <c r="C204" s="569"/>
      <c r="D204" s="279">
        <f t="shared" ref="D204:O206" si="84">D44+D50</f>
        <v>35</v>
      </c>
      <c r="E204" s="279">
        <f t="shared" si="84"/>
        <v>34</v>
      </c>
      <c r="F204" s="279">
        <f t="shared" si="84"/>
        <v>34</v>
      </c>
      <c r="G204" s="279">
        <f t="shared" si="84"/>
        <v>33</v>
      </c>
      <c r="H204" s="279">
        <f t="shared" si="84"/>
        <v>33</v>
      </c>
      <c r="I204" s="279">
        <f t="shared" si="84"/>
        <v>33</v>
      </c>
      <c r="J204" s="279">
        <f t="shared" si="84"/>
        <v>33</v>
      </c>
      <c r="K204" s="279">
        <f t="shared" si="84"/>
        <v>33</v>
      </c>
      <c r="L204" s="279">
        <f t="shared" si="84"/>
        <v>33</v>
      </c>
      <c r="M204" s="279">
        <f t="shared" si="84"/>
        <v>33</v>
      </c>
      <c r="N204" s="279">
        <f t="shared" si="84"/>
        <v>33</v>
      </c>
      <c r="O204" s="279">
        <f t="shared" si="84"/>
        <v>33</v>
      </c>
      <c r="P204" s="279">
        <f t="shared" si="79"/>
        <v>400</v>
      </c>
      <c r="Q204" s="279"/>
    </row>
    <row r="205" spans="2:17" x14ac:dyDescent="0.2">
      <c r="B205" s="586" t="s">
        <v>391</v>
      </c>
      <c r="C205" s="569"/>
      <c r="D205" s="279">
        <f t="shared" si="84"/>
        <v>107</v>
      </c>
      <c r="E205" s="279">
        <f t="shared" si="84"/>
        <v>107</v>
      </c>
      <c r="F205" s="279">
        <f t="shared" si="84"/>
        <v>107</v>
      </c>
      <c r="G205" s="279">
        <f t="shared" si="84"/>
        <v>106</v>
      </c>
      <c r="H205" s="279">
        <f t="shared" si="84"/>
        <v>106</v>
      </c>
      <c r="I205" s="279">
        <f t="shared" si="84"/>
        <v>105</v>
      </c>
      <c r="J205" s="279">
        <f t="shared" si="84"/>
        <v>105</v>
      </c>
      <c r="K205" s="279">
        <f t="shared" si="84"/>
        <v>105</v>
      </c>
      <c r="L205" s="279">
        <f t="shared" si="84"/>
        <v>104</v>
      </c>
      <c r="M205" s="279">
        <f t="shared" si="84"/>
        <v>101</v>
      </c>
      <c r="N205" s="279">
        <f t="shared" si="84"/>
        <v>101</v>
      </c>
      <c r="O205" s="279">
        <f t="shared" si="84"/>
        <v>101</v>
      </c>
      <c r="P205" s="279">
        <f t="shared" si="79"/>
        <v>1255</v>
      </c>
      <c r="Q205" s="279"/>
    </row>
    <row r="206" spans="2:17" x14ac:dyDescent="0.2">
      <c r="B206" s="586" t="s">
        <v>392</v>
      </c>
      <c r="C206" s="569"/>
      <c r="D206" s="279">
        <f t="shared" si="84"/>
        <v>4</v>
      </c>
      <c r="E206" s="279">
        <f t="shared" si="84"/>
        <v>4</v>
      </c>
      <c r="F206" s="279">
        <f t="shared" si="84"/>
        <v>4</v>
      </c>
      <c r="G206" s="279">
        <f t="shared" si="84"/>
        <v>4</v>
      </c>
      <c r="H206" s="279">
        <f t="shared" si="84"/>
        <v>4</v>
      </c>
      <c r="I206" s="279">
        <f t="shared" si="84"/>
        <v>4</v>
      </c>
      <c r="J206" s="279">
        <f t="shared" si="84"/>
        <v>4</v>
      </c>
      <c r="K206" s="279">
        <f t="shared" si="84"/>
        <v>4</v>
      </c>
      <c r="L206" s="279">
        <f t="shared" si="84"/>
        <v>4</v>
      </c>
      <c r="M206" s="279">
        <f t="shared" si="84"/>
        <v>4</v>
      </c>
      <c r="N206" s="279">
        <f t="shared" si="84"/>
        <v>4</v>
      </c>
      <c r="O206" s="279">
        <f t="shared" si="84"/>
        <v>4</v>
      </c>
      <c r="P206" s="279">
        <f t="shared" si="79"/>
        <v>48</v>
      </c>
      <c r="Q206" s="279"/>
    </row>
    <row r="207" spans="2:17" x14ac:dyDescent="0.2">
      <c r="B207" s="42" t="s">
        <v>393</v>
      </c>
      <c r="C207" s="569"/>
      <c r="D207" s="279">
        <f t="shared" ref="D207:O207" si="85">D53</f>
        <v>0</v>
      </c>
      <c r="E207" s="279">
        <f t="shared" si="85"/>
        <v>0</v>
      </c>
      <c r="F207" s="279">
        <f t="shared" si="85"/>
        <v>0</v>
      </c>
      <c r="G207" s="279">
        <f t="shared" si="85"/>
        <v>0</v>
      </c>
      <c r="H207" s="279">
        <f t="shared" si="85"/>
        <v>0</v>
      </c>
      <c r="I207" s="279">
        <f t="shared" si="85"/>
        <v>0</v>
      </c>
      <c r="J207" s="279">
        <f t="shared" si="85"/>
        <v>0</v>
      </c>
      <c r="K207" s="279">
        <f t="shared" si="85"/>
        <v>0</v>
      </c>
      <c r="L207" s="279">
        <f t="shared" si="85"/>
        <v>0</v>
      </c>
      <c r="M207" s="279">
        <f t="shared" si="85"/>
        <v>0</v>
      </c>
      <c r="N207" s="279">
        <f t="shared" si="85"/>
        <v>0</v>
      </c>
      <c r="O207" s="279">
        <f t="shared" si="85"/>
        <v>0</v>
      </c>
      <c r="P207" s="279">
        <f t="shared" si="79"/>
        <v>0</v>
      </c>
      <c r="Q207" s="279"/>
    </row>
    <row r="208" spans="2:17" x14ac:dyDescent="0.2">
      <c r="B208" s="42" t="s">
        <v>394</v>
      </c>
      <c r="C208" s="569"/>
      <c r="D208" s="279">
        <f t="shared" ref="D208:O209" si="86">D54+D59</f>
        <v>94</v>
      </c>
      <c r="E208" s="279">
        <f t="shared" si="86"/>
        <v>94</v>
      </c>
      <c r="F208" s="279">
        <f t="shared" si="86"/>
        <v>94</v>
      </c>
      <c r="G208" s="279">
        <f t="shared" si="86"/>
        <v>92</v>
      </c>
      <c r="H208" s="279">
        <f t="shared" si="86"/>
        <v>92</v>
      </c>
      <c r="I208" s="279">
        <f t="shared" si="86"/>
        <v>92</v>
      </c>
      <c r="J208" s="279">
        <f t="shared" si="86"/>
        <v>92</v>
      </c>
      <c r="K208" s="279">
        <f t="shared" si="86"/>
        <v>92</v>
      </c>
      <c r="L208" s="279">
        <f t="shared" si="86"/>
        <v>92</v>
      </c>
      <c r="M208" s="279">
        <f t="shared" si="86"/>
        <v>92</v>
      </c>
      <c r="N208" s="279">
        <f t="shared" si="86"/>
        <v>92</v>
      </c>
      <c r="O208" s="279">
        <f t="shared" si="86"/>
        <v>92</v>
      </c>
      <c r="P208" s="279">
        <f t="shared" si="79"/>
        <v>1110</v>
      </c>
      <c r="Q208" s="279"/>
    </row>
    <row r="209" spans="2:17" x14ac:dyDescent="0.2">
      <c r="B209" s="42" t="s">
        <v>395</v>
      </c>
      <c r="C209" s="569"/>
      <c r="D209" s="279">
        <f t="shared" si="86"/>
        <v>82</v>
      </c>
      <c r="E209" s="279">
        <f t="shared" si="86"/>
        <v>82</v>
      </c>
      <c r="F209" s="279">
        <f t="shared" si="86"/>
        <v>81</v>
      </c>
      <c r="G209" s="279">
        <f t="shared" si="86"/>
        <v>81</v>
      </c>
      <c r="H209" s="279">
        <f t="shared" si="86"/>
        <v>81</v>
      </c>
      <c r="I209" s="279">
        <f t="shared" si="86"/>
        <v>81</v>
      </c>
      <c r="J209" s="279">
        <f t="shared" si="86"/>
        <v>81</v>
      </c>
      <c r="K209" s="279">
        <f t="shared" si="86"/>
        <v>81</v>
      </c>
      <c r="L209" s="279">
        <f t="shared" si="86"/>
        <v>80</v>
      </c>
      <c r="M209" s="279">
        <f t="shared" si="86"/>
        <v>81</v>
      </c>
      <c r="N209" s="279">
        <f t="shared" si="86"/>
        <v>81</v>
      </c>
      <c r="O209" s="279">
        <f t="shared" si="86"/>
        <v>81</v>
      </c>
      <c r="P209" s="279">
        <f t="shared" si="79"/>
        <v>973</v>
      </c>
      <c r="Q209" s="279"/>
    </row>
    <row r="210" spans="2:17" x14ac:dyDescent="0.2">
      <c r="B210" s="41" t="s">
        <v>399</v>
      </c>
      <c r="C210" s="569"/>
      <c r="D210" s="279">
        <f t="shared" ref="D210:O210" si="87">D61+D56</f>
        <v>6</v>
      </c>
      <c r="E210" s="279">
        <f t="shared" si="87"/>
        <v>6</v>
      </c>
      <c r="F210" s="279">
        <f t="shared" si="87"/>
        <v>6</v>
      </c>
      <c r="G210" s="279">
        <f t="shared" si="87"/>
        <v>6</v>
      </c>
      <c r="H210" s="279">
        <f t="shared" si="87"/>
        <v>6</v>
      </c>
      <c r="I210" s="279">
        <f t="shared" si="87"/>
        <v>6</v>
      </c>
      <c r="J210" s="279">
        <f t="shared" si="87"/>
        <v>6</v>
      </c>
      <c r="K210" s="279">
        <f t="shared" si="87"/>
        <v>6</v>
      </c>
      <c r="L210" s="279">
        <f t="shared" si="87"/>
        <v>6</v>
      </c>
      <c r="M210" s="279">
        <f t="shared" si="87"/>
        <v>5</v>
      </c>
      <c r="N210" s="279">
        <f t="shared" si="87"/>
        <v>5</v>
      </c>
      <c r="O210" s="279">
        <f t="shared" si="87"/>
        <v>5</v>
      </c>
      <c r="P210" s="279">
        <f t="shared" si="79"/>
        <v>69</v>
      </c>
      <c r="Q210" s="279"/>
    </row>
    <row r="211" spans="2:17" x14ac:dyDescent="0.2">
      <c r="B211" s="42" t="s">
        <v>397</v>
      </c>
      <c r="C211" s="569"/>
      <c r="D211" s="279">
        <f t="shared" ref="D211:O211" si="88">D57+D62</f>
        <v>11</v>
      </c>
      <c r="E211" s="279">
        <f t="shared" si="88"/>
        <v>11</v>
      </c>
      <c r="F211" s="279">
        <f t="shared" si="88"/>
        <v>11</v>
      </c>
      <c r="G211" s="279">
        <f t="shared" si="88"/>
        <v>11</v>
      </c>
      <c r="H211" s="279">
        <f t="shared" si="88"/>
        <v>11</v>
      </c>
      <c r="I211" s="279">
        <f t="shared" si="88"/>
        <v>11</v>
      </c>
      <c r="J211" s="279">
        <f t="shared" si="88"/>
        <v>11</v>
      </c>
      <c r="K211" s="279">
        <f t="shared" si="88"/>
        <v>10</v>
      </c>
      <c r="L211" s="279">
        <f t="shared" si="88"/>
        <v>10</v>
      </c>
      <c r="M211" s="279">
        <f t="shared" si="88"/>
        <v>10</v>
      </c>
      <c r="N211" s="279">
        <f t="shared" si="88"/>
        <v>10</v>
      </c>
      <c r="O211" s="279">
        <f t="shared" si="88"/>
        <v>10</v>
      </c>
      <c r="P211" s="279">
        <f t="shared" si="79"/>
        <v>127</v>
      </c>
      <c r="Q211" s="279"/>
    </row>
    <row r="212" spans="2:17" s="35" customFormat="1" x14ac:dyDescent="0.2">
      <c r="B212" s="586" t="s">
        <v>197</v>
      </c>
      <c r="C212" s="587"/>
      <c r="D212" s="279">
        <f t="shared" ref="D212:O212" si="89">SUM(D63:D63)</f>
        <v>9</v>
      </c>
      <c r="E212" s="279">
        <f t="shared" si="89"/>
        <v>9</v>
      </c>
      <c r="F212" s="279">
        <f t="shared" si="89"/>
        <v>9</v>
      </c>
      <c r="G212" s="279">
        <f t="shared" si="89"/>
        <v>9</v>
      </c>
      <c r="H212" s="279">
        <f t="shared" si="89"/>
        <v>9</v>
      </c>
      <c r="I212" s="279">
        <f t="shared" si="89"/>
        <v>9</v>
      </c>
      <c r="J212" s="279">
        <f t="shared" si="89"/>
        <v>9</v>
      </c>
      <c r="K212" s="279">
        <f t="shared" si="89"/>
        <v>9</v>
      </c>
      <c r="L212" s="279">
        <f t="shared" si="89"/>
        <v>9</v>
      </c>
      <c r="M212" s="279">
        <f t="shared" si="89"/>
        <v>9</v>
      </c>
      <c r="N212" s="279">
        <f t="shared" si="89"/>
        <v>9</v>
      </c>
      <c r="O212" s="279">
        <f t="shared" si="89"/>
        <v>9</v>
      </c>
      <c r="P212" s="279">
        <f t="shared" si="79"/>
        <v>108</v>
      </c>
      <c r="Q212" s="279"/>
    </row>
    <row r="213" spans="2:17" x14ac:dyDescent="0.2">
      <c r="B213" s="41" t="s">
        <v>404</v>
      </c>
      <c r="C213" s="569"/>
      <c r="D213" s="584">
        <f t="shared" ref="D213:P213" si="90">SUM(D199:D212)</f>
        <v>873038</v>
      </c>
      <c r="E213" s="584">
        <f t="shared" si="90"/>
        <v>873850</v>
      </c>
      <c r="F213" s="584">
        <f t="shared" si="90"/>
        <v>874344</v>
      </c>
      <c r="G213" s="584">
        <f t="shared" si="90"/>
        <v>874551</v>
      </c>
      <c r="H213" s="584">
        <f t="shared" si="90"/>
        <v>874656</v>
      </c>
      <c r="I213" s="584">
        <f t="shared" si="90"/>
        <v>874832</v>
      </c>
      <c r="J213" s="584">
        <f t="shared" si="90"/>
        <v>874539</v>
      </c>
      <c r="K213" s="584">
        <f t="shared" si="90"/>
        <v>874805</v>
      </c>
      <c r="L213" s="584">
        <f t="shared" si="90"/>
        <v>875084</v>
      </c>
      <c r="M213" s="584">
        <f t="shared" si="90"/>
        <v>875747</v>
      </c>
      <c r="N213" s="584">
        <f t="shared" si="90"/>
        <v>876826</v>
      </c>
      <c r="O213" s="584">
        <f t="shared" si="90"/>
        <v>877593</v>
      </c>
      <c r="P213" s="584">
        <f t="shared" si="90"/>
        <v>10499865</v>
      </c>
      <c r="Q213" s="279"/>
    </row>
    <row r="214" spans="2:17" x14ac:dyDescent="0.2">
      <c r="B214" s="591" t="s">
        <v>13</v>
      </c>
      <c r="C214" s="589"/>
      <c r="D214" s="590">
        <f t="shared" ref="D214:P214" si="91">D213-D64</f>
        <v>-1</v>
      </c>
      <c r="E214" s="590">
        <f t="shared" si="91"/>
        <v>-1</v>
      </c>
      <c r="F214" s="590">
        <f t="shared" si="91"/>
        <v>-1</v>
      </c>
      <c r="G214" s="590">
        <f t="shared" si="91"/>
        <v>-1</v>
      </c>
      <c r="H214" s="590">
        <f t="shared" si="91"/>
        <v>-1</v>
      </c>
      <c r="I214" s="590">
        <f t="shared" si="91"/>
        <v>-1</v>
      </c>
      <c r="J214" s="590">
        <f t="shared" si="91"/>
        <v>-1</v>
      </c>
      <c r="K214" s="590">
        <f t="shared" si="91"/>
        <v>-1</v>
      </c>
      <c r="L214" s="590">
        <f t="shared" si="91"/>
        <v>-1</v>
      </c>
      <c r="M214" s="590">
        <f t="shared" si="91"/>
        <v>-1</v>
      </c>
      <c r="N214" s="590">
        <f t="shared" si="91"/>
        <v>-1</v>
      </c>
      <c r="O214" s="590">
        <f t="shared" si="91"/>
        <v>-1</v>
      </c>
      <c r="P214" s="592">
        <f t="shared" si="91"/>
        <v>-12</v>
      </c>
      <c r="Q214" s="38"/>
    </row>
    <row r="215" spans="2:17" x14ac:dyDescent="0.2">
      <c r="C215" s="569"/>
      <c r="D215" s="279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</row>
    <row r="216" spans="2:17" x14ac:dyDescent="0.2">
      <c r="B216" s="60" t="s">
        <v>405</v>
      </c>
      <c r="C216" s="569"/>
      <c r="D216" s="279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</row>
    <row r="217" spans="2:17" x14ac:dyDescent="0.2">
      <c r="B217" s="586" t="s">
        <v>402</v>
      </c>
      <c r="C217" s="569"/>
      <c r="D217" s="279">
        <f>SUM(D180:D181)</f>
        <v>87752816.413259014</v>
      </c>
      <c r="E217" s="279">
        <f t="shared" ref="E217:O217" si="92">SUM(E180:E181)</f>
        <v>75695747.374223158</v>
      </c>
      <c r="F217" s="279">
        <f t="shared" si="92"/>
        <v>71601270.668137357</v>
      </c>
      <c r="G217" s="279">
        <f t="shared" si="92"/>
        <v>51171655.38015037</v>
      </c>
      <c r="H217" s="279">
        <f t="shared" si="92"/>
        <v>28267334.166615579</v>
      </c>
      <c r="I217" s="279">
        <f t="shared" si="92"/>
        <v>16787691.259375826</v>
      </c>
      <c r="J217" s="279">
        <f t="shared" si="92"/>
        <v>12476205.02442559</v>
      </c>
      <c r="K217" s="279">
        <f t="shared" si="92"/>
        <v>12218910.582241647</v>
      </c>
      <c r="L217" s="279">
        <f t="shared" si="92"/>
        <v>17224295.13998726</v>
      </c>
      <c r="M217" s="279">
        <f t="shared" si="92"/>
        <v>40543980.20667927</v>
      </c>
      <c r="N217" s="279">
        <f t="shared" si="92"/>
        <v>64995809.438189752</v>
      </c>
      <c r="O217" s="279">
        <f t="shared" si="92"/>
        <v>87803907.842110977</v>
      </c>
      <c r="P217" s="279">
        <f t="shared" ref="P217:P229" si="93">SUM(D217:O217)</f>
        <v>566539623.49539578</v>
      </c>
      <c r="Q217" s="279"/>
    </row>
    <row r="218" spans="2:17" x14ac:dyDescent="0.2">
      <c r="B218" s="531" t="s">
        <v>386</v>
      </c>
      <c r="C218" s="569"/>
      <c r="D218" s="279">
        <f>SUM(D182:D182,D185:D185)</f>
        <v>32787005.006831121</v>
      </c>
      <c r="E218" s="279">
        <f t="shared" ref="E218:O218" si="94">SUM(E182:E182,E185:E185)</f>
        <v>29516265.859555002</v>
      </c>
      <c r="F218" s="279">
        <f t="shared" si="94"/>
        <v>28501638.98092835</v>
      </c>
      <c r="G218" s="279">
        <f t="shared" si="94"/>
        <v>21540873.961294677</v>
      </c>
      <c r="H218" s="279">
        <f t="shared" si="94"/>
        <v>12268692.402554583</v>
      </c>
      <c r="I218" s="279">
        <f t="shared" si="94"/>
        <v>9978357.5856815334</v>
      </c>
      <c r="J218" s="279">
        <f t="shared" si="94"/>
        <v>8011624.7356907567</v>
      </c>
      <c r="K218" s="279">
        <f t="shared" si="94"/>
        <v>7904356.6882976498</v>
      </c>
      <c r="L218" s="279">
        <f t="shared" si="94"/>
        <v>9482059.8552993946</v>
      </c>
      <c r="M218" s="279">
        <f t="shared" si="94"/>
        <v>15847111.142793093</v>
      </c>
      <c r="N218" s="279">
        <f t="shared" si="94"/>
        <v>24977037.274315685</v>
      </c>
      <c r="O218" s="279">
        <f t="shared" si="94"/>
        <v>31680349.146660607</v>
      </c>
      <c r="P218" s="279">
        <f t="shared" si="93"/>
        <v>232495372.63990244</v>
      </c>
      <c r="Q218" s="279"/>
    </row>
    <row r="219" spans="2:17" x14ac:dyDescent="0.2">
      <c r="B219" s="586" t="s">
        <v>387</v>
      </c>
      <c r="C219" s="569"/>
      <c r="D219" s="279">
        <f>D183</f>
        <v>8255859.8535145996</v>
      </c>
      <c r="E219" s="279">
        <f t="shared" ref="E219:O220" si="95">E183</f>
        <v>7951697.9578932449</v>
      </c>
      <c r="F219" s="279">
        <f t="shared" si="95"/>
        <v>8238535.6085810615</v>
      </c>
      <c r="G219" s="279">
        <f t="shared" si="95"/>
        <v>5778287.9638875034</v>
      </c>
      <c r="H219" s="279">
        <f t="shared" si="95"/>
        <v>4546280.7040374633</v>
      </c>
      <c r="I219" s="279">
        <f t="shared" si="95"/>
        <v>3843074.1624731841</v>
      </c>
      <c r="J219" s="279">
        <f t="shared" si="95"/>
        <v>2905667.575164564</v>
      </c>
      <c r="K219" s="279">
        <f t="shared" si="95"/>
        <v>2795234.2008494399</v>
      </c>
      <c r="L219" s="279">
        <f t="shared" si="95"/>
        <v>3400258.5483004609</v>
      </c>
      <c r="M219" s="279">
        <f t="shared" si="95"/>
        <v>5069143.4239119366</v>
      </c>
      <c r="N219" s="279">
        <f t="shared" si="95"/>
        <v>7762077.715739035</v>
      </c>
      <c r="O219" s="279">
        <f t="shared" si="95"/>
        <v>7357509.8636475662</v>
      </c>
      <c r="P219" s="279">
        <f t="shared" si="93"/>
        <v>67903627.578000069</v>
      </c>
      <c r="Q219" s="279"/>
    </row>
    <row r="220" spans="2:17" x14ac:dyDescent="0.2">
      <c r="B220" s="585" t="s">
        <v>388</v>
      </c>
      <c r="C220" s="569"/>
      <c r="D220" s="279">
        <f>D184</f>
        <v>0</v>
      </c>
      <c r="E220" s="279">
        <f t="shared" si="95"/>
        <v>0</v>
      </c>
      <c r="F220" s="279">
        <f t="shared" si="95"/>
        <v>0</v>
      </c>
      <c r="G220" s="279">
        <f t="shared" si="95"/>
        <v>0</v>
      </c>
      <c r="H220" s="279">
        <f t="shared" si="95"/>
        <v>0</v>
      </c>
      <c r="I220" s="279">
        <f t="shared" si="95"/>
        <v>0</v>
      </c>
      <c r="J220" s="279">
        <f t="shared" si="95"/>
        <v>0</v>
      </c>
      <c r="K220" s="279">
        <f t="shared" si="95"/>
        <v>0</v>
      </c>
      <c r="L220" s="279">
        <f t="shared" si="95"/>
        <v>0</v>
      </c>
      <c r="M220" s="279">
        <f t="shared" si="95"/>
        <v>0</v>
      </c>
      <c r="N220" s="279">
        <f t="shared" si="95"/>
        <v>0</v>
      </c>
      <c r="O220" s="279">
        <f t="shared" si="95"/>
        <v>0</v>
      </c>
      <c r="P220" s="279">
        <f t="shared" si="93"/>
        <v>0</v>
      </c>
      <c r="Q220" s="279"/>
    </row>
    <row r="221" spans="2:17" x14ac:dyDescent="0.2">
      <c r="B221" s="586" t="s">
        <v>390</v>
      </c>
      <c r="C221" s="569"/>
      <c r="D221" s="279">
        <f t="shared" ref="D221:O229" si="96">D186</f>
        <v>2611139.3176225862</v>
      </c>
      <c r="E221" s="279">
        <f t="shared" si="96"/>
        <v>2050921.7160164667</v>
      </c>
      <c r="F221" s="279">
        <f t="shared" si="96"/>
        <v>2444691.3933493397</v>
      </c>
      <c r="G221" s="279">
        <f t="shared" si="96"/>
        <v>2588626.3621984739</v>
      </c>
      <c r="H221" s="279">
        <f t="shared" si="96"/>
        <v>1299367.7292833272</v>
      </c>
      <c r="I221" s="279">
        <f t="shared" si="96"/>
        <v>1483111.2595095132</v>
      </c>
      <c r="J221" s="279">
        <f t="shared" si="96"/>
        <v>811672.79147220484</v>
      </c>
      <c r="K221" s="279">
        <f t="shared" si="96"/>
        <v>1841188.837359969</v>
      </c>
      <c r="L221" s="279">
        <f t="shared" si="96"/>
        <v>1476275.515803132</v>
      </c>
      <c r="M221" s="279">
        <f t="shared" si="96"/>
        <v>1394895.9953661496</v>
      </c>
      <c r="N221" s="279">
        <f t="shared" si="96"/>
        <v>1947228.482806918</v>
      </c>
      <c r="O221" s="279">
        <f t="shared" si="96"/>
        <v>2565001.5782722249</v>
      </c>
      <c r="P221" s="279">
        <f t="shared" si="93"/>
        <v>22514120.979060303</v>
      </c>
      <c r="Q221" s="279"/>
    </row>
    <row r="222" spans="2:17" x14ac:dyDescent="0.2">
      <c r="B222" s="586" t="s">
        <v>391</v>
      </c>
      <c r="C222" s="569"/>
      <c r="D222" s="279">
        <f t="shared" si="96"/>
        <v>880110.25852526422</v>
      </c>
      <c r="E222" s="279">
        <f t="shared" si="96"/>
        <v>692787.97030061018</v>
      </c>
      <c r="F222" s="279">
        <f t="shared" si="96"/>
        <v>717394.62191394728</v>
      </c>
      <c r="G222" s="279">
        <f t="shared" si="96"/>
        <v>569563.15837696288</v>
      </c>
      <c r="H222" s="279">
        <f t="shared" si="96"/>
        <v>439816.21966002573</v>
      </c>
      <c r="I222" s="279">
        <f t="shared" si="96"/>
        <v>226595.15091178674</v>
      </c>
      <c r="J222" s="279">
        <f t="shared" si="96"/>
        <v>155545.50608722281</v>
      </c>
      <c r="K222" s="279">
        <f t="shared" si="96"/>
        <v>142671.90023060879</v>
      </c>
      <c r="L222" s="279">
        <f t="shared" si="96"/>
        <v>201433.25756713082</v>
      </c>
      <c r="M222" s="279">
        <f t="shared" si="96"/>
        <v>385071.14368790324</v>
      </c>
      <c r="N222" s="279">
        <f t="shared" si="96"/>
        <v>559764.37824599782</v>
      </c>
      <c r="O222" s="279">
        <f t="shared" si="96"/>
        <v>646449.07956408104</v>
      </c>
      <c r="P222" s="279">
        <f t="shared" si="93"/>
        <v>5617202.6450715419</v>
      </c>
      <c r="Q222" s="279"/>
    </row>
    <row r="223" spans="2:17" x14ac:dyDescent="0.2">
      <c r="B223" s="586" t="s">
        <v>392</v>
      </c>
      <c r="C223" s="569"/>
      <c r="D223" s="279">
        <f t="shared" si="96"/>
        <v>3562476.197426667</v>
      </c>
      <c r="E223" s="279">
        <f t="shared" si="96"/>
        <v>4177225.5040600011</v>
      </c>
      <c r="F223" s="279">
        <f t="shared" si="96"/>
        <v>-1061637.0763500002</v>
      </c>
      <c r="G223" s="279">
        <f t="shared" si="96"/>
        <v>4747175.736506667</v>
      </c>
      <c r="H223" s="279">
        <f t="shared" si="96"/>
        <v>-979875.83947000001</v>
      </c>
      <c r="I223" s="279">
        <f t="shared" si="96"/>
        <v>1626842.2785</v>
      </c>
      <c r="J223" s="279">
        <f t="shared" si="96"/>
        <v>907108.32249999989</v>
      </c>
      <c r="K223" s="279">
        <f t="shared" si="96"/>
        <v>1003583.997</v>
      </c>
      <c r="L223" s="279">
        <f t="shared" si="96"/>
        <v>780582.4155</v>
      </c>
      <c r="M223" s="279">
        <f t="shared" si="96"/>
        <v>1497856.5155999998</v>
      </c>
      <c r="N223" s="279">
        <f t="shared" si="96"/>
        <v>1629059.7405933337</v>
      </c>
      <c r="O223" s="279">
        <f t="shared" si="96"/>
        <v>2549087.9191600005</v>
      </c>
      <c r="P223" s="279">
        <f t="shared" si="93"/>
        <v>20439485.711026669</v>
      </c>
      <c r="Q223" s="279"/>
    </row>
    <row r="224" spans="2:17" x14ac:dyDescent="0.2">
      <c r="B224" s="42" t="s">
        <v>393</v>
      </c>
      <c r="C224" s="569"/>
      <c r="D224" s="279">
        <f t="shared" si="96"/>
        <v>527.80999999999995</v>
      </c>
      <c r="E224" s="279">
        <f t="shared" si="96"/>
        <v>60.5</v>
      </c>
      <c r="F224" s="279">
        <f t="shared" si="96"/>
        <v>0</v>
      </c>
      <c r="G224" s="279">
        <f t="shared" si="96"/>
        <v>0</v>
      </c>
      <c r="H224" s="279">
        <f t="shared" si="96"/>
        <v>0</v>
      </c>
      <c r="I224" s="279">
        <f t="shared" si="96"/>
        <v>0</v>
      </c>
      <c r="J224" s="279">
        <f t="shared" si="96"/>
        <v>0</v>
      </c>
      <c r="K224" s="279">
        <f t="shared" si="96"/>
        <v>0</v>
      </c>
      <c r="L224" s="279">
        <f t="shared" si="96"/>
        <v>0</v>
      </c>
      <c r="M224" s="279">
        <f t="shared" si="96"/>
        <v>0</v>
      </c>
      <c r="N224" s="279">
        <f t="shared" si="96"/>
        <v>0</v>
      </c>
      <c r="O224" s="279">
        <f t="shared" si="96"/>
        <v>0</v>
      </c>
      <c r="P224" s="279">
        <f t="shared" si="93"/>
        <v>588.30999999999995</v>
      </c>
      <c r="Q224" s="279"/>
    </row>
    <row r="225" spans="2:17" x14ac:dyDescent="0.2">
      <c r="B225" s="42" t="s">
        <v>394</v>
      </c>
      <c r="C225" s="569"/>
      <c r="D225" s="279">
        <f t="shared" si="96"/>
        <v>2140100.5541224331</v>
      </c>
      <c r="E225" s="279">
        <f t="shared" si="96"/>
        <v>1558727.5271812005</v>
      </c>
      <c r="F225" s="279">
        <f t="shared" si="96"/>
        <v>2125176.6864381246</v>
      </c>
      <c r="G225" s="279">
        <f t="shared" si="96"/>
        <v>3235775.6541818753</v>
      </c>
      <c r="H225" s="279">
        <f t="shared" si="96"/>
        <v>335953.78323249973</v>
      </c>
      <c r="I225" s="279">
        <f t="shared" si="96"/>
        <v>1597824.5200000003</v>
      </c>
      <c r="J225" s="279">
        <f t="shared" si="96"/>
        <v>1479486.8199999998</v>
      </c>
      <c r="K225" s="279">
        <f t="shared" si="96"/>
        <v>1250226.92</v>
      </c>
      <c r="L225" s="279">
        <f t="shared" si="96"/>
        <v>1775736.36</v>
      </c>
      <c r="M225" s="279">
        <f t="shared" si="96"/>
        <v>1718918.3319099997</v>
      </c>
      <c r="N225" s="279">
        <f t="shared" si="96"/>
        <v>1668025.5264000001</v>
      </c>
      <c r="O225" s="279">
        <f t="shared" si="96"/>
        <v>1980936.2189031253</v>
      </c>
      <c r="P225" s="279">
        <f t="shared" si="93"/>
        <v>20866888.902369257</v>
      </c>
      <c r="Q225" s="279"/>
    </row>
    <row r="226" spans="2:17" x14ac:dyDescent="0.2">
      <c r="B226" s="42" t="s">
        <v>395</v>
      </c>
      <c r="C226" s="569"/>
      <c r="D226" s="279">
        <f t="shared" si="96"/>
        <v>4768934.4065223336</v>
      </c>
      <c r="E226" s="279">
        <f t="shared" si="96"/>
        <v>3601349.5235973331</v>
      </c>
      <c r="F226" s="279">
        <f t="shared" si="96"/>
        <v>6535431.4298524996</v>
      </c>
      <c r="G226" s="279">
        <f t="shared" si="96"/>
        <v>8436606.6631415002</v>
      </c>
      <c r="H226" s="279">
        <f t="shared" si="96"/>
        <v>3165896.2509959997</v>
      </c>
      <c r="I226" s="279">
        <f t="shared" si="96"/>
        <v>2345625.5900000008</v>
      </c>
      <c r="J226" s="279">
        <f t="shared" si="96"/>
        <v>4384118.4399999995</v>
      </c>
      <c r="K226" s="279">
        <f t="shared" si="96"/>
        <v>4424010.79</v>
      </c>
      <c r="L226" s="279">
        <f t="shared" si="96"/>
        <v>5033402</v>
      </c>
      <c r="M226" s="279">
        <f t="shared" si="96"/>
        <v>5145474.3660166655</v>
      </c>
      <c r="N226" s="279">
        <f t="shared" si="96"/>
        <v>4923633.8742506662</v>
      </c>
      <c r="O226" s="279">
        <f t="shared" si="96"/>
        <v>5180565.6260923333</v>
      </c>
      <c r="P226" s="279">
        <f t="shared" si="93"/>
        <v>57945048.960469335</v>
      </c>
      <c r="Q226" s="279"/>
    </row>
    <row r="227" spans="2:17" x14ac:dyDescent="0.2">
      <c r="B227" s="41" t="s">
        <v>399</v>
      </c>
      <c r="C227" s="569"/>
      <c r="D227" s="279">
        <f t="shared" si="96"/>
        <v>361653.32</v>
      </c>
      <c r="E227" s="279">
        <f t="shared" si="96"/>
        <v>204540.56</v>
      </c>
      <c r="F227" s="279">
        <f t="shared" si="96"/>
        <v>115073.89</v>
      </c>
      <c r="G227" s="279">
        <f t="shared" si="96"/>
        <v>274351.99</v>
      </c>
      <c r="H227" s="279">
        <f t="shared" si="96"/>
        <v>10712.070000000011</v>
      </c>
      <c r="I227" s="279">
        <f t="shared" si="96"/>
        <v>168813.03999999998</v>
      </c>
      <c r="J227" s="279">
        <f t="shared" si="96"/>
        <v>159235</v>
      </c>
      <c r="K227" s="279">
        <f t="shared" si="96"/>
        <v>198103.7</v>
      </c>
      <c r="L227" s="279">
        <f t="shared" si="96"/>
        <v>113608.76</v>
      </c>
      <c r="M227" s="279">
        <f t="shared" si="96"/>
        <v>95125.420000000013</v>
      </c>
      <c r="N227" s="279">
        <f t="shared" si="96"/>
        <v>63320.320000000007</v>
      </c>
      <c r="O227" s="279">
        <f t="shared" si="96"/>
        <v>44367.169999999991</v>
      </c>
      <c r="P227" s="279">
        <f t="shared" si="93"/>
        <v>1808905.24</v>
      </c>
      <c r="Q227" s="279"/>
    </row>
    <row r="228" spans="2:17" x14ac:dyDescent="0.2">
      <c r="B228" s="42" t="s">
        <v>397</v>
      </c>
      <c r="C228" s="569"/>
      <c r="D228" s="279">
        <f t="shared" si="96"/>
        <v>9494626.7997700013</v>
      </c>
      <c r="E228" s="279">
        <f t="shared" si="96"/>
        <v>5915210.0033599995</v>
      </c>
      <c r="F228" s="279">
        <f t="shared" si="96"/>
        <v>6007206.2329499982</v>
      </c>
      <c r="G228" s="279">
        <f t="shared" si="96"/>
        <v>11889981.9552125</v>
      </c>
      <c r="H228" s="279">
        <f t="shared" si="96"/>
        <v>9170372.329189999</v>
      </c>
      <c r="I228" s="279">
        <f t="shared" si="96"/>
        <v>890540.01837499859</v>
      </c>
      <c r="J228" s="279">
        <f t="shared" si="96"/>
        <v>11398642.710000001</v>
      </c>
      <c r="K228" s="279">
        <f t="shared" si="96"/>
        <v>6893360.7199999997</v>
      </c>
      <c r="L228" s="279">
        <f t="shared" si="96"/>
        <v>5470598.8199999994</v>
      </c>
      <c r="M228" s="279">
        <f t="shared" si="96"/>
        <v>8108010.752580001</v>
      </c>
      <c r="N228" s="279">
        <f t="shared" si="96"/>
        <v>6418330.6955199987</v>
      </c>
      <c r="O228" s="279">
        <f t="shared" si="96"/>
        <v>7414643.1908425009</v>
      </c>
      <c r="P228" s="279">
        <f t="shared" si="93"/>
        <v>89071524.227799997</v>
      </c>
      <c r="Q228" s="279"/>
    </row>
    <row r="229" spans="2:17" s="35" customFormat="1" x14ac:dyDescent="0.2">
      <c r="B229" s="586" t="s">
        <v>197</v>
      </c>
      <c r="C229" s="587"/>
      <c r="D229" s="279">
        <f t="shared" si="96"/>
        <v>3692758.79482</v>
      </c>
      <c r="E229" s="279">
        <f t="shared" si="96"/>
        <v>1112060.65292</v>
      </c>
      <c r="F229" s="279">
        <f t="shared" si="96"/>
        <v>5798700.9299500007</v>
      </c>
      <c r="G229" s="279">
        <f t="shared" si="96"/>
        <v>-181635.61081253138</v>
      </c>
      <c r="H229" s="279">
        <f t="shared" si="96"/>
        <v>5178931.1576175354</v>
      </c>
      <c r="I229" s="279">
        <f t="shared" si="96"/>
        <v>1839517.6399999997</v>
      </c>
      <c r="J229" s="279">
        <f t="shared" si="96"/>
        <v>1681835.35</v>
      </c>
      <c r="K229" s="279">
        <f t="shared" si="96"/>
        <v>1653340.1099999999</v>
      </c>
      <c r="L229" s="279">
        <f t="shared" si="96"/>
        <v>1784397.1</v>
      </c>
      <c r="M229" s="279">
        <f t="shared" si="96"/>
        <v>2451147.8409999991</v>
      </c>
      <c r="N229" s="279">
        <f t="shared" si="96"/>
        <v>3506197.4932800005</v>
      </c>
      <c r="O229" s="279">
        <f t="shared" si="96"/>
        <v>-7079771.5392024983</v>
      </c>
      <c r="P229" s="279">
        <f t="shared" si="93"/>
        <v>21437479.91957251</v>
      </c>
      <c r="Q229" s="279"/>
    </row>
    <row r="230" spans="2:17" x14ac:dyDescent="0.2">
      <c r="B230" s="585" t="s">
        <v>400</v>
      </c>
      <c r="C230" s="569"/>
      <c r="D230" s="584">
        <f t="shared" ref="D230:P230" si="97">SUM(D217:D229)</f>
        <v>156308008.73241401</v>
      </c>
      <c r="E230" s="584">
        <f t="shared" ref="E230:O230" si="98">SUM(E217:E229)</f>
        <v>132476595.14910701</v>
      </c>
      <c r="F230" s="584">
        <f t="shared" si="98"/>
        <v>131023483.36575069</v>
      </c>
      <c r="G230" s="584">
        <f t="shared" si="98"/>
        <v>110051263.21413799</v>
      </c>
      <c r="H230" s="584">
        <f t="shared" si="98"/>
        <v>63703480.973717019</v>
      </c>
      <c r="I230" s="584">
        <f t="shared" si="98"/>
        <v>40787992.504826851</v>
      </c>
      <c r="J230" s="584">
        <f t="shared" si="98"/>
        <v>44371142.275340341</v>
      </c>
      <c r="K230" s="584">
        <f t="shared" si="98"/>
        <v>40324988.44597932</v>
      </c>
      <c r="L230" s="584">
        <f t="shared" si="98"/>
        <v>46742647.772457376</v>
      </c>
      <c r="M230" s="584">
        <f t="shared" si="98"/>
        <v>82256735.139545023</v>
      </c>
      <c r="N230" s="584">
        <f t="shared" si="98"/>
        <v>118450484.93934137</v>
      </c>
      <c r="O230" s="584">
        <f t="shared" si="98"/>
        <v>140143046.09605092</v>
      </c>
      <c r="P230" s="584">
        <f t="shared" si="97"/>
        <v>1106639868.6086679</v>
      </c>
      <c r="Q230" s="279"/>
    </row>
    <row r="231" spans="2:17" x14ac:dyDescent="0.2">
      <c r="B231" s="585" t="s">
        <v>13</v>
      </c>
      <c r="C231" s="569"/>
      <c r="D231" s="279">
        <f t="shared" ref="D231:P231" si="99">D230-D195</f>
        <v>0</v>
      </c>
      <c r="E231" s="279">
        <f t="shared" si="99"/>
        <v>0</v>
      </c>
      <c r="F231" s="279">
        <f t="shared" si="99"/>
        <v>0</v>
      </c>
      <c r="G231" s="279">
        <f t="shared" si="99"/>
        <v>0</v>
      </c>
      <c r="H231" s="279">
        <f t="shared" si="99"/>
        <v>0</v>
      </c>
      <c r="I231" s="279">
        <f t="shared" si="99"/>
        <v>0</v>
      </c>
      <c r="J231" s="279">
        <f t="shared" si="99"/>
        <v>0</v>
      </c>
      <c r="K231" s="279">
        <f t="shared" si="99"/>
        <v>0</v>
      </c>
      <c r="L231" s="279">
        <f t="shared" si="99"/>
        <v>0</v>
      </c>
      <c r="M231" s="279">
        <f t="shared" si="99"/>
        <v>0</v>
      </c>
      <c r="N231" s="279">
        <f t="shared" si="99"/>
        <v>0</v>
      </c>
      <c r="O231" s="279">
        <f t="shared" si="99"/>
        <v>0</v>
      </c>
      <c r="P231" s="279">
        <f t="shared" si="99"/>
        <v>0</v>
      </c>
      <c r="Q231" s="279"/>
    </row>
    <row r="232" spans="2:17" x14ac:dyDescent="0.2">
      <c r="B232" s="585"/>
      <c r="C232" s="569"/>
      <c r="D232" s="279"/>
      <c r="E232" s="279"/>
      <c r="F232" s="279"/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79"/>
    </row>
    <row r="233" spans="2:17" x14ac:dyDescent="0.2">
      <c r="B233" s="585" t="s">
        <v>406</v>
      </c>
      <c r="C233" s="569"/>
      <c r="D233" s="279">
        <f>SUM(D217:D223)</f>
        <v>135849407.04717925</v>
      </c>
      <c r="E233" s="279">
        <f t="shared" ref="E233:O233" si="100">SUM(E217:E223)</f>
        <v>120084646.38204849</v>
      </c>
      <c r="F233" s="279">
        <f t="shared" si="100"/>
        <v>110441894.19656006</v>
      </c>
      <c r="G233" s="279">
        <f t="shared" si="100"/>
        <v>86396182.562414646</v>
      </c>
      <c r="H233" s="279">
        <f t="shared" si="100"/>
        <v>45841615.382680982</v>
      </c>
      <c r="I233" s="279">
        <f t="shared" si="100"/>
        <v>33945671.696451843</v>
      </c>
      <c r="J233" s="279">
        <f t="shared" si="100"/>
        <v>25267823.955340337</v>
      </c>
      <c r="K233" s="279">
        <f t="shared" si="100"/>
        <v>25905946.205979317</v>
      </c>
      <c r="L233" s="279">
        <f t="shared" si="100"/>
        <v>32564904.732457377</v>
      </c>
      <c r="M233" s="279">
        <f t="shared" si="100"/>
        <v>64738058.428038351</v>
      </c>
      <c r="N233" s="279">
        <f t="shared" si="100"/>
        <v>101870977.02989072</v>
      </c>
      <c r="O233" s="279">
        <f t="shared" si="100"/>
        <v>132602305.42941545</v>
      </c>
      <c r="P233" s="279">
        <f>SUM(D233:O233)</f>
        <v>915509433.04845691</v>
      </c>
      <c r="Q233" s="279"/>
    </row>
    <row r="234" spans="2:17" x14ac:dyDescent="0.2">
      <c r="B234" s="585" t="s">
        <v>407</v>
      </c>
      <c r="C234" s="569"/>
      <c r="D234" s="279">
        <f>SUM(D224:D229)</f>
        <v>20458601.68523477</v>
      </c>
      <c r="E234" s="279">
        <f t="shared" ref="E234:O234" si="101">SUM(E224:E229)</f>
        <v>12391948.767058533</v>
      </c>
      <c r="F234" s="279">
        <f t="shared" si="101"/>
        <v>20581589.169190623</v>
      </c>
      <c r="G234" s="279">
        <f t="shared" si="101"/>
        <v>23655080.651723348</v>
      </c>
      <c r="H234" s="279">
        <f t="shared" si="101"/>
        <v>17861865.591036033</v>
      </c>
      <c r="I234" s="279">
        <f t="shared" si="101"/>
        <v>6842320.808375</v>
      </c>
      <c r="J234" s="279">
        <f t="shared" si="101"/>
        <v>19103318.32</v>
      </c>
      <c r="K234" s="279">
        <f t="shared" si="101"/>
        <v>14419042.239999998</v>
      </c>
      <c r="L234" s="279">
        <f t="shared" si="101"/>
        <v>14177743.039999999</v>
      </c>
      <c r="M234" s="279">
        <f t="shared" si="101"/>
        <v>17518676.711506665</v>
      </c>
      <c r="N234" s="279">
        <f t="shared" si="101"/>
        <v>16579507.909450665</v>
      </c>
      <c r="O234" s="279">
        <f t="shared" si="101"/>
        <v>7540740.6666354612</v>
      </c>
      <c r="P234" s="279">
        <f>SUM(D234:O234)</f>
        <v>191130435.56021112</v>
      </c>
      <c r="Q234" s="279"/>
    </row>
    <row r="235" spans="2:17" x14ac:dyDescent="0.2">
      <c r="B235" s="585" t="s">
        <v>0</v>
      </c>
      <c r="C235" s="569"/>
      <c r="D235" s="584">
        <f t="shared" ref="D235:P235" si="102">SUM(D233:D234)</f>
        <v>156308008.73241401</v>
      </c>
      <c r="E235" s="584">
        <f t="shared" si="102"/>
        <v>132476595.14910702</v>
      </c>
      <c r="F235" s="584">
        <f t="shared" si="102"/>
        <v>131023483.36575067</v>
      </c>
      <c r="G235" s="584">
        <f t="shared" si="102"/>
        <v>110051263.214138</v>
      </c>
      <c r="H235" s="584">
        <f t="shared" si="102"/>
        <v>63703480.973717019</v>
      </c>
      <c r="I235" s="584">
        <f t="shared" si="102"/>
        <v>40787992.504826844</v>
      </c>
      <c r="J235" s="584">
        <f t="shared" si="102"/>
        <v>44371142.275340334</v>
      </c>
      <c r="K235" s="584">
        <f t="shared" si="102"/>
        <v>40324988.445979312</v>
      </c>
      <c r="L235" s="584">
        <f t="shared" si="102"/>
        <v>46742647.772457376</v>
      </c>
      <c r="M235" s="584">
        <f t="shared" si="102"/>
        <v>82256735.139545023</v>
      </c>
      <c r="N235" s="584">
        <f t="shared" si="102"/>
        <v>118450484.93934138</v>
      </c>
      <c r="O235" s="584">
        <f t="shared" si="102"/>
        <v>140143046.09605092</v>
      </c>
      <c r="P235" s="584">
        <f t="shared" si="102"/>
        <v>1106639868.6086681</v>
      </c>
      <c r="Q235" s="279"/>
    </row>
    <row r="236" spans="2:17" x14ac:dyDescent="0.2">
      <c r="B236" s="588" t="s">
        <v>13</v>
      </c>
      <c r="C236" s="589"/>
      <c r="D236" s="590">
        <f t="shared" ref="D236:P236" si="103">D235-D230</f>
        <v>0</v>
      </c>
      <c r="E236" s="590">
        <f t="shared" si="103"/>
        <v>0</v>
      </c>
      <c r="F236" s="590">
        <f t="shared" si="103"/>
        <v>0</v>
      </c>
      <c r="G236" s="590">
        <f t="shared" si="103"/>
        <v>0</v>
      </c>
      <c r="H236" s="590">
        <f t="shared" si="103"/>
        <v>0</v>
      </c>
      <c r="I236" s="590">
        <f t="shared" si="103"/>
        <v>0</v>
      </c>
      <c r="J236" s="590">
        <f t="shared" si="103"/>
        <v>0</v>
      </c>
      <c r="K236" s="590">
        <f t="shared" si="103"/>
        <v>0</v>
      </c>
      <c r="L236" s="590">
        <f t="shared" si="103"/>
        <v>0</v>
      </c>
      <c r="M236" s="590">
        <f t="shared" si="103"/>
        <v>0</v>
      </c>
      <c r="N236" s="590">
        <f t="shared" si="103"/>
        <v>0</v>
      </c>
      <c r="O236" s="590">
        <f t="shared" si="103"/>
        <v>0</v>
      </c>
      <c r="P236" s="590">
        <f t="shared" si="103"/>
        <v>0</v>
      </c>
      <c r="Q236" s="279"/>
    </row>
    <row r="237" spans="2:17" s="41" customFormat="1" x14ac:dyDescent="0.2">
      <c r="B237" s="585"/>
      <c r="C237" s="569"/>
      <c r="D237" s="279"/>
      <c r="E237" s="279"/>
      <c r="F237" s="279"/>
      <c r="G237" s="279"/>
      <c r="H237" s="279"/>
      <c r="I237" s="279"/>
      <c r="J237" s="279"/>
      <c r="K237" s="279"/>
      <c r="L237" s="279"/>
      <c r="M237" s="279"/>
      <c r="N237" s="279"/>
      <c r="O237" s="279"/>
      <c r="P237" s="279"/>
      <c r="Q237" s="279"/>
    </row>
    <row r="238" spans="2:17" s="41" customFormat="1" x14ac:dyDescent="0.2">
      <c r="B238" s="275" t="s">
        <v>408</v>
      </c>
      <c r="C238" s="569"/>
      <c r="D238" s="279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  <c r="P238" s="279"/>
      <c r="Q238" s="279"/>
    </row>
    <row r="239" spans="2:17" s="41" customFormat="1" x14ac:dyDescent="0.2">
      <c r="B239" s="41" t="s">
        <v>409</v>
      </c>
      <c r="C239" s="566">
        <v>23</v>
      </c>
      <c r="D239" s="38">
        <f>IFERROR(ROUND(SUMIF($C$114:$C$139,$C239,D$114:D$139),0)/ROUND(SUMIF($C$36:$C$63,$C239,D$36:D$63),0),0)</f>
        <v>107.87324887273871</v>
      </c>
      <c r="E239" s="38">
        <f t="shared" ref="E239:O239" si="104">IFERROR(ROUND(SUMIF($C$114:$C$139,$C239,E$114:E$139),0)/ROUND(SUMIF($C$36:$C$63,$C239,E$36:E$63),0),0)</f>
        <v>92.964026665291158</v>
      </c>
      <c r="F239" s="38">
        <f t="shared" si="104"/>
        <v>87.88666542284588</v>
      </c>
      <c r="G239" s="38">
        <f t="shared" si="104"/>
        <v>62.793125917272455</v>
      </c>
      <c r="H239" s="38">
        <f t="shared" si="104"/>
        <v>34.680894762800989</v>
      </c>
      <c r="I239" s="38">
        <f t="shared" si="104"/>
        <v>20.590010376472147</v>
      </c>
      <c r="J239" s="38">
        <f t="shared" si="104"/>
        <v>15.306297143305835</v>
      </c>
      <c r="K239" s="38">
        <f t="shared" si="104"/>
        <v>14.985036277919772</v>
      </c>
      <c r="L239" s="38">
        <f t="shared" si="104"/>
        <v>21.116158495469982</v>
      </c>
      <c r="M239" s="38">
        <f t="shared" si="104"/>
        <v>49.665394306966171</v>
      </c>
      <c r="N239" s="38">
        <f t="shared" si="104"/>
        <v>79.525562011875877</v>
      </c>
      <c r="O239" s="38">
        <f t="shared" si="104"/>
        <v>107.34196110169087</v>
      </c>
      <c r="P239" s="38">
        <f>SUM(D239:O239)</f>
        <v>694.72838135464985</v>
      </c>
      <c r="Q239" s="38"/>
    </row>
    <row r="240" spans="2:17" s="41" customFormat="1" x14ac:dyDescent="0.2">
      <c r="B240" s="41" t="s">
        <v>410</v>
      </c>
      <c r="C240" s="566">
        <v>31</v>
      </c>
      <c r="D240" s="38">
        <f t="shared" ref="D240:O252" si="105">IFERROR(ROUND(SUMIF($C$114:$C$139,$C240,D$114:D$139),0)/ROUND(SUMIF($C$36:$C$63,$C240,D$36:D$63),0),0)</f>
        <v>565.5954906933016</v>
      </c>
      <c r="E240" s="38">
        <f t="shared" si="105"/>
        <v>508.80464049921568</v>
      </c>
      <c r="F240" s="38">
        <f t="shared" si="105"/>
        <v>491.01814078489474</v>
      </c>
      <c r="G240" s="38">
        <f t="shared" si="105"/>
        <v>371.13842177808408</v>
      </c>
      <c r="H240" s="38">
        <f t="shared" si="105"/>
        <v>211.53281953137122</v>
      </c>
      <c r="I240" s="38">
        <f t="shared" si="105"/>
        <v>172.27828038674033</v>
      </c>
      <c r="J240" s="38">
        <f t="shared" si="105"/>
        <v>138.4609069855864</v>
      </c>
      <c r="K240" s="38">
        <f t="shared" si="105"/>
        <v>136.73938691485313</v>
      </c>
      <c r="L240" s="38">
        <f t="shared" si="105"/>
        <v>164.08922576402588</v>
      </c>
      <c r="M240" s="38">
        <f t="shared" si="105"/>
        <v>274.22365848171796</v>
      </c>
      <c r="N240" s="38">
        <f t="shared" si="105"/>
        <v>431.53139253628194</v>
      </c>
      <c r="O240" s="38">
        <f t="shared" si="105"/>
        <v>546.63702872918645</v>
      </c>
      <c r="P240" s="38">
        <f t="shared" ref="P240:P253" si="106">SUM(D240:O240)</f>
        <v>4012.0493930852595</v>
      </c>
      <c r="Q240" s="38"/>
    </row>
    <row r="241" spans="2:17" s="41" customFormat="1" x14ac:dyDescent="0.2">
      <c r="B241" s="41" t="s">
        <v>411</v>
      </c>
      <c r="C241" s="566">
        <v>41</v>
      </c>
      <c r="D241" s="38">
        <f t="shared" si="105"/>
        <v>6647.2302737520131</v>
      </c>
      <c r="E241" s="38">
        <f t="shared" si="105"/>
        <v>6376.6623897353647</v>
      </c>
      <c r="F241" s="38">
        <f t="shared" si="105"/>
        <v>6564.5705179282868</v>
      </c>
      <c r="G241" s="38">
        <f t="shared" si="105"/>
        <v>4626.3314651721375</v>
      </c>
      <c r="H241" s="38">
        <f t="shared" si="105"/>
        <v>3616.7708830548927</v>
      </c>
      <c r="I241" s="38">
        <f t="shared" si="105"/>
        <v>3047.6399682791434</v>
      </c>
      <c r="J241" s="38">
        <f t="shared" si="105"/>
        <v>2300.608076009501</v>
      </c>
      <c r="K241" s="38">
        <f t="shared" si="105"/>
        <v>2178.6703039750582</v>
      </c>
      <c r="L241" s="38">
        <f t="shared" si="105"/>
        <v>2646.1159533073928</v>
      </c>
      <c r="M241" s="38">
        <f t="shared" si="105"/>
        <v>3938.7280497280499</v>
      </c>
      <c r="N241" s="38">
        <f t="shared" si="105"/>
        <v>5875.9106737320208</v>
      </c>
      <c r="O241" s="38">
        <f t="shared" si="105"/>
        <v>5573.871212121212</v>
      </c>
      <c r="P241" s="38">
        <f t="shared" si="106"/>
        <v>53393.109766795082</v>
      </c>
      <c r="Q241" s="38"/>
    </row>
    <row r="242" spans="2:17" s="41" customFormat="1" x14ac:dyDescent="0.2">
      <c r="B242" s="41" t="s">
        <v>333</v>
      </c>
      <c r="C242" s="566">
        <v>53</v>
      </c>
      <c r="D242" s="38">
        <f t="shared" si="105"/>
        <v>0</v>
      </c>
      <c r="E242" s="38">
        <f t="shared" si="105"/>
        <v>0</v>
      </c>
      <c r="F242" s="38">
        <f t="shared" si="105"/>
        <v>0</v>
      </c>
      <c r="G242" s="38">
        <f t="shared" si="105"/>
        <v>0</v>
      </c>
      <c r="H242" s="38">
        <f t="shared" si="105"/>
        <v>0</v>
      </c>
      <c r="I242" s="38">
        <f t="shared" si="105"/>
        <v>0</v>
      </c>
      <c r="J242" s="38">
        <f t="shared" si="105"/>
        <v>0</v>
      </c>
      <c r="K242" s="38">
        <f t="shared" si="105"/>
        <v>0</v>
      </c>
      <c r="L242" s="38">
        <f t="shared" si="105"/>
        <v>0</v>
      </c>
      <c r="M242" s="38">
        <f t="shared" si="105"/>
        <v>0</v>
      </c>
      <c r="N242" s="38">
        <f t="shared" si="105"/>
        <v>0</v>
      </c>
      <c r="O242" s="38">
        <f t="shared" si="105"/>
        <v>0</v>
      </c>
      <c r="P242" s="38">
        <f t="shared" si="106"/>
        <v>0</v>
      </c>
      <c r="Q242" s="38"/>
    </row>
    <row r="243" spans="2:17" s="41" customFormat="1" x14ac:dyDescent="0.2">
      <c r="B243" s="41" t="s">
        <v>336</v>
      </c>
      <c r="C243" s="566">
        <v>50</v>
      </c>
      <c r="D243" s="38">
        <f t="shared" si="105"/>
        <v>0</v>
      </c>
      <c r="E243" s="38">
        <f t="shared" si="105"/>
        <v>0</v>
      </c>
      <c r="F243" s="38">
        <f t="shared" si="105"/>
        <v>0</v>
      </c>
      <c r="G243" s="38">
        <f t="shared" si="105"/>
        <v>0</v>
      </c>
      <c r="H243" s="38">
        <f t="shared" si="105"/>
        <v>0</v>
      </c>
      <c r="I243" s="38">
        <f t="shared" si="105"/>
        <v>0</v>
      </c>
      <c r="J243" s="38">
        <f t="shared" si="105"/>
        <v>0</v>
      </c>
      <c r="K243" s="38">
        <f t="shared" si="105"/>
        <v>0</v>
      </c>
      <c r="L243" s="38">
        <f t="shared" si="105"/>
        <v>0</v>
      </c>
      <c r="M243" s="38">
        <f t="shared" si="105"/>
        <v>0</v>
      </c>
      <c r="N243" s="38">
        <f t="shared" si="105"/>
        <v>0</v>
      </c>
      <c r="O243" s="38">
        <f t="shared" si="105"/>
        <v>0</v>
      </c>
      <c r="P243" s="38">
        <f t="shared" si="106"/>
        <v>0</v>
      </c>
      <c r="Q243" s="38"/>
    </row>
    <row r="244" spans="2:17" s="41" customFormat="1" x14ac:dyDescent="0.2">
      <c r="B244" s="42" t="s">
        <v>393</v>
      </c>
      <c r="C244" s="566" t="s">
        <v>190</v>
      </c>
      <c r="D244" s="38">
        <f t="shared" si="105"/>
        <v>528</v>
      </c>
      <c r="E244" s="38">
        <f t="shared" si="105"/>
        <v>61</v>
      </c>
      <c r="F244" s="38">
        <f t="shared" si="105"/>
        <v>0</v>
      </c>
      <c r="G244" s="38">
        <f t="shared" si="105"/>
        <v>0</v>
      </c>
      <c r="H244" s="38">
        <f t="shared" si="105"/>
        <v>0</v>
      </c>
      <c r="I244" s="38">
        <f t="shared" si="105"/>
        <v>0</v>
      </c>
      <c r="J244" s="38">
        <f t="shared" si="105"/>
        <v>0</v>
      </c>
      <c r="K244" s="38">
        <f t="shared" si="105"/>
        <v>0</v>
      </c>
      <c r="L244" s="38">
        <f t="shared" si="105"/>
        <v>0</v>
      </c>
      <c r="M244" s="38">
        <f t="shared" si="105"/>
        <v>0</v>
      </c>
      <c r="N244" s="38">
        <f t="shared" si="105"/>
        <v>0</v>
      </c>
      <c r="O244" s="38">
        <f t="shared" si="105"/>
        <v>0</v>
      </c>
      <c r="P244" s="38">
        <f t="shared" si="106"/>
        <v>589</v>
      </c>
      <c r="Q244" s="38"/>
    </row>
    <row r="245" spans="2:17" s="41" customFormat="1" x14ac:dyDescent="0.2">
      <c r="B245" s="41" t="s">
        <v>394</v>
      </c>
      <c r="C245" s="566" t="s">
        <v>192</v>
      </c>
      <c r="D245" s="38">
        <f t="shared" si="105"/>
        <v>22767.031914893618</v>
      </c>
      <c r="E245" s="38">
        <f t="shared" si="105"/>
        <v>16582.212765957447</v>
      </c>
      <c r="F245" s="38">
        <f t="shared" si="105"/>
        <v>22608.265957446809</v>
      </c>
      <c r="G245" s="38">
        <f t="shared" si="105"/>
        <v>35171.478260869568</v>
      </c>
      <c r="H245" s="38">
        <f t="shared" si="105"/>
        <v>3651.6739130434785</v>
      </c>
      <c r="I245" s="38">
        <f t="shared" si="105"/>
        <v>17367.66304347826</v>
      </c>
      <c r="J245" s="38">
        <f t="shared" si="105"/>
        <v>16081.380434782608</v>
      </c>
      <c r="K245" s="38">
        <f t="shared" si="105"/>
        <v>13589.423913043478</v>
      </c>
      <c r="L245" s="38">
        <f t="shared" si="105"/>
        <v>19301.478260869564</v>
      </c>
      <c r="M245" s="38">
        <f t="shared" si="105"/>
        <v>18683.891304347828</v>
      </c>
      <c r="N245" s="38">
        <f t="shared" si="105"/>
        <v>18130.717391304348</v>
      </c>
      <c r="O245" s="38">
        <f t="shared" si="105"/>
        <v>21531.91304347826</v>
      </c>
      <c r="P245" s="38">
        <f t="shared" si="106"/>
        <v>225467.13020351529</v>
      </c>
      <c r="Q245" s="38"/>
    </row>
    <row r="246" spans="2:17" s="41" customFormat="1" x14ac:dyDescent="0.2">
      <c r="B246" s="41" t="s">
        <v>395</v>
      </c>
      <c r="C246" s="566" t="s">
        <v>3</v>
      </c>
      <c r="D246" s="38">
        <f t="shared" si="105"/>
        <v>58157.731707317071</v>
      </c>
      <c r="E246" s="38">
        <f t="shared" si="105"/>
        <v>43918.902439024387</v>
      </c>
      <c r="F246" s="38">
        <f t="shared" si="105"/>
        <v>80684.333333333328</v>
      </c>
      <c r="G246" s="38">
        <f t="shared" si="105"/>
        <v>104155.64197530864</v>
      </c>
      <c r="H246" s="38">
        <f t="shared" si="105"/>
        <v>39085.135802469136</v>
      </c>
      <c r="I246" s="38">
        <f t="shared" si="105"/>
        <v>28958.345679012345</v>
      </c>
      <c r="J246" s="38">
        <f t="shared" si="105"/>
        <v>54124.91358024691</v>
      </c>
      <c r="K246" s="38">
        <f t="shared" si="105"/>
        <v>54617.419753086418</v>
      </c>
      <c r="L246" s="38">
        <f t="shared" si="105"/>
        <v>62917.525000000001</v>
      </c>
      <c r="M246" s="38">
        <f t="shared" si="105"/>
        <v>63524.370370370372</v>
      </c>
      <c r="N246" s="38">
        <f t="shared" si="105"/>
        <v>60785.604938271608</v>
      </c>
      <c r="O246" s="38">
        <f t="shared" si="105"/>
        <v>63957.604938271608</v>
      </c>
      <c r="P246" s="38">
        <f t="shared" si="106"/>
        <v>714887.52951671171</v>
      </c>
      <c r="Q246" s="38"/>
    </row>
    <row r="247" spans="2:17" s="41" customFormat="1" x14ac:dyDescent="0.2">
      <c r="B247" s="41" t="s">
        <v>399</v>
      </c>
      <c r="C247" s="566" t="s">
        <v>195</v>
      </c>
      <c r="D247" s="38">
        <f t="shared" si="105"/>
        <v>60275.5</v>
      </c>
      <c r="E247" s="38">
        <f t="shared" si="105"/>
        <v>34090.166666666664</v>
      </c>
      <c r="F247" s="38">
        <f t="shared" si="105"/>
        <v>19179</v>
      </c>
      <c r="G247" s="38">
        <f t="shared" si="105"/>
        <v>45725.333333333336</v>
      </c>
      <c r="H247" s="38">
        <f t="shared" si="105"/>
        <v>1785.3333333333333</v>
      </c>
      <c r="I247" s="38">
        <f t="shared" si="105"/>
        <v>28135.5</v>
      </c>
      <c r="J247" s="38">
        <f t="shared" si="105"/>
        <v>26539.166666666668</v>
      </c>
      <c r="K247" s="38">
        <f t="shared" si="105"/>
        <v>33017.333333333336</v>
      </c>
      <c r="L247" s="38">
        <f t="shared" si="105"/>
        <v>18934.833333333332</v>
      </c>
      <c r="M247" s="38">
        <f t="shared" si="105"/>
        <v>19025</v>
      </c>
      <c r="N247" s="38">
        <f t="shared" si="105"/>
        <v>12664</v>
      </c>
      <c r="O247" s="38">
        <f t="shared" si="105"/>
        <v>8873.4</v>
      </c>
      <c r="P247" s="38">
        <f t="shared" si="106"/>
        <v>308244.56666666671</v>
      </c>
      <c r="Q247" s="38"/>
    </row>
    <row r="248" spans="2:17" s="41" customFormat="1" x14ac:dyDescent="0.2">
      <c r="B248" s="41" t="s">
        <v>397</v>
      </c>
      <c r="C248" s="566" t="s">
        <v>2</v>
      </c>
      <c r="D248" s="38">
        <f t="shared" si="105"/>
        <v>863147.90909090906</v>
      </c>
      <c r="E248" s="38">
        <f t="shared" si="105"/>
        <v>537746.36363636365</v>
      </c>
      <c r="F248" s="38">
        <f t="shared" si="105"/>
        <v>546109.63636363635</v>
      </c>
      <c r="G248" s="38">
        <f t="shared" si="105"/>
        <v>1080907.4545454546</v>
      </c>
      <c r="H248" s="38">
        <f t="shared" si="105"/>
        <v>833670.18181818177</v>
      </c>
      <c r="I248" s="38">
        <f t="shared" si="105"/>
        <v>80958.181818181823</v>
      </c>
      <c r="J248" s="38">
        <f t="shared" si="105"/>
        <v>1036240.2727272727</v>
      </c>
      <c r="K248" s="38">
        <f t="shared" si="105"/>
        <v>689336.1</v>
      </c>
      <c r="L248" s="38">
        <f t="shared" si="105"/>
        <v>547059.9</v>
      </c>
      <c r="M248" s="38">
        <f t="shared" si="105"/>
        <v>810801.1</v>
      </c>
      <c r="N248" s="38">
        <f t="shared" si="105"/>
        <v>641833.1</v>
      </c>
      <c r="O248" s="38">
        <f t="shared" si="105"/>
        <v>741464.3</v>
      </c>
      <c r="P248" s="38">
        <f t="shared" si="106"/>
        <v>8409274.5</v>
      </c>
      <c r="Q248" s="38"/>
    </row>
    <row r="249" spans="2:17" s="41" customFormat="1" x14ac:dyDescent="0.2">
      <c r="B249" s="41" t="s">
        <v>412</v>
      </c>
      <c r="C249" s="41">
        <v>85</v>
      </c>
      <c r="D249" s="38">
        <f t="shared" si="105"/>
        <v>74603.971428571429</v>
      </c>
      <c r="E249" s="38">
        <f t="shared" si="105"/>
        <v>60321.23529411765</v>
      </c>
      <c r="F249" s="38">
        <f t="shared" si="105"/>
        <v>71902.676470588238</v>
      </c>
      <c r="G249" s="38">
        <f t="shared" si="105"/>
        <v>78443.212121212127</v>
      </c>
      <c r="H249" s="38">
        <f t="shared" si="105"/>
        <v>39374.78787878788</v>
      </c>
      <c r="I249" s="38">
        <f t="shared" si="105"/>
        <v>44942.757575757576</v>
      </c>
      <c r="J249" s="38">
        <f t="shared" si="105"/>
        <v>24596.151515151516</v>
      </c>
      <c r="K249" s="38">
        <f t="shared" si="105"/>
        <v>55793.606060606064</v>
      </c>
      <c r="L249" s="38">
        <f t="shared" si="105"/>
        <v>44735.63636363636</v>
      </c>
      <c r="M249" s="38">
        <f t="shared" si="105"/>
        <v>42269.57575757576</v>
      </c>
      <c r="N249" s="38">
        <f t="shared" si="105"/>
        <v>59006.909090909088</v>
      </c>
      <c r="O249" s="38">
        <f t="shared" si="105"/>
        <v>77727.333333333328</v>
      </c>
      <c r="P249" s="38">
        <f t="shared" si="106"/>
        <v>673717.85289024701</v>
      </c>
      <c r="Q249" s="38"/>
    </row>
    <row r="250" spans="2:17" s="41" customFormat="1" x14ac:dyDescent="0.2">
      <c r="B250" s="41" t="s">
        <v>413</v>
      </c>
      <c r="C250" s="41">
        <v>86</v>
      </c>
      <c r="D250" s="38">
        <f t="shared" si="105"/>
        <v>8225.3271028037379</v>
      </c>
      <c r="E250" s="38">
        <f t="shared" si="105"/>
        <v>6474.6542056074768</v>
      </c>
      <c r="F250" s="38">
        <f t="shared" si="105"/>
        <v>6704.6261682242994</v>
      </c>
      <c r="G250" s="38">
        <f t="shared" si="105"/>
        <v>5373.2358490566039</v>
      </c>
      <c r="H250" s="38">
        <f t="shared" si="105"/>
        <v>4149.2075471698117</v>
      </c>
      <c r="I250" s="38">
        <f t="shared" si="105"/>
        <v>2158.0476190476193</v>
      </c>
      <c r="J250" s="38">
        <f t="shared" si="105"/>
        <v>1481.3904761904762</v>
      </c>
      <c r="K250" s="38">
        <f t="shared" si="105"/>
        <v>1358.7809523809524</v>
      </c>
      <c r="L250" s="38">
        <f t="shared" si="105"/>
        <v>1936.8557692307693</v>
      </c>
      <c r="M250" s="38">
        <f t="shared" si="105"/>
        <v>3812.5841584158416</v>
      </c>
      <c r="N250" s="38">
        <f t="shared" si="105"/>
        <v>5542.2178217821784</v>
      </c>
      <c r="O250" s="38">
        <f t="shared" si="105"/>
        <v>6400.4851485148511</v>
      </c>
      <c r="P250" s="38">
        <f t="shared" si="106"/>
        <v>53617.412818424622</v>
      </c>
      <c r="Q250" s="38"/>
    </row>
    <row r="251" spans="2:17" s="41" customFormat="1" x14ac:dyDescent="0.2">
      <c r="B251" s="41" t="s">
        <v>414</v>
      </c>
      <c r="C251" s="41">
        <v>87</v>
      </c>
      <c r="D251" s="38">
        <f t="shared" si="105"/>
        <v>890619</v>
      </c>
      <c r="E251" s="38">
        <f t="shared" si="105"/>
        <v>1044306.5</v>
      </c>
      <c r="F251" s="38">
        <f t="shared" si="105"/>
        <v>-265409.25</v>
      </c>
      <c r="G251" s="38">
        <f t="shared" si="105"/>
        <v>1186794</v>
      </c>
      <c r="H251" s="38">
        <f t="shared" si="105"/>
        <v>-244969</v>
      </c>
      <c r="I251" s="38">
        <f t="shared" si="105"/>
        <v>406710.5</v>
      </c>
      <c r="J251" s="38">
        <f t="shared" si="105"/>
        <v>226777</v>
      </c>
      <c r="K251" s="38">
        <f t="shared" si="105"/>
        <v>250896</v>
      </c>
      <c r="L251" s="38">
        <f t="shared" si="105"/>
        <v>195145.5</v>
      </c>
      <c r="M251" s="38">
        <f t="shared" si="105"/>
        <v>374464.25</v>
      </c>
      <c r="N251" s="38">
        <f t="shared" si="105"/>
        <v>407265</v>
      </c>
      <c r="O251" s="38">
        <f t="shared" si="105"/>
        <v>637272</v>
      </c>
      <c r="P251" s="38">
        <f t="shared" si="106"/>
        <v>5109871.5</v>
      </c>
      <c r="Q251" s="38"/>
    </row>
    <row r="252" spans="2:17" s="44" customFormat="1" ht="15" x14ac:dyDescent="0.25">
      <c r="B252" s="531" t="s">
        <v>197</v>
      </c>
      <c r="C252" s="577" t="s">
        <v>354</v>
      </c>
      <c r="D252" s="38">
        <f t="shared" si="105"/>
        <v>410306.55555555556</v>
      </c>
      <c r="E252" s="38">
        <f t="shared" si="105"/>
        <v>123562.33333333333</v>
      </c>
      <c r="F252" s="38">
        <f t="shared" si="105"/>
        <v>644300.11111111112</v>
      </c>
      <c r="G252" s="38">
        <f t="shared" si="105"/>
        <v>-20181.777777777777</v>
      </c>
      <c r="H252" s="38">
        <f t="shared" si="105"/>
        <v>575436.77777777775</v>
      </c>
      <c r="I252" s="38">
        <f t="shared" si="105"/>
        <v>204390.88888888888</v>
      </c>
      <c r="J252" s="38">
        <f t="shared" si="105"/>
        <v>186870.55555555556</v>
      </c>
      <c r="K252" s="38">
        <f t="shared" si="105"/>
        <v>183704.44444444444</v>
      </c>
      <c r="L252" s="38">
        <f t="shared" si="105"/>
        <v>198266.33333333334</v>
      </c>
      <c r="M252" s="38">
        <f t="shared" si="105"/>
        <v>272349.77777777775</v>
      </c>
      <c r="N252" s="38">
        <f t="shared" si="105"/>
        <v>389577.44444444444</v>
      </c>
      <c r="O252" s="38">
        <f t="shared" si="105"/>
        <v>-786641.33333333337</v>
      </c>
      <c r="P252" s="38">
        <f t="shared" si="106"/>
        <v>2381942.111111111</v>
      </c>
      <c r="Q252" s="38"/>
    </row>
    <row r="253" spans="2:17" x14ac:dyDescent="0.2">
      <c r="B253" s="41" t="s">
        <v>0</v>
      </c>
      <c r="C253" s="41"/>
      <c r="D253" s="38">
        <f t="shared" ref="D253:O253" si="107">IFERROR(ROUND(D142,0)/ROUND(D64,0),0)</f>
        <v>179.03897649474996</v>
      </c>
      <c r="E253" s="38">
        <f t="shared" si="107"/>
        <v>151.60089649150714</v>
      </c>
      <c r="F253" s="38">
        <f t="shared" si="107"/>
        <v>149.85329932692471</v>
      </c>
      <c r="G253" s="38">
        <f t="shared" si="107"/>
        <v>125.83730069795736</v>
      </c>
      <c r="H253" s="38">
        <f t="shared" si="107"/>
        <v>72.832528636939969</v>
      </c>
      <c r="I253" s="38">
        <f t="shared" si="107"/>
        <v>46.62374761811683</v>
      </c>
      <c r="J253" s="38">
        <f t="shared" si="107"/>
        <v>50.736549500308733</v>
      </c>
      <c r="K253" s="38">
        <f t="shared" si="107"/>
        <v>46.095920695559933</v>
      </c>
      <c r="L253" s="38">
        <f t="shared" si="107"/>
        <v>53.414980259060549</v>
      </c>
      <c r="M253" s="38">
        <f t="shared" si="107"/>
        <v>93.927402631807325</v>
      </c>
      <c r="N253" s="38">
        <f t="shared" si="107"/>
        <v>135.08991511438401</v>
      </c>
      <c r="O253" s="38">
        <f t="shared" si="107"/>
        <v>159.69006852827161</v>
      </c>
      <c r="P253" s="38">
        <f t="shared" si="106"/>
        <v>1264.7415859955884</v>
      </c>
      <c r="Q253" s="38"/>
    </row>
    <row r="254" spans="2:17" x14ac:dyDescent="0.2">
      <c r="B254" s="41"/>
      <c r="C254" s="566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593"/>
      <c r="Q254" s="593"/>
    </row>
    <row r="255" spans="2:17" x14ac:dyDescent="0.2">
      <c r="B255" s="41"/>
      <c r="C255" s="566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593"/>
      <c r="Q255" s="593"/>
    </row>
    <row r="256" spans="2:17" x14ac:dyDescent="0.2">
      <c r="D256" s="381"/>
      <c r="E256" s="381"/>
      <c r="F256" s="381"/>
      <c r="G256" s="381"/>
      <c r="H256" s="381"/>
      <c r="I256" s="381"/>
      <c r="J256" s="381"/>
      <c r="K256" s="381"/>
      <c r="L256" s="381"/>
      <c r="M256" s="381"/>
      <c r="N256" s="381"/>
      <c r="O256" s="381"/>
      <c r="P256" s="381"/>
      <c r="Q256" s="381"/>
    </row>
    <row r="257" spans="4:17" x14ac:dyDescent="0.2">
      <c r="D257" s="381"/>
      <c r="E257" s="381"/>
      <c r="F257" s="381"/>
      <c r="G257" s="381"/>
      <c r="H257" s="381"/>
      <c r="I257" s="381"/>
      <c r="J257" s="381"/>
      <c r="K257" s="381"/>
      <c r="L257" s="381"/>
      <c r="M257" s="381"/>
      <c r="N257" s="381"/>
      <c r="O257" s="381"/>
      <c r="P257" s="381"/>
      <c r="Q257" s="381"/>
    </row>
    <row r="258" spans="4:17" x14ac:dyDescent="0.2">
      <c r="D258" s="381"/>
      <c r="E258" s="381"/>
      <c r="F258" s="381"/>
      <c r="G258" s="381"/>
      <c r="H258" s="381"/>
      <c r="I258" s="381"/>
      <c r="J258" s="381"/>
      <c r="K258" s="381"/>
      <c r="L258" s="381"/>
      <c r="M258" s="381"/>
      <c r="N258" s="381"/>
      <c r="O258" s="381"/>
      <c r="P258" s="381"/>
      <c r="Q258" s="381"/>
    </row>
    <row r="259" spans="4:17" x14ac:dyDescent="0.2">
      <c r="D259" s="381"/>
      <c r="E259" s="381"/>
      <c r="F259" s="381"/>
      <c r="G259" s="381"/>
      <c r="H259" s="381"/>
      <c r="I259" s="381"/>
      <c r="J259" s="381"/>
      <c r="K259" s="381"/>
      <c r="L259" s="381"/>
      <c r="M259" s="381"/>
      <c r="N259" s="381"/>
      <c r="O259" s="381"/>
      <c r="P259" s="381"/>
      <c r="Q259" s="381"/>
    </row>
    <row r="260" spans="4:17" x14ac:dyDescent="0.2">
      <c r="D260" s="381"/>
      <c r="E260" s="381"/>
      <c r="F260" s="381"/>
      <c r="G260" s="381"/>
      <c r="H260" s="381"/>
      <c r="I260" s="381"/>
      <c r="J260" s="381"/>
      <c r="K260" s="381"/>
      <c r="L260" s="381"/>
      <c r="M260" s="381"/>
      <c r="N260" s="381"/>
      <c r="O260" s="381"/>
      <c r="P260" s="381"/>
      <c r="Q260" s="381"/>
    </row>
    <row r="261" spans="4:17" x14ac:dyDescent="0.2">
      <c r="D261" s="381"/>
      <c r="E261" s="381"/>
      <c r="F261" s="381"/>
      <c r="G261" s="381"/>
      <c r="H261" s="381"/>
      <c r="I261" s="381"/>
      <c r="J261" s="381"/>
      <c r="K261" s="381"/>
      <c r="L261" s="381"/>
      <c r="M261" s="381"/>
      <c r="N261" s="381"/>
      <c r="O261" s="381"/>
      <c r="P261" s="381"/>
      <c r="Q261" s="381"/>
    </row>
    <row r="262" spans="4:17" x14ac:dyDescent="0.2">
      <c r="D262" s="381"/>
      <c r="E262" s="381"/>
      <c r="F262" s="381"/>
      <c r="G262" s="381"/>
      <c r="H262" s="381"/>
      <c r="I262" s="381"/>
      <c r="J262" s="381"/>
      <c r="K262" s="381"/>
      <c r="L262" s="381"/>
      <c r="M262" s="381"/>
      <c r="N262" s="381"/>
      <c r="O262" s="381"/>
      <c r="P262" s="381"/>
      <c r="Q262" s="381"/>
    </row>
    <row r="263" spans="4:17" x14ac:dyDescent="0.2">
      <c r="D263" s="381"/>
      <c r="E263" s="381"/>
      <c r="F263" s="381"/>
      <c r="G263" s="381"/>
      <c r="H263" s="381"/>
      <c r="I263" s="381"/>
      <c r="J263" s="381"/>
      <c r="K263" s="381"/>
      <c r="L263" s="381"/>
      <c r="M263" s="381"/>
      <c r="N263" s="381"/>
      <c r="O263" s="381"/>
      <c r="P263" s="381"/>
      <c r="Q263" s="381"/>
    </row>
    <row r="264" spans="4:17" x14ac:dyDescent="0.2">
      <c r="D264" s="381"/>
      <c r="E264" s="381"/>
      <c r="F264" s="381"/>
      <c r="G264" s="381"/>
      <c r="H264" s="381"/>
      <c r="I264" s="381"/>
      <c r="J264" s="381"/>
      <c r="K264" s="381"/>
      <c r="L264" s="381"/>
      <c r="M264" s="381"/>
      <c r="N264" s="381"/>
      <c r="O264" s="381"/>
      <c r="P264" s="381"/>
      <c r="Q264" s="381"/>
    </row>
    <row r="265" spans="4:17" x14ac:dyDescent="0.2">
      <c r="D265" s="381"/>
      <c r="E265" s="381"/>
      <c r="F265" s="381"/>
      <c r="G265" s="381"/>
      <c r="H265" s="381"/>
      <c r="I265" s="381"/>
      <c r="J265" s="381"/>
      <c r="K265" s="381"/>
      <c r="L265" s="381"/>
      <c r="M265" s="381"/>
      <c r="N265" s="381"/>
      <c r="O265" s="381"/>
      <c r="P265" s="381"/>
      <c r="Q265" s="381"/>
    </row>
    <row r="266" spans="4:17" x14ac:dyDescent="0.2">
      <c r="D266" s="381"/>
      <c r="E266" s="381"/>
      <c r="F266" s="381"/>
      <c r="G266" s="381"/>
      <c r="H266" s="381"/>
      <c r="I266" s="381"/>
      <c r="J266" s="381"/>
      <c r="K266" s="381"/>
      <c r="L266" s="381"/>
      <c r="M266" s="381"/>
      <c r="N266" s="381"/>
      <c r="O266" s="381"/>
      <c r="P266" s="381"/>
      <c r="Q266" s="381"/>
    </row>
    <row r="267" spans="4:17" x14ac:dyDescent="0.2">
      <c r="D267" s="381"/>
      <c r="E267" s="381"/>
      <c r="F267" s="381"/>
      <c r="G267" s="381"/>
      <c r="H267" s="381"/>
      <c r="I267" s="381"/>
      <c r="J267" s="381"/>
      <c r="K267" s="381"/>
      <c r="L267" s="381"/>
      <c r="M267" s="381"/>
      <c r="N267" s="381"/>
      <c r="O267" s="381"/>
      <c r="P267" s="381"/>
      <c r="Q267" s="381"/>
    </row>
    <row r="268" spans="4:17" x14ac:dyDescent="0.2">
      <c r="D268" s="381"/>
      <c r="E268" s="381"/>
      <c r="F268" s="381"/>
      <c r="G268" s="381"/>
      <c r="H268" s="381"/>
      <c r="I268" s="381"/>
      <c r="J268" s="381"/>
      <c r="K268" s="381"/>
      <c r="L268" s="381"/>
      <c r="M268" s="381"/>
      <c r="N268" s="381"/>
      <c r="O268" s="381"/>
      <c r="P268" s="381"/>
      <c r="Q268" s="381"/>
    </row>
    <row r="269" spans="4:17" x14ac:dyDescent="0.2">
      <c r="D269" s="381"/>
      <c r="E269" s="381"/>
      <c r="F269" s="381"/>
      <c r="G269" s="381"/>
      <c r="H269" s="381"/>
      <c r="I269" s="381"/>
      <c r="J269" s="381"/>
      <c r="K269" s="381"/>
      <c r="L269" s="381"/>
      <c r="M269" s="381"/>
      <c r="N269" s="381"/>
      <c r="O269" s="381"/>
      <c r="P269" s="381"/>
      <c r="Q269" s="381"/>
    </row>
    <row r="270" spans="4:17" x14ac:dyDescent="0.2">
      <c r="D270" s="381"/>
      <c r="E270" s="381"/>
      <c r="F270" s="381"/>
      <c r="G270" s="381"/>
      <c r="H270" s="381"/>
      <c r="I270" s="381"/>
      <c r="J270" s="381"/>
      <c r="K270" s="381"/>
      <c r="L270" s="381"/>
      <c r="M270" s="381"/>
      <c r="N270" s="381"/>
      <c r="O270" s="381"/>
      <c r="P270" s="381"/>
      <c r="Q270" s="381"/>
    </row>
    <row r="271" spans="4:17" x14ac:dyDescent="0.2">
      <c r="D271" s="381"/>
      <c r="E271" s="381"/>
      <c r="F271" s="381"/>
      <c r="G271" s="381"/>
      <c r="H271" s="381"/>
      <c r="I271" s="381"/>
      <c r="J271" s="381"/>
      <c r="K271" s="381"/>
      <c r="L271" s="381"/>
      <c r="M271" s="381"/>
      <c r="N271" s="381"/>
      <c r="O271" s="381"/>
      <c r="P271" s="381"/>
      <c r="Q271" s="381"/>
    </row>
    <row r="272" spans="4:17" x14ac:dyDescent="0.2">
      <c r="D272" s="381"/>
      <c r="E272" s="381"/>
      <c r="F272" s="381"/>
      <c r="G272" s="381"/>
      <c r="H272" s="381"/>
      <c r="I272" s="381"/>
      <c r="J272" s="381"/>
      <c r="K272" s="381"/>
      <c r="L272" s="381"/>
      <c r="M272" s="381"/>
      <c r="N272" s="381"/>
      <c r="O272" s="381"/>
      <c r="P272" s="381"/>
      <c r="Q272" s="381"/>
    </row>
    <row r="273" spans="4:17" x14ac:dyDescent="0.2">
      <c r="D273" s="381"/>
      <c r="E273" s="381"/>
      <c r="F273" s="381"/>
      <c r="G273" s="381"/>
      <c r="H273" s="381"/>
      <c r="I273" s="381"/>
      <c r="J273" s="381"/>
      <c r="K273" s="381"/>
      <c r="L273" s="381"/>
      <c r="M273" s="381"/>
      <c r="N273" s="381"/>
      <c r="O273" s="381"/>
      <c r="P273" s="381"/>
      <c r="Q273" s="381"/>
    </row>
    <row r="274" spans="4:17" x14ac:dyDescent="0.2">
      <c r="D274" s="381"/>
      <c r="E274" s="381"/>
      <c r="F274" s="381"/>
      <c r="G274" s="381"/>
      <c r="H274" s="381"/>
      <c r="I274" s="381"/>
      <c r="J274" s="381"/>
      <c r="K274" s="381"/>
      <c r="L274" s="381"/>
      <c r="M274" s="381"/>
      <c r="N274" s="381"/>
      <c r="O274" s="381"/>
      <c r="P274" s="381"/>
      <c r="Q274" s="381"/>
    </row>
    <row r="275" spans="4:17" x14ac:dyDescent="0.2">
      <c r="D275" s="381"/>
      <c r="E275" s="381"/>
      <c r="F275" s="381"/>
      <c r="G275" s="381"/>
      <c r="H275" s="381"/>
      <c r="I275" s="381"/>
      <c r="J275" s="381"/>
      <c r="K275" s="381"/>
      <c r="L275" s="381"/>
      <c r="M275" s="381"/>
      <c r="N275" s="381"/>
      <c r="O275" s="381"/>
      <c r="P275" s="381"/>
      <c r="Q275" s="381"/>
    </row>
    <row r="276" spans="4:17" x14ac:dyDescent="0.2">
      <c r="D276" s="381"/>
      <c r="E276" s="381"/>
      <c r="F276" s="381"/>
      <c r="G276" s="381"/>
      <c r="H276" s="381"/>
      <c r="I276" s="381"/>
      <c r="J276" s="381"/>
      <c r="K276" s="381"/>
      <c r="L276" s="381"/>
      <c r="M276" s="381"/>
      <c r="N276" s="381"/>
      <c r="O276" s="381"/>
      <c r="P276" s="381"/>
      <c r="Q276" s="381"/>
    </row>
    <row r="277" spans="4:17" x14ac:dyDescent="0.2">
      <c r="D277" s="381"/>
      <c r="E277" s="381"/>
      <c r="F277" s="381"/>
      <c r="G277" s="381"/>
      <c r="H277" s="381"/>
      <c r="I277" s="381"/>
      <c r="J277" s="381"/>
      <c r="K277" s="381"/>
      <c r="L277" s="381"/>
      <c r="M277" s="381"/>
      <c r="N277" s="381"/>
      <c r="O277" s="381"/>
      <c r="P277" s="381"/>
      <c r="Q277" s="381"/>
    </row>
    <row r="278" spans="4:17" x14ac:dyDescent="0.2">
      <c r="D278" s="381"/>
      <c r="E278" s="381"/>
      <c r="F278" s="381"/>
      <c r="G278" s="381"/>
      <c r="H278" s="381"/>
      <c r="I278" s="381"/>
      <c r="J278" s="381"/>
      <c r="K278" s="381"/>
      <c r="L278" s="381"/>
      <c r="M278" s="381"/>
      <c r="N278" s="381"/>
      <c r="O278" s="381"/>
      <c r="P278" s="381"/>
      <c r="Q278" s="381"/>
    </row>
    <row r="279" spans="4:17" x14ac:dyDescent="0.2">
      <c r="D279" s="381"/>
      <c r="E279" s="381"/>
      <c r="F279" s="381"/>
      <c r="G279" s="381"/>
      <c r="H279" s="381"/>
      <c r="I279" s="381"/>
      <c r="J279" s="381"/>
      <c r="K279" s="381"/>
      <c r="L279" s="381"/>
      <c r="M279" s="381"/>
      <c r="N279" s="381"/>
      <c r="O279" s="381"/>
      <c r="P279" s="381"/>
      <c r="Q279" s="381"/>
    </row>
    <row r="280" spans="4:17" x14ac:dyDescent="0.2">
      <c r="D280" s="381"/>
      <c r="E280" s="381"/>
      <c r="F280" s="381"/>
      <c r="G280" s="381"/>
      <c r="H280" s="381"/>
      <c r="I280" s="381"/>
      <c r="J280" s="381"/>
      <c r="K280" s="381"/>
      <c r="L280" s="381"/>
      <c r="M280" s="381"/>
      <c r="N280" s="381"/>
      <c r="O280" s="381"/>
      <c r="P280" s="381"/>
      <c r="Q280" s="381"/>
    </row>
    <row r="281" spans="4:17" x14ac:dyDescent="0.2">
      <c r="D281" s="381"/>
      <c r="E281" s="381"/>
      <c r="F281" s="381"/>
      <c r="G281" s="381"/>
      <c r="H281" s="381"/>
      <c r="I281" s="381"/>
      <c r="J281" s="381"/>
      <c r="K281" s="381"/>
      <c r="L281" s="381"/>
      <c r="M281" s="381"/>
      <c r="N281" s="381"/>
      <c r="O281" s="381"/>
      <c r="P281" s="381"/>
      <c r="Q281" s="381"/>
    </row>
    <row r="282" spans="4:17" x14ac:dyDescent="0.2">
      <c r="D282" s="381"/>
      <c r="E282" s="381"/>
      <c r="F282" s="381"/>
      <c r="G282" s="381"/>
      <c r="H282" s="381"/>
      <c r="I282" s="381"/>
      <c r="J282" s="381"/>
      <c r="K282" s="381"/>
      <c r="L282" s="381"/>
      <c r="M282" s="381"/>
      <c r="N282" s="381"/>
      <c r="O282" s="381"/>
      <c r="P282" s="381"/>
      <c r="Q282" s="381"/>
    </row>
    <row r="283" spans="4:17" x14ac:dyDescent="0.2">
      <c r="D283" s="381"/>
      <c r="E283" s="381"/>
      <c r="F283" s="381"/>
      <c r="G283" s="381"/>
      <c r="H283" s="381"/>
      <c r="I283" s="381"/>
      <c r="J283" s="381"/>
      <c r="K283" s="381"/>
      <c r="L283" s="381"/>
      <c r="M283" s="381"/>
      <c r="N283" s="381"/>
      <c r="O283" s="381"/>
      <c r="P283" s="381"/>
      <c r="Q283" s="381"/>
    </row>
    <row r="284" spans="4:17" x14ac:dyDescent="0.2">
      <c r="D284" s="381"/>
      <c r="E284" s="381"/>
      <c r="F284" s="381"/>
      <c r="G284" s="381"/>
      <c r="H284" s="381"/>
      <c r="I284" s="381"/>
      <c r="J284" s="381"/>
      <c r="K284" s="381"/>
      <c r="L284" s="381"/>
      <c r="M284" s="381"/>
      <c r="N284" s="381"/>
      <c r="O284" s="381"/>
      <c r="P284" s="381"/>
      <c r="Q284" s="381"/>
    </row>
    <row r="285" spans="4:17" x14ac:dyDescent="0.2">
      <c r="D285" s="381"/>
      <c r="E285" s="381"/>
      <c r="F285" s="381"/>
      <c r="G285" s="381"/>
      <c r="H285" s="381"/>
      <c r="I285" s="381"/>
      <c r="J285" s="381"/>
      <c r="K285" s="381"/>
      <c r="L285" s="381"/>
      <c r="M285" s="381"/>
      <c r="N285" s="381"/>
      <c r="O285" s="381"/>
      <c r="P285" s="381"/>
      <c r="Q285" s="381"/>
    </row>
    <row r="286" spans="4:17" x14ac:dyDescent="0.2">
      <c r="D286" s="381"/>
      <c r="E286" s="381"/>
      <c r="F286" s="381"/>
      <c r="G286" s="381"/>
      <c r="H286" s="381"/>
      <c r="I286" s="381"/>
      <c r="J286" s="381"/>
      <c r="K286" s="381"/>
      <c r="L286" s="381"/>
      <c r="M286" s="381"/>
      <c r="N286" s="381"/>
      <c r="O286" s="381"/>
      <c r="P286" s="381"/>
      <c r="Q286" s="381"/>
    </row>
    <row r="287" spans="4:17" x14ac:dyDescent="0.2">
      <c r="D287" s="381"/>
      <c r="E287" s="381"/>
      <c r="F287" s="381"/>
      <c r="G287" s="381"/>
      <c r="H287" s="381"/>
      <c r="I287" s="381"/>
      <c r="J287" s="381"/>
      <c r="K287" s="381"/>
      <c r="L287" s="381"/>
      <c r="M287" s="381"/>
      <c r="N287" s="381"/>
      <c r="O287" s="381"/>
      <c r="P287" s="381"/>
      <c r="Q287" s="381"/>
    </row>
    <row r="288" spans="4:17" x14ac:dyDescent="0.2">
      <c r="D288" s="381"/>
      <c r="E288" s="381"/>
      <c r="F288" s="381"/>
      <c r="G288" s="381"/>
      <c r="H288" s="381"/>
      <c r="I288" s="381"/>
      <c r="J288" s="381"/>
      <c r="K288" s="381"/>
      <c r="L288" s="381"/>
      <c r="M288" s="381"/>
      <c r="N288" s="381"/>
      <c r="O288" s="381"/>
      <c r="P288" s="381"/>
      <c r="Q288" s="381"/>
    </row>
    <row r="289" spans="4:17" x14ac:dyDescent="0.2">
      <c r="D289" s="381"/>
      <c r="E289" s="381"/>
      <c r="F289" s="381"/>
      <c r="G289" s="381"/>
      <c r="H289" s="381"/>
      <c r="I289" s="381"/>
      <c r="J289" s="381"/>
      <c r="K289" s="381"/>
      <c r="L289" s="381"/>
      <c r="M289" s="381"/>
      <c r="N289" s="381"/>
      <c r="O289" s="381"/>
      <c r="P289" s="381"/>
      <c r="Q289" s="381"/>
    </row>
    <row r="290" spans="4:17" x14ac:dyDescent="0.2">
      <c r="D290" s="381"/>
      <c r="E290" s="381"/>
      <c r="F290" s="381"/>
      <c r="G290" s="381"/>
      <c r="H290" s="381"/>
      <c r="I290" s="381"/>
      <c r="J290" s="381"/>
      <c r="K290" s="381"/>
      <c r="L290" s="381"/>
      <c r="M290" s="381"/>
      <c r="N290" s="381"/>
      <c r="O290" s="381"/>
      <c r="P290" s="381"/>
      <c r="Q290" s="381"/>
    </row>
    <row r="291" spans="4:17" x14ac:dyDescent="0.2">
      <c r="D291" s="381"/>
      <c r="E291" s="381"/>
      <c r="F291" s="381"/>
      <c r="G291" s="381"/>
      <c r="H291" s="381"/>
      <c r="I291" s="381"/>
      <c r="J291" s="381"/>
      <c r="K291" s="381"/>
      <c r="L291" s="381"/>
      <c r="M291" s="381"/>
      <c r="N291" s="381"/>
      <c r="O291" s="381"/>
      <c r="P291" s="381"/>
      <c r="Q291" s="381"/>
    </row>
    <row r="292" spans="4:17" x14ac:dyDescent="0.2">
      <c r="D292" s="381"/>
      <c r="E292" s="381"/>
      <c r="F292" s="381"/>
      <c r="G292" s="381"/>
      <c r="H292" s="381"/>
      <c r="I292" s="381"/>
      <c r="J292" s="381"/>
      <c r="K292" s="381"/>
      <c r="L292" s="381"/>
      <c r="M292" s="381"/>
      <c r="N292" s="381"/>
      <c r="O292" s="381"/>
      <c r="P292" s="381"/>
      <c r="Q292" s="381"/>
    </row>
    <row r="293" spans="4:17" x14ac:dyDescent="0.2">
      <c r="D293" s="381"/>
      <c r="E293" s="381"/>
      <c r="F293" s="381"/>
      <c r="G293" s="381"/>
      <c r="H293" s="381"/>
      <c r="I293" s="381"/>
      <c r="J293" s="381"/>
      <c r="K293" s="381"/>
      <c r="L293" s="381"/>
      <c r="M293" s="381"/>
      <c r="N293" s="381"/>
      <c r="O293" s="381"/>
      <c r="P293" s="381"/>
      <c r="Q293" s="381"/>
    </row>
    <row r="294" spans="4:17" x14ac:dyDescent="0.2">
      <c r="D294" s="381"/>
      <c r="E294" s="381"/>
      <c r="F294" s="381"/>
      <c r="G294" s="381"/>
      <c r="H294" s="381"/>
      <c r="I294" s="381"/>
      <c r="J294" s="381"/>
      <c r="K294" s="381"/>
      <c r="L294" s="381"/>
      <c r="M294" s="381"/>
      <c r="N294" s="381"/>
      <c r="O294" s="381"/>
      <c r="P294" s="381"/>
      <c r="Q294" s="381"/>
    </row>
    <row r="295" spans="4:17" x14ac:dyDescent="0.2">
      <c r="D295" s="381"/>
      <c r="E295" s="381"/>
      <c r="F295" s="381"/>
      <c r="G295" s="381"/>
      <c r="H295" s="381"/>
      <c r="I295" s="381"/>
      <c r="J295" s="381"/>
      <c r="K295" s="381"/>
      <c r="L295" s="381"/>
      <c r="M295" s="381"/>
      <c r="N295" s="381"/>
      <c r="O295" s="381"/>
      <c r="P295" s="381"/>
      <c r="Q295" s="381"/>
    </row>
    <row r="296" spans="4:17" x14ac:dyDescent="0.2">
      <c r="D296" s="381"/>
      <c r="E296" s="381"/>
      <c r="F296" s="381"/>
      <c r="G296" s="381"/>
      <c r="H296" s="381"/>
      <c r="I296" s="381"/>
      <c r="J296" s="381"/>
      <c r="K296" s="381"/>
      <c r="L296" s="381"/>
      <c r="M296" s="381"/>
      <c r="N296" s="381"/>
      <c r="O296" s="381"/>
      <c r="P296" s="381"/>
      <c r="Q296" s="381"/>
    </row>
    <row r="297" spans="4:17" x14ac:dyDescent="0.2">
      <c r="D297" s="381"/>
      <c r="E297" s="381"/>
      <c r="F297" s="381"/>
      <c r="G297" s="381"/>
      <c r="H297" s="381"/>
      <c r="I297" s="381"/>
      <c r="J297" s="381"/>
      <c r="K297" s="381"/>
      <c r="L297" s="381"/>
      <c r="M297" s="381"/>
      <c r="N297" s="381"/>
      <c r="O297" s="381"/>
      <c r="P297" s="381"/>
      <c r="Q297" s="381"/>
    </row>
    <row r="298" spans="4:17" x14ac:dyDescent="0.2">
      <c r="D298" s="381"/>
      <c r="E298" s="381"/>
      <c r="F298" s="381"/>
      <c r="G298" s="381"/>
      <c r="H298" s="381"/>
      <c r="I298" s="381"/>
      <c r="J298" s="381"/>
      <c r="K298" s="381"/>
      <c r="L298" s="381"/>
      <c r="M298" s="381"/>
      <c r="N298" s="381"/>
      <c r="O298" s="381"/>
      <c r="P298" s="381"/>
      <c r="Q298" s="381"/>
    </row>
    <row r="299" spans="4:17" x14ac:dyDescent="0.2">
      <c r="D299" s="381"/>
      <c r="E299" s="381"/>
      <c r="F299" s="381"/>
      <c r="G299" s="381"/>
      <c r="H299" s="381"/>
      <c r="I299" s="381"/>
      <c r="J299" s="381"/>
      <c r="K299" s="381"/>
      <c r="L299" s="381"/>
      <c r="M299" s="381"/>
      <c r="N299" s="381"/>
      <c r="O299" s="381"/>
      <c r="P299" s="381"/>
      <c r="Q299" s="381"/>
    </row>
  </sheetData>
  <printOptions horizontalCentered="1"/>
  <pageMargins left="0.5" right="0.5" top="0.75" bottom="0.75" header="0.5" footer="0.3"/>
  <pageSetup scale="59" fitToHeight="5" orientation="landscape" blackAndWhite="1" r:id="rId1"/>
  <headerFooter alignWithMargins="0">
    <oddFooter>&amp;C    Page &amp;P of &amp;N&amp;R&amp;F
&amp;A</oddFooter>
  </headerFooter>
  <rowBreaks count="3" manualBreakCount="3">
    <brk id="65" min="1" max="15" man="1"/>
    <brk id="112" min="1" max="15" man="1"/>
    <brk id="177" min="1" max="15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R34" sqref="R3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G42" sqref="G42"/>
      <selection pane="bottomLeft" activeCell="K42" sqref="K42"/>
    </sheetView>
  </sheetViews>
  <sheetFormatPr defaultColWidth="9.140625" defaultRowHeight="12.75" x14ac:dyDescent="0.2"/>
  <cols>
    <col min="1" max="1" width="2.42578125" style="42" customWidth="1"/>
    <col min="2" max="2" width="31.7109375" style="278" customWidth="1"/>
    <col min="3" max="3" width="9.7109375" style="278" customWidth="1"/>
    <col min="4" max="4" width="15.28515625" style="41" bestFit="1" customWidth="1"/>
    <col min="5" max="5" width="10.42578125" style="41" customWidth="1"/>
    <col min="6" max="6" width="13.7109375" style="278" bestFit="1" customWidth="1"/>
    <col min="7" max="7" width="2.85546875" style="279" customWidth="1"/>
    <col min="8" max="8" width="10.42578125" style="42" bestFit="1" customWidth="1"/>
    <col min="9" max="9" width="13.28515625" style="280" customWidth="1"/>
    <col min="10" max="10" width="2.85546875" style="281" customWidth="1"/>
    <col min="11" max="11" width="13.28515625" style="42" customWidth="1"/>
    <col min="12" max="12" width="10.42578125" style="282" customWidth="1"/>
    <col min="13" max="13" width="2.85546875" style="282" customWidth="1"/>
    <col min="14" max="14" width="14.5703125" style="42" customWidth="1"/>
    <col min="15" max="16384" width="9.140625" style="42"/>
  </cols>
  <sheetData>
    <row r="1" spans="2:23" x14ac:dyDescent="0.2">
      <c r="B1" s="273" t="s">
        <v>12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4"/>
      <c r="N1" s="33"/>
    </row>
    <row r="2" spans="2:23" x14ac:dyDescent="0.2">
      <c r="B2" s="275" t="s">
        <v>271</v>
      </c>
      <c r="C2" s="276"/>
      <c r="D2" s="68"/>
      <c r="E2" s="68"/>
      <c r="F2" s="276"/>
      <c r="G2" s="276"/>
      <c r="H2" s="276"/>
      <c r="I2" s="276"/>
      <c r="J2" s="276"/>
      <c r="K2" s="276"/>
      <c r="L2" s="276"/>
      <c r="M2" s="274"/>
      <c r="N2" s="33"/>
    </row>
    <row r="3" spans="2:23" x14ac:dyDescent="0.2">
      <c r="B3" s="275" t="s">
        <v>272</v>
      </c>
      <c r="C3" s="276"/>
      <c r="D3" s="68"/>
      <c r="E3" s="68"/>
      <c r="F3" s="276"/>
      <c r="G3" s="276"/>
      <c r="H3" s="276"/>
      <c r="I3" s="276"/>
      <c r="J3" s="276"/>
      <c r="K3" s="276"/>
      <c r="L3" s="276"/>
      <c r="M3" s="274"/>
      <c r="N3" s="33"/>
    </row>
    <row r="4" spans="2:23" x14ac:dyDescent="0.2">
      <c r="B4" s="275" t="s">
        <v>116</v>
      </c>
      <c r="C4" s="276"/>
      <c r="D4" s="68"/>
      <c r="E4" s="68"/>
      <c r="F4" s="276"/>
      <c r="G4" s="276"/>
      <c r="H4" s="276"/>
      <c r="I4" s="276"/>
      <c r="J4" s="276"/>
      <c r="K4" s="276"/>
      <c r="L4" s="276"/>
      <c r="M4" s="274"/>
      <c r="N4" s="33"/>
    </row>
    <row r="5" spans="2:23" x14ac:dyDescent="0.2">
      <c r="B5" s="275" t="s">
        <v>273</v>
      </c>
      <c r="C5" s="276"/>
      <c r="D5" s="68"/>
      <c r="E5" s="68"/>
      <c r="F5" s="276"/>
      <c r="G5" s="276"/>
      <c r="H5" s="276"/>
      <c r="I5" s="276"/>
      <c r="J5" s="276"/>
      <c r="K5" s="276"/>
      <c r="L5" s="276"/>
      <c r="M5" s="274"/>
      <c r="N5" s="277"/>
    </row>
    <row r="6" spans="2:23" x14ac:dyDescent="0.2">
      <c r="N6" s="35"/>
    </row>
    <row r="7" spans="2:23" ht="15" customHeight="1" x14ac:dyDescent="0.2">
      <c r="B7" s="283"/>
      <c r="C7" s="284"/>
      <c r="D7" s="69" t="s">
        <v>82</v>
      </c>
      <c r="E7" s="70" t="s">
        <v>218</v>
      </c>
      <c r="F7" s="285"/>
      <c r="G7" s="286"/>
      <c r="H7" s="287" t="s">
        <v>219</v>
      </c>
      <c r="I7" s="285"/>
      <c r="J7" s="288"/>
      <c r="K7" s="285" t="s">
        <v>117</v>
      </c>
      <c r="L7" s="289"/>
      <c r="M7" s="290"/>
      <c r="N7" s="291" t="s">
        <v>84</v>
      </c>
    </row>
    <row r="8" spans="2:23" x14ac:dyDescent="0.2">
      <c r="B8" s="292" t="s">
        <v>85</v>
      </c>
      <c r="C8" s="293" t="s">
        <v>86</v>
      </c>
      <c r="D8" s="270" t="s">
        <v>87</v>
      </c>
      <c r="E8" s="270" t="s">
        <v>79</v>
      </c>
      <c r="F8" s="294" t="s">
        <v>88</v>
      </c>
      <c r="G8" s="293"/>
      <c r="H8" s="293" t="s">
        <v>79</v>
      </c>
      <c r="I8" s="294" t="s">
        <v>88</v>
      </c>
      <c r="J8" s="294"/>
      <c r="K8" s="294" t="s">
        <v>118</v>
      </c>
      <c r="L8" s="295" t="s">
        <v>119</v>
      </c>
      <c r="M8" s="296"/>
      <c r="N8" s="297" t="s">
        <v>120</v>
      </c>
    </row>
    <row r="9" spans="2:23" x14ac:dyDescent="0.2">
      <c r="B9" s="35"/>
      <c r="C9" s="35"/>
      <c r="D9" s="44"/>
      <c r="E9" s="44"/>
      <c r="F9" s="35"/>
      <c r="H9" s="35"/>
      <c r="I9" s="281"/>
      <c r="K9" s="35"/>
      <c r="L9" s="298"/>
      <c r="M9" s="298"/>
      <c r="N9" s="35"/>
    </row>
    <row r="10" spans="2:23" x14ac:dyDescent="0.2">
      <c r="B10" s="299" t="s">
        <v>121</v>
      </c>
      <c r="C10" s="300"/>
      <c r="D10" s="244"/>
      <c r="E10" s="244"/>
      <c r="F10" s="301"/>
      <c r="G10" s="302"/>
      <c r="H10" s="244"/>
      <c r="I10" s="303"/>
      <c r="J10" s="303"/>
      <c r="K10" s="303"/>
      <c r="L10" s="304"/>
      <c r="M10" s="298"/>
      <c r="N10" s="35"/>
    </row>
    <row r="11" spans="2:23" x14ac:dyDescent="0.2">
      <c r="B11" s="305"/>
      <c r="C11" s="35"/>
      <c r="D11" s="44"/>
      <c r="E11" s="44"/>
      <c r="F11" s="35"/>
      <c r="G11" s="306"/>
      <c r="H11" s="44"/>
      <c r="I11" s="307"/>
      <c r="J11" s="307"/>
      <c r="K11" s="307"/>
      <c r="L11" s="308"/>
      <c r="M11" s="298"/>
      <c r="N11" s="291" t="s">
        <v>220</v>
      </c>
    </row>
    <row r="12" spans="2:23" x14ac:dyDescent="0.2">
      <c r="B12" s="72" t="s">
        <v>89</v>
      </c>
      <c r="C12" s="73" t="s">
        <v>90</v>
      </c>
      <c r="D12" s="38">
        <v>9634497.6315792762</v>
      </c>
      <c r="E12" s="89">
        <v>11.52</v>
      </c>
      <c r="F12" s="307">
        <f>SUM(+D12*E12)</f>
        <v>110989412.71579325</v>
      </c>
      <c r="H12" s="309">
        <v>12.5</v>
      </c>
      <c r="I12" s="307">
        <f>SUM(+D12*H12)</f>
        <v>120431220.39474095</v>
      </c>
      <c r="J12" s="307"/>
      <c r="K12" s="307">
        <f>I12-F12</f>
        <v>9441807.6789477021</v>
      </c>
      <c r="L12" s="310">
        <f>IFERROR(ROUND(K12/F12,5), )</f>
        <v>8.5070000000000007E-2</v>
      </c>
      <c r="M12" s="298"/>
      <c r="N12" s="311">
        <v>403617221.39551479</v>
      </c>
    </row>
    <row r="13" spans="2:23" x14ac:dyDescent="0.2">
      <c r="B13" s="305" t="s">
        <v>91</v>
      </c>
      <c r="C13" s="35" t="s">
        <v>92</v>
      </c>
      <c r="D13" s="279">
        <v>620836684.05687141</v>
      </c>
      <c r="E13" s="75">
        <v>0.41964000000000001</v>
      </c>
      <c r="F13" s="307">
        <f>ROUND(D13*E13,2)</f>
        <v>260527906.09999999</v>
      </c>
      <c r="H13" s="109">
        <f>ROUND((N12-I12-I20-I32)/D13, 5)</f>
        <v>0.45612999999999998</v>
      </c>
      <c r="I13" s="307">
        <f>ROUND(D13*H13,2)</f>
        <v>283182236.69999999</v>
      </c>
      <c r="J13" s="307"/>
      <c r="K13" s="307">
        <f>I13-F13</f>
        <v>22654330.599999994</v>
      </c>
      <c r="L13" s="310">
        <f>IFERROR(ROUND(K13/F13,5), )</f>
        <v>8.6959999999999996E-2</v>
      </c>
      <c r="M13" s="35"/>
      <c r="N13" s="312" t="s">
        <v>122</v>
      </c>
    </row>
    <row r="14" spans="2:23" x14ac:dyDescent="0.2">
      <c r="B14" s="313"/>
      <c r="C14" s="314"/>
      <c r="D14" s="38"/>
      <c r="E14" s="44"/>
      <c r="F14" s="315">
        <f>SUM(F12:F13)</f>
        <v>371517318.81579328</v>
      </c>
      <c r="H14" s="44"/>
      <c r="I14" s="315">
        <f>SUM(I12:I13)</f>
        <v>403613457.09474093</v>
      </c>
      <c r="J14" s="307"/>
      <c r="K14" s="315">
        <f>SUM(K12:K13)</f>
        <v>32096138.278947696</v>
      </c>
      <c r="L14" s="316">
        <f>IFERROR(ROUND(K14/F14,5), )</f>
        <v>8.6389999999999995E-2</v>
      </c>
      <c r="M14" s="35"/>
      <c r="N14" s="317">
        <f>I37-N12</f>
        <v>1468.8492261171341</v>
      </c>
    </row>
    <row r="15" spans="2:23" x14ac:dyDescent="0.2">
      <c r="B15" s="313"/>
      <c r="C15" s="318"/>
      <c r="D15" s="44"/>
      <c r="E15" s="75"/>
      <c r="F15" s="319"/>
      <c r="H15" s="44"/>
      <c r="I15" s="307"/>
      <c r="J15" s="307"/>
      <c r="K15" s="307"/>
      <c r="L15" s="308"/>
      <c r="M15" s="320"/>
    </row>
    <row r="16" spans="2:23" x14ac:dyDescent="0.2">
      <c r="B16" s="321" t="s">
        <v>221</v>
      </c>
      <c r="C16" s="314"/>
      <c r="D16" s="279"/>
      <c r="E16" s="44"/>
      <c r="F16" s="315">
        <f>F14</f>
        <v>371517318.81579328</v>
      </c>
      <c r="H16" s="44"/>
      <c r="I16" s="315">
        <f>I14</f>
        <v>403613457.09474093</v>
      </c>
      <c r="J16" s="307"/>
      <c r="K16" s="315">
        <f>K14</f>
        <v>32096138.278947696</v>
      </c>
      <c r="L16" s="316">
        <f>IFERROR(ROUND(K16/F16,5), )</f>
        <v>8.6389999999999995E-2</v>
      </c>
      <c r="M16" s="320"/>
      <c r="N16" s="322">
        <v>8.0480791636416082E-2</v>
      </c>
      <c r="O16" s="35"/>
      <c r="W16" s="35"/>
    </row>
    <row r="17" spans="1:23" s="41" customFormat="1" x14ac:dyDescent="0.2">
      <c r="B17" s="76"/>
      <c r="C17" s="77"/>
      <c r="D17" s="77"/>
      <c r="E17" s="77"/>
      <c r="F17" s="78"/>
      <c r="G17" s="79"/>
      <c r="H17" s="77"/>
      <c r="I17" s="78"/>
      <c r="J17" s="78"/>
      <c r="K17" s="78"/>
      <c r="L17" s="80"/>
      <c r="M17" s="44"/>
      <c r="N17" s="44"/>
      <c r="O17" s="44"/>
      <c r="W17" s="44"/>
    </row>
    <row r="18" spans="1:23" x14ac:dyDescent="0.2">
      <c r="A18" s="41"/>
      <c r="B18" s="84" t="s">
        <v>124</v>
      </c>
      <c r="C18" s="323"/>
      <c r="D18" s="244"/>
      <c r="E18" s="244"/>
      <c r="F18" s="303"/>
      <c r="G18" s="302"/>
      <c r="H18" s="244"/>
      <c r="I18" s="303"/>
      <c r="J18" s="303"/>
      <c r="K18" s="303"/>
      <c r="L18" s="324"/>
      <c r="M18" s="35"/>
      <c r="N18" s="35"/>
      <c r="O18" s="35"/>
      <c r="W18" s="35"/>
    </row>
    <row r="19" spans="1:23" s="41" customFormat="1" x14ac:dyDescent="0.2">
      <c r="B19" s="85"/>
      <c r="C19" s="44"/>
      <c r="D19" s="44"/>
      <c r="E19" s="44"/>
      <c r="F19" s="82"/>
      <c r="G19" s="86"/>
      <c r="H19" s="44"/>
      <c r="I19" s="82"/>
      <c r="J19" s="82"/>
      <c r="K19" s="82"/>
      <c r="L19" s="87"/>
      <c r="M19" s="88"/>
      <c r="N19" s="325"/>
      <c r="O19" s="44"/>
      <c r="W19" s="44"/>
    </row>
    <row r="20" spans="1:23" s="41" customFormat="1" ht="13.5" customHeight="1" x14ac:dyDescent="0.2">
      <c r="B20" s="72" t="s">
        <v>89</v>
      </c>
      <c r="C20" s="73" t="s">
        <v>90</v>
      </c>
      <c r="D20" s="38">
        <v>0</v>
      </c>
      <c r="E20" s="89">
        <v>11.52</v>
      </c>
      <c r="F20" s="82">
        <f>SUM(+D20*E20)</f>
        <v>0</v>
      </c>
      <c r="G20" s="38"/>
      <c r="H20" s="309">
        <f>H12</f>
        <v>12.5</v>
      </c>
      <c r="I20" s="82">
        <f>SUM(+D20*H20)</f>
        <v>0</v>
      </c>
      <c r="J20" s="82"/>
      <c r="K20" s="82">
        <f>I20-F20</f>
        <v>0</v>
      </c>
      <c r="L20" s="310">
        <f t="shared" ref="L20:L21" si="0">IFERROR(ROUND(K20/F20,5), )</f>
        <v>0</v>
      </c>
      <c r="M20" s="88"/>
      <c r="N20" s="116"/>
      <c r="O20" s="44"/>
      <c r="W20" s="44"/>
    </row>
    <row r="21" spans="1:23" s="41" customFormat="1" ht="13.5" customHeight="1" x14ac:dyDescent="0.2">
      <c r="B21" s="305" t="s">
        <v>91</v>
      </c>
      <c r="C21" s="35" t="s">
        <v>92</v>
      </c>
      <c r="D21" s="38">
        <v>0</v>
      </c>
      <c r="E21" s="75">
        <v>0.41964000000000001</v>
      </c>
      <c r="F21" s="82">
        <f>ROUND(D21*E21,2)</f>
        <v>0</v>
      </c>
      <c r="G21" s="38"/>
      <c r="H21" s="109">
        <f>H13</f>
        <v>0.45612999999999998</v>
      </c>
      <c r="I21" s="82">
        <f>ROUND(D21*H21,2)</f>
        <v>0</v>
      </c>
      <c r="J21" s="82"/>
      <c r="K21" s="82">
        <f>I21-F21</f>
        <v>0</v>
      </c>
      <c r="L21" s="310">
        <f t="shared" si="0"/>
        <v>0</v>
      </c>
      <c r="M21" s="88"/>
      <c r="N21" s="326"/>
      <c r="O21" s="44"/>
      <c r="W21" s="44"/>
    </row>
    <row r="22" spans="1:23" s="41" customFormat="1" ht="13.5" customHeight="1" x14ac:dyDescent="0.2">
      <c r="B22" s="321" t="s">
        <v>125</v>
      </c>
      <c r="C22" s="73"/>
      <c r="D22" s="38"/>
      <c r="E22" s="44"/>
      <c r="F22" s="315">
        <f>SUM(F20:F21)</f>
        <v>0</v>
      </c>
      <c r="G22" s="38"/>
      <c r="H22" s="44"/>
      <c r="I22" s="315">
        <f>SUM(I20:I21)</f>
        <v>0</v>
      </c>
      <c r="J22" s="82"/>
      <c r="K22" s="315">
        <f>SUM(K20:K21)</f>
        <v>0</v>
      </c>
      <c r="L22" s="316">
        <f>IFERROR(ROUND(K22/F22,5), )</f>
        <v>0</v>
      </c>
      <c r="M22" s="44"/>
      <c r="N22" s="326"/>
      <c r="O22" s="44"/>
      <c r="W22" s="44"/>
    </row>
    <row r="23" spans="1:23" s="41" customFormat="1" ht="13.5" customHeight="1" x14ac:dyDescent="0.2">
      <c r="B23" s="91"/>
      <c r="C23" s="145"/>
      <c r="D23" s="44"/>
      <c r="E23" s="44"/>
      <c r="F23" s="92"/>
      <c r="G23" s="38"/>
      <c r="H23" s="44"/>
      <c r="I23" s="82"/>
      <c r="J23" s="82"/>
      <c r="K23" s="82"/>
      <c r="L23" s="87"/>
      <c r="M23" s="44"/>
      <c r="N23" s="327"/>
      <c r="O23" s="44"/>
      <c r="W23" s="44"/>
    </row>
    <row r="24" spans="1:23" s="41" customFormat="1" ht="13.5" customHeight="1" x14ac:dyDescent="0.2">
      <c r="B24" s="72" t="s">
        <v>221</v>
      </c>
      <c r="C24" s="73"/>
      <c r="D24" s="44"/>
      <c r="E24" s="44"/>
      <c r="F24" s="315">
        <f>F22</f>
        <v>0</v>
      </c>
      <c r="G24" s="38"/>
      <c r="H24" s="44"/>
      <c r="I24" s="315">
        <f>I22</f>
        <v>0</v>
      </c>
      <c r="J24" s="82"/>
      <c r="K24" s="315">
        <f>K22</f>
        <v>0</v>
      </c>
      <c r="L24" s="316">
        <f>IFERROR(ROUND(K24/F24,5), )</f>
        <v>0</v>
      </c>
      <c r="M24" s="44"/>
      <c r="N24" s="328"/>
      <c r="O24" s="44"/>
      <c r="W24" s="44"/>
    </row>
    <row r="25" spans="1:23" s="41" customFormat="1" ht="13.5" customHeight="1" x14ac:dyDescent="0.2">
      <c r="B25" s="76"/>
      <c r="C25" s="77"/>
      <c r="D25" s="77"/>
      <c r="E25" s="77"/>
      <c r="F25" s="78"/>
      <c r="G25" s="77"/>
      <c r="H25" s="77"/>
      <c r="I25" s="78"/>
      <c r="J25" s="78"/>
      <c r="K25" s="78"/>
      <c r="L25" s="80"/>
      <c r="M25" s="44"/>
      <c r="N25" s="329"/>
      <c r="O25" s="44"/>
      <c r="W25" s="44"/>
    </row>
    <row r="26" spans="1:23" ht="13.5" customHeight="1" x14ac:dyDescent="0.2">
      <c r="B26" s="84" t="s">
        <v>126</v>
      </c>
      <c r="C26" s="300"/>
      <c r="D26" s="244"/>
      <c r="E26" s="244"/>
      <c r="F26" s="303"/>
      <c r="G26" s="302"/>
      <c r="H26" s="301"/>
      <c r="I26" s="303"/>
      <c r="J26" s="303"/>
      <c r="K26" s="303"/>
      <c r="L26" s="324"/>
      <c r="M26" s="35"/>
      <c r="N26" s="41"/>
      <c r="O26" s="35"/>
      <c r="W26" s="35"/>
    </row>
    <row r="27" spans="1:23" ht="13.5" customHeight="1" x14ac:dyDescent="0.2">
      <c r="B27" s="313"/>
      <c r="C27" s="318"/>
      <c r="D27" s="44"/>
      <c r="E27" s="44"/>
      <c r="F27" s="307"/>
      <c r="G27" s="330"/>
      <c r="H27" s="35"/>
      <c r="I27" s="307"/>
      <c r="J27" s="307"/>
      <c r="K27" s="307"/>
      <c r="L27" s="308"/>
      <c r="M27" s="298"/>
      <c r="N27" s="41"/>
      <c r="O27" s="35"/>
      <c r="W27" s="35"/>
    </row>
    <row r="28" spans="1:23" ht="13.5" customHeight="1" x14ac:dyDescent="0.2">
      <c r="B28" s="85" t="s">
        <v>127</v>
      </c>
      <c r="C28" s="96" t="s">
        <v>93</v>
      </c>
      <c r="D28" s="38">
        <v>431.06668421052632</v>
      </c>
      <c r="E28" s="89">
        <v>11.24</v>
      </c>
      <c r="F28" s="307">
        <f>ROUND(D28*E28,2)</f>
        <v>4845.1899999999996</v>
      </c>
      <c r="H28" s="309">
        <f>ROUND(E28*(1+N16), 2)</f>
        <v>12.14</v>
      </c>
      <c r="I28" s="307">
        <f>ROUND(D28*H28,2)</f>
        <v>5233.1499999999996</v>
      </c>
      <c r="J28" s="307"/>
      <c r="K28" s="307">
        <f>I28-F28</f>
        <v>387.96000000000004</v>
      </c>
      <c r="L28" s="310">
        <f>IFERROR(ROUND(K28/F28,5), )</f>
        <v>8.0070000000000002E-2</v>
      </c>
      <c r="M28" s="331"/>
      <c r="N28" s="41"/>
      <c r="O28" s="35"/>
      <c r="W28" s="35"/>
    </row>
    <row r="29" spans="1:23" ht="13.5" customHeight="1" x14ac:dyDescent="0.2">
      <c r="B29" s="305"/>
      <c r="C29" s="35"/>
      <c r="D29" s="44"/>
      <c r="E29" s="44"/>
      <c r="F29" s="307"/>
      <c r="G29" s="35"/>
      <c r="H29" s="35"/>
      <c r="I29" s="307"/>
      <c r="J29" s="307"/>
      <c r="K29" s="307"/>
      <c r="L29" s="310"/>
      <c r="M29" s="331"/>
      <c r="N29" s="41"/>
      <c r="O29" s="35"/>
      <c r="W29" s="35"/>
    </row>
    <row r="30" spans="1:23" ht="13.5" customHeight="1" x14ac:dyDescent="0.2">
      <c r="B30" s="321" t="s">
        <v>128</v>
      </c>
      <c r="C30" s="314"/>
      <c r="D30" s="38">
        <v>8190.2669999999998</v>
      </c>
      <c r="E30" s="38"/>
      <c r="F30" s="319"/>
      <c r="H30" s="35"/>
      <c r="I30" s="307"/>
      <c r="J30" s="307"/>
      <c r="K30" s="307"/>
      <c r="L30" s="308"/>
      <c r="M30" s="331"/>
      <c r="N30" s="41"/>
      <c r="O30" s="35"/>
      <c r="W30" s="35"/>
    </row>
    <row r="31" spans="1:23" ht="13.5" customHeight="1" x14ac:dyDescent="0.2">
      <c r="B31" s="305"/>
      <c r="C31" s="35"/>
      <c r="D31" s="44"/>
      <c r="E31" s="44"/>
      <c r="F31" s="82"/>
      <c r="G31" s="38"/>
      <c r="H31" s="44"/>
      <c r="I31" s="82"/>
      <c r="J31" s="307"/>
      <c r="K31" s="307"/>
      <c r="L31" s="308"/>
      <c r="M31" s="320"/>
      <c r="N31" s="41"/>
      <c r="O31" s="35"/>
      <c r="W31" s="35"/>
    </row>
    <row r="32" spans="1:23" ht="13.5" customHeight="1" x14ac:dyDescent="0.2">
      <c r="B32" s="305" t="s">
        <v>221</v>
      </c>
      <c r="C32" s="35"/>
      <c r="D32" s="44"/>
      <c r="E32" s="44"/>
      <c r="F32" s="315">
        <f>F28</f>
        <v>4845.1899999999996</v>
      </c>
      <c r="H32" s="35"/>
      <c r="I32" s="315">
        <f>I28</f>
        <v>5233.1499999999996</v>
      </c>
      <c r="J32" s="307"/>
      <c r="K32" s="315">
        <f>K28</f>
        <v>387.96000000000004</v>
      </c>
      <c r="L32" s="316">
        <f>IFERROR(ROUND(K32/F32,5), )</f>
        <v>8.0070000000000002E-2</v>
      </c>
      <c r="M32" s="298"/>
      <c r="N32" s="41"/>
      <c r="O32" s="35"/>
      <c r="W32" s="35"/>
    </row>
    <row r="33" spans="2:23" ht="13.5" customHeight="1" x14ac:dyDescent="0.2">
      <c r="B33" s="332"/>
      <c r="C33" s="333"/>
      <c r="D33" s="77"/>
      <c r="E33" s="77"/>
      <c r="F33" s="334"/>
      <c r="G33" s="335"/>
      <c r="H33" s="336"/>
      <c r="I33" s="337"/>
      <c r="J33" s="337"/>
      <c r="K33" s="336"/>
      <c r="L33" s="338"/>
      <c r="M33" s="326"/>
      <c r="N33" s="41"/>
      <c r="O33" s="35"/>
      <c r="W33" s="35"/>
    </row>
    <row r="34" spans="2:23" ht="13.5" customHeight="1" x14ac:dyDescent="0.2">
      <c r="B34" s="42"/>
      <c r="K34" s="35"/>
      <c r="L34" s="339"/>
      <c r="M34" s="320"/>
      <c r="O34" s="35"/>
      <c r="W34" s="35"/>
    </row>
    <row r="35" spans="2:23" x14ac:dyDescent="0.2">
      <c r="B35" s="278" t="s">
        <v>129</v>
      </c>
      <c r="K35" s="35"/>
      <c r="L35" s="339"/>
      <c r="M35" s="326"/>
      <c r="O35" s="35"/>
      <c r="W35" s="35"/>
    </row>
    <row r="36" spans="2:23" x14ac:dyDescent="0.2">
      <c r="B36" s="42"/>
      <c r="D36" s="97" t="s">
        <v>92</v>
      </c>
      <c r="F36" s="293" t="s">
        <v>83</v>
      </c>
      <c r="I36" s="294" t="s">
        <v>26</v>
      </c>
      <c r="K36" s="294" t="s">
        <v>71</v>
      </c>
      <c r="L36" s="339"/>
      <c r="O36" s="35"/>
      <c r="W36" s="35"/>
    </row>
    <row r="37" spans="2:23" x14ac:dyDescent="0.2">
      <c r="B37" s="42" t="s">
        <v>222</v>
      </c>
      <c r="D37" s="340">
        <f>D13+D21+D30</f>
        <v>620844874.32387137</v>
      </c>
      <c r="F37" s="341">
        <f>F14+F22+F28</f>
        <v>371522164.00579327</v>
      </c>
      <c r="G37" s="341"/>
      <c r="H37" s="341"/>
      <c r="I37" s="341">
        <f>I14+I22+I28</f>
        <v>403618690.2447409</v>
      </c>
      <c r="J37" s="341"/>
      <c r="K37" s="307">
        <f>I37-F37</f>
        <v>32096526.23894763</v>
      </c>
      <c r="L37" s="342">
        <f>K37/F37</f>
        <v>8.6391955443194335E-2</v>
      </c>
    </row>
    <row r="38" spans="2:23" ht="13.5" thickBot="1" x14ac:dyDescent="0.25">
      <c r="B38" s="42"/>
      <c r="D38" s="34"/>
      <c r="F38" s="307"/>
      <c r="I38" s="307"/>
      <c r="K38" s="307"/>
      <c r="L38" s="342"/>
    </row>
    <row r="39" spans="2:23" ht="13.5" thickBot="1" x14ac:dyDescent="0.25">
      <c r="B39" s="343" t="s">
        <v>13</v>
      </c>
      <c r="C39" s="344" t="s">
        <v>223</v>
      </c>
      <c r="D39" s="345">
        <v>373297420.99925822</v>
      </c>
      <c r="E39" s="98" t="s">
        <v>224</v>
      </c>
      <c r="F39" s="346">
        <f>D39-F37</f>
        <v>1775256.9934649467</v>
      </c>
      <c r="K39" s="35"/>
      <c r="L39" s="339"/>
      <c r="N39" s="341"/>
    </row>
    <row r="40" spans="2:23" x14ac:dyDescent="0.2">
      <c r="B40" s="42"/>
      <c r="F40" s="42"/>
      <c r="L40" s="339"/>
    </row>
    <row r="41" spans="2:23" x14ac:dyDescent="0.2">
      <c r="B41" s="347"/>
      <c r="L41" s="339"/>
    </row>
    <row r="42" spans="2:23" x14ac:dyDescent="0.2">
      <c r="B42" s="42"/>
      <c r="C42" s="42"/>
      <c r="D42" s="42"/>
      <c r="F42" s="42"/>
      <c r="G42" s="42"/>
      <c r="I42" s="42"/>
      <c r="J42" s="42"/>
      <c r="L42" s="342"/>
      <c r="M42" s="42"/>
    </row>
    <row r="43" spans="2:23" x14ac:dyDescent="0.2">
      <c r="L43" s="339"/>
    </row>
    <row r="44" spans="2:23" x14ac:dyDescent="0.2">
      <c r="L44" s="339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58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42" customWidth="1"/>
    <col min="2" max="2" width="31.7109375" style="42" customWidth="1"/>
    <col min="3" max="3" width="9.7109375" style="42" customWidth="1"/>
    <col min="4" max="4" width="14.5703125" style="42" bestFit="1" customWidth="1"/>
    <col min="5" max="5" width="10.42578125" style="42" customWidth="1"/>
    <col min="6" max="6" width="14.7109375" style="280" bestFit="1" customWidth="1"/>
    <col min="7" max="7" width="2.85546875" style="34" customWidth="1"/>
    <col min="8" max="8" width="10.42578125" style="41" customWidth="1"/>
    <col min="9" max="9" width="15" style="280" customWidth="1"/>
    <col min="10" max="10" width="2.85546875" style="280" customWidth="1"/>
    <col min="11" max="11" width="13.28515625" style="280" customWidth="1"/>
    <col min="12" max="12" width="10.42578125" style="342" customWidth="1"/>
    <col min="13" max="13" width="2.85546875" style="348" customWidth="1"/>
    <col min="14" max="14" width="2" style="349" customWidth="1"/>
    <col min="15" max="15" width="14.5703125" style="42" customWidth="1"/>
    <col min="16" max="16" width="15" style="42" bestFit="1" customWidth="1"/>
    <col min="17" max="16384" width="9.140625" style="42"/>
  </cols>
  <sheetData>
    <row r="1" spans="1:15" x14ac:dyDescent="0.2">
      <c r="B1" s="273" t="s">
        <v>12</v>
      </c>
    </row>
    <row r="2" spans="1:15" x14ac:dyDescent="0.2">
      <c r="B2" s="275" t="s">
        <v>271</v>
      </c>
      <c r="C2" s="33"/>
      <c r="D2" s="33"/>
      <c r="E2" s="33"/>
      <c r="F2" s="350"/>
      <c r="G2" s="99"/>
      <c r="H2" s="58"/>
      <c r="I2" s="350"/>
      <c r="J2" s="350"/>
      <c r="K2" s="350"/>
      <c r="L2" s="351"/>
      <c r="M2" s="352"/>
      <c r="N2" s="352"/>
      <c r="O2" s="33"/>
    </row>
    <row r="3" spans="1:15" x14ac:dyDescent="0.2">
      <c r="B3" s="275" t="s">
        <v>272</v>
      </c>
      <c r="C3" s="33"/>
      <c r="D3" s="33"/>
      <c r="E3" s="33"/>
      <c r="F3" s="33"/>
      <c r="G3" s="58"/>
      <c r="H3" s="58"/>
      <c r="I3" s="33"/>
      <c r="J3" s="33"/>
      <c r="K3" s="33"/>
      <c r="L3" s="351"/>
      <c r="M3" s="33"/>
      <c r="N3" s="352"/>
      <c r="O3" s="33"/>
    </row>
    <row r="4" spans="1:15" x14ac:dyDescent="0.2">
      <c r="B4" s="275" t="s">
        <v>131</v>
      </c>
      <c r="C4" s="33"/>
      <c r="D4" s="33"/>
      <c r="E4" s="33"/>
      <c r="F4" s="33"/>
      <c r="G4" s="58"/>
      <c r="H4" s="58"/>
      <c r="I4" s="33"/>
      <c r="J4" s="33"/>
      <c r="K4" s="33"/>
      <c r="L4" s="351"/>
      <c r="M4" s="33"/>
      <c r="N4" s="352"/>
      <c r="O4" s="33"/>
    </row>
    <row r="5" spans="1:15" x14ac:dyDescent="0.2">
      <c r="B5" s="275" t="s">
        <v>273</v>
      </c>
      <c r="C5" s="33"/>
      <c r="D5" s="33"/>
      <c r="E5" s="33"/>
      <c r="F5" s="33"/>
      <c r="G5" s="58"/>
      <c r="H5" s="58"/>
      <c r="I5" s="33"/>
      <c r="J5" s="33"/>
      <c r="K5" s="33"/>
      <c r="L5" s="351"/>
      <c r="M5" s="33"/>
      <c r="N5" s="353"/>
      <c r="O5" s="277"/>
    </row>
    <row r="6" spans="1:15" ht="13.5" customHeight="1" x14ac:dyDescent="0.2">
      <c r="B6" s="354"/>
      <c r="C6" s="354"/>
      <c r="D6" s="354"/>
      <c r="E6" s="354"/>
      <c r="F6" s="355"/>
      <c r="G6" s="100"/>
      <c r="H6" s="10"/>
      <c r="I6" s="355"/>
      <c r="J6" s="355"/>
      <c r="K6" s="355"/>
      <c r="L6" s="356"/>
      <c r="N6" s="320"/>
      <c r="O6" s="35"/>
    </row>
    <row r="7" spans="1:15" ht="12" customHeight="1" x14ac:dyDescent="0.2">
      <c r="B7" s="283"/>
      <c r="C7" s="284"/>
      <c r="D7" s="69" t="s">
        <v>82</v>
      </c>
      <c r="E7" s="70" t="s">
        <v>218</v>
      </c>
      <c r="F7" s="285"/>
      <c r="G7" s="43"/>
      <c r="H7" s="287" t="s">
        <v>219</v>
      </c>
      <c r="I7" s="285"/>
      <c r="J7" s="288"/>
      <c r="K7" s="720" t="s">
        <v>117</v>
      </c>
      <c r="L7" s="721"/>
      <c r="M7" s="290"/>
      <c r="N7" s="353"/>
      <c r="O7" s="291" t="s">
        <v>84</v>
      </c>
    </row>
    <row r="8" spans="1:15" x14ac:dyDescent="0.2">
      <c r="B8" s="292" t="s">
        <v>85</v>
      </c>
      <c r="C8" s="293" t="s">
        <v>86</v>
      </c>
      <c r="D8" s="270" t="s">
        <v>87</v>
      </c>
      <c r="E8" s="293" t="s">
        <v>79</v>
      </c>
      <c r="F8" s="294" t="s">
        <v>88</v>
      </c>
      <c r="G8" s="270"/>
      <c r="H8" s="270" t="s">
        <v>79</v>
      </c>
      <c r="I8" s="294" t="s">
        <v>88</v>
      </c>
      <c r="J8" s="294"/>
      <c r="K8" s="294" t="s">
        <v>118</v>
      </c>
      <c r="L8" s="357" t="s">
        <v>119</v>
      </c>
      <c r="M8" s="358"/>
      <c r="N8" s="296"/>
      <c r="O8" s="297" t="s">
        <v>120</v>
      </c>
    </row>
    <row r="9" spans="1:15" x14ac:dyDescent="0.2">
      <c r="A9" s="35"/>
      <c r="B9" s="325"/>
      <c r="C9" s="325"/>
      <c r="D9" s="325"/>
      <c r="E9" s="325"/>
      <c r="F9" s="359"/>
      <c r="G9" s="43"/>
      <c r="H9" s="43"/>
      <c r="I9" s="359"/>
      <c r="J9" s="359"/>
      <c r="K9" s="359"/>
      <c r="L9" s="360"/>
      <c r="M9" s="358"/>
      <c r="N9" s="296"/>
      <c r="O9" s="35"/>
    </row>
    <row r="10" spans="1:15" x14ac:dyDescent="0.2">
      <c r="B10" s="299" t="s">
        <v>132</v>
      </c>
      <c r="C10" s="361"/>
      <c r="D10" s="301"/>
      <c r="E10" s="301"/>
      <c r="F10" s="303"/>
      <c r="G10" s="362"/>
      <c r="H10" s="244"/>
      <c r="I10" s="303"/>
      <c r="J10" s="303"/>
      <c r="K10" s="303"/>
      <c r="L10" s="324"/>
      <c r="M10" s="363"/>
      <c r="N10" s="320"/>
      <c r="O10" s="35"/>
    </row>
    <row r="11" spans="1:15" x14ac:dyDescent="0.2">
      <c r="B11" s="305"/>
      <c r="C11" s="35"/>
      <c r="D11" s="279"/>
      <c r="E11" s="35"/>
      <c r="F11" s="307"/>
      <c r="G11" s="38"/>
      <c r="H11" s="44"/>
      <c r="I11" s="307"/>
      <c r="J11" s="307"/>
      <c r="K11" s="307"/>
      <c r="L11" s="310"/>
      <c r="M11" s="363"/>
      <c r="N11" s="320"/>
      <c r="O11" s="364" t="s">
        <v>133</v>
      </c>
    </row>
    <row r="12" spans="1:15" x14ac:dyDescent="0.2">
      <c r="B12" s="72" t="s">
        <v>89</v>
      </c>
      <c r="C12" s="73" t="s">
        <v>90</v>
      </c>
      <c r="D12" s="38">
        <v>698499.36081828561</v>
      </c>
      <c r="E12" s="89">
        <v>33.840000000000003</v>
      </c>
      <c r="F12" s="307">
        <f>ROUND(D12*E12,2)</f>
        <v>23637218.370000001</v>
      </c>
      <c r="G12" s="38"/>
      <c r="H12" s="309">
        <v>38.89</v>
      </c>
      <c r="I12" s="82">
        <f>ROUND(D12*H12,2)</f>
        <v>27164640.140000001</v>
      </c>
      <c r="J12" s="307"/>
      <c r="K12" s="307">
        <f>I12-F12</f>
        <v>3527421.7699999996</v>
      </c>
      <c r="L12" s="310">
        <f>IFERROR(ROUND(K12/F12,5), )</f>
        <v>0.14923</v>
      </c>
      <c r="M12" s="363"/>
      <c r="N12" s="320"/>
      <c r="O12" s="74">
        <v>122144166.5837137</v>
      </c>
    </row>
    <row r="13" spans="1:15" x14ac:dyDescent="0.2">
      <c r="B13" s="305" t="s">
        <v>91</v>
      </c>
      <c r="C13" s="35" t="s">
        <v>92</v>
      </c>
      <c r="D13" s="38">
        <v>222166912.14539161</v>
      </c>
      <c r="E13" s="75">
        <v>0.37956000000000001</v>
      </c>
      <c r="F13" s="307">
        <f>ROUND(D13*E13,2)</f>
        <v>84325673.170000002</v>
      </c>
      <c r="G13" s="38"/>
      <c r="H13" s="109">
        <f>ROUND((O12-I12-I14-I22)/D32,5)</f>
        <v>0.41249000000000002</v>
      </c>
      <c r="I13" s="82">
        <f>ROUND(D13*H13,2)</f>
        <v>91641629.590000004</v>
      </c>
      <c r="J13" s="307"/>
      <c r="K13" s="307">
        <f>I13-F13</f>
        <v>7315956.4200000018</v>
      </c>
      <c r="L13" s="310">
        <f>IFERROR(ROUND(K13/F13,5), )</f>
        <v>8.6760000000000004E-2</v>
      </c>
      <c r="M13" s="363"/>
      <c r="N13" s="320"/>
      <c r="O13" s="312" t="s">
        <v>122</v>
      </c>
    </row>
    <row r="14" spans="1:15" x14ac:dyDescent="0.2">
      <c r="B14" s="305" t="s">
        <v>94</v>
      </c>
      <c r="C14" s="35"/>
      <c r="D14" s="38">
        <f>D13</f>
        <v>222166912.14539161</v>
      </c>
      <c r="E14" s="75">
        <v>1.371E-2</v>
      </c>
      <c r="F14" s="307">
        <f>ROUND(D14*E14,2)</f>
        <v>3045908.37</v>
      </c>
      <c r="G14" s="38"/>
      <c r="H14" s="109">
        <v>1.4919999999999999E-2</v>
      </c>
      <c r="I14" s="307">
        <f>ROUND(D14*H14,2)</f>
        <v>3314730.33</v>
      </c>
      <c r="J14" s="365"/>
      <c r="K14" s="307">
        <f>I14-F14</f>
        <v>268821.95999999996</v>
      </c>
      <c r="L14" s="310">
        <f>IFERROR(ROUND(K14/F14,5), )</f>
        <v>8.8260000000000005E-2</v>
      </c>
      <c r="M14" s="358"/>
      <c r="N14" s="358"/>
      <c r="O14" s="101">
        <f>I36-O12</f>
        <v>815.4562863111496</v>
      </c>
    </row>
    <row r="15" spans="1:15" x14ac:dyDescent="0.2">
      <c r="B15" s="321" t="s">
        <v>125</v>
      </c>
      <c r="C15" s="314"/>
      <c r="D15" s="38"/>
      <c r="E15" s="44"/>
      <c r="F15" s="315">
        <f>SUM(F12:F14)</f>
        <v>111008799.91000001</v>
      </c>
      <c r="G15" s="38"/>
      <c r="H15" s="38"/>
      <c r="I15" s="102">
        <f>SUM(I12:I14)</f>
        <v>122121000.06</v>
      </c>
      <c r="J15" s="307"/>
      <c r="K15" s="315">
        <f>SUM(K12:K14)</f>
        <v>11112200.150000002</v>
      </c>
      <c r="L15" s="316">
        <f>IFERROR(ROUND(K15/F15,5), )</f>
        <v>0.10009999999999999</v>
      </c>
      <c r="M15" s="363"/>
      <c r="N15" s="320"/>
      <c r="O15" s="103"/>
    </row>
    <row r="16" spans="1:15" x14ac:dyDescent="0.2">
      <c r="B16" s="305"/>
      <c r="C16" s="35"/>
      <c r="D16" s="44"/>
      <c r="E16" s="44"/>
      <c r="F16" s="307"/>
      <c r="G16" s="38"/>
      <c r="H16" s="38"/>
      <c r="I16" s="82"/>
      <c r="J16" s="307"/>
      <c r="K16" s="307"/>
      <c r="L16" s="310"/>
      <c r="M16" s="363"/>
      <c r="N16" s="320"/>
      <c r="O16" s="366">
        <v>9.5490287038700439E-2</v>
      </c>
    </row>
    <row r="17" spans="1:15" x14ac:dyDescent="0.2">
      <c r="B17" s="321" t="s">
        <v>221</v>
      </c>
      <c r="C17" s="35"/>
      <c r="D17" s="44"/>
      <c r="E17" s="35"/>
      <c r="F17" s="315">
        <f>F15</f>
        <v>111008799.91000001</v>
      </c>
      <c r="G17" s="104"/>
      <c r="H17" s="105"/>
      <c r="I17" s="102">
        <f>I15</f>
        <v>122121000.06</v>
      </c>
      <c r="J17" s="307"/>
      <c r="K17" s="102">
        <f>K15</f>
        <v>11112200.150000002</v>
      </c>
      <c r="L17" s="316">
        <f>ROUND(K17/F17,5)</f>
        <v>0.10009999999999999</v>
      </c>
      <c r="M17" s="363"/>
      <c r="N17" s="320"/>
      <c r="O17" s="325"/>
    </row>
    <row r="18" spans="1:15" x14ac:dyDescent="0.2">
      <c r="B18" s="367"/>
      <c r="C18" s="368"/>
      <c r="D18" s="77"/>
      <c r="E18" s="106"/>
      <c r="F18" s="107"/>
      <c r="G18" s="77"/>
      <c r="H18" s="108"/>
      <c r="I18" s="78"/>
      <c r="J18" s="369"/>
      <c r="K18" s="369"/>
      <c r="L18" s="370"/>
      <c r="M18" s="363"/>
      <c r="N18" s="320"/>
      <c r="O18" s="35"/>
    </row>
    <row r="19" spans="1:15" x14ac:dyDescent="0.2">
      <c r="A19" s="35"/>
      <c r="B19" s="35"/>
      <c r="C19" s="35"/>
      <c r="D19" s="44"/>
      <c r="E19" s="35"/>
      <c r="F19" s="298"/>
      <c r="G19" s="104"/>
      <c r="H19" s="105"/>
      <c r="I19" s="298"/>
      <c r="J19" s="298"/>
      <c r="K19" s="307"/>
      <c r="L19" s="371"/>
      <c r="M19" s="363"/>
      <c r="N19" s="320"/>
      <c r="O19" s="35"/>
    </row>
    <row r="20" spans="1:15" x14ac:dyDescent="0.2">
      <c r="A20" s="35"/>
      <c r="B20" s="84" t="s">
        <v>134</v>
      </c>
      <c r="C20" s="361"/>
      <c r="D20" s="301"/>
      <c r="E20" s="301"/>
      <c r="F20" s="303"/>
      <c r="G20" s="362"/>
      <c r="H20" s="244"/>
      <c r="I20" s="303"/>
      <c r="J20" s="303"/>
      <c r="K20" s="303"/>
      <c r="L20" s="324"/>
      <c r="M20" s="363"/>
      <c r="N20" s="320"/>
      <c r="O20" s="35"/>
    </row>
    <row r="21" spans="1:15" x14ac:dyDescent="0.2">
      <c r="A21" s="35"/>
      <c r="B21" s="305"/>
      <c r="C21" s="35"/>
      <c r="D21" s="279"/>
      <c r="E21" s="35"/>
      <c r="F21" s="307"/>
      <c r="G21" s="38"/>
      <c r="H21" s="44"/>
      <c r="I21" s="307"/>
      <c r="J21" s="307"/>
      <c r="K21" s="307"/>
      <c r="L21" s="310"/>
      <c r="M21" s="363"/>
      <c r="N21" s="320"/>
      <c r="O21" s="35"/>
    </row>
    <row r="22" spans="1:15" x14ac:dyDescent="0.2">
      <c r="A22" s="35"/>
      <c r="B22" s="72" t="s">
        <v>89</v>
      </c>
      <c r="C22" s="73" t="s">
        <v>90</v>
      </c>
      <c r="D22" s="38">
        <v>24</v>
      </c>
      <c r="E22" s="89">
        <v>364.04</v>
      </c>
      <c r="F22" s="307">
        <f>ROUND(D22*E22,2)</f>
        <v>8736.9599999999991</v>
      </c>
      <c r="G22" s="38"/>
      <c r="H22" s="309">
        <f>E22</f>
        <v>364.04</v>
      </c>
      <c r="I22" s="82">
        <f>ROUND(D22*H22,2)</f>
        <v>8736.9599999999991</v>
      </c>
      <c r="J22" s="307"/>
      <c r="K22" s="307">
        <f>I22-F22</f>
        <v>0</v>
      </c>
      <c r="L22" s="310">
        <f>IFERROR(ROUND(K22/F22,5), )</f>
        <v>0</v>
      </c>
      <c r="M22" s="363"/>
      <c r="N22" s="320"/>
      <c r="O22" s="35"/>
    </row>
    <row r="23" spans="1:15" x14ac:dyDescent="0.2">
      <c r="A23" s="35"/>
      <c r="B23" s="305" t="s">
        <v>91</v>
      </c>
      <c r="C23" s="35" t="s">
        <v>92</v>
      </c>
      <c r="D23" s="38">
        <v>36958.529999999992</v>
      </c>
      <c r="E23" s="75">
        <v>0.37956000000000001</v>
      </c>
      <c r="F23" s="307">
        <f>ROUND(D23*E23,2)</f>
        <v>14027.98</v>
      </c>
      <c r="G23" s="38"/>
      <c r="H23" s="109">
        <f>H13</f>
        <v>0.41249000000000002</v>
      </c>
      <c r="I23" s="82">
        <f>ROUND(D23*H23,2)</f>
        <v>15245.02</v>
      </c>
      <c r="J23" s="307"/>
      <c r="K23" s="307">
        <f>I23-F23</f>
        <v>1217.0400000000009</v>
      </c>
      <c r="L23" s="310">
        <f>IFERROR(ROUND(K23/F23,5), )</f>
        <v>8.6760000000000004E-2</v>
      </c>
      <c r="M23" s="363"/>
      <c r="N23" s="320"/>
      <c r="O23" s="35"/>
    </row>
    <row r="24" spans="1:15" x14ac:dyDescent="0.2">
      <c r="A24" s="35"/>
      <c r="B24" s="321" t="s">
        <v>125</v>
      </c>
      <c r="C24" s="314"/>
      <c r="D24" s="38"/>
      <c r="E24" s="44"/>
      <c r="F24" s="315">
        <f>SUM(F22:F23)</f>
        <v>22764.94</v>
      </c>
      <c r="G24" s="38"/>
      <c r="H24" s="38"/>
      <c r="I24" s="102">
        <f>SUM(I22:I23)</f>
        <v>23981.98</v>
      </c>
      <c r="J24" s="307"/>
      <c r="K24" s="102">
        <f>SUM(K22:K23)</f>
        <v>1217.0400000000009</v>
      </c>
      <c r="L24" s="316">
        <f>IFERROR(ROUND(K24/F24,5), )</f>
        <v>5.3460000000000001E-2</v>
      </c>
      <c r="M24" s="363"/>
      <c r="N24" s="320"/>
      <c r="O24" s="35"/>
    </row>
    <row r="25" spans="1:15" x14ac:dyDescent="0.2">
      <c r="A25" s="35"/>
      <c r="B25" s="305"/>
      <c r="C25" s="35"/>
      <c r="D25" s="35"/>
      <c r="E25" s="35"/>
      <c r="F25" s="281"/>
      <c r="G25" s="38"/>
      <c r="H25" s="44"/>
      <c r="I25" s="281"/>
      <c r="J25" s="281"/>
      <c r="K25" s="281"/>
      <c r="L25" s="310"/>
      <c r="M25" s="363"/>
      <c r="N25" s="320"/>
      <c r="O25" s="35"/>
    </row>
    <row r="26" spans="1:15" x14ac:dyDescent="0.2">
      <c r="A26" s="35"/>
      <c r="B26" s="321" t="s">
        <v>221</v>
      </c>
      <c r="C26" s="35"/>
      <c r="D26" s="44"/>
      <c r="E26" s="35"/>
      <c r="F26" s="315">
        <f>F24</f>
        <v>22764.94</v>
      </c>
      <c r="G26" s="104"/>
      <c r="H26" s="105"/>
      <c r="I26" s="315">
        <f>I24</f>
        <v>23981.98</v>
      </c>
      <c r="J26" s="307"/>
      <c r="K26" s="315">
        <v>1223.6925354000009</v>
      </c>
      <c r="L26" s="316">
        <f>ROUND(K26/F26,5)</f>
        <v>5.3749999999999999E-2</v>
      </c>
      <c r="M26" s="363"/>
      <c r="N26" s="320"/>
      <c r="O26" s="35"/>
    </row>
    <row r="27" spans="1:15" x14ac:dyDescent="0.2">
      <c r="A27" s="35"/>
      <c r="B27" s="367"/>
      <c r="C27" s="368"/>
      <c r="D27" s="77"/>
      <c r="E27" s="106"/>
      <c r="F27" s="107"/>
      <c r="G27" s="77"/>
      <c r="H27" s="108"/>
      <c r="I27" s="78"/>
      <c r="J27" s="369"/>
      <c r="K27" s="369"/>
      <c r="L27" s="370"/>
      <c r="M27" s="363"/>
      <c r="N27" s="320"/>
      <c r="O27" s="35"/>
    </row>
    <row r="28" spans="1:15" x14ac:dyDescent="0.2">
      <c r="A28" s="35"/>
      <c r="B28" s="35"/>
      <c r="C28" s="35"/>
      <c r="D28" s="44"/>
      <c r="E28" s="35"/>
      <c r="F28" s="298"/>
      <c r="G28" s="104"/>
      <c r="H28" s="105"/>
      <c r="I28" s="298"/>
      <c r="J28" s="298"/>
      <c r="K28" s="307"/>
      <c r="L28" s="371"/>
      <c r="M28" s="363"/>
      <c r="N28" s="320"/>
      <c r="O28" s="35"/>
    </row>
    <row r="29" spans="1:15" x14ac:dyDescent="0.2">
      <c r="A29" s="35"/>
      <c r="B29" s="299" t="s">
        <v>135</v>
      </c>
      <c r="C29" s="361"/>
      <c r="D29" s="301"/>
      <c r="E29" s="301"/>
      <c r="F29" s="303"/>
      <c r="G29" s="362"/>
      <c r="H29" s="244"/>
      <c r="I29" s="303"/>
      <c r="J29" s="303"/>
      <c r="K29" s="303"/>
      <c r="L29" s="324"/>
      <c r="M29" s="363"/>
      <c r="N29" s="320"/>
      <c r="O29" s="35"/>
    </row>
    <row r="30" spans="1:15" x14ac:dyDescent="0.2">
      <c r="A30" s="35"/>
      <c r="B30" s="305"/>
      <c r="C30" s="35"/>
      <c r="D30" s="279"/>
      <c r="E30" s="35"/>
      <c r="F30" s="307"/>
      <c r="G30" s="38"/>
      <c r="H30" s="44"/>
      <c r="I30" s="307"/>
      <c r="J30" s="307"/>
      <c r="K30" s="307"/>
      <c r="L30" s="310"/>
      <c r="M30" s="363"/>
      <c r="N30" s="320"/>
      <c r="O30" s="35"/>
    </row>
    <row r="31" spans="1:15" x14ac:dyDescent="0.2">
      <c r="A31" s="35"/>
      <c r="B31" s="72" t="s">
        <v>89</v>
      </c>
      <c r="C31" s="73" t="s">
        <v>90</v>
      </c>
      <c r="D31" s="38">
        <f>D12+D22</f>
        <v>698523.36081828561</v>
      </c>
      <c r="E31" s="89"/>
      <c r="F31" s="307">
        <f>F12+F22</f>
        <v>23645955.330000002</v>
      </c>
      <c r="G31" s="38"/>
      <c r="H31" s="110"/>
      <c r="I31" s="307">
        <f>I12+I22</f>
        <v>27173377.100000001</v>
      </c>
      <c r="J31" s="307"/>
      <c r="K31" s="307">
        <f>I31-F31</f>
        <v>3527421.7699999996</v>
      </c>
      <c r="L31" s="310">
        <f>IFERROR(ROUND(K31/F31,5), )</f>
        <v>0.14918000000000001</v>
      </c>
      <c r="M31" s="363"/>
      <c r="N31" s="320"/>
      <c r="O31" s="35"/>
    </row>
    <row r="32" spans="1:15" x14ac:dyDescent="0.2">
      <c r="A32" s="35"/>
      <c r="B32" s="305" t="s">
        <v>91</v>
      </c>
      <c r="C32" s="35" t="s">
        <v>92</v>
      </c>
      <c r="D32" s="38">
        <f>D13+D23</f>
        <v>222203870.67539161</v>
      </c>
      <c r="E32" s="75"/>
      <c r="F32" s="307">
        <f>F13+F23</f>
        <v>84339701.150000006</v>
      </c>
      <c r="G32" s="38"/>
      <c r="H32" s="93"/>
      <c r="I32" s="307">
        <f>I13+I23</f>
        <v>91656874.609999999</v>
      </c>
      <c r="J32" s="307"/>
      <c r="K32" s="307">
        <f>I32-F32</f>
        <v>7317173.4599999934</v>
      </c>
      <c r="L32" s="310">
        <f>IFERROR(ROUND(K32/F32,5), )</f>
        <v>8.6760000000000004E-2</v>
      </c>
      <c r="M32" s="363"/>
      <c r="N32" s="320"/>
      <c r="O32" s="35"/>
    </row>
    <row r="33" spans="1:15" x14ac:dyDescent="0.2">
      <c r="A33" s="35"/>
      <c r="B33" s="305" t="s">
        <v>94</v>
      </c>
      <c r="C33" s="35" t="s">
        <v>92</v>
      </c>
      <c r="D33" s="38">
        <f>D14</f>
        <v>222166912.14539161</v>
      </c>
      <c r="E33" s="75"/>
      <c r="F33" s="307">
        <f>F14</f>
        <v>3045908.37</v>
      </c>
      <c r="G33" s="38"/>
      <c r="H33" s="93"/>
      <c r="I33" s="307">
        <f>I14</f>
        <v>3314730.33</v>
      </c>
      <c r="J33" s="307"/>
      <c r="K33" s="307">
        <f>I33-F33</f>
        <v>268821.95999999996</v>
      </c>
      <c r="L33" s="310">
        <f>IFERROR(ROUND(K33/F33,5), )</f>
        <v>8.8260000000000005E-2</v>
      </c>
      <c r="M33" s="363"/>
      <c r="N33" s="320"/>
      <c r="O33" s="35"/>
    </row>
    <row r="34" spans="1:15" x14ac:dyDescent="0.2">
      <c r="A34" s="35"/>
      <c r="B34" s="321" t="s">
        <v>125</v>
      </c>
      <c r="C34" s="314"/>
      <c r="D34" s="38"/>
      <c r="E34" s="44"/>
      <c r="F34" s="315">
        <f>SUM(F31:F33)</f>
        <v>111031564.85000001</v>
      </c>
      <c r="G34" s="38"/>
      <c r="H34" s="38"/>
      <c r="I34" s="315">
        <f>SUM(I31:I33)</f>
        <v>122144982.04000001</v>
      </c>
      <c r="J34" s="307"/>
      <c r="K34" s="315">
        <f>SUM(K31:K33)</f>
        <v>11113417.189999994</v>
      </c>
      <c r="L34" s="316">
        <f>IFERROR(ROUND(K34/F34,5), )</f>
        <v>0.10009</v>
      </c>
      <c r="M34" s="363"/>
      <c r="N34" s="320"/>
      <c r="O34" s="35"/>
    </row>
    <row r="35" spans="1:15" x14ac:dyDescent="0.2">
      <c r="A35" s="35"/>
      <c r="B35" s="321"/>
      <c r="C35" s="314"/>
      <c r="D35" s="38"/>
      <c r="E35" s="44"/>
      <c r="F35" s="307"/>
      <c r="G35" s="38"/>
      <c r="H35" s="38"/>
      <c r="I35" s="307"/>
      <c r="J35" s="307"/>
      <c r="K35" s="307"/>
      <c r="L35" s="310"/>
      <c r="M35" s="363"/>
      <c r="N35" s="320"/>
      <c r="O35" s="35"/>
    </row>
    <row r="36" spans="1:15" x14ac:dyDescent="0.2">
      <c r="A36" s="35"/>
      <c r="B36" s="321" t="s">
        <v>221</v>
      </c>
      <c r="C36" s="35"/>
      <c r="D36" s="44"/>
      <c r="E36" s="35"/>
      <c r="F36" s="315">
        <f>F34</f>
        <v>111031564.85000001</v>
      </c>
      <c r="G36" s="104"/>
      <c r="H36" s="105"/>
      <c r="I36" s="315">
        <f>I34</f>
        <v>122144982.04000001</v>
      </c>
      <c r="J36" s="307"/>
      <c r="K36" s="315">
        <f>K34</f>
        <v>11113417.189999994</v>
      </c>
      <c r="L36" s="316">
        <f>ROUND(K36/F36,5)</f>
        <v>0.10009</v>
      </c>
      <c r="M36" s="363"/>
      <c r="N36" s="320"/>
      <c r="O36" s="35"/>
    </row>
    <row r="37" spans="1:15" x14ac:dyDescent="0.2">
      <c r="A37" s="35"/>
      <c r="B37" s="367"/>
      <c r="C37" s="368"/>
      <c r="D37" s="77"/>
      <c r="E37" s="106"/>
      <c r="F37" s="107"/>
      <c r="G37" s="77"/>
      <c r="H37" s="108"/>
      <c r="I37" s="78"/>
      <c r="J37" s="369"/>
      <c r="K37" s="369"/>
      <c r="L37" s="370"/>
      <c r="M37" s="363"/>
      <c r="N37" s="320"/>
      <c r="O37" s="35"/>
    </row>
    <row r="38" spans="1:15" x14ac:dyDescent="0.2">
      <c r="A38" s="35"/>
      <c r="B38" s="35"/>
      <c r="C38" s="35"/>
      <c r="D38" s="44"/>
      <c r="E38" s="35"/>
      <c r="F38" s="298"/>
      <c r="G38" s="104"/>
      <c r="H38" s="105"/>
      <c r="I38" s="298"/>
      <c r="J38" s="298"/>
      <c r="K38" s="307"/>
      <c r="L38" s="371"/>
      <c r="M38" s="363"/>
      <c r="N38" s="320"/>
      <c r="O38" s="35"/>
    </row>
    <row r="39" spans="1:15" x14ac:dyDescent="0.2">
      <c r="B39" s="84" t="s">
        <v>136</v>
      </c>
      <c r="C39" s="361"/>
      <c r="D39" s="244"/>
      <c r="E39" s="301"/>
      <c r="F39" s="303"/>
      <c r="G39" s="244"/>
      <c r="H39" s="244"/>
      <c r="I39" s="303"/>
      <c r="J39" s="303"/>
      <c r="K39" s="303"/>
      <c r="L39" s="324"/>
      <c r="M39" s="363"/>
      <c r="N39" s="320"/>
    </row>
    <row r="40" spans="1:15" x14ac:dyDescent="0.2">
      <c r="B40" s="85"/>
      <c r="C40" s="35"/>
      <c r="D40" s="44"/>
      <c r="E40" s="44"/>
      <c r="F40" s="307"/>
      <c r="G40" s="86"/>
      <c r="H40" s="44"/>
      <c r="I40" s="307"/>
      <c r="J40" s="307"/>
      <c r="K40" s="307"/>
      <c r="L40" s="310"/>
      <c r="M40" s="363"/>
      <c r="N40" s="320"/>
      <c r="O40" s="111" t="s">
        <v>137</v>
      </c>
    </row>
    <row r="41" spans="1:15" x14ac:dyDescent="0.2">
      <c r="B41" s="72" t="s">
        <v>89</v>
      </c>
      <c r="C41" s="73" t="s">
        <v>90</v>
      </c>
      <c r="D41" s="38">
        <v>14991.599999999999</v>
      </c>
      <c r="E41" s="89">
        <v>113.4</v>
      </c>
      <c r="F41" s="307">
        <f>ROUND(D41*E41,2)</f>
        <v>1700047.44</v>
      </c>
      <c r="G41" s="38"/>
      <c r="H41" s="309">
        <v>130.33000000000001</v>
      </c>
      <c r="I41" s="307">
        <f>ROUND(D41*H41,2)</f>
        <v>1953855.23</v>
      </c>
      <c r="J41" s="307"/>
      <c r="K41" s="307">
        <f>I41-F41</f>
        <v>253807.79000000004</v>
      </c>
      <c r="L41" s="308">
        <f t="shared" ref="L41:L43" si="0">IFERROR(ROUND(K41/F41,5), )</f>
        <v>0.14929000000000001</v>
      </c>
      <c r="M41" s="363"/>
      <c r="N41" s="320"/>
      <c r="O41" s="74">
        <v>22261666.953032859</v>
      </c>
    </row>
    <row r="42" spans="1:15" x14ac:dyDescent="0.2">
      <c r="B42" s="85" t="s">
        <v>96</v>
      </c>
      <c r="C42" s="73" t="s">
        <v>90</v>
      </c>
      <c r="D42" s="38">
        <f>D41</f>
        <v>14991.599999999999</v>
      </c>
      <c r="E42" s="89">
        <v>123.82</v>
      </c>
      <c r="F42" s="298">
        <f>D42*E42</f>
        <v>1856259.9119999998</v>
      </c>
      <c r="G42" s="38"/>
      <c r="H42" s="309">
        <f>ROUND(H46*900,2)</f>
        <v>126.28</v>
      </c>
      <c r="I42" s="298">
        <f>ROUND(D42*H42,2)</f>
        <v>1893139.25</v>
      </c>
      <c r="J42" s="298"/>
      <c r="K42" s="307">
        <f>I42-F42</f>
        <v>36879.338000000222</v>
      </c>
      <c r="L42" s="308">
        <f t="shared" si="0"/>
        <v>1.9869999999999999E-2</v>
      </c>
      <c r="M42" s="363"/>
      <c r="N42" s="296"/>
      <c r="O42" s="112" t="s">
        <v>122</v>
      </c>
    </row>
    <row r="43" spans="1:15" x14ac:dyDescent="0.2">
      <c r="B43" s="85" t="s">
        <v>97</v>
      </c>
      <c r="C43" s="35" t="s">
        <v>95</v>
      </c>
      <c r="D43" s="38">
        <v>4828804.7110000001</v>
      </c>
      <c r="E43" s="89">
        <v>1.25</v>
      </c>
      <c r="F43" s="298">
        <f>ROUND(D43*E43,2)</f>
        <v>6036005.8899999997</v>
      </c>
      <c r="G43" s="38"/>
      <c r="H43" s="309">
        <f>ROUND(E43*(1+$O$45),2)</f>
        <v>1.37</v>
      </c>
      <c r="I43" s="298">
        <f>ROUND(D43*H43,2)</f>
        <v>6615462.4500000002</v>
      </c>
      <c r="J43" s="298"/>
      <c r="K43" s="307">
        <f>I43-F43</f>
        <v>579456.56000000052</v>
      </c>
      <c r="L43" s="308">
        <f t="shared" si="0"/>
        <v>9.6000000000000002E-2</v>
      </c>
      <c r="M43" s="363"/>
      <c r="N43" s="296"/>
      <c r="O43" s="101">
        <f>I86-O41</f>
        <v>130.10030537843704</v>
      </c>
    </row>
    <row r="44" spans="1:15" x14ac:dyDescent="0.2">
      <c r="B44" s="85"/>
      <c r="C44" s="35"/>
      <c r="D44" s="38"/>
      <c r="E44" s="89"/>
      <c r="F44" s="365"/>
      <c r="G44" s="38"/>
      <c r="H44" s="89"/>
      <c r="I44" s="298"/>
      <c r="J44" s="298"/>
      <c r="K44" s="326"/>
      <c r="L44" s="372"/>
      <c r="M44" s="363"/>
      <c r="N44" s="296"/>
      <c r="O44" s="113"/>
    </row>
    <row r="45" spans="1:15" x14ac:dyDescent="0.2">
      <c r="B45" s="85" t="s">
        <v>98</v>
      </c>
      <c r="C45" s="35"/>
      <c r="D45" s="38"/>
      <c r="E45" s="89"/>
      <c r="F45" s="298"/>
      <c r="G45" s="38"/>
      <c r="H45" s="89"/>
      <c r="I45" s="298"/>
      <c r="J45" s="298"/>
      <c r="K45" s="326"/>
      <c r="L45" s="372"/>
      <c r="M45" s="363"/>
      <c r="N45" s="296"/>
      <c r="O45" s="366">
        <v>9.5490287038700439E-2</v>
      </c>
    </row>
    <row r="46" spans="1:15" x14ac:dyDescent="0.2">
      <c r="B46" s="85" t="s">
        <v>99</v>
      </c>
      <c r="C46" s="35" t="s">
        <v>92</v>
      </c>
      <c r="D46" s="38">
        <v>12213411.474000001</v>
      </c>
      <c r="E46" s="75">
        <v>0.13758000000000001</v>
      </c>
      <c r="F46" s="307" t="s">
        <v>100</v>
      </c>
      <c r="G46" s="38"/>
      <c r="H46" s="109">
        <f>H47</f>
        <v>0.14030999999999999</v>
      </c>
      <c r="I46" s="307" t="s">
        <v>100</v>
      </c>
      <c r="J46" s="307"/>
      <c r="K46" s="307"/>
      <c r="L46" s="310"/>
      <c r="M46" s="363"/>
      <c r="N46" s="320"/>
    </row>
    <row r="47" spans="1:15" x14ac:dyDescent="0.2">
      <c r="B47" s="85" t="s">
        <v>101</v>
      </c>
      <c r="C47" s="35" t="s">
        <v>92</v>
      </c>
      <c r="D47" s="38">
        <v>27469287.989699997</v>
      </c>
      <c r="E47" s="75">
        <v>0.13758000000000001</v>
      </c>
      <c r="F47" s="307">
        <f>ROUND(D47*E47,2)</f>
        <v>3779224.64</v>
      </c>
      <c r="G47" s="38"/>
      <c r="H47" s="109">
        <v>0.14030999999999999</v>
      </c>
      <c r="I47" s="307">
        <f>ROUND(D47*H47,2)</f>
        <v>3854215.8</v>
      </c>
      <c r="J47" s="307"/>
      <c r="K47" s="307">
        <f>I47-F47</f>
        <v>74991.159999999683</v>
      </c>
      <c r="L47" s="308">
        <f t="shared" ref="L47:L48" si="1">IFERROR(ROUND(K47/F47,5), )</f>
        <v>1.984E-2</v>
      </c>
      <c r="M47" s="363"/>
      <c r="N47" s="320"/>
    </row>
    <row r="48" spans="1:15" x14ac:dyDescent="0.2">
      <c r="B48" s="85" t="s">
        <v>102</v>
      </c>
      <c r="C48" s="35" t="s">
        <v>92</v>
      </c>
      <c r="D48" s="38">
        <v>22835291.693248168</v>
      </c>
      <c r="E48" s="75">
        <v>0.11074000000000001</v>
      </c>
      <c r="F48" s="307">
        <f>ROUND(D48*E48,2)</f>
        <v>2528780.2000000002</v>
      </c>
      <c r="G48" s="38"/>
      <c r="H48" s="109">
        <f>ROUND(E48*(1+$O$45),5)</f>
        <v>0.12131</v>
      </c>
      <c r="I48" s="307">
        <f>ROUND(D48*H48,2)</f>
        <v>2770149.24</v>
      </c>
      <c r="J48" s="307"/>
      <c r="K48" s="307">
        <f>I48-F48</f>
        <v>241369.04000000004</v>
      </c>
      <c r="L48" s="308">
        <f t="shared" si="1"/>
        <v>9.5449999999999993E-2</v>
      </c>
      <c r="M48" s="363"/>
      <c r="N48" s="320"/>
      <c r="O48" s="82"/>
    </row>
    <row r="49" spans="1:16" s="41" customFormat="1" x14ac:dyDescent="0.2">
      <c r="A49" s="44"/>
      <c r="B49" s="72" t="s">
        <v>103</v>
      </c>
      <c r="C49" s="314"/>
      <c r="D49" s="15">
        <f>SUM(D46:D48)</f>
        <v>62517991.156948164</v>
      </c>
      <c r="E49" s="279"/>
      <c r="F49" s="298"/>
      <c r="G49" s="38"/>
      <c r="H49" s="38"/>
      <c r="I49" s="44"/>
      <c r="J49" s="44"/>
      <c r="K49" s="44"/>
      <c r="L49" s="90"/>
      <c r="M49" s="114"/>
      <c r="N49" s="94"/>
      <c r="O49" s="44"/>
    </row>
    <row r="50" spans="1:16" s="41" customFormat="1" x14ac:dyDescent="0.2">
      <c r="A50" s="44"/>
      <c r="B50" s="72" t="s">
        <v>94</v>
      </c>
      <c r="C50" s="35" t="s">
        <v>92</v>
      </c>
      <c r="D50" s="38">
        <f>D49</f>
        <v>62517991.156948164</v>
      </c>
      <c r="E50" s="373">
        <v>1.005E-2</v>
      </c>
      <c r="F50" s="298">
        <f>D50*E50</f>
        <v>628305.81112732901</v>
      </c>
      <c r="G50" s="38"/>
      <c r="H50" s="109">
        <v>1.119E-2</v>
      </c>
      <c r="I50" s="298">
        <f>D50*H50</f>
        <v>699576.32104624994</v>
      </c>
      <c r="J50" s="298"/>
      <c r="K50" s="307">
        <f>I50-F50</f>
        <v>71270.509918920929</v>
      </c>
      <c r="L50" s="308">
        <f>IFERROR(ROUND(K50/F50,5), )</f>
        <v>0.11343</v>
      </c>
      <c r="M50" s="114"/>
      <c r="N50" s="94"/>
      <c r="O50" s="44"/>
      <c r="P50" s="23"/>
    </row>
    <row r="51" spans="1:16" x14ac:dyDescent="0.2">
      <c r="B51" s="321" t="s">
        <v>125</v>
      </c>
      <c r="C51" s="314"/>
      <c r="D51" s="15"/>
      <c r="E51" s="279"/>
      <c r="F51" s="374">
        <f>SUM(F41:F50)</f>
        <v>16528623.893127328</v>
      </c>
      <c r="G51" s="38"/>
      <c r="H51" s="38"/>
      <c r="I51" s="374">
        <f>SUM(I41:I43,I47:I50)</f>
        <v>17786398.291046247</v>
      </c>
      <c r="J51" s="298"/>
      <c r="K51" s="374">
        <f>SUM(K41:K50)</f>
        <v>1257774.3979189214</v>
      </c>
      <c r="L51" s="316">
        <f>ROUND(K51/F51,5)</f>
        <v>7.6100000000000001E-2</v>
      </c>
      <c r="M51" s="363"/>
      <c r="N51" s="320"/>
      <c r="O51" s="95"/>
    </row>
    <row r="52" spans="1:16" x14ac:dyDescent="0.2">
      <c r="B52" s="72"/>
      <c r="C52" s="314"/>
      <c r="D52" s="38"/>
      <c r="E52" s="35"/>
      <c r="F52" s="307"/>
      <c r="G52" s="38"/>
      <c r="H52" s="38"/>
      <c r="I52" s="298"/>
      <c r="J52" s="298"/>
      <c r="K52" s="307"/>
      <c r="L52" s="310"/>
      <c r="M52" s="363"/>
      <c r="N52" s="320"/>
      <c r="O52" s="115"/>
    </row>
    <row r="53" spans="1:16" x14ac:dyDescent="0.2">
      <c r="B53" s="72" t="s">
        <v>221</v>
      </c>
      <c r="C53" s="314"/>
      <c r="D53" s="44"/>
      <c r="E53" s="38"/>
      <c r="F53" s="374">
        <f>+F51</f>
        <v>16528623.893127328</v>
      </c>
      <c r="G53" s="38"/>
      <c r="H53" s="38"/>
      <c r="I53" s="374">
        <f>+I51</f>
        <v>17786398.291046247</v>
      </c>
      <c r="J53" s="298"/>
      <c r="K53" s="315">
        <f>K51</f>
        <v>1257774.3979189214</v>
      </c>
      <c r="L53" s="316">
        <f>ROUND(K53/F53,5)</f>
        <v>7.6100000000000001E-2</v>
      </c>
      <c r="M53" s="363"/>
      <c r="N53" s="320"/>
      <c r="O53" s="44"/>
    </row>
    <row r="54" spans="1:16" s="41" customFormat="1" x14ac:dyDescent="0.2">
      <c r="B54" s="76"/>
      <c r="C54" s="77"/>
      <c r="D54" s="77"/>
      <c r="E54" s="77"/>
      <c r="F54" s="78"/>
      <c r="G54" s="77"/>
      <c r="H54" s="77"/>
      <c r="I54" s="107"/>
      <c r="J54" s="107"/>
      <c r="K54" s="78"/>
      <c r="L54" s="80"/>
      <c r="M54" s="114"/>
      <c r="N54" s="94"/>
      <c r="O54" s="44"/>
    </row>
    <row r="55" spans="1:16" s="41" customFormat="1" x14ac:dyDescent="0.2">
      <c r="A55" s="44"/>
      <c r="B55" s="44"/>
      <c r="C55" s="44"/>
      <c r="D55" s="44"/>
      <c r="E55" s="44"/>
      <c r="F55" s="82"/>
      <c r="G55" s="44"/>
      <c r="H55" s="44"/>
      <c r="I55" s="116"/>
      <c r="J55" s="116"/>
      <c r="K55" s="82"/>
      <c r="L55" s="83"/>
      <c r="M55" s="114"/>
      <c r="N55" s="94"/>
      <c r="O55" s="44"/>
    </row>
    <row r="56" spans="1:16" s="41" customFormat="1" x14ac:dyDescent="0.2">
      <c r="A56" s="44"/>
      <c r="B56" s="84" t="s">
        <v>138</v>
      </c>
      <c r="C56" s="361"/>
      <c r="D56" s="244"/>
      <c r="E56" s="301"/>
      <c r="F56" s="303"/>
      <c r="G56" s="244"/>
      <c r="H56" s="244"/>
      <c r="I56" s="303"/>
      <c r="J56" s="303"/>
      <c r="K56" s="303"/>
      <c r="L56" s="324"/>
      <c r="M56" s="114"/>
      <c r="N56" s="94"/>
      <c r="O56" s="44"/>
    </row>
    <row r="57" spans="1:16" s="41" customFormat="1" x14ac:dyDescent="0.2">
      <c r="A57" s="44"/>
      <c r="B57" s="85"/>
      <c r="C57" s="35"/>
      <c r="D57" s="44"/>
      <c r="E57" s="44"/>
      <c r="F57" s="307"/>
      <c r="G57" s="86"/>
      <c r="H57" s="44"/>
      <c r="I57" s="307"/>
      <c r="J57" s="307"/>
      <c r="K57" s="307"/>
      <c r="L57" s="310"/>
      <c r="M57" s="114"/>
      <c r="N57" s="94"/>
      <c r="O57" s="44"/>
    </row>
    <row r="58" spans="1:16" s="41" customFormat="1" x14ac:dyDescent="0.2">
      <c r="A58" s="44"/>
      <c r="B58" s="72" t="s">
        <v>89</v>
      </c>
      <c r="C58" s="73" t="s">
        <v>90</v>
      </c>
      <c r="D58" s="38">
        <v>1040</v>
      </c>
      <c r="E58" s="89">
        <v>422.79</v>
      </c>
      <c r="F58" s="307">
        <f>ROUND(D58*E58,2)</f>
        <v>439701.6</v>
      </c>
      <c r="G58" s="38"/>
      <c r="H58" s="309">
        <f>E58</f>
        <v>422.79</v>
      </c>
      <c r="I58" s="307">
        <f>ROUND(D58*H58,2)</f>
        <v>439701.6</v>
      </c>
      <c r="J58" s="307"/>
      <c r="K58" s="307">
        <f>I58-F58</f>
        <v>0</v>
      </c>
      <c r="L58" s="308">
        <f t="shared" ref="L58:L60" si="2">IFERROR(ROUND(K58/F58,5), )</f>
        <v>0</v>
      </c>
      <c r="M58" s="114"/>
      <c r="N58" s="94"/>
      <c r="O58" s="73"/>
    </row>
    <row r="59" spans="1:16" s="41" customFormat="1" x14ac:dyDescent="0.2">
      <c r="A59" s="44"/>
      <c r="B59" s="85" t="s">
        <v>96</v>
      </c>
      <c r="C59" s="73" t="s">
        <v>90</v>
      </c>
      <c r="D59" s="38">
        <f>D58</f>
        <v>1040</v>
      </c>
      <c r="E59" s="89">
        <v>123.82</v>
      </c>
      <c r="F59" s="298">
        <f>D59*E59</f>
        <v>128772.79999999999</v>
      </c>
      <c r="G59" s="38"/>
      <c r="H59" s="309">
        <f>H42</f>
        <v>126.28</v>
      </c>
      <c r="I59" s="298">
        <f>ROUND(D59*H59,2)</f>
        <v>131331.20000000001</v>
      </c>
      <c r="J59" s="298"/>
      <c r="K59" s="307">
        <f>I59-F59</f>
        <v>2558.4000000000233</v>
      </c>
      <c r="L59" s="308">
        <f t="shared" si="2"/>
        <v>1.9869999999999999E-2</v>
      </c>
      <c r="M59" s="114"/>
      <c r="N59" s="94"/>
      <c r="O59" s="44"/>
    </row>
    <row r="60" spans="1:16" s="41" customFormat="1" x14ac:dyDescent="0.2">
      <c r="A60" s="44"/>
      <c r="B60" s="85" t="s">
        <v>97</v>
      </c>
      <c r="C60" s="35" t="s">
        <v>95</v>
      </c>
      <c r="D60" s="38">
        <v>1163206.9669999999</v>
      </c>
      <c r="E60" s="89">
        <v>1.25</v>
      </c>
      <c r="F60" s="298">
        <f>ROUND(D60*E60,2)</f>
        <v>1454008.71</v>
      </c>
      <c r="G60" s="38"/>
      <c r="H60" s="309">
        <f>H43</f>
        <v>1.37</v>
      </c>
      <c r="I60" s="298">
        <f>ROUND(D60*H60,2)</f>
        <v>1593593.54</v>
      </c>
      <c r="J60" s="44"/>
      <c r="K60" s="307">
        <f>I60-F60</f>
        <v>139584.83000000007</v>
      </c>
      <c r="L60" s="308">
        <f t="shared" si="2"/>
        <v>9.6000000000000002E-2</v>
      </c>
      <c r="M60" s="114"/>
      <c r="N60" s="94"/>
      <c r="O60" s="44"/>
    </row>
    <row r="61" spans="1:16" s="41" customFormat="1" x14ac:dyDescent="0.2">
      <c r="A61" s="44"/>
      <c r="B61" s="85"/>
      <c r="C61" s="35"/>
      <c r="D61" s="38"/>
      <c r="E61" s="89"/>
      <c r="F61" s="298"/>
      <c r="G61" s="38"/>
      <c r="H61" s="89"/>
      <c r="I61" s="298"/>
      <c r="J61" s="298"/>
      <c r="K61" s="326"/>
      <c r="L61" s="372"/>
      <c r="M61" s="114"/>
      <c r="N61" s="94"/>
      <c r="O61" s="44"/>
    </row>
    <row r="62" spans="1:16" s="41" customFormat="1" x14ac:dyDescent="0.2">
      <c r="A62" s="44"/>
      <c r="B62" s="85" t="s">
        <v>98</v>
      </c>
      <c r="C62" s="35"/>
      <c r="D62" s="38"/>
      <c r="E62" s="89"/>
      <c r="F62" s="307"/>
      <c r="G62" s="38"/>
      <c r="H62" s="89"/>
      <c r="I62" s="298"/>
      <c r="J62" s="298"/>
      <c r="K62" s="326"/>
      <c r="L62" s="372"/>
      <c r="M62" s="114"/>
      <c r="N62" s="94"/>
      <c r="O62" s="44"/>
    </row>
    <row r="63" spans="1:16" s="41" customFormat="1" x14ac:dyDescent="0.2">
      <c r="A63" s="44"/>
      <c r="B63" s="85" t="s">
        <v>99</v>
      </c>
      <c r="C63" s="35" t="s">
        <v>92</v>
      </c>
      <c r="D63" s="38">
        <v>1057148.28</v>
      </c>
      <c r="E63" s="75">
        <v>0.13758000000000001</v>
      </c>
      <c r="F63" s="307" t="s">
        <v>100</v>
      </c>
      <c r="G63" s="38"/>
      <c r="H63" s="109">
        <f>H46</f>
        <v>0.14030999999999999</v>
      </c>
      <c r="I63" s="307" t="s">
        <v>100</v>
      </c>
      <c r="J63" s="307"/>
      <c r="K63" s="307"/>
      <c r="L63" s="310"/>
      <c r="M63" s="114"/>
      <c r="N63" s="94"/>
      <c r="O63" s="44"/>
    </row>
    <row r="64" spans="1:16" s="41" customFormat="1" x14ac:dyDescent="0.2">
      <c r="A64" s="44"/>
      <c r="B64" s="85" t="s">
        <v>101</v>
      </c>
      <c r="C64" s="35" t="s">
        <v>92</v>
      </c>
      <c r="D64" s="38">
        <v>3901926.5700000003</v>
      </c>
      <c r="E64" s="75">
        <v>0.13758000000000001</v>
      </c>
      <c r="F64" s="307">
        <f>D64*E64</f>
        <v>536827.05750060012</v>
      </c>
      <c r="G64" s="38"/>
      <c r="H64" s="109">
        <f>H47</f>
        <v>0.14030999999999999</v>
      </c>
      <c r="I64" s="307">
        <f>H64*D64</f>
        <v>547479.31703669997</v>
      </c>
      <c r="J64" s="307"/>
      <c r="K64" s="307">
        <f>I64-F64</f>
        <v>10652.259536099853</v>
      </c>
      <c r="L64" s="308">
        <f t="shared" ref="L64:L65" si="3">IFERROR(ROUND(K64/F64,5), )</f>
        <v>1.984E-2</v>
      </c>
      <c r="M64" s="114"/>
      <c r="N64" s="94"/>
      <c r="O64" s="44"/>
    </row>
    <row r="65" spans="1:15" s="41" customFormat="1" x14ac:dyDescent="0.2">
      <c r="A65" s="44"/>
      <c r="B65" s="85" t="s">
        <v>102</v>
      </c>
      <c r="C65" s="35" t="s">
        <v>92</v>
      </c>
      <c r="D65" s="38">
        <v>14535430.758019032</v>
      </c>
      <c r="E65" s="75">
        <v>0.11074000000000001</v>
      </c>
      <c r="F65" s="307">
        <f>D65*E65</f>
        <v>1609653.6021430276</v>
      </c>
      <c r="G65" s="38"/>
      <c r="H65" s="109">
        <f>H48</f>
        <v>0.12131</v>
      </c>
      <c r="I65" s="307">
        <f>H65*D65</f>
        <v>1763293.1052552888</v>
      </c>
      <c r="J65" s="307"/>
      <c r="K65" s="307">
        <f>I65-F65</f>
        <v>153639.50311226118</v>
      </c>
      <c r="L65" s="308">
        <f t="shared" si="3"/>
        <v>9.5449999999999993E-2</v>
      </c>
      <c r="M65" s="114"/>
      <c r="N65" s="94"/>
      <c r="O65" s="44"/>
    </row>
    <row r="66" spans="1:15" s="41" customFormat="1" x14ac:dyDescent="0.2">
      <c r="A66" s="44"/>
      <c r="B66" s="72" t="s">
        <v>103</v>
      </c>
      <c r="C66" s="314"/>
      <c r="D66" s="15">
        <f>SUM(D63:D65)</f>
        <v>19494505.608019032</v>
      </c>
      <c r="E66" s="279"/>
      <c r="F66" s="298"/>
      <c r="G66" s="38"/>
      <c r="H66" s="38"/>
      <c r="I66" s="44"/>
      <c r="J66" s="44"/>
      <c r="K66" s="44"/>
      <c r="L66" s="90"/>
      <c r="M66" s="114"/>
      <c r="N66" s="94"/>
      <c r="O66" s="44"/>
    </row>
    <row r="67" spans="1:15" s="41" customFormat="1" x14ac:dyDescent="0.2">
      <c r="A67" s="44"/>
      <c r="B67" s="321" t="s">
        <v>125</v>
      </c>
      <c r="C67" s="314"/>
      <c r="D67" s="38"/>
      <c r="E67" s="279"/>
      <c r="F67" s="374">
        <f>SUM(F58:F66)</f>
        <v>4168963.769643628</v>
      </c>
      <c r="G67" s="38"/>
      <c r="H67" s="38"/>
      <c r="I67" s="374">
        <f>SUM(I58:I66)</f>
        <v>4475398.7622919884</v>
      </c>
      <c r="J67" s="298"/>
      <c r="K67" s="374">
        <f>SUM(K58:K66)</f>
        <v>306434.99264836113</v>
      </c>
      <c r="L67" s="316">
        <f>ROUND(K67/F67,5)</f>
        <v>7.3499999999999996E-2</v>
      </c>
      <c r="M67" s="114"/>
      <c r="N67" s="94"/>
      <c r="O67" s="44"/>
    </row>
    <row r="68" spans="1:15" s="41" customFormat="1" x14ac:dyDescent="0.2">
      <c r="A68" s="44"/>
      <c r="B68" s="72"/>
      <c r="C68" s="314"/>
      <c r="D68" s="38"/>
      <c r="E68" s="279"/>
      <c r="F68" s="298"/>
      <c r="G68" s="38"/>
      <c r="H68" s="38"/>
      <c r="I68" s="298"/>
      <c r="J68" s="298"/>
      <c r="K68" s="307"/>
      <c r="L68" s="310"/>
      <c r="M68" s="114"/>
      <c r="N68" s="94"/>
      <c r="O68" s="375"/>
    </row>
    <row r="69" spans="1:15" s="41" customFormat="1" x14ac:dyDescent="0.2">
      <c r="A69" s="44"/>
      <c r="B69" s="85" t="s">
        <v>221</v>
      </c>
      <c r="C69" s="35"/>
      <c r="D69" s="38"/>
      <c r="E69" s="75"/>
      <c r="F69" s="374">
        <f>F67</f>
        <v>4168963.769643628</v>
      </c>
      <c r="G69" s="44"/>
      <c r="H69" s="89"/>
      <c r="I69" s="374">
        <f>I67</f>
        <v>4475398.7622919884</v>
      </c>
      <c r="J69" s="307"/>
      <c r="K69" s="315">
        <f>K67</f>
        <v>306434.99264836113</v>
      </c>
      <c r="L69" s="316">
        <f>ROUND(K69/F69,5)</f>
        <v>7.3499999999999996E-2</v>
      </c>
      <c r="M69" s="114"/>
      <c r="N69" s="94"/>
      <c r="O69" s="82"/>
    </row>
    <row r="70" spans="1:15" s="41" customFormat="1" x14ac:dyDescent="0.2">
      <c r="A70" s="44"/>
      <c r="B70" s="76"/>
      <c r="C70" s="77"/>
      <c r="D70" s="77"/>
      <c r="E70" s="77"/>
      <c r="F70" s="78"/>
      <c r="G70" s="77"/>
      <c r="H70" s="77"/>
      <c r="I70" s="107"/>
      <c r="J70" s="107"/>
      <c r="K70" s="78"/>
      <c r="L70" s="80"/>
      <c r="M70" s="114"/>
      <c r="N70" s="94"/>
      <c r="O70" s="375"/>
    </row>
    <row r="71" spans="1:15" s="41" customFormat="1" x14ac:dyDescent="0.2">
      <c r="A71" s="44"/>
      <c r="B71" s="44"/>
      <c r="C71" s="44"/>
      <c r="D71" s="44"/>
      <c r="E71" s="44"/>
      <c r="F71" s="82"/>
      <c r="G71" s="44"/>
      <c r="H71" s="44"/>
      <c r="I71" s="116"/>
      <c r="J71" s="116"/>
      <c r="K71" s="82"/>
      <c r="L71" s="83"/>
      <c r="M71" s="114"/>
      <c r="N71" s="94"/>
      <c r="O71" s="375"/>
    </row>
    <row r="72" spans="1:15" s="41" customFormat="1" x14ac:dyDescent="0.2">
      <c r="A72" s="44"/>
      <c r="B72" s="84" t="s">
        <v>139</v>
      </c>
      <c r="C72" s="361"/>
      <c r="D72" s="244"/>
      <c r="E72" s="301"/>
      <c r="F72" s="303"/>
      <c r="G72" s="244"/>
      <c r="H72" s="244"/>
      <c r="I72" s="303"/>
      <c r="J72" s="303"/>
      <c r="K72" s="303"/>
      <c r="L72" s="324"/>
      <c r="M72" s="114"/>
      <c r="N72" s="94"/>
      <c r="O72" s="375"/>
    </row>
    <row r="73" spans="1:15" s="41" customFormat="1" x14ac:dyDescent="0.2">
      <c r="A73" s="44"/>
      <c r="B73" s="305"/>
      <c r="C73" s="35"/>
      <c r="D73" s="44"/>
      <c r="E73" s="44"/>
      <c r="F73" s="307"/>
      <c r="G73" s="86"/>
      <c r="H73" s="44"/>
      <c r="I73" s="307"/>
      <c r="J73" s="307"/>
      <c r="K73" s="307"/>
      <c r="L73" s="310"/>
      <c r="M73" s="114"/>
      <c r="N73" s="94"/>
      <c r="O73" s="375"/>
    </row>
    <row r="74" spans="1:15" s="41" customFormat="1" x14ac:dyDescent="0.2">
      <c r="A74" s="44"/>
      <c r="B74" s="72" t="s">
        <v>89</v>
      </c>
      <c r="C74" s="73" t="s">
        <v>90</v>
      </c>
      <c r="D74" s="38">
        <f>D58+D41</f>
        <v>16031.599999999999</v>
      </c>
      <c r="E74" s="89"/>
      <c r="F74" s="307">
        <f>F58+F41</f>
        <v>2139749.04</v>
      </c>
      <c r="G74" s="38"/>
      <c r="H74" s="110"/>
      <c r="I74" s="307">
        <f>I58+I41</f>
        <v>2393556.83</v>
      </c>
      <c r="J74" s="307"/>
      <c r="K74" s="307">
        <f>K58+K41</f>
        <v>253807.79000000004</v>
      </c>
      <c r="L74" s="308">
        <f t="shared" ref="L74:L76" si="4">IFERROR(ROUND(K74/F74,5), )</f>
        <v>0.11862</v>
      </c>
      <c r="M74" s="114"/>
      <c r="N74" s="94"/>
      <c r="O74" s="375"/>
    </row>
    <row r="75" spans="1:15" s="41" customFormat="1" x14ac:dyDescent="0.2">
      <c r="A75" s="44"/>
      <c r="B75" s="85" t="s">
        <v>96</v>
      </c>
      <c r="C75" s="73" t="s">
        <v>90</v>
      </c>
      <c r="D75" s="38">
        <f>D74</f>
        <v>16031.599999999999</v>
      </c>
      <c r="E75" s="89"/>
      <c r="F75" s="307">
        <f>F59+F42</f>
        <v>1985032.7119999998</v>
      </c>
      <c r="G75" s="38"/>
      <c r="H75" s="89"/>
      <c r="I75" s="307">
        <f>I59+I42</f>
        <v>2024470.45</v>
      </c>
      <c r="J75" s="298"/>
      <c r="K75" s="307">
        <f>K59+K42</f>
        <v>39437.738000000245</v>
      </c>
      <c r="L75" s="308">
        <f t="shared" si="4"/>
        <v>1.9869999999999999E-2</v>
      </c>
      <c r="M75" s="114"/>
      <c r="N75" s="94"/>
      <c r="O75" s="375"/>
    </row>
    <row r="76" spans="1:15" s="41" customFormat="1" x14ac:dyDescent="0.2">
      <c r="A76" s="44"/>
      <c r="B76" s="305" t="s">
        <v>97</v>
      </c>
      <c r="C76" s="35" t="s">
        <v>95</v>
      </c>
      <c r="D76" s="38">
        <f>D60+D43</f>
        <v>5992011.6780000003</v>
      </c>
      <c r="E76" s="89"/>
      <c r="F76" s="307">
        <f>F60+F43</f>
        <v>7490014.5999999996</v>
      </c>
      <c r="G76" s="38"/>
      <c r="H76" s="110"/>
      <c r="I76" s="307">
        <f>I60+I43</f>
        <v>8209055.9900000002</v>
      </c>
      <c r="J76" s="298"/>
      <c r="K76" s="307">
        <f>K60+K43</f>
        <v>719041.3900000006</v>
      </c>
      <c r="L76" s="308">
        <f t="shared" si="4"/>
        <v>9.6000000000000002E-2</v>
      </c>
      <c r="M76" s="114"/>
      <c r="N76" s="94"/>
      <c r="O76" s="375"/>
    </row>
    <row r="77" spans="1:15" s="41" customFormat="1" x14ac:dyDescent="0.2">
      <c r="A77" s="44"/>
      <c r="B77" s="305"/>
      <c r="C77" s="35"/>
      <c r="D77" s="38"/>
      <c r="E77" s="89"/>
      <c r="F77" s="298"/>
      <c r="G77" s="38"/>
      <c r="H77" s="89"/>
      <c r="I77" s="298"/>
      <c r="J77" s="298"/>
      <c r="K77" s="326"/>
      <c r="L77" s="372"/>
      <c r="M77" s="114"/>
      <c r="N77" s="94"/>
      <c r="O77" s="375"/>
    </row>
    <row r="78" spans="1:15" s="41" customFormat="1" x14ac:dyDescent="0.2">
      <c r="A78" s="44"/>
      <c r="B78" s="305" t="s">
        <v>98</v>
      </c>
      <c r="C78" s="35"/>
      <c r="D78" s="38"/>
      <c r="E78" s="89"/>
      <c r="F78" s="307"/>
      <c r="G78" s="38"/>
      <c r="H78" s="89"/>
      <c r="I78" s="298"/>
      <c r="J78" s="298"/>
      <c r="K78" s="326"/>
      <c r="L78" s="372"/>
      <c r="M78" s="114"/>
      <c r="N78" s="94"/>
      <c r="O78" s="375"/>
    </row>
    <row r="79" spans="1:15" s="41" customFormat="1" x14ac:dyDescent="0.2">
      <c r="A79" s="44"/>
      <c r="B79" s="85" t="s">
        <v>99</v>
      </c>
      <c r="C79" s="35" t="s">
        <v>92</v>
      </c>
      <c r="D79" s="38">
        <f>D63+D46</f>
        <v>13270559.754000001</v>
      </c>
      <c r="E79" s="75"/>
      <c r="F79" s="307" t="s">
        <v>100</v>
      </c>
      <c r="G79" s="38"/>
      <c r="H79" s="75"/>
      <c r="I79" s="307" t="s">
        <v>100</v>
      </c>
      <c r="J79" s="307"/>
      <c r="K79" s="307"/>
      <c r="L79" s="310"/>
      <c r="M79" s="114"/>
      <c r="N79" s="94"/>
      <c r="O79" s="375"/>
    </row>
    <row r="80" spans="1:15" s="41" customFormat="1" x14ac:dyDescent="0.2">
      <c r="A80" s="44"/>
      <c r="B80" s="85" t="s">
        <v>101</v>
      </c>
      <c r="C80" s="35" t="s">
        <v>92</v>
      </c>
      <c r="D80" s="38">
        <f>D64+D47</f>
        <v>31371214.559699997</v>
      </c>
      <c r="E80" s="75"/>
      <c r="F80" s="307">
        <f>F64+F47</f>
        <v>4316051.6975006005</v>
      </c>
      <c r="G80" s="38"/>
      <c r="H80" s="75"/>
      <c r="I80" s="307">
        <f>I64+I47</f>
        <v>4401695.1170367002</v>
      </c>
      <c r="J80" s="307"/>
      <c r="K80" s="307">
        <f>K64+K47</f>
        <v>85643.419536099536</v>
      </c>
      <c r="L80" s="308">
        <f t="shared" ref="L80:L81" si="5">IFERROR(ROUND(K80/F80,5), )</f>
        <v>1.984E-2</v>
      </c>
      <c r="M80" s="114"/>
      <c r="N80" s="94"/>
      <c r="O80" s="375"/>
    </row>
    <row r="81" spans="1:15" s="41" customFormat="1" x14ac:dyDescent="0.2">
      <c r="A81" s="44"/>
      <c r="B81" s="85" t="s">
        <v>102</v>
      </c>
      <c r="C81" s="35" t="s">
        <v>92</v>
      </c>
      <c r="D81" s="79">
        <f>D65+D48</f>
        <v>37370722.451267198</v>
      </c>
      <c r="E81" s="75"/>
      <c r="F81" s="307">
        <f>F65+F48</f>
        <v>4138433.802143028</v>
      </c>
      <c r="G81" s="38"/>
      <c r="H81" s="75"/>
      <c r="I81" s="307">
        <f>I65+I48</f>
        <v>4533442.3452552892</v>
      </c>
      <c r="J81" s="307"/>
      <c r="K81" s="307">
        <f>K65+K48</f>
        <v>395008.54311226122</v>
      </c>
      <c r="L81" s="308">
        <f t="shared" si="5"/>
        <v>9.5449999999999993E-2</v>
      </c>
      <c r="M81" s="114"/>
      <c r="N81" s="94"/>
      <c r="O81" s="375"/>
    </row>
    <row r="82" spans="1:15" s="41" customFormat="1" x14ac:dyDescent="0.2">
      <c r="A82" s="44"/>
      <c r="B82" s="321" t="s">
        <v>103</v>
      </c>
      <c r="C82" s="314"/>
      <c r="D82" s="15">
        <f>SUM(D79:D81)</f>
        <v>82012496.764967203</v>
      </c>
      <c r="E82" s="279"/>
      <c r="F82" s="298"/>
      <c r="G82" s="38"/>
      <c r="H82" s="38"/>
      <c r="I82" s="44"/>
      <c r="J82" s="44"/>
      <c r="K82" s="44"/>
      <c r="L82" s="90"/>
      <c r="M82" s="114"/>
      <c r="N82" s="94"/>
      <c r="O82" s="375"/>
    </row>
    <row r="83" spans="1:15" s="41" customFormat="1" x14ac:dyDescent="0.2">
      <c r="A83" s="44"/>
      <c r="B83" s="305" t="s">
        <v>94</v>
      </c>
      <c r="C83" s="35" t="s">
        <v>92</v>
      </c>
      <c r="D83" s="38">
        <f>D50</f>
        <v>62517991.156948164</v>
      </c>
      <c r="E83" s="75"/>
      <c r="F83" s="307">
        <f>F50</f>
        <v>628305.81112732901</v>
      </c>
      <c r="G83" s="38"/>
      <c r="H83" s="93"/>
      <c r="I83" s="307">
        <f>I50</f>
        <v>699576.32104624994</v>
      </c>
      <c r="J83" s="307"/>
      <c r="K83" s="307">
        <f>I83-F83</f>
        <v>71270.509918920929</v>
      </c>
      <c r="L83" s="310">
        <f>IFERROR(ROUND(K83/F83,5), )</f>
        <v>0.11343</v>
      </c>
      <c r="M83" s="114"/>
      <c r="N83" s="94"/>
      <c r="O83" s="375"/>
    </row>
    <row r="84" spans="1:15" s="41" customFormat="1" x14ac:dyDescent="0.2">
      <c r="A84" s="44"/>
      <c r="B84" s="321" t="s">
        <v>125</v>
      </c>
      <c r="C84" s="314"/>
      <c r="D84" s="38"/>
      <c r="E84" s="279"/>
      <c r="F84" s="374">
        <f>SUM(F74:F83)</f>
        <v>20697587.662770957</v>
      </c>
      <c r="G84" s="38"/>
      <c r="H84" s="38"/>
      <c r="I84" s="374">
        <f>SUM(I74:I83)</f>
        <v>22261797.053338237</v>
      </c>
      <c r="J84" s="298"/>
      <c r="K84" s="374">
        <f>SUM(K74:K82)</f>
        <v>1492938.8806483615</v>
      </c>
      <c r="L84" s="316">
        <f>ROUND(K84/F84,5)</f>
        <v>7.213E-2</v>
      </c>
      <c r="M84" s="114"/>
      <c r="N84" s="94"/>
      <c r="O84" s="375"/>
    </row>
    <row r="85" spans="1:15" s="41" customFormat="1" x14ac:dyDescent="0.2">
      <c r="A85" s="44"/>
      <c r="B85" s="321"/>
      <c r="C85" s="314"/>
      <c r="D85" s="38"/>
      <c r="E85" s="279"/>
      <c r="F85" s="298"/>
      <c r="G85" s="38"/>
      <c r="H85" s="38"/>
      <c r="I85" s="298"/>
      <c r="J85" s="298"/>
      <c r="K85" s="307"/>
      <c r="L85" s="310"/>
      <c r="M85" s="114"/>
      <c r="N85" s="94"/>
      <c r="O85" s="375"/>
    </row>
    <row r="86" spans="1:15" s="41" customFormat="1" x14ac:dyDescent="0.2">
      <c r="A86" s="44"/>
      <c r="B86" s="305" t="s">
        <v>221</v>
      </c>
      <c r="C86" s="35"/>
      <c r="D86" s="38"/>
      <c r="E86" s="75"/>
      <c r="F86" s="374">
        <f>F84</f>
        <v>20697587.662770957</v>
      </c>
      <c r="G86" s="44"/>
      <c r="H86" s="89"/>
      <c r="I86" s="374">
        <f>I84</f>
        <v>22261797.053338237</v>
      </c>
      <c r="J86" s="307"/>
      <c r="K86" s="315">
        <f>K84</f>
        <v>1492938.8806483615</v>
      </c>
      <c r="L86" s="316">
        <f>ROUND(K86/F86,5)</f>
        <v>7.213E-2</v>
      </c>
      <c r="M86" s="114"/>
      <c r="N86" s="94"/>
      <c r="O86" s="35"/>
    </row>
    <row r="87" spans="1:15" s="41" customFormat="1" x14ac:dyDescent="0.2">
      <c r="A87" s="44"/>
      <c r="B87" s="76"/>
      <c r="C87" s="77"/>
      <c r="D87" s="77"/>
      <c r="E87" s="77"/>
      <c r="F87" s="78"/>
      <c r="G87" s="77"/>
      <c r="H87" s="77"/>
      <c r="I87" s="107"/>
      <c r="J87" s="107"/>
      <c r="K87" s="78"/>
      <c r="L87" s="80"/>
      <c r="M87" s="114"/>
      <c r="N87" s="94"/>
      <c r="O87" s="35"/>
    </row>
    <row r="88" spans="1:15" s="44" customFormat="1" x14ac:dyDescent="0.2">
      <c r="F88" s="82"/>
      <c r="I88" s="116"/>
      <c r="J88" s="116"/>
      <c r="K88" s="82"/>
      <c r="L88" s="83"/>
      <c r="M88" s="114"/>
      <c r="N88" s="94"/>
      <c r="O88" s="325"/>
    </row>
    <row r="89" spans="1:15" x14ac:dyDescent="0.2">
      <c r="B89" s="35"/>
      <c r="F89" s="341"/>
      <c r="I89" s="341"/>
      <c r="J89" s="341"/>
      <c r="K89" s="341"/>
      <c r="M89" s="363"/>
      <c r="N89" s="320"/>
      <c r="O89" s="325"/>
    </row>
    <row r="90" spans="1:15" x14ac:dyDescent="0.2">
      <c r="B90" s="278" t="s">
        <v>140</v>
      </c>
      <c r="F90" s="341"/>
      <c r="I90" s="341"/>
      <c r="J90" s="341"/>
      <c r="K90" s="341"/>
      <c r="M90" s="363"/>
      <c r="N90" s="320"/>
      <c r="O90" s="376"/>
    </row>
    <row r="91" spans="1:15" x14ac:dyDescent="0.2">
      <c r="D91" s="97" t="s">
        <v>92</v>
      </c>
      <c r="F91" s="377" t="s">
        <v>83</v>
      </c>
      <c r="I91" s="377" t="s">
        <v>26</v>
      </c>
      <c r="J91" s="341"/>
      <c r="K91" s="377" t="s">
        <v>71</v>
      </c>
      <c r="M91" s="363"/>
      <c r="N91" s="320"/>
    </row>
    <row r="92" spans="1:15" x14ac:dyDescent="0.2">
      <c r="B92" s="278" t="s">
        <v>221</v>
      </c>
      <c r="C92" s="378"/>
      <c r="D92" s="279"/>
      <c r="E92" s="378"/>
      <c r="F92" s="378"/>
      <c r="G92" s="117"/>
      <c r="H92" s="117"/>
      <c r="I92" s="378"/>
      <c r="J92" s="378"/>
      <c r="K92" s="379"/>
      <c r="M92" s="380"/>
    </row>
    <row r="93" spans="1:15" x14ac:dyDescent="0.2">
      <c r="B93" s="42" t="s">
        <v>142</v>
      </c>
      <c r="C93" s="378"/>
      <c r="D93" s="279">
        <f>D32</f>
        <v>222203870.67539161</v>
      </c>
      <c r="E93" s="378"/>
      <c r="F93" s="378">
        <f>F15+F24</f>
        <v>111031564.85000001</v>
      </c>
      <c r="G93" s="378"/>
      <c r="H93" s="117"/>
      <c r="I93" s="378">
        <f>I15+I24</f>
        <v>122144982.04000001</v>
      </c>
      <c r="J93" s="378"/>
      <c r="K93" s="379">
        <f>I93-F93</f>
        <v>11113417.189999998</v>
      </c>
      <c r="L93" s="342">
        <f>K93/F93</f>
        <v>0.10009241250462297</v>
      </c>
      <c r="M93" s="380"/>
    </row>
    <row r="94" spans="1:15" x14ac:dyDescent="0.2">
      <c r="B94" s="42" t="s">
        <v>141</v>
      </c>
      <c r="C94" s="378"/>
      <c r="D94" s="381">
        <f>D66</f>
        <v>19494505.608019032</v>
      </c>
      <c r="E94" s="378"/>
      <c r="F94" s="378">
        <f>F51+F67</f>
        <v>20697587.662770957</v>
      </c>
      <c r="G94" s="378"/>
      <c r="H94" s="117"/>
      <c r="I94" s="378">
        <f>I51+I67</f>
        <v>22261797.053338237</v>
      </c>
      <c r="J94" s="378"/>
      <c r="K94" s="379">
        <f>I94-F94</f>
        <v>1564209.3905672804</v>
      </c>
      <c r="L94" s="342">
        <f>K94/F94</f>
        <v>7.5574478342751314E-2</v>
      </c>
      <c r="M94" s="380"/>
    </row>
    <row r="95" spans="1:15" x14ac:dyDescent="0.2">
      <c r="B95" s="42" t="s">
        <v>0</v>
      </c>
      <c r="C95" s="378"/>
      <c r="D95" s="382">
        <f>SUM(D93:D94)</f>
        <v>241698376.28341064</v>
      </c>
      <c r="E95" s="378"/>
      <c r="F95" s="383">
        <f>SUM(F93:F94)</f>
        <v>131729152.51277097</v>
      </c>
      <c r="G95" s="378"/>
      <c r="H95" s="117"/>
      <c r="I95" s="383">
        <f>SUM(I93:I94)</f>
        <v>144406779.09333825</v>
      </c>
      <c r="J95" s="378"/>
      <c r="K95" s="383">
        <f>SUM(K93:K94)</f>
        <v>12677626.580567278</v>
      </c>
      <c r="L95" s="342">
        <f>K95/F95</f>
        <v>9.624009825264912E-2</v>
      </c>
      <c r="M95" s="380"/>
    </row>
    <row r="96" spans="1:15" ht="13.5" thickBot="1" x14ac:dyDescent="0.25">
      <c r="C96" s="378"/>
      <c r="D96" s="381"/>
      <c r="E96" s="378"/>
      <c r="F96" s="378"/>
      <c r="G96" s="378"/>
      <c r="H96" s="378"/>
      <c r="I96" s="378"/>
      <c r="J96" s="378"/>
      <c r="K96" s="378"/>
      <c r="M96" s="380"/>
    </row>
    <row r="97" spans="2:13" ht="13.5" thickBot="1" x14ac:dyDescent="0.25">
      <c r="B97" s="343" t="s">
        <v>13</v>
      </c>
      <c r="C97" s="344" t="s">
        <v>223</v>
      </c>
      <c r="D97" s="345">
        <v>131691503.15920852</v>
      </c>
      <c r="E97" s="344" t="s">
        <v>224</v>
      </c>
      <c r="F97" s="384">
        <f>D97-F95</f>
        <v>-37649.353562444448</v>
      </c>
      <c r="G97" s="117"/>
      <c r="H97" s="117"/>
      <c r="I97" s="378"/>
      <c r="J97" s="378"/>
      <c r="K97" s="378"/>
      <c r="M97" s="380"/>
    </row>
    <row r="98" spans="2:13" x14ac:dyDescent="0.2">
      <c r="C98" s="378"/>
      <c r="D98" s="378"/>
      <c r="E98" s="378"/>
      <c r="F98" s="378"/>
      <c r="G98" s="117"/>
      <c r="H98" s="117"/>
      <c r="I98" s="378"/>
      <c r="J98" s="378"/>
      <c r="K98" s="378"/>
      <c r="M98" s="380"/>
    </row>
    <row r="99" spans="2:13" x14ac:dyDescent="0.2">
      <c r="D99" s="340"/>
      <c r="F99" s="42"/>
      <c r="G99" s="117"/>
      <c r="H99" s="117"/>
      <c r="I99" s="378"/>
      <c r="J99" s="378"/>
      <c r="K99" s="378"/>
      <c r="M99" s="380"/>
    </row>
    <row r="100" spans="2:13" x14ac:dyDescent="0.2">
      <c r="C100" s="378"/>
      <c r="D100" s="378"/>
      <c r="E100" s="378"/>
      <c r="F100" s="378"/>
      <c r="G100" s="117"/>
      <c r="H100" s="117"/>
      <c r="I100" s="378"/>
      <c r="J100" s="378"/>
      <c r="K100" s="378"/>
      <c r="M100" s="380"/>
    </row>
    <row r="101" spans="2:13" x14ac:dyDescent="0.2">
      <c r="C101" s="378"/>
      <c r="D101" s="378"/>
      <c r="E101" s="378"/>
      <c r="F101" s="378"/>
      <c r="G101" s="117"/>
      <c r="H101" s="117"/>
      <c r="I101" s="378"/>
      <c r="J101" s="378"/>
      <c r="K101" s="378"/>
      <c r="M101" s="380"/>
    </row>
    <row r="102" spans="2:13" x14ac:dyDescent="0.2">
      <c r="C102" s="378"/>
      <c r="D102" s="378"/>
      <c r="E102" s="378"/>
      <c r="F102" s="378"/>
      <c r="G102" s="117"/>
      <c r="H102" s="117"/>
      <c r="I102" s="378"/>
      <c r="J102" s="378"/>
      <c r="K102" s="378"/>
      <c r="M102" s="380"/>
    </row>
    <row r="103" spans="2:13" x14ac:dyDescent="0.2">
      <c r="C103" s="378"/>
      <c r="D103" s="378"/>
      <c r="E103" s="378"/>
      <c r="F103" s="378"/>
      <c r="G103" s="117"/>
      <c r="H103" s="117"/>
      <c r="I103" s="378"/>
      <c r="J103" s="378"/>
      <c r="K103" s="378"/>
      <c r="M103" s="380"/>
    </row>
    <row r="104" spans="2:13" x14ac:dyDescent="0.2">
      <c r="C104" s="378"/>
      <c r="D104" s="378"/>
      <c r="E104" s="378"/>
      <c r="F104" s="378"/>
      <c r="G104" s="117"/>
      <c r="H104" s="117"/>
      <c r="I104" s="378"/>
      <c r="J104" s="378"/>
      <c r="K104" s="378"/>
      <c r="M104" s="380"/>
    </row>
    <row r="105" spans="2:13" x14ac:dyDescent="0.2">
      <c r="C105" s="378"/>
      <c r="D105" s="378"/>
      <c r="E105" s="378"/>
      <c r="F105" s="378"/>
      <c r="G105" s="117"/>
      <c r="H105" s="117"/>
      <c r="I105" s="378"/>
      <c r="J105" s="378"/>
      <c r="K105" s="378"/>
      <c r="M105" s="380"/>
    </row>
    <row r="106" spans="2:13" x14ac:dyDescent="0.2">
      <c r="C106" s="378"/>
      <c r="D106" s="378"/>
      <c r="E106" s="378"/>
      <c r="F106" s="378"/>
      <c r="G106" s="117"/>
      <c r="H106" s="117"/>
      <c r="I106" s="378"/>
      <c r="J106" s="378"/>
      <c r="K106" s="378"/>
      <c r="M106" s="380"/>
    </row>
    <row r="107" spans="2:13" x14ac:dyDescent="0.2">
      <c r="C107" s="378"/>
      <c r="D107" s="378"/>
      <c r="E107" s="378"/>
      <c r="F107" s="378"/>
      <c r="G107" s="117"/>
      <c r="H107" s="117"/>
      <c r="I107" s="378"/>
      <c r="J107" s="378"/>
      <c r="K107" s="378"/>
      <c r="M107" s="380"/>
    </row>
    <row r="108" spans="2:13" x14ac:dyDescent="0.2">
      <c r="C108" s="378"/>
      <c r="D108" s="378"/>
      <c r="E108" s="378"/>
      <c r="F108" s="378"/>
      <c r="G108" s="117"/>
      <c r="H108" s="117"/>
      <c r="I108" s="378"/>
      <c r="J108" s="378"/>
      <c r="K108" s="378"/>
      <c r="M108" s="380"/>
    </row>
    <row r="109" spans="2:13" x14ac:dyDescent="0.2">
      <c r="C109" s="378"/>
      <c r="D109" s="378"/>
      <c r="E109" s="378"/>
      <c r="F109" s="378"/>
      <c r="G109" s="117"/>
      <c r="H109" s="117"/>
      <c r="I109" s="378"/>
      <c r="J109" s="378"/>
      <c r="K109" s="378"/>
      <c r="M109" s="380"/>
    </row>
    <row r="110" spans="2:13" x14ac:dyDescent="0.2">
      <c r="C110" s="378"/>
      <c r="D110" s="378"/>
      <c r="E110" s="378"/>
      <c r="F110" s="378"/>
      <c r="G110" s="117"/>
      <c r="H110" s="117"/>
      <c r="I110" s="378"/>
      <c r="J110" s="378"/>
      <c r="K110" s="378"/>
      <c r="M110" s="380"/>
    </row>
    <row r="111" spans="2:13" x14ac:dyDescent="0.2">
      <c r="C111" s="378"/>
      <c r="D111" s="378"/>
      <c r="E111" s="378"/>
      <c r="F111" s="378"/>
      <c r="G111" s="117"/>
      <c r="H111" s="117"/>
      <c r="I111" s="378"/>
      <c r="J111" s="378"/>
      <c r="K111" s="378"/>
      <c r="M111" s="380"/>
    </row>
    <row r="112" spans="2:13" x14ac:dyDescent="0.2">
      <c r="C112" s="378"/>
      <c r="D112" s="378"/>
      <c r="E112" s="378"/>
      <c r="F112" s="378"/>
      <c r="G112" s="117"/>
      <c r="H112" s="117"/>
      <c r="I112" s="378"/>
      <c r="J112" s="378"/>
      <c r="K112" s="378"/>
      <c r="M112" s="380"/>
    </row>
    <row r="113" spans="3:13" x14ac:dyDescent="0.2">
      <c r="C113" s="378"/>
      <c r="D113" s="378"/>
      <c r="E113" s="378"/>
      <c r="F113" s="378"/>
      <c r="G113" s="117"/>
      <c r="H113" s="117"/>
      <c r="I113" s="378"/>
      <c r="J113" s="378"/>
      <c r="K113" s="378"/>
      <c r="M113" s="380"/>
    </row>
    <row r="114" spans="3:13" x14ac:dyDescent="0.2">
      <c r="C114" s="378"/>
      <c r="D114" s="378"/>
      <c r="E114" s="378"/>
      <c r="F114" s="378"/>
      <c r="G114" s="117"/>
      <c r="H114" s="117"/>
      <c r="I114" s="378"/>
      <c r="J114" s="378"/>
      <c r="K114" s="378"/>
      <c r="M114" s="380"/>
    </row>
    <row r="115" spans="3:13" x14ac:dyDescent="0.2">
      <c r="C115" s="378"/>
      <c r="D115" s="378"/>
      <c r="E115" s="378"/>
      <c r="F115" s="378"/>
      <c r="G115" s="117"/>
      <c r="H115" s="117"/>
      <c r="I115" s="378"/>
      <c r="J115" s="378"/>
      <c r="K115" s="378"/>
      <c r="M115" s="380"/>
    </row>
    <row r="116" spans="3:13" x14ac:dyDescent="0.2">
      <c r="C116" s="378"/>
      <c r="D116" s="378"/>
      <c r="E116" s="378"/>
      <c r="F116" s="378"/>
      <c r="G116" s="117"/>
      <c r="H116" s="117"/>
      <c r="I116" s="378"/>
      <c r="J116" s="378"/>
      <c r="K116" s="378"/>
      <c r="M116" s="380"/>
    </row>
    <row r="117" spans="3:13" x14ac:dyDescent="0.2">
      <c r="M117" s="380"/>
    </row>
    <row r="118" spans="3:13" x14ac:dyDescent="0.2">
      <c r="M118" s="380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107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42" customWidth="1"/>
    <col min="2" max="2" width="31.7109375" style="42" customWidth="1"/>
    <col min="3" max="3" width="9.7109375" style="42" customWidth="1"/>
    <col min="4" max="4" width="15.140625" style="34" bestFit="1" customWidth="1"/>
    <col min="5" max="5" width="10.42578125" style="422" customWidth="1"/>
    <col min="6" max="6" width="13.5703125" style="280" customWidth="1"/>
    <col min="7" max="7" width="3" style="38" customWidth="1"/>
    <col min="8" max="8" width="10.42578125" style="141" customWidth="1"/>
    <col min="9" max="9" width="14" style="280" bestFit="1" customWidth="1"/>
    <col min="10" max="10" width="2.85546875" style="280" customWidth="1"/>
    <col min="11" max="11" width="13.140625" style="280" customWidth="1"/>
    <col min="12" max="12" width="10.42578125" style="431" customWidth="1"/>
    <col min="13" max="13" width="2.85546875" style="348" customWidth="1"/>
    <col min="14" max="14" width="2.140625" style="388" customWidth="1"/>
    <col min="15" max="15" width="14.5703125" style="42" bestFit="1" customWidth="1"/>
    <col min="16" max="16" width="2.85546875" style="42" customWidth="1"/>
    <col min="17" max="16384" width="9.140625" style="42"/>
  </cols>
  <sheetData>
    <row r="1" spans="1:16" x14ac:dyDescent="0.2">
      <c r="B1" s="273" t="s">
        <v>12</v>
      </c>
      <c r="C1" s="33"/>
      <c r="D1" s="99"/>
      <c r="E1" s="385"/>
      <c r="F1" s="350"/>
      <c r="G1" s="118"/>
      <c r="H1" s="119"/>
      <c r="I1" s="350"/>
      <c r="J1" s="350"/>
      <c r="K1" s="350"/>
      <c r="L1" s="352"/>
      <c r="M1" s="352"/>
      <c r="N1" s="353"/>
      <c r="O1" s="33"/>
      <c r="P1" s="33"/>
    </row>
    <row r="2" spans="1:16" x14ac:dyDescent="0.2">
      <c r="B2" s="275" t="s">
        <v>271</v>
      </c>
      <c r="C2" s="276"/>
      <c r="D2" s="119"/>
      <c r="E2" s="350"/>
      <c r="F2" s="350"/>
      <c r="G2" s="119"/>
      <c r="H2" s="119"/>
      <c r="I2" s="350"/>
      <c r="J2" s="350"/>
      <c r="K2" s="350"/>
      <c r="L2" s="350"/>
      <c r="M2" s="352"/>
      <c r="N2" s="353"/>
      <c r="O2" s="33"/>
      <c r="P2" s="33"/>
    </row>
    <row r="3" spans="1:16" x14ac:dyDescent="0.2">
      <c r="B3" s="275" t="s">
        <v>272</v>
      </c>
      <c r="C3" s="276"/>
      <c r="D3" s="119"/>
      <c r="E3" s="350"/>
      <c r="F3" s="350"/>
      <c r="G3" s="119"/>
      <c r="H3" s="119"/>
      <c r="I3" s="350"/>
      <c r="J3" s="350"/>
      <c r="K3" s="350"/>
      <c r="L3" s="350"/>
      <c r="M3" s="352"/>
      <c r="N3" s="353"/>
      <c r="O3" s="33"/>
      <c r="P3" s="33"/>
    </row>
    <row r="4" spans="1:16" x14ac:dyDescent="0.2">
      <c r="B4" s="275" t="s">
        <v>143</v>
      </c>
      <c r="C4" s="276"/>
      <c r="D4" s="119"/>
      <c r="E4" s="350"/>
      <c r="F4" s="350"/>
      <c r="G4" s="119"/>
      <c r="H4" s="119"/>
      <c r="I4" s="350"/>
      <c r="J4" s="350"/>
      <c r="K4" s="350"/>
      <c r="L4" s="350"/>
      <c r="M4" s="352"/>
      <c r="N4" s="353"/>
      <c r="O4" s="33"/>
      <c r="P4" s="33"/>
    </row>
    <row r="5" spans="1:16" x14ac:dyDescent="0.2">
      <c r="B5" s="275" t="s">
        <v>273</v>
      </c>
      <c r="C5" s="276"/>
      <c r="D5" s="99"/>
      <c r="E5" s="385"/>
      <c r="F5" s="350"/>
      <c r="G5" s="118"/>
      <c r="H5" s="119"/>
      <c r="I5" s="350"/>
      <c r="J5" s="350"/>
      <c r="K5" s="350"/>
      <c r="L5" s="352"/>
      <c r="M5" s="352"/>
      <c r="N5" s="353"/>
      <c r="O5" s="277"/>
      <c r="P5" s="33"/>
    </row>
    <row r="6" spans="1:16" s="35" customFormat="1" x14ac:dyDescent="0.2">
      <c r="B6" s="386"/>
      <c r="C6" s="277"/>
      <c r="D6" s="38"/>
      <c r="E6" s="387"/>
      <c r="F6" s="281"/>
      <c r="G6" s="38"/>
      <c r="H6" s="89"/>
      <c r="I6" s="281"/>
      <c r="J6" s="281"/>
      <c r="K6" s="281"/>
      <c r="L6" s="388"/>
      <c r="M6" s="358"/>
      <c r="N6" s="358"/>
    </row>
    <row r="7" spans="1:16" x14ac:dyDescent="0.2">
      <c r="B7" s="283"/>
      <c r="C7" s="284"/>
      <c r="D7" s="120" t="s">
        <v>82</v>
      </c>
      <c r="E7" s="70" t="s">
        <v>218</v>
      </c>
      <c r="F7" s="285"/>
      <c r="G7" s="43"/>
      <c r="H7" s="287" t="s">
        <v>219</v>
      </c>
      <c r="I7" s="285"/>
      <c r="J7" s="288"/>
      <c r="K7" s="720" t="s">
        <v>117</v>
      </c>
      <c r="L7" s="721"/>
      <c r="M7" s="358"/>
      <c r="N7" s="353"/>
      <c r="O7" s="291" t="s">
        <v>84</v>
      </c>
    </row>
    <row r="8" spans="1:16" x14ac:dyDescent="0.2">
      <c r="B8" s="292" t="s">
        <v>85</v>
      </c>
      <c r="C8" s="389" t="s">
        <v>86</v>
      </c>
      <c r="D8" s="97" t="s">
        <v>87</v>
      </c>
      <c r="E8" s="390" t="s">
        <v>79</v>
      </c>
      <c r="F8" s="294" t="s">
        <v>88</v>
      </c>
      <c r="G8" s="97"/>
      <c r="H8" s="106" t="s">
        <v>79</v>
      </c>
      <c r="I8" s="294" t="s">
        <v>88</v>
      </c>
      <c r="J8" s="294"/>
      <c r="K8" s="294" t="s">
        <v>118</v>
      </c>
      <c r="L8" s="295" t="s">
        <v>119</v>
      </c>
      <c r="M8" s="358"/>
      <c r="N8" s="296"/>
      <c r="O8" s="297" t="s">
        <v>120</v>
      </c>
    </row>
    <row r="9" spans="1:16" x14ac:dyDescent="0.2">
      <c r="A9" s="35"/>
      <c r="B9" s="321"/>
      <c r="C9" s="314"/>
      <c r="D9" s="38"/>
      <c r="E9" s="387"/>
      <c r="F9" s="281"/>
      <c r="G9" s="86"/>
      <c r="H9" s="89"/>
      <c r="I9" s="365"/>
      <c r="J9" s="365"/>
      <c r="K9" s="281"/>
      <c r="L9" s="391"/>
      <c r="M9" s="358"/>
      <c r="O9" s="35"/>
    </row>
    <row r="10" spans="1:16" x14ac:dyDescent="0.2">
      <c r="B10" s="299" t="s">
        <v>144</v>
      </c>
      <c r="C10" s="361"/>
      <c r="D10" s="362"/>
      <c r="E10" s="392"/>
      <c r="F10" s="303"/>
      <c r="G10" s="393"/>
      <c r="H10" s="394"/>
      <c r="I10" s="395"/>
      <c r="J10" s="395"/>
      <c r="K10" s="303"/>
      <c r="L10" s="304"/>
      <c r="M10" s="358"/>
      <c r="N10" s="358"/>
    </row>
    <row r="11" spans="1:16" x14ac:dyDescent="0.2">
      <c r="B11" s="305"/>
      <c r="C11" s="35"/>
      <c r="D11" s="38"/>
      <c r="E11" s="387"/>
      <c r="F11" s="307"/>
      <c r="G11" s="86"/>
      <c r="H11" s="89"/>
      <c r="I11" s="298"/>
      <c r="J11" s="365"/>
      <c r="K11" s="307"/>
      <c r="L11" s="308"/>
      <c r="M11" s="358"/>
      <c r="N11" s="358"/>
      <c r="O11" s="364" t="s">
        <v>145</v>
      </c>
    </row>
    <row r="12" spans="1:16" x14ac:dyDescent="0.2">
      <c r="B12" s="321" t="s">
        <v>89</v>
      </c>
      <c r="C12" s="314" t="s">
        <v>90</v>
      </c>
      <c r="D12" s="38">
        <v>368.56669691470051</v>
      </c>
      <c r="E12" s="89">
        <v>595.08000000000004</v>
      </c>
      <c r="F12" s="307">
        <f>ROUND(D12*E12,2)</f>
        <v>219326.67</v>
      </c>
      <c r="H12" s="309">
        <v>701.68</v>
      </c>
      <c r="I12" s="298">
        <f>ROUND(D12*H12,2)</f>
        <v>258615.88</v>
      </c>
      <c r="J12" s="365"/>
      <c r="K12" s="307">
        <f>I12-F12</f>
        <v>39289.209999999992</v>
      </c>
      <c r="L12" s="308">
        <f>IFERROR(K12/F12, )</f>
        <v>0.17913557890611292</v>
      </c>
      <c r="M12" s="358"/>
      <c r="N12" s="358"/>
      <c r="O12" s="74">
        <v>9611898.688954046</v>
      </c>
    </row>
    <row r="13" spans="1:16" x14ac:dyDescent="0.2">
      <c r="B13" s="305" t="s">
        <v>97</v>
      </c>
      <c r="C13" s="35" t="s">
        <v>95</v>
      </c>
      <c r="D13" s="38">
        <v>96766.635999999999</v>
      </c>
      <c r="E13" s="89">
        <v>1.3</v>
      </c>
      <c r="F13" s="307">
        <f>ROUND(D13*E13,2)</f>
        <v>125796.63</v>
      </c>
      <c r="H13" s="309">
        <f>ROUND(E13*(1+$O$16),2)</f>
        <v>1.44</v>
      </c>
      <c r="I13" s="298">
        <f>ROUND(D13*H13,2)</f>
        <v>139343.96</v>
      </c>
      <c r="J13" s="365"/>
      <c r="K13" s="307">
        <f>I13-F13</f>
        <v>13547.329999999987</v>
      </c>
      <c r="L13" s="308">
        <f t="shared" ref="L13:L15" si="0">IFERROR(K13/F13, )</f>
        <v>0.10769231258420824</v>
      </c>
      <c r="M13" s="358"/>
      <c r="N13" s="358"/>
      <c r="O13" s="312" t="s">
        <v>122</v>
      </c>
    </row>
    <row r="14" spans="1:16" x14ac:dyDescent="0.2">
      <c r="B14" s="305" t="s">
        <v>94</v>
      </c>
      <c r="C14" s="35" t="s">
        <v>92</v>
      </c>
      <c r="D14" s="38">
        <f>D21</f>
        <v>19992939.502740219</v>
      </c>
      <c r="E14" s="75">
        <v>7.0499999999999998E-3</v>
      </c>
      <c r="F14" s="307">
        <f>E14*D14</f>
        <v>140950.22349431855</v>
      </c>
      <c r="H14" s="109">
        <f>ROUND(E14*(1+$O$16),5)</f>
        <v>7.7999999999999996E-3</v>
      </c>
      <c r="I14" s="298">
        <f>ROUND(D14*H14,2)</f>
        <v>155944.93</v>
      </c>
      <c r="J14" s="281"/>
      <c r="K14" s="307">
        <f>I14-F14</f>
        <v>14994.706505681446</v>
      </c>
      <c r="L14" s="308">
        <f t="shared" si="0"/>
        <v>0.10638299205170013</v>
      </c>
      <c r="M14" s="358"/>
      <c r="N14" s="358"/>
      <c r="O14" s="317">
        <f>I54-O12</f>
        <v>91.681045953184366</v>
      </c>
    </row>
    <row r="15" spans="1:16" x14ac:dyDescent="0.2">
      <c r="B15" s="305" t="s">
        <v>104</v>
      </c>
      <c r="C15" s="35"/>
      <c r="D15" s="38"/>
      <c r="E15" s="75"/>
      <c r="F15" s="88">
        <v>9677.49</v>
      </c>
      <c r="H15" s="75"/>
      <c r="I15" s="82">
        <f>F15</f>
        <v>9677.49</v>
      </c>
      <c r="J15" s="281"/>
      <c r="K15" s="307">
        <f>I15-F15</f>
        <v>0</v>
      </c>
      <c r="L15" s="308">
        <f t="shared" si="0"/>
        <v>0</v>
      </c>
      <c r="M15" s="358"/>
      <c r="N15" s="358"/>
      <c r="O15" s="103"/>
    </row>
    <row r="16" spans="1:16" x14ac:dyDescent="0.2">
      <c r="B16" s="305"/>
      <c r="C16" s="35"/>
      <c r="D16" s="38"/>
      <c r="E16" s="75"/>
      <c r="F16" s="82"/>
      <c r="H16" s="75"/>
      <c r="I16" s="88"/>
      <c r="J16" s="365"/>
      <c r="K16" s="307"/>
      <c r="L16" s="308"/>
      <c r="M16" s="358"/>
      <c r="N16" s="358"/>
      <c r="O16" s="366">
        <v>0.10610240784340896</v>
      </c>
    </row>
    <row r="17" spans="2:16" x14ac:dyDescent="0.2">
      <c r="B17" s="305" t="s">
        <v>98</v>
      </c>
      <c r="C17" s="35"/>
      <c r="D17" s="38"/>
      <c r="E17" s="75"/>
      <c r="F17" s="82"/>
      <c r="H17" s="75"/>
      <c r="I17" s="88"/>
      <c r="J17" s="365"/>
      <c r="K17" s="307"/>
      <c r="L17" s="308"/>
      <c r="M17" s="358"/>
      <c r="N17" s="358"/>
      <c r="O17" s="396"/>
    </row>
    <row r="18" spans="2:16" x14ac:dyDescent="0.2">
      <c r="B18" s="305" t="s">
        <v>105</v>
      </c>
      <c r="C18" s="35" t="s">
        <v>92</v>
      </c>
      <c r="D18" s="38">
        <v>8259556.7221568692</v>
      </c>
      <c r="E18" s="75">
        <v>0.1084</v>
      </c>
      <c r="F18" s="82">
        <f>ROUND(D18*E18,2)</f>
        <v>895335.95</v>
      </c>
      <c r="H18" s="109">
        <f>ROUND((O12-SUM(I12:I15,I19:I20, I28:I30,I34:I35))/SUM(D18,D33),5)</f>
        <v>0.12488</v>
      </c>
      <c r="I18" s="88">
        <f>ROUND(D18*H18,2)</f>
        <v>1031453.44</v>
      </c>
      <c r="J18" s="365"/>
      <c r="K18" s="307">
        <f>I18-F18</f>
        <v>136117.49</v>
      </c>
      <c r="L18" s="308">
        <f t="shared" ref="L18:L20" si="1">IFERROR(K18/F18, )</f>
        <v>0.15202951473131399</v>
      </c>
      <c r="M18" s="358"/>
      <c r="N18" s="358"/>
      <c r="O18" s="397"/>
      <c r="P18" s="121"/>
    </row>
    <row r="19" spans="2:16" x14ac:dyDescent="0.2">
      <c r="B19" s="305" t="s">
        <v>106</v>
      </c>
      <c r="C19" s="35" t="s">
        <v>92</v>
      </c>
      <c r="D19" s="38">
        <v>4347559.727</v>
      </c>
      <c r="E19" s="75">
        <v>5.3650000000000003E-2</v>
      </c>
      <c r="F19" s="82">
        <f>ROUND(D19*E19,2)</f>
        <v>233246.58</v>
      </c>
      <c r="H19" s="109">
        <f>ROUND(E19*(1+$O$16),5)</f>
        <v>5.9339999999999997E-2</v>
      </c>
      <c r="I19" s="88">
        <f>ROUND(D19*H19,2)</f>
        <v>257984.19</v>
      </c>
      <c r="J19" s="365"/>
      <c r="K19" s="307">
        <f>I19-F19</f>
        <v>24737.610000000015</v>
      </c>
      <c r="L19" s="308">
        <f t="shared" si="1"/>
        <v>0.10605776084691153</v>
      </c>
      <c r="M19" s="358"/>
      <c r="N19" s="358"/>
      <c r="O19" s="93"/>
      <c r="P19" s="93"/>
    </row>
    <row r="20" spans="2:16" x14ac:dyDescent="0.2">
      <c r="B20" s="305" t="s">
        <v>107</v>
      </c>
      <c r="C20" s="35" t="s">
        <v>92</v>
      </c>
      <c r="D20" s="38">
        <v>7385823.0535833519</v>
      </c>
      <c r="E20" s="75">
        <v>5.1319999999999998E-2</v>
      </c>
      <c r="F20" s="82">
        <f>ROUND(D20*E20,2)</f>
        <v>379040.44</v>
      </c>
      <c r="H20" s="109">
        <f>ROUND(E20*(1+$O$16),5)</f>
        <v>5.6770000000000001E-2</v>
      </c>
      <c r="I20" s="88">
        <f>ROUND(D20*H20,2)</f>
        <v>419293.17</v>
      </c>
      <c r="J20" s="365"/>
      <c r="K20" s="307">
        <f>I20-F20</f>
        <v>40252.729999999981</v>
      </c>
      <c r="L20" s="308">
        <f t="shared" si="1"/>
        <v>0.10619639951874259</v>
      </c>
      <c r="M20" s="358"/>
      <c r="N20" s="358"/>
      <c r="O20" s="93"/>
      <c r="P20" s="93"/>
    </row>
    <row r="21" spans="2:16" x14ac:dyDescent="0.2">
      <c r="B21" s="321" t="s">
        <v>125</v>
      </c>
      <c r="C21" s="314"/>
      <c r="D21" s="15">
        <f>SUM(D18:D20)</f>
        <v>19992939.502740219</v>
      </c>
      <c r="E21" s="281"/>
      <c r="F21" s="128">
        <f>SUM(F12:F20)</f>
        <v>2003373.9834943186</v>
      </c>
      <c r="H21" s="89"/>
      <c r="I21" s="128">
        <f>SUM(I12:I20)</f>
        <v>2272313.06</v>
      </c>
      <c r="J21" s="365"/>
      <c r="K21" s="374">
        <f>SUM(K12:K20)</f>
        <v>268939.07650568138</v>
      </c>
      <c r="L21" s="122">
        <f>IFERROR(K21/F21, )</f>
        <v>0.13424307129944521</v>
      </c>
      <c r="M21" s="358"/>
      <c r="N21" s="358"/>
      <c r="O21" s="95"/>
      <c r="P21" s="271"/>
    </row>
    <row r="22" spans="2:16" ht="12.75" customHeight="1" x14ac:dyDescent="0.2">
      <c r="B22" s="321"/>
      <c r="C22" s="314"/>
      <c r="D22" s="38"/>
      <c r="E22" s="281"/>
      <c r="F22" s="88"/>
      <c r="H22" s="89"/>
      <c r="I22" s="88"/>
      <c r="J22" s="365"/>
      <c r="K22" s="307"/>
      <c r="L22" s="308"/>
      <c r="M22" s="358"/>
      <c r="N22" s="358"/>
      <c r="O22" s="398"/>
      <c r="P22" s="399"/>
    </row>
    <row r="23" spans="2:16" x14ac:dyDescent="0.2">
      <c r="B23" s="305" t="s">
        <v>221</v>
      </c>
      <c r="C23" s="35"/>
      <c r="D23" s="38"/>
      <c r="E23" s="75"/>
      <c r="F23" s="128">
        <f>F21</f>
        <v>2003373.9834943186</v>
      </c>
      <c r="H23" s="89"/>
      <c r="I23" s="128">
        <f>I21</f>
        <v>2272313.06</v>
      </c>
      <c r="J23" s="365"/>
      <c r="K23" s="374">
        <f>K21</f>
        <v>268939.07650568138</v>
      </c>
      <c r="L23" s="122">
        <f>IFERROR(K23/F23, )</f>
        <v>0.13424307129944521</v>
      </c>
      <c r="M23" s="358"/>
      <c r="N23" s="358"/>
    </row>
    <row r="24" spans="2:16" x14ac:dyDescent="0.2">
      <c r="B24" s="367"/>
      <c r="C24" s="336"/>
      <c r="D24" s="79"/>
      <c r="E24" s="400"/>
      <c r="F24" s="78"/>
      <c r="G24" s="79"/>
      <c r="H24" s="123"/>
      <c r="I24" s="78"/>
      <c r="J24" s="401"/>
      <c r="K24" s="369"/>
      <c r="L24" s="370"/>
      <c r="M24" s="358"/>
      <c r="N24" s="358"/>
    </row>
    <row r="25" spans="2:16" x14ac:dyDescent="0.2">
      <c r="B25" s="44"/>
      <c r="C25" s="44"/>
      <c r="D25" s="38"/>
      <c r="E25" s="75"/>
      <c r="F25" s="82"/>
      <c r="H25" s="89"/>
      <c r="I25" s="88"/>
      <c r="J25" s="124"/>
      <c r="K25" s="82"/>
      <c r="L25" s="83"/>
      <c r="M25" s="358"/>
      <c r="N25" s="358"/>
    </row>
    <row r="26" spans="2:16" x14ac:dyDescent="0.2">
      <c r="B26" s="299" t="s">
        <v>146</v>
      </c>
      <c r="C26" s="361"/>
      <c r="D26" s="362"/>
      <c r="E26" s="392"/>
      <c r="F26" s="402"/>
      <c r="G26" s="393"/>
      <c r="H26" s="394"/>
      <c r="I26" s="403"/>
      <c r="J26" s="395"/>
      <c r="K26" s="303"/>
      <c r="L26" s="304"/>
      <c r="M26" s="358"/>
      <c r="N26" s="358"/>
      <c r="O26" s="125"/>
      <c r="P26" s="73"/>
    </row>
    <row r="27" spans="2:16" x14ac:dyDescent="0.2">
      <c r="B27" s="305"/>
      <c r="C27" s="35"/>
      <c r="D27" s="38"/>
      <c r="E27" s="387"/>
      <c r="F27" s="82"/>
      <c r="G27" s="86"/>
      <c r="H27" s="89"/>
      <c r="I27" s="88"/>
      <c r="J27" s="365"/>
      <c r="K27" s="307"/>
      <c r="L27" s="308"/>
      <c r="M27" s="358"/>
      <c r="N27" s="358"/>
      <c r="O27" s="44"/>
      <c r="P27" s="44"/>
    </row>
    <row r="28" spans="2:16" x14ac:dyDescent="0.2">
      <c r="B28" s="321" t="s">
        <v>89</v>
      </c>
      <c r="C28" s="314" t="s">
        <v>90</v>
      </c>
      <c r="D28" s="38">
        <v>884.03333362675562</v>
      </c>
      <c r="E28" s="89">
        <v>903.09</v>
      </c>
      <c r="F28" s="82">
        <f>ROUND(D28*E28,2)</f>
        <v>798361.66</v>
      </c>
      <c r="H28" s="309">
        <f>E28</f>
        <v>903.09</v>
      </c>
      <c r="I28" s="88">
        <f>ROUND(D28*H28,2)</f>
        <v>798361.66</v>
      </c>
      <c r="J28" s="365"/>
      <c r="K28" s="307">
        <f>I28-F28</f>
        <v>0</v>
      </c>
      <c r="L28" s="308">
        <f t="shared" ref="L28:L30" si="2">IFERROR(K28/F28, )</f>
        <v>0</v>
      </c>
      <c r="M28" s="358"/>
      <c r="N28" s="358"/>
      <c r="O28" s="73"/>
      <c r="P28" s="73"/>
    </row>
    <row r="29" spans="2:16" x14ac:dyDescent="0.2">
      <c r="B29" s="305" t="s">
        <v>97</v>
      </c>
      <c r="C29" s="35" t="s">
        <v>95</v>
      </c>
      <c r="D29" s="38">
        <v>651309.33499999996</v>
      </c>
      <c r="E29" s="89">
        <v>1.3</v>
      </c>
      <c r="F29" s="82">
        <f>ROUND(D29*E29,2)</f>
        <v>846702.14</v>
      </c>
      <c r="H29" s="309">
        <f>$H$13</f>
        <v>1.44</v>
      </c>
      <c r="I29" s="88">
        <f>ROUND(D29*H29,2)</f>
        <v>937885.44</v>
      </c>
      <c r="J29" s="365"/>
      <c r="K29" s="307">
        <f>I29-F29</f>
        <v>91183.29999999993</v>
      </c>
      <c r="L29" s="308">
        <f t="shared" si="2"/>
        <v>0.10769229897068634</v>
      </c>
      <c r="M29" s="358"/>
      <c r="N29" s="358"/>
      <c r="O29" s="44"/>
      <c r="P29" s="44"/>
    </row>
    <row r="30" spans="2:16" x14ac:dyDescent="0.2">
      <c r="B30" s="305" t="s">
        <v>104</v>
      </c>
      <c r="C30" s="35"/>
      <c r="D30" s="38"/>
      <c r="E30" s="89"/>
      <c r="F30" s="88">
        <v>-10601.630000000003</v>
      </c>
      <c r="H30" s="309"/>
      <c r="I30" s="88">
        <f>F30</f>
        <v>-10601.630000000003</v>
      </c>
      <c r="J30" s="365"/>
      <c r="K30" s="307">
        <f>I30-F30</f>
        <v>0</v>
      </c>
      <c r="L30" s="308">
        <f t="shared" si="2"/>
        <v>0</v>
      </c>
      <c r="M30" s="358"/>
      <c r="N30" s="358"/>
      <c r="O30" s="44"/>
      <c r="P30" s="44"/>
    </row>
    <row r="31" spans="2:16" x14ac:dyDescent="0.2">
      <c r="B31" s="305"/>
      <c r="C31" s="35"/>
      <c r="D31" s="38"/>
      <c r="E31" s="75"/>
      <c r="F31" s="44"/>
      <c r="H31" s="109"/>
      <c r="I31" s="44"/>
      <c r="J31" s="281"/>
      <c r="K31" s="307"/>
      <c r="L31" s="308"/>
      <c r="M31" s="358"/>
      <c r="N31" s="358"/>
      <c r="O31" s="44"/>
      <c r="P31" s="44"/>
    </row>
    <row r="32" spans="2:16" x14ac:dyDescent="0.2">
      <c r="B32" s="305" t="s">
        <v>98</v>
      </c>
      <c r="C32" s="35"/>
      <c r="D32" s="38"/>
      <c r="E32" s="75"/>
      <c r="F32" s="82"/>
      <c r="H32" s="109"/>
      <c r="I32" s="88"/>
      <c r="J32" s="365"/>
      <c r="K32" s="307"/>
      <c r="L32" s="308"/>
      <c r="M32" s="358"/>
      <c r="N32" s="358"/>
      <c r="O32" s="44"/>
      <c r="P32" s="44"/>
    </row>
    <row r="33" spans="2:16" x14ac:dyDescent="0.2">
      <c r="B33" s="305" t="s">
        <v>105</v>
      </c>
      <c r="C33" s="35" t="s">
        <v>92</v>
      </c>
      <c r="D33" s="38">
        <v>24354615.889999997</v>
      </c>
      <c r="E33" s="75">
        <v>0.1084</v>
      </c>
      <c r="F33" s="82">
        <f>ROUND(D33*E33,2)</f>
        <v>2640040.36</v>
      </c>
      <c r="H33" s="109">
        <f>H18</f>
        <v>0.12488</v>
      </c>
      <c r="I33" s="88">
        <f>ROUND(D33*H33,2)</f>
        <v>3041404.43</v>
      </c>
      <c r="J33" s="365"/>
      <c r="K33" s="307">
        <f>I33-F33</f>
        <v>401364.0700000003</v>
      </c>
      <c r="L33" s="308">
        <f t="shared" ref="L33:L35" si="3">IFERROR(K33/F33, )</f>
        <v>0.1520295204880884</v>
      </c>
      <c r="M33" s="358"/>
      <c r="N33" s="358"/>
      <c r="O33" s="44"/>
      <c r="P33" s="44"/>
    </row>
    <row r="34" spans="2:16" x14ac:dyDescent="0.2">
      <c r="B34" s="305" t="s">
        <v>106</v>
      </c>
      <c r="C34" s="35" t="s">
        <v>92</v>
      </c>
      <c r="D34" s="38">
        <v>17329118.52</v>
      </c>
      <c r="E34" s="75">
        <v>5.3650000000000003E-2</v>
      </c>
      <c r="F34" s="82">
        <f>ROUND(D34*E34,2)</f>
        <v>929707.21</v>
      </c>
      <c r="H34" s="109">
        <f>H19</f>
        <v>5.9339999999999997E-2</v>
      </c>
      <c r="I34" s="88">
        <f>ROUND(D34*H34,2)</f>
        <v>1028309.89</v>
      </c>
      <c r="J34" s="365"/>
      <c r="K34" s="307">
        <f>I34-F34</f>
        <v>98602.680000000051</v>
      </c>
      <c r="L34" s="308">
        <f t="shared" si="3"/>
        <v>0.10605777705004574</v>
      </c>
      <c r="M34" s="358"/>
      <c r="N34" s="358"/>
      <c r="O34" s="44"/>
      <c r="P34" s="44"/>
    </row>
    <row r="35" spans="2:16" x14ac:dyDescent="0.2">
      <c r="B35" s="305" t="s">
        <v>108</v>
      </c>
      <c r="C35" s="35" t="s">
        <v>92</v>
      </c>
      <c r="D35" s="38">
        <v>27203056.60995879</v>
      </c>
      <c r="E35" s="75">
        <v>5.1319999999999998E-2</v>
      </c>
      <c r="F35" s="78">
        <f>ROUND(D35*E35,2)</f>
        <v>1396060.87</v>
      </c>
      <c r="H35" s="109">
        <f>H20</f>
        <v>5.6770000000000001E-2</v>
      </c>
      <c r="I35" s="88">
        <f>ROUND(D35*H35,2)</f>
        <v>1544317.52</v>
      </c>
      <c r="J35" s="365"/>
      <c r="K35" s="307">
        <f>I35-F35</f>
        <v>148256.64999999991</v>
      </c>
      <c r="L35" s="308">
        <f t="shared" si="3"/>
        <v>0.10619640818383506</v>
      </c>
      <c r="M35" s="358"/>
      <c r="N35" s="358"/>
      <c r="O35" s="44"/>
      <c r="P35" s="44"/>
    </row>
    <row r="36" spans="2:16" x14ac:dyDescent="0.2">
      <c r="B36" s="321" t="s">
        <v>125</v>
      </c>
      <c r="C36" s="314"/>
      <c r="D36" s="15">
        <f>SUM(D33:D35)</f>
        <v>68886791.019958794</v>
      </c>
      <c r="E36" s="281"/>
      <c r="F36" s="128">
        <f>SUM(F28:F35)</f>
        <v>6600270.6100000003</v>
      </c>
      <c r="H36" s="89"/>
      <c r="I36" s="128">
        <f>SUM(I28:I35)</f>
        <v>7339677.3100000005</v>
      </c>
      <c r="J36" s="365"/>
      <c r="K36" s="374">
        <f>SUM(K28:K35)</f>
        <v>739406.70000000019</v>
      </c>
      <c r="L36" s="122">
        <f>IFERROR(K36/F36, )</f>
        <v>0.11202672491635918</v>
      </c>
      <c r="M36" s="358"/>
      <c r="N36" s="358"/>
      <c r="O36" s="44"/>
      <c r="P36" s="44"/>
    </row>
    <row r="37" spans="2:16" x14ac:dyDescent="0.2">
      <c r="B37" s="321"/>
      <c r="C37" s="314"/>
      <c r="D37" s="38"/>
      <c r="E37" s="281"/>
      <c r="F37" s="88"/>
      <c r="H37" s="89"/>
      <c r="I37" s="88"/>
      <c r="J37" s="365"/>
      <c r="K37" s="307"/>
      <c r="L37" s="308"/>
      <c r="M37" s="358"/>
      <c r="N37" s="358"/>
      <c r="O37" s="73"/>
      <c r="P37" s="44"/>
    </row>
    <row r="38" spans="2:16" x14ac:dyDescent="0.2">
      <c r="B38" s="321" t="s">
        <v>221</v>
      </c>
      <c r="C38" s="35"/>
      <c r="D38" s="38"/>
      <c r="E38" s="89"/>
      <c r="F38" s="128">
        <f>F36</f>
        <v>6600270.6100000003</v>
      </c>
      <c r="G38" s="44"/>
      <c r="H38" s="89"/>
      <c r="I38" s="128">
        <f>I36</f>
        <v>7339677.3100000005</v>
      </c>
      <c r="J38" s="281"/>
      <c r="K38" s="374">
        <f>K36</f>
        <v>739406.70000000019</v>
      </c>
      <c r="L38" s="122">
        <f>IFERROR(K38/F38, )</f>
        <v>0.11202672491635918</v>
      </c>
      <c r="M38" s="358"/>
      <c r="N38" s="358"/>
      <c r="O38" s="126"/>
      <c r="P38" s="44"/>
    </row>
    <row r="39" spans="2:16" x14ac:dyDescent="0.2">
      <c r="B39" s="367"/>
      <c r="C39" s="336"/>
      <c r="D39" s="79"/>
      <c r="E39" s="400"/>
      <c r="F39" s="78"/>
      <c r="G39" s="79"/>
      <c r="H39" s="123"/>
      <c r="I39" s="130"/>
      <c r="J39" s="401"/>
      <c r="K39" s="369"/>
      <c r="L39" s="370"/>
      <c r="M39" s="358"/>
      <c r="N39" s="358"/>
      <c r="O39" s="44"/>
      <c r="P39" s="44"/>
    </row>
    <row r="40" spans="2:16" x14ac:dyDescent="0.2">
      <c r="B40" s="35"/>
      <c r="C40" s="35"/>
      <c r="D40" s="38"/>
      <c r="E40" s="387"/>
      <c r="F40" s="82"/>
      <c r="H40" s="89"/>
      <c r="I40" s="88"/>
      <c r="J40" s="365"/>
      <c r="K40" s="307"/>
      <c r="L40" s="371"/>
      <c r="M40" s="358"/>
      <c r="N40" s="358"/>
      <c r="O40" s="44"/>
      <c r="P40" s="44"/>
    </row>
    <row r="41" spans="2:16" x14ac:dyDescent="0.2">
      <c r="B41" s="84" t="s">
        <v>147</v>
      </c>
      <c r="C41" s="361"/>
      <c r="D41" s="362"/>
      <c r="E41" s="392"/>
      <c r="F41" s="402"/>
      <c r="G41" s="393"/>
      <c r="H41" s="394"/>
      <c r="I41" s="403"/>
      <c r="J41" s="395"/>
      <c r="K41" s="303"/>
      <c r="L41" s="304"/>
      <c r="M41" s="358"/>
      <c r="N41" s="358"/>
      <c r="O41" s="44"/>
      <c r="P41" s="44"/>
    </row>
    <row r="42" spans="2:16" x14ac:dyDescent="0.2">
      <c r="B42" s="305"/>
      <c r="C42" s="35"/>
      <c r="D42" s="38"/>
      <c r="E42" s="75"/>
      <c r="F42" s="82"/>
      <c r="G42" s="86"/>
      <c r="H42" s="89"/>
      <c r="I42" s="88"/>
      <c r="J42" s="124"/>
      <c r="K42" s="82"/>
      <c r="L42" s="87"/>
      <c r="M42" s="127"/>
      <c r="N42" s="358"/>
      <c r="O42" s="44"/>
      <c r="P42" s="44"/>
    </row>
    <row r="43" spans="2:16" x14ac:dyDescent="0.2">
      <c r="B43" s="321" t="s">
        <v>89</v>
      </c>
      <c r="C43" s="314" t="s">
        <v>90</v>
      </c>
      <c r="D43" s="38">
        <f>D28+D12</f>
        <v>1252.6000305414561</v>
      </c>
      <c r="E43" s="89"/>
      <c r="F43" s="82">
        <f>F12+F28</f>
        <v>1017688.3300000001</v>
      </c>
      <c r="H43" s="89"/>
      <c r="I43" s="82">
        <f>I12+I28</f>
        <v>1056977.54</v>
      </c>
      <c r="J43" s="124"/>
      <c r="K43" s="82">
        <f>I43-F43</f>
        <v>39289.209999999963</v>
      </c>
      <c r="L43" s="87">
        <f t="shared" ref="L43:L46" si="4">IFERROR(K43/F43, )</f>
        <v>3.860632852103154E-2</v>
      </c>
      <c r="M43" s="127"/>
      <c r="N43" s="358"/>
      <c r="O43" s="44"/>
      <c r="P43" s="44"/>
    </row>
    <row r="44" spans="2:16" x14ac:dyDescent="0.2">
      <c r="B44" s="305" t="s">
        <v>97</v>
      </c>
      <c r="C44" s="35" t="s">
        <v>95</v>
      </c>
      <c r="D44" s="38">
        <f>D29+D13</f>
        <v>748075.9709999999</v>
      </c>
      <c r="E44" s="89"/>
      <c r="F44" s="82">
        <f>F13+F29</f>
        <v>972498.77</v>
      </c>
      <c r="H44" s="89"/>
      <c r="I44" s="82">
        <f>I13+I29</f>
        <v>1077229.3999999999</v>
      </c>
      <c r="J44" s="124"/>
      <c r="K44" s="82">
        <f>I44-F44</f>
        <v>104730.62999999989</v>
      </c>
      <c r="L44" s="87">
        <f t="shared" si="4"/>
        <v>0.10769230073165016</v>
      </c>
      <c r="M44" s="127"/>
      <c r="N44" s="358"/>
      <c r="O44" s="44"/>
      <c r="P44" s="44"/>
    </row>
    <row r="45" spans="2:16" x14ac:dyDescent="0.2">
      <c r="B45" s="305" t="s">
        <v>94</v>
      </c>
      <c r="C45" s="35" t="s">
        <v>92</v>
      </c>
      <c r="D45" s="38">
        <f>D30+D14</f>
        <v>19992939.502740219</v>
      </c>
      <c r="E45" s="89"/>
      <c r="F45" s="82">
        <f>F14</f>
        <v>140950.22349431855</v>
      </c>
      <c r="H45" s="89"/>
      <c r="I45" s="82">
        <f>I14</f>
        <v>155944.93</v>
      </c>
      <c r="J45" s="124"/>
      <c r="K45" s="82">
        <f>I45-F45</f>
        <v>14994.706505681446</v>
      </c>
      <c r="L45" s="87">
        <f t="shared" si="4"/>
        <v>0.10638299205170013</v>
      </c>
      <c r="M45" s="127"/>
      <c r="N45" s="358"/>
      <c r="O45" s="44"/>
      <c r="P45" s="44"/>
    </row>
    <row r="46" spans="2:16" x14ac:dyDescent="0.2">
      <c r="B46" s="305" t="s">
        <v>104</v>
      </c>
      <c r="C46" s="35"/>
      <c r="D46" s="38"/>
      <c r="E46" s="89"/>
      <c r="F46" s="88">
        <f>F15+F30</f>
        <v>-924.14000000000306</v>
      </c>
      <c r="H46" s="89"/>
      <c r="I46" s="88">
        <f>I15+I30</f>
        <v>-924.14000000000306</v>
      </c>
      <c r="J46" s="124"/>
      <c r="K46" s="82">
        <f>I46-F46</f>
        <v>0</v>
      </c>
      <c r="L46" s="87">
        <f t="shared" si="4"/>
        <v>0</v>
      </c>
      <c r="M46" s="127"/>
      <c r="N46" s="358"/>
      <c r="O46" s="44"/>
      <c r="P46" s="44"/>
    </row>
    <row r="47" spans="2:16" x14ac:dyDescent="0.2">
      <c r="B47" s="305"/>
      <c r="C47" s="35"/>
      <c r="D47" s="38"/>
      <c r="E47" s="75"/>
      <c r="F47" s="44"/>
      <c r="H47" s="75"/>
      <c r="I47" s="44"/>
      <c r="J47" s="89"/>
      <c r="K47" s="82"/>
      <c r="L47" s="87"/>
      <c r="M47" s="127"/>
      <c r="N47" s="358"/>
      <c r="O47" s="44"/>
      <c r="P47" s="44"/>
    </row>
    <row r="48" spans="2:16" x14ac:dyDescent="0.2">
      <c r="B48" s="305" t="s">
        <v>98</v>
      </c>
      <c r="C48" s="35"/>
      <c r="D48" s="38"/>
      <c r="E48" s="75"/>
      <c r="F48" s="82"/>
      <c r="H48" s="75"/>
      <c r="I48" s="82"/>
      <c r="J48" s="124"/>
      <c r="K48" s="82"/>
      <c r="L48" s="87"/>
      <c r="M48" s="127"/>
      <c r="N48" s="358"/>
      <c r="O48" s="44"/>
      <c r="P48" s="44"/>
    </row>
    <row r="49" spans="1:16" x14ac:dyDescent="0.2">
      <c r="B49" s="305" t="s">
        <v>105</v>
      </c>
      <c r="C49" s="35" t="s">
        <v>92</v>
      </c>
      <c r="D49" s="38">
        <f>D33+D18</f>
        <v>32614172.612156868</v>
      </c>
      <c r="E49" s="75"/>
      <c r="F49" s="82">
        <f>F18+F33</f>
        <v>3535376.3099999996</v>
      </c>
      <c r="H49" s="93"/>
      <c r="I49" s="82">
        <f>I18+I33</f>
        <v>4072857.87</v>
      </c>
      <c r="J49" s="124"/>
      <c r="K49" s="82">
        <f>I49-F49</f>
        <v>537481.56000000052</v>
      </c>
      <c r="L49" s="87">
        <f t="shared" ref="L49:L51" si="5">IFERROR(K49/F49, )</f>
        <v>0.15202951903018228</v>
      </c>
      <c r="M49" s="127"/>
      <c r="N49" s="358"/>
      <c r="O49" s="44"/>
      <c r="P49" s="44"/>
    </row>
    <row r="50" spans="1:16" x14ac:dyDescent="0.2">
      <c r="B50" s="305" t="s">
        <v>106</v>
      </c>
      <c r="C50" s="35" t="s">
        <v>92</v>
      </c>
      <c r="D50" s="38">
        <f>D34+D19</f>
        <v>21676678.247000001</v>
      </c>
      <c r="E50" s="75"/>
      <c r="F50" s="82">
        <f>F19+F34</f>
        <v>1162953.79</v>
      </c>
      <c r="H50" s="93"/>
      <c r="I50" s="82">
        <f>I19+I34</f>
        <v>1286294.08</v>
      </c>
      <c r="J50" s="124"/>
      <c r="K50" s="82">
        <f>I50-F50</f>
        <v>123340.29000000004</v>
      </c>
      <c r="L50" s="87">
        <f t="shared" si="5"/>
        <v>0.10605777380028146</v>
      </c>
      <c r="M50" s="127"/>
      <c r="N50" s="358"/>
      <c r="O50" s="44"/>
      <c r="P50" s="44"/>
    </row>
    <row r="51" spans="1:16" x14ac:dyDescent="0.2">
      <c r="B51" s="305" t="s">
        <v>107</v>
      </c>
      <c r="C51" s="35" t="s">
        <v>92</v>
      </c>
      <c r="D51" s="38">
        <f>D35+D20</f>
        <v>34588879.663542144</v>
      </c>
      <c r="E51" s="75"/>
      <c r="F51" s="78">
        <f>F20+F35</f>
        <v>1775101.31</v>
      </c>
      <c r="H51" s="75"/>
      <c r="I51" s="78">
        <f>I20+I35</f>
        <v>1963610.69</v>
      </c>
      <c r="J51" s="124"/>
      <c r="K51" s="82">
        <f>I51-F51</f>
        <v>188509.37999999989</v>
      </c>
      <c r="L51" s="87">
        <f t="shared" si="5"/>
        <v>0.10619640633356295</v>
      </c>
      <c r="M51" s="127"/>
      <c r="N51" s="358"/>
      <c r="O51" s="44"/>
      <c r="P51" s="44"/>
    </row>
    <row r="52" spans="1:16" x14ac:dyDescent="0.2">
      <c r="B52" s="321" t="s">
        <v>125</v>
      </c>
      <c r="C52" s="314"/>
      <c r="D52" s="15">
        <f>SUM(D49:D51)</f>
        <v>88879730.522699013</v>
      </c>
      <c r="E52" s="89"/>
      <c r="F52" s="128">
        <f>SUM(F43:F51)</f>
        <v>8603644.5934943184</v>
      </c>
      <c r="H52" s="89"/>
      <c r="I52" s="128">
        <f>SUM(I43:I51)</f>
        <v>9611990.3699999992</v>
      </c>
      <c r="J52" s="124"/>
      <c r="K52" s="128">
        <f>SUM(K43:K51)</f>
        <v>1008345.7765056817</v>
      </c>
      <c r="L52" s="122">
        <f>IFERROR(K52/F52, )</f>
        <v>0.11719984078237571</v>
      </c>
      <c r="M52" s="127"/>
      <c r="N52" s="358"/>
      <c r="O52" s="44"/>
      <c r="P52" s="44"/>
    </row>
    <row r="53" spans="1:16" x14ac:dyDescent="0.2">
      <c r="B53" s="321"/>
      <c r="C53" s="314"/>
      <c r="D53" s="38"/>
      <c r="E53" s="89"/>
      <c r="F53" s="88"/>
      <c r="H53" s="89"/>
      <c r="I53" s="88"/>
      <c r="J53" s="124"/>
      <c r="K53" s="82"/>
      <c r="L53" s="87"/>
      <c r="M53" s="127"/>
      <c r="N53" s="358"/>
      <c r="O53" s="44"/>
      <c r="P53" s="44"/>
    </row>
    <row r="54" spans="1:16" x14ac:dyDescent="0.2">
      <c r="B54" s="305" t="s">
        <v>221</v>
      </c>
      <c r="C54" s="35"/>
      <c r="D54" s="38"/>
      <c r="E54" s="89"/>
      <c r="F54" s="128">
        <f>F52</f>
        <v>8603644.5934943184</v>
      </c>
      <c r="H54" s="89"/>
      <c r="I54" s="128">
        <f>I52</f>
        <v>9611990.3699999992</v>
      </c>
      <c r="J54" s="124"/>
      <c r="K54" s="128">
        <f>K52</f>
        <v>1008345.7765056817</v>
      </c>
      <c r="L54" s="122">
        <f>IFERROR(K54/F54, )</f>
        <v>0.11719984078237571</v>
      </c>
      <c r="M54" s="127"/>
      <c r="N54" s="358"/>
    </row>
    <row r="55" spans="1:16" x14ac:dyDescent="0.2">
      <c r="B55" s="367"/>
      <c r="C55" s="336"/>
      <c r="D55" s="79"/>
      <c r="E55" s="129"/>
      <c r="F55" s="78"/>
      <c r="G55" s="79"/>
      <c r="H55" s="123"/>
      <c r="I55" s="130"/>
      <c r="J55" s="131"/>
      <c r="K55" s="78"/>
      <c r="L55" s="80"/>
      <c r="M55" s="127"/>
      <c r="N55" s="358"/>
    </row>
    <row r="56" spans="1:16" x14ac:dyDescent="0.2">
      <c r="A56" s="35"/>
      <c r="B56" s="35"/>
      <c r="C56" s="35"/>
      <c r="D56" s="38"/>
      <c r="E56" s="387"/>
      <c r="F56" s="82"/>
      <c r="H56" s="89"/>
      <c r="I56" s="88"/>
      <c r="J56" s="365"/>
      <c r="K56" s="307"/>
      <c r="L56" s="371"/>
      <c r="M56" s="358"/>
      <c r="N56" s="358"/>
      <c r="O56" s="35"/>
    </row>
    <row r="57" spans="1:16" x14ac:dyDescent="0.2">
      <c r="B57" s="299" t="s">
        <v>148</v>
      </c>
      <c r="C57" s="361"/>
      <c r="D57" s="362"/>
      <c r="E57" s="392"/>
      <c r="F57" s="402"/>
      <c r="G57" s="362"/>
      <c r="H57" s="394"/>
      <c r="I57" s="404"/>
      <c r="J57" s="395"/>
      <c r="K57" s="303"/>
      <c r="L57" s="324"/>
      <c r="M57" s="358"/>
      <c r="N57" s="358"/>
      <c r="O57" s="35"/>
    </row>
    <row r="58" spans="1:16" x14ac:dyDescent="0.2">
      <c r="B58" s="305"/>
      <c r="C58" s="35"/>
      <c r="D58" s="38"/>
      <c r="E58" s="387"/>
      <c r="F58" s="82"/>
      <c r="G58" s="86"/>
      <c r="H58" s="89"/>
      <c r="I58" s="88"/>
      <c r="J58" s="365"/>
      <c r="K58" s="307"/>
      <c r="L58" s="308"/>
      <c r="M58" s="358"/>
      <c r="N58" s="358"/>
      <c r="O58" s="364" t="s">
        <v>149</v>
      </c>
    </row>
    <row r="59" spans="1:16" x14ac:dyDescent="0.2">
      <c r="B59" s="321" t="s">
        <v>89</v>
      </c>
      <c r="C59" s="314" t="s">
        <v>90</v>
      </c>
      <c r="D59" s="38">
        <v>1364.2999596828383</v>
      </c>
      <c r="E59" s="89">
        <v>148.82</v>
      </c>
      <c r="F59" s="82">
        <f>ROUND(D59*E59,2)</f>
        <v>203035.12</v>
      </c>
      <c r="H59" s="309">
        <f>E59</f>
        <v>148.82</v>
      </c>
      <c r="I59" s="88">
        <f>ROUND(D59*H59,2)</f>
        <v>203035.12</v>
      </c>
      <c r="J59" s="365"/>
      <c r="K59" s="307">
        <f>I59-F59</f>
        <v>0</v>
      </c>
      <c r="L59" s="308">
        <f t="shared" ref="L59:L62" si="6">IFERROR(K59/F59, )</f>
        <v>0</v>
      </c>
      <c r="M59" s="358"/>
      <c r="N59" s="358"/>
      <c r="O59" s="74">
        <v>1560028.5146650348</v>
      </c>
    </row>
    <row r="60" spans="1:16" x14ac:dyDescent="0.2">
      <c r="B60" s="305" t="s">
        <v>97</v>
      </c>
      <c r="C60" s="35" t="s">
        <v>95</v>
      </c>
      <c r="D60" s="38">
        <v>39087.972999999998</v>
      </c>
      <c r="E60" s="89">
        <v>1.35</v>
      </c>
      <c r="F60" s="82">
        <f>ROUND(D60*E60,2)</f>
        <v>52768.76</v>
      </c>
      <c r="H60" s="309">
        <f>E60</f>
        <v>1.35</v>
      </c>
      <c r="I60" s="88">
        <f>ROUND(D60*H60,2)</f>
        <v>52768.76</v>
      </c>
      <c r="J60" s="365"/>
      <c r="K60" s="307">
        <f>I60-F60</f>
        <v>0</v>
      </c>
      <c r="L60" s="308">
        <f t="shared" si="6"/>
        <v>0</v>
      </c>
      <c r="M60" s="358"/>
      <c r="N60" s="358"/>
      <c r="O60" s="312" t="s">
        <v>122</v>
      </c>
    </row>
    <row r="61" spans="1:16" x14ac:dyDescent="0.2">
      <c r="B61" s="305" t="s">
        <v>94</v>
      </c>
      <c r="C61" s="35" t="s">
        <v>92</v>
      </c>
      <c r="D61" s="38">
        <f>D67</f>
        <v>5773170.4876905456</v>
      </c>
      <c r="E61" s="75">
        <v>1.222E-2</v>
      </c>
      <c r="F61" s="82">
        <f>ROUND(D61*E61,2)</f>
        <v>70548.14</v>
      </c>
      <c r="H61" s="109">
        <f>E61</f>
        <v>1.222E-2</v>
      </c>
      <c r="I61" s="88">
        <f>ROUND(D67*H61,2)</f>
        <v>70548.14</v>
      </c>
      <c r="J61" s="365"/>
      <c r="K61" s="307">
        <f>I61-F61</f>
        <v>0</v>
      </c>
      <c r="L61" s="308">
        <f t="shared" si="6"/>
        <v>0</v>
      </c>
      <c r="M61" s="358"/>
      <c r="N61" s="358"/>
      <c r="O61" s="317">
        <f>I98-O59</f>
        <v>2.5053349651861936</v>
      </c>
    </row>
    <row r="62" spans="1:16" x14ac:dyDescent="0.2">
      <c r="B62" s="305" t="s">
        <v>104</v>
      </c>
      <c r="C62" s="35"/>
      <c r="D62" s="38"/>
      <c r="E62" s="75"/>
      <c r="F62" s="88">
        <v>7612.77</v>
      </c>
      <c r="H62" s="109"/>
      <c r="I62" s="88">
        <f>F62</f>
        <v>7612.77</v>
      </c>
      <c r="J62" s="405"/>
      <c r="K62" s="307">
        <f>I62-F62</f>
        <v>0</v>
      </c>
      <c r="L62" s="308">
        <f t="shared" si="6"/>
        <v>0</v>
      </c>
      <c r="M62" s="358"/>
      <c r="N62" s="358"/>
      <c r="O62" s="396"/>
    </row>
    <row r="63" spans="1:16" x14ac:dyDescent="0.2">
      <c r="B63" s="305"/>
      <c r="C63" s="35"/>
      <c r="D63" s="38"/>
      <c r="E63" s="75"/>
      <c r="F63" s="82"/>
      <c r="H63" s="109"/>
      <c r="I63" s="88"/>
      <c r="J63" s="365"/>
      <c r="K63" s="307"/>
      <c r="L63" s="308"/>
      <c r="M63" s="358"/>
      <c r="N63" s="358"/>
      <c r="O63" s="366">
        <v>4.2429683015157149E-2</v>
      </c>
      <c r="P63" s="399"/>
    </row>
    <row r="64" spans="1:16" x14ac:dyDescent="0.2">
      <c r="B64" s="305" t="s">
        <v>98</v>
      </c>
      <c r="C64" s="35"/>
      <c r="D64" s="38"/>
      <c r="E64" s="75"/>
      <c r="F64" s="82"/>
      <c r="H64" s="109"/>
      <c r="I64" s="88"/>
      <c r="J64" s="365"/>
      <c r="K64" s="307"/>
      <c r="L64" s="308"/>
      <c r="M64" s="358"/>
      <c r="N64" s="358"/>
      <c r="O64" s="406"/>
      <c r="P64" s="325"/>
    </row>
    <row r="65" spans="1:16" x14ac:dyDescent="0.2">
      <c r="B65" s="85" t="s">
        <v>109</v>
      </c>
      <c r="C65" s="44" t="s">
        <v>92</v>
      </c>
      <c r="D65" s="38">
        <v>1063981.5778999999</v>
      </c>
      <c r="E65" s="75">
        <v>0.18382000000000001</v>
      </c>
      <c r="F65" s="82">
        <f>ROUND(D65*E65,2)</f>
        <v>195581.09</v>
      </c>
      <c r="H65" s="109">
        <f>ROUND(E65*(1+$O$65),5)</f>
        <v>0.1951</v>
      </c>
      <c r="I65" s="88">
        <f>ROUND(D65*H65,2)</f>
        <v>207582.81</v>
      </c>
      <c r="J65" s="365"/>
      <c r="K65" s="307">
        <f>I65-F65</f>
        <v>12001.720000000001</v>
      </c>
      <c r="L65" s="308">
        <f t="shared" ref="L65:L66" si="7">IFERROR(K65/F65, )</f>
        <v>6.1364419228873313E-2</v>
      </c>
      <c r="M65" s="358"/>
      <c r="N65" s="358"/>
      <c r="O65" s="407">
        <f>(O59-SUM(I88:I91))/SUM(F94:F95)-1</f>
        <v>6.1383682309006371E-2</v>
      </c>
      <c r="P65" s="399"/>
    </row>
    <row r="66" spans="1:16" ht="12.75" customHeight="1" x14ac:dyDescent="0.2">
      <c r="B66" s="85" t="s">
        <v>110</v>
      </c>
      <c r="C66" s="44" t="s">
        <v>92</v>
      </c>
      <c r="D66" s="38">
        <v>4709188.9097905457</v>
      </c>
      <c r="E66" s="75">
        <v>0.13031000000000001</v>
      </c>
      <c r="F66" s="82">
        <f>ROUND(D66*E66,2)</f>
        <v>613654.41</v>
      </c>
      <c r="H66" s="109">
        <f>ROUND(E66*(1+$O$65),5)</f>
        <v>0.13830999999999999</v>
      </c>
      <c r="I66" s="88">
        <f>ROUND(D66*H66,2)</f>
        <v>651327.92000000004</v>
      </c>
      <c r="J66" s="365"/>
      <c r="K66" s="307">
        <f>I66-F66</f>
        <v>37673.510000000009</v>
      </c>
      <c r="L66" s="308">
        <f t="shared" si="7"/>
        <v>6.1392062675798269E-2</v>
      </c>
      <c r="M66" s="358"/>
      <c r="N66" s="358"/>
      <c r="O66" s="406"/>
      <c r="P66" s="399"/>
    </row>
    <row r="67" spans="1:16" ht="12.75" customHeight="1" x14ac:dyDescent="0.2">
      <c r="B67" s="321" t="s">
        <v>125</v>
      </c>
      <c r="C67" s="35" t="s">
        <v>92</v>
      </c>
      <c r="D67" s="15">
        <f>SUM(D65:D66)</f>
        <v>5773170.4876905456</v>
      </c>
      <c r="E67" s="387"/>
      <c r="F67" s="128">
        <f>SUM(F59:F66)</f>
        <v>1143200.29</v>
      </c>
      <c r="H67" s="89"/>
      <c r="I67" s="128">
        <f>SUM(I59:I66)</f>
        <v>1192875.52</v>
      </c>
      <c r="J67" s="365"/>
      <c r="K67" s="374">
        <f>SUM(K59:K66)</f>
        <v>49675.23000000001</v>
      </c>
      <c r="L67" s="408">
        <f>IFERROR(K67/F67, )</f>
        <v>4.3452779390040226E-2</v>
      </c>
      <c r="M67" s="358"/>
      <c r="N67" s="358"/>
      <c r="O67" s="376"/>
      <c r="P67" s="399"/>
    </row>
    <row r="68" spans="1:16" x14ac:dyDescent="0.2">
      <c r="B68" s="321"/>
      <c r="C68" s="314"/>
      <c r="D68" s="38"/>
      <c r="E68" s="387"/>
      <c r="F68" s="88"/>
      <c r="H68" s="89"/>
      <c r="I68" s="88"/>
      <c r="J68" s="365"/>
      <c r="K68" s="307"/>
      <c r="L68" s="310"/>
      <c r="M68" s="358"/>
      <c r="N68" s="114"/>
      <c r="O68" s="398"/>
      <c r="P68" s="399"/>
    </row>
    <row r="69" spans="1:16" s="35" customFormat="1" x14ac:dyDescent="0.2">
      <c r="B69" s="305" t="s">
        <v>221</v>
      </c>
      <c r="D69" s="38"/>
      <c r="E69" s="281"/>
      <c r="F69" s="128">
        <f>F67</f>
        <v>1143200.29</v>
      </c>
      <c r="G69" s="38"/>
      <c r="H69" s="89"/>
      <c r="I69" s="128">
        <f>I67</f>
        <v>1192875.52</v>
      </c>
      <c r="J69" s="365"/>
      <c r="K69" s="374">
        <f>K67</f>
        <v>49675.23000000001</v>
      </c>
      <c r="L69" s="408">
        <f>IFERROR(K69/F69, )</f>
        <v>4.3452779390040226E-2</v>
      </c>
      <c r="M69" s="358"/>
      <c r="N69" s="358"/>
    </row>
    <row r="70" spans="1:16" x14ac:dyDescent="0.2">
      <c r="A70" s="35"/>
      <c r="B70" s="367"/>
      <c r="C70" s="336"/>
      <c r="D70" s="79"/>
      <c r="E70" s="132"/>
      <c r="F70" s="78"/>
      <c r="G70" s="79"/>
      <c r="H70" s="123"/>
      <c r="I70" s="130"/>
      <c r="J70" s="401"/>
      <c r="K70" s="369"/>
      <c r="L70" s="338"/>
      <c r="M70" s="358"/>
      <c r="N70" s="358"/>
    </row>
    <row r="71" spans="1:16" s="35" customFormat="1" x14ac:dyDescent="0.2">
      <c r="D71" s="38"/>
      <c r="E71" s="133"/>
      <c r="F71" s="82"/>
      <c r="G71" s="38"/>
      <c r="H71" s="89"/>
      <c r="I71" s="88"/>
      <c r="J71" s="365"/>
      <c r="K71" s="307"/>
      <c r="L71" s="409"/>
      <c r="M71" s="358"/>
      <c r="N71" s="358"/>
    </row>
    <row r="72" spans="1:16" x14ac:dyDescent="0.2">
      <c r="A72" s="35"/>
      <c r="B72" s="299" t="s">
        <v>150</v>
      </c>
      <c r="C72" s="361"/>
      <c r="D72" s="362"/>
      <c r="E72" s="392"/>
      <c r="F72" s="402"/>
      <c r="G72" s="362"/>
      <c r="H72" s="394"/>
      <c r="I72" s="404"/>
      <c r="J72" s="395"/>
      <c r="K72" s="303"/>
      <c r="L72" s="324"/>
      <c r="M72" s="358"/>
      <c r="N72" s="358"/>
    </row>
    <row r="73" spans="1:16" x14ac:dyDescent="0.2">
      <c r="A73" s="35"/>
      <c r="B73" s="305"/>
      <c r="C73" s="35"/>
      <c r="D73" s="38"/>
      <c r="E73" s="387"/>
      <c r="F73" s="82"/>
      <c r="G73" s="86"/>
      <c r="H73" s="89"/>
      <c r="I73" s="88"/>
      <c r="J73" s="365"/>
      <c r="K73" s="307"/>
      <c r="L73" s="308"/>
      <c r="M73" s="358"/>
      <c r="N73" s="358"/>
    </row>
    <row r="74" spans="1:16" x14ac:dyDescent="0.2">
      <c r="A74" s="35"/>
      <c r="B74" s="321" t="s">
        <v>89</v>
      </c>
      <c r="C74" s="314" t="s">
        <v>90</v>
      </c>
      <c r="D74" s="38">
        <v>135.03332221112262</v>
      </c>
      <c r="E74" s="89">
        <v>457.76</v>
      </c>
      <c r="F74" s="82">
        <f>ROUND(D74*E74,2)</f>
        <v>61812.85</v>
      </c>
      <c r="H74" s="309">
        <f>E74</f>
        <v>457.76</v>
      </c>
      <c r="I74" s="88">
        <f>ROUND(D74*H74,2)</f>
        <v>61812.85</v>
      </c>
      <c r="J74" s="365"/>
      <c r="K74" s="307">
        <f>I74-F74</f>
        <v>0</v>
      </c>
      <c r="L74" s="308">
        <f t="shared" ref="L74:L76" si="8">IFERROR(K74/F74, )</f>
        <v>0</v>
      </c>
      <c r="M74" s="358"/>
      <c r="N74" s="358"/>
    </row>
    <row r="75" spans="1:16" x14ac:dyDescent="0.2">
      <c r="A75" s="35"/>
      <c r="B75" s="305" t="s">
        <v>97</v>
      </c>
      <c r="C75" s="35" t="s">
        <v>95</v>
      </c>
      <c r="D75" s="38">
        <v>43385</v>
      </c>
      <c r="E75" s="89">
        <v>1.35</v>
      </c>
      <c r="F75" s="82">
        <f>ROUND(D75*E75,2)</f>
        <v>58569.75</v>
      </c>
      <c r="H75" s="309">
        <f>H60</f>
        <v>1.35</v>
      </c>
      <c r="I75" s="88">
        <f>ROUND(D75*H75,2)</f>
        <v>58569.75</v>
      </c>
      <c r="J75" s="365"/>
      <c r="K75" s="307">
        <f>I75-F75</f>
        <v>0</v>
      </c>
      <c r="L75" s="308">
        <f t="shared" si="8"/>
        <v>0</v>
      </c>
      <c r="M75" s="358"/>
      <c r="N75" s="358"/>
    </row>
    <row r="76" spans="1:16" x14ac:dyDescent="0.2">
      <c r="A76" s="35"/>
      <c r="B76" s="305" t="s">
        <v>104</v>
      </c>
      <c r="C76" s="35"/>
      <c r="D76" s="38"/>
      <c r="E76" s="75"/>
      <c r="F76" s="88">
        <v>0</v>
      </c>
      <c r="H76" s="109"/>
      <c r="I76" s="88">
        <f>F76</f>
        <v>0</v>
      </c>
      <c r="J76" s="405"/>
      <c r="K76" s="307">
        <f>I76-F76</f>
        <v>0</v>
      </c>
      <c r="L76" s="308">
        <f t="shared" si="8"/>
        <v>0</v>
      </c>
      <c r="M76" s="358"/>
      <c r="N76" s="358"/>
    </row>
    <row r="77" spans="1:16" x14ac:dyDescent="0.2">
      <c r="A77" s="35"/>
      <c r="B77" s="305"/>
      <c r="C77" s="35"/>
      <c r="D77" s="38"/>
      <c r="E77" s="75"/>
      <c r="F77" s="82"/>
      <c r="H77" s="109"/>
      <c r="I77" s="88"/>
      <c r="J77" s="365"/>
      <c r="K77" s="307"/>
      <c r="L77" s="308"/>
      <c r="M77" s="358"/>
      <c r="N77" s="358"/>
    </row>
    <row r="78" spans="1:16" x14ac:dyDescent="0.2">
      <c r="A78" s="35"/>
      <c r="B78" s="305" t="s">
        <v>98</v>
      </c>
      <c r="C78" s="35"/>
      <c r="D78" s="38"/>
      <c r="E78" s="75"/>
      <c r="F78" s="82"/>
      <c r="H78" s="109"/>
      <c r="I78" s="88"/>
      <c r="J78" s="365"/>
      <c r="K78" s="307"/>
      <c r="L78" s="308"/>
      <c r="M78" s="358"/>
      <c r="N78" s="358"/>
    </row>
    <row r="79" spans="1:16" x14ac:dyDescent="0.2">
      <c r="A79" s="35"/>
      <c r="B79" s="85" t="s">
        <v>109</v>
      </c>
      <c r="C79" s="44" t="s">
        <v>92</v>
      </c>
      <c r="D79" s="38">
        <v>160051.62</v>
      </c>
      <c r="E79" s="75">
        <v>0.18382000000000001</v>
      </c>
      <c r="F79" s="82">
        <f>ROUND(D79*E79,2)</f>
        <v>29420.69</v>
      </c>
      <c r="H79" s="109">
        <f>H65</f>
        <v>0.1951</v>
      </c>
      <c r="I79" s="88">
        <f>ROUND(D79*H79,2)</f>
        <v>31226.07</v>
      </c>
      <c r="J79" s="365"/>
      <c r="K79" s="307">
        <f>I79-F79</f>
        <v>1805.380000000001</v>
      </c>
      <c r="L79" s="308">
        <f t="shared" ref="L79:L80" si="9">IFERROR(K79/F79, )</f>
        <v>6.1364298390010605E-2</v>
      </c>
      <c r="M79" s="358"/>
      <c r="N79" s="358"/>
    </row>
    <row r="80" spans="1:16" x14ac:dyDescent="0.2">
      <c r="A80" s="35"/>
      <c r="B80" s="85" t="s">
        <v>110</v>
      </c>
      <c r="C80" s="44" t="s">
        <v>92</v>
      </c>
      <c r="D80" s="38">
        <v>1558432.7200000002</v>
      </c>
      <c r="E80" s="75">
        <v>0.13031000000000001</v>
      </c>
      <c r="F80" s="82">
        <f>ROUND(D80*E80,2)</f>
        <v>203079.37</v>
      </c>
      <c r="H80" s="109">
        <f>H66</f>
        <v>0.13830999999999999</v>
      </c>
      <c r="I80" s="88">
        <f>ROUND(D80*H80,2)</f>
        <v>215546.83</v>
      </c>
      <c r="J80" s="365"/>
      <c r="K80" s="307">
        <f>I80-F80</f>
        <v>12467.459999999992</v>
      </c>
      <c r="L80" s="308">
        <f t="shared" si="9"/>
        <v>6.1392055726783044E-2</v>
      </c>
      <c r="M80" s="358"/>
      <c r="N80" s="358"/>
    </row>
    <row r="81" spans="1:14" x14ac:dyDescent="0.2">
      <c r="A81" s="35"/>
      <c r="B81" s="321" t="s">
        <v>125</v>
      </c>
      <c r="C81" s="35" t="s">
        <v>92</v>
      </c>
      <c r="D81" s="15">
        <f>SUM(D79:D80)</f>
        <v>1718484.3400000003</v>
      </c>
      <c r="E81" s="387"/>
      <c r="F81" s="128">
        <f>SUM(F74:F80)</f>
        <v>352882.66000000003</v>
      </c>
      <c r="H81" s="89"/>
      <c r="I81" s="128">
        <f>SUM(I74:I80)</f>
        <v>367155.5</v>
      </c>
      <c r="J81" s="365"/>
      <c r="K81" s="374">
        <f>SUM(K74:K80)</f>
        <v>14272.839999999993</v>
      </c>
      <c r="L81" s="408">
        <f>IFERROR(K81/F81, )</f>
        <v>4.044641921481773E-2</v>
      </c>
      <c r="M81" s="358"/>
      <c r="N81" s="358"/>
    </row>
    <row r="82" spans="1:14" x14ac:dyDescent="0.2">
      <c r="A82" s="35"/>
      <c r="B82" s="321"/>
      <c r="C82" s="314"/>
      <c r="D82" s="38"/>
      <c r="E82" s="387"/>
      <c r="F82" s="88"/>
      <c r="H82" s="89"/>
      <c r="I82" s="88"/>
      <c r="J82" s="365"/>
      <c r="K82" s="307"/>
      <c r="L82" s="310"/>
      <c r="M82" s="358"/>
      <c r="N82" s="358"/>
    </row>
    <row r="83" spans="1:14" x14ac:dyDescent="0.2">
      <c r="A83" s="35"/>
      <c r="B83" s="321" t="s">
        <v>221</v>
      </c>
      <c r="C83" s="35"/>
      <c r="D83" s="38"/>
      <c r="E83" s="89"/>
      <c r="F83" s="128">
        <f>+F81</f>
        <v>352882.66000000003</v>
      </c>
      <c r="G83" s="128"/>
      <c r="H83" s="89"/>
      <c r="I83" s="128">
        <f>+I81</f>
        <v>367155.5</v>
      </c>
      <c r="J83" s="281"/>
      <c r="K83" s="374">
        <f>+K81</f>
        <v>14272.839999999993</v>
      </c>
      <c r="L83" s="408">
        <f>IFERROR(K83/F83, )</f>
        <v>4.044641921481773E-2</v>
      </c>
      <c r="M83" s="358"/>
      <c r="N83" s="358"/>
    </row>
    <row r="84" spans="1:14" x14ac:dyDescent="0.2">
      <c r="A84" s="35"/>
      <c r="B84" s="367"/>
      <c r="C84" s="336"/>
      <c r="D84" s="79"/>
      <c r="E84" s="400"/>
      <c r="F84" s="78"/>
      <c r="G84" s="79"/>
      <c r="H84" s="123"/>
      <c r="I84" s="130"/>
      <c r="J84" s="401"/>
      <c r="K84" s="369"/>
      <c r="L84" s="370"/>
      <c r="M84" s="358"/>
      <c r="N84" s="358"/>
    </row>
    <row r="85" spans="1:14" s="35" customFormat="1" x14ac:dyDescent="0.2">
      <c r="D85" s="38"/>
      <c r="E85" s="133"/>
      <c r="F85" s="82"/>
      <c r="G85" s="38"/>
      <c r="H85" s="89"/>
      <c r="I85" s="88"/>
      <c r="J85" s="365"/>
      <c r="K85" s="307"/>
      <c r="L85" s="409"/>
      <c r="M85" s="358"/>
      <c r="N85" s="358"/>
    </row>
    <row r="86" spans="1:14" x14ac:dyDescent="0.2">
      <c r="A86" s="35"/>
      <c r="B86" s="299" t="s">
        <v>151</v>
      </c>
      <c r="C86" s="361"/>
      <c r="D86" s="362"/>
      <c r="E86" s="392"/>
      <c r="F86" s="402"/>
      <c r="G86" s="362"/>
      <c r="H86" s="394"/>
      <c r="I86" s="404"/>
      <c r="J86" s="395"/>
      <c r="K86" s="303"/>
      <c r="L86" s="324"/>
      <c r="M86" s="358"/>
      <c r="N86" s="358"/>
    </row>
    <row r="87" spans="1:14" x14ac:dyDescent="0.2">
      <c r="A87" s="35"/>
      <c r="B87" s="305"/>
      <c r="C87" s="35"/>
      <c r="D87" s="38"/>
      <c r="E87" s="387"/>
      <c r="F87" s="82"/>
      <c r="G87" s="86"/>
      <c r="H87" s="89"/>
      <c r="I87" s="88"/>
      <c r="J87" s="365"/>
      <c r="K87" s="307"/>
      <c r="L87" s="308"/>
      <c r="M87" s="358"/>
      <c r="N87" s="358"/>
    </row>
    <row r="88" spans="1:14" x14ac:dyDescent="0.2">
      <c r="A88" s="35"/>
      <c r="B88" s="321" t="s">
        <v>89</v>
      </c>
      <c r="C88" s="314" t="s">
        <v>90</v>
      </c>
      <c r="D88" s="38">
        <f>D59+D74</f>
        <v>1499.3332818939609</v>
      </c>
      <c r="E88" s="89"/>
      <c r="F88" s="82">
        <f>F59+F74</f>
        <v>264847.96999999997</v>
      </c>
      <c r="H88" s="110"/>
      <c r="I88" s="82">
        <f>I59+I74</f>
        <v>264847.96999999997</v>
      </c>
      <c r="J88" s="365"/>
      <c r="K88" s="307">
        <f>I88-F88</f>
        <v>0</v>
      </c>
      <c r="L88" s="308">
        <f t="shared" ref="L88:L91" si="10">IFERROR(K88/F88, )</f>
        <v>0</v>
      </c>
      <c r="M88" s="358"/>
      <c r="N88" s="358"/>
    </row>
    <row r="89" spans="1:14" x14ac:dyDescent="0.2">
      <c r="A89" s="35"/>
      <c r="B89" s="305" t="s">
        <v>97</v>
      </c>
      <c r="C89" s="35" t="s">
        <v>95</v>
      </c>
      <c r="D89" s="38">
        <f>D60+D75</f>
        <v>82472.972999999998</v>
      </c>
      <c r="E89" s="89"/>
      <c r="F89" s="82">
        <f>F60+F75</f>
        <v>111338.51000000001</v>
      </c>
      <c r="H89" s="110"/>
      <c r="I89" s="82">
        <f>I60+I75</f>
        <v>111338.51000000001</v>
      </c>
      <c r="J89" s="365"/>
      <c r="K89" s="307">
        <f>I89-F89</f>
        <v>0</v>
      </c>
      <c r="L89" s="308">
        <f t="shared" si="10"/>
        <v>0</v>
      </c>
      <c r="M89" s="358"/>
      <c r="N89" s="358"/>
    </row>
    <row r="90" spans="1:14" x14ac:dyDescent="0.2">
      <c r="A90" s="35"/>
      <c r="B90" s="305" t="s">
        <v>94</v>
      </c>
      <c r="C90" s="35" t="s">
        <v>92</v>
      </c>
      <c r="D90" s="38">
        <f>D61</f>
        <v>5773170.4876905456</v>
      </c>
      <c r="E90" s="75"/>
      <c r="F90" s="82">
        <f>F61</f>
        <v>70548.14</v>
      </c>
      <c r="H90" s="93"/>
      <c r="I90" s="82">
        <f>I61</f>
        <v>70548.14</v>
      </c>
      <c r="J90" s="365"/>
      <c r="K90" s="307">
        <f>I90-F90</f>
        <v>0</v>
      </c>
      <c r="L90" s="308">
        <f t="shared" si="10"/>
        <v>0</v>
      </c>
      <c r="M90" s="358"/>
      <c r="N90" s="358"/>
    </row>
    <row r="91" spans="1:14" x14ac:dyDescent="0.2">
      <c r="A91" s="35"/>
      <c r="B91" s="305" t="s">
        <v>104</v>
      </c>
      <c r="C91" s="35"/>
      <c r="D91" s="38"/>
      <c r="E91" s="75"/>
      <c r="F91" s="88">
        <f>F62+F76</f>
        <v>7612.77</v>
      </c>
      <c r="H91" s="75"/>
      <c r="I91" s="88">
        <f>I62+I76</f>
        <v>7612.77</v>
      </c>
      <c r="J91" s="405"/>
      <c r="K91" s="307">
        <f>I91-F91</f>
        <v>0</v>
      </c>
      <c r="L91" s="308">
        <f t="shared" si="10"/>
        <v>0</v>
      </c>
      <c r="M91" s="358"/>
      <c r="N91" s="358"/>
    </row>
    <row r="92" spans="1:14" x14ac:dyDescent="0.2">
      <c r="A92" s="35"/>
      <c r="B92" s="305"/>
      <c r="C92" s="35"/>
      <c r="D92" s="38"/>
      <c r="E92" s="75"/>
      <c r="F92" s="82"/>
      <c r="H92" s="75"/>
      <c r="I92" s="82"/>
      <c r="J92" s="365"/>
      <c r="K92" s="307"/>
      <c r="L92" s="308"/>
      <c r="M92" s="358"/>
      <c r="N92" s="358"/>
    </row>
    <row r="93" spans="1:14" x14ac:dyDescent="0.2">
      <c r="A93" s="35"/>
      <c r="B93" s="305" t="s">
        <v>98</v>
      </c>
      <c r="C93" s="35"/>
      <c r="D93" s="38"/>
      <c r="E93" s="75"/>
      <c r="F93" s="82"/>
      <c r="H93" s="75"/>
      <c r="I93" s="82"/>
      <c r="J93" s="365"/>
      <c r="K93" s="307"/>
      <c r="L93" s="308"/>
      <c r="M93" s="358"/>
      <c r="N93" s="358"/>
    </row>
    <row r="94" spans="1:14" x14ac:dyDescent="0.2">
      <c r="A94" s="35"/>
      <c r="B94" s="85" t="s">
        <v>109</v>
      </c>
      <c r="C94" s="44" t="s">
        <v>92</v>
      </c>
      <c r="D94" s="38">
        <f>D65+D79</f>
        <v>1224033.1979</v>
      </c>
      <c r="E94" s="75"/>
      <c r="F94" s="82">
        <f>F65+F79</f>
        <v>225001.78</v>
      </c>
      <c r="H94" s="75"/>
      <c r="I94" s="82">
        <f>I65+I79</f>
        <v>238808.88</v>
      </c>
      <c r="J94" s="365"/>
      <c r="K94" s="307">
        <f>I94-F94</f>
        <v>13807.100000000006</v>
      </c>
      <c r="L94" s="308">
        <f t="shared" ref="L94:L95" si="11">IFERROR(K94/F94, )</f>
        <v>6.1364403428275129E-2</v>
      </c>
      <c r="M94" s="358"/>
      <c r="N94" s="358"/>
    </row>
    <row r="95" spans="1:14" x14ac:dyDescent="0.2">
      <c r="A95" s="35"/>
      <c r="B95" s="85" t="s">
        <v>110</v>
      </c>
      <c r="C95" s="44" t="s">
        <v>92</v>
      </c>
      <c r="D95" s="38">
        <f>D66+D80</f>
        <v>6267621.6297905464</v>
      </c>
      <c r="E95" s="75"/>
      <c r="F95" s="82">
        <f>F66+F80</f>
        <v>816733.78</v>
      </c>
      <c r="H95" s="75"/>
      <c r="I95" s="82">
        <f>I66+I80</f>
        <v>866874.75</v>
      </c>
      <c r="J95" s="365"/>
      <c r="K95" s="307">
        <f>I95-F95</f>
        <v>50140.969999999972</v>
      </c>
      <c r="L95" s="308">
        <f t="shared" si="11"/>
        <v>6.1392060947938226E-2</v>
      </c>
      <c r="M95" s="358"/>
      <c r="N95" s="358"/>
    </row>
    <row r="96" spans="1:14" x14ac:dyDescent="0.2">
      <c r="A96" s="35"/>
      <c r="B96" s="321" t="s">
        <v>125</v>
      </c>
      <c r="C96" s="35" t="s">
        <v>92</v>
      </c>
      <c r="D96" s="15">
        <f>SUM(D94:D95)</f>
        <v>7491654.8276905464</v>
      </c>
      <c r="E96" s="387"/>
      <c r="F96" s="128">
        <f>SUM(F88:F95)</f>
        <v>1496082.9500000002</v>
      </c>
      <c r="H96" s="89"/>
      <c r="I96" s="128">
        <f>SUM(I88:I95)</f>
        <v>1560031.02</v>
      </c>
      <c r="J96" s="365"/>
      <c r="K96" s="374">
        <f>SUM(K88:K95)</f>
        <v>63948.069999999978</v>
      </c>
      <c r="L96" s="408">
        <f>IFERROR(K96/F96, )</f>
        <v>4.2743666051404415E-2</v>
      </c>
      <c r="M96" s="358"/>
      <c r="N96" s="358"/>
    </row>
    <row r="97" spans="1:16" x14ac:dyDescent="0.2">
      <c r="A97" s="35"/>
      <c r="B97" s="321"/>
      <c r="C97" s="314"/>
      <c r="D97" s="38"/>
      <c r="E97" s="387"/>
      <c r="F97" s="88"/>
      <c r="H97" s="89"/>
      <c r="I97" s="88"/>
      <c r="J97" s="365"/>
      <c r="K97" s="307"/>
      <c r="L97" s="310"/>
      <c r="M97" s="358"/>
      <c r="N97" s="358"/>
    </row>
    <row r="98" spans="1:16" x14ac:dyDescent="0.2">
      <c r="A98" s="35"/>
      <c r="B98" s="321" t="s">
        <v>221</v>
      </c>
      <c r="C98" s="314"/>
      <c r="D98" s="44"/>
      <c r="E98" s="281"/>
      <c r="F98" s="128">
        <f>F96</f>
        <v>1496082.9500000002</v>
      </c>
      <c r="G98" s="44"/>
      <c r="H98" s="89"/>
      <c r="I98" s="128">
        <f>I96</f>
        <v>1560031.02</v>
      </c>
      <c r="J98" s="365"/>
      <c r="K98" s="374">
        <f>K96</f>
        <v>63948.069999999978</v>
      </c>
      <c r="L98" s="408">
        <f>IFERROR(K98/F98, )</f>
        <v>4.2743666051404415E-2</v>
      </c>
      <c r="M98" s="358"/>
      <c r="N98" s="358"/>
    </row>
    <row r="99" spans="1:16" x14ac:dyDescent="0.2">
      <c r="A99" s="35"/>
      <c r="B99" s="367"/>
      <c r="C99" s="336"/>
      <c r="D99" s="79"/>
      <c r="E99" s="400"/>
      <c r="F99" s="78"/>
      <c r="G99" s="79"/>
      <c r="H99" s="123"/>
      <c r="I99" s="130"/>
      <c r="J99" s="401"/>
      <c r="K99" s="369"/>
      <c r="L99" s="338"/>
      <c r="M99" s="358"/>
      <c r="N99" s="358"/>
    </row>
    <row r="100" spans="1:16" s="35" customFormat="1" x14ac:dyDescent="0.2">
      <c r="B100" s="44"/>
      <c r="C100" s="44"/>
      <c r="D100" s="38"/>
      <c r="E100" s="133"/>
      <c r="F100" s="82"/>
      <c r="G100" s="38"/>
      <c r="H100" s="89"/>
      <c r="I100" s="88"/>
      <c r="J100" s="124"/>
      <c r="K100" s="82"/>
      <c r="L100" s="134"/>
      <c r="M100" s="358"/>
      <c r="N100" s="358"/>
    </row>
    <row r="101" spans="1:16" s="35" customFormat="1" x14ac:dyDescent="0.2">
      <c r="B101" s="44"/>
      <c r="C101" s="44"/>
      <c r="D101" s="38"/>
      <c r="E101" s="75"/>
      <c r="F101" s="82"/>
      <c r="G101" s="38"/>
      <c r="H101" s="89"/>
      <c r="I101" s="88"/>
      <c r="J101" s="124"/>
      <c r="K101" s="82"/>
      <c r="L101" s="134"/>
      <c r="M101" s="358"/>
      <c r="N101" s="358"/>
    </row>
    <row r="102" spans="1:16" x14ac:dyDescent="0.2">
      <c r="B102" s="299" t="s">
        <v>152</v>
      </c>
      <c r="C102" s="361"/>
      <c r="D102" s="362"/>
      <c r="E102" s="392"/>
      <c r="F102" s="402"/>
      <c r="G102" s="362"/>
      <c r="H102" s="394"/>
      <c r="I102" s="404"/>
      <c r="J102" s="395"/>
      <c r="K102" s="303"/>
      <c r="L102" s="304"/>
      <c r="M102" s="358"/>
      <c r="N102" s="358"/>
      <c r="O102" s="35"/>
    </row>
    <row r="103" spans="1:16" x14ac:dyDescent="0.2">
      <c r="B103" s="305"/>
      <c r="C103" s="35"/>
      <c r="D103" s="38"/>
      <c r="E103" s="387"/>
      <c r="F103" s="82"/>
      <c r="H103" s="89"/>
      <c r="I103" s="88"/>
      <c r="J103" s="365"/>
      <c r="K103" s="307"/>
      <c r="L103" s="308"/>
      <c r="M103" s="358"/>
      <c r="N103" s="358"/>
      <c r="O103" s="291" t="s">
        <v>153</v>
      </c>
    </row>
    <row r="104" spans="1:16" x14ac:dyDescent="0.2">
      <c r="B104" s="321" t="s">
        <v>89</v>
      </c>
      <c r="C104" s="314" t="s">
        <v>90</v>
      </c>
      <c r="D104" s="38">
        <v>61</v>
      </c>
      <c r="E104" s="89">
        <v>606.5</v>
      </c>
      <c r="F104" s="82">
        <f>ROUND(D104*E104,2)</f>
        <v>36996.5</v>
      </c>
      <c r="H104" s="309">
        <v>715.15</v>
      </c>
      <c r="I104" s="88">
        <f>ROUND(D104*H104,2)</f>
        <v>43624.15</v>
      </c>
      <c r="J104" s="365"/>
      <c r="K104" s="307">
        <f>I104-F104</f>
        <v>6627.6500000000015</v>
      </c>
      <c r="L104" s="308">
        <f t="shared" ref="L104:L107" si="12">IFERROR(K104/F104, )</f>
        <v>0.17914262159934052</v>
      </c>
      <c r="M104" s="358"/>
      <c r="N104" s="358"/>
      <c r="O104" s="410">
        <v>6299755.2809057441</v>
      </c>
    </row>
    <row r="105" spans="1:16" x14ac:dyDescent="0.2">
      <c r="B105" s="305" t="s">
        <v>97</v>
      </c>
      <c r="C105" s="35" t="s">
        <v>95</v>
      </c>
      <c r="D105" s="38">
        <v>0</v>
      </c>
      <c r="E105" s="89">
        <v>1.45</v>
      </c>
      <c r="F105" s="82">
        <f>ROUND(D105*E105,2)</f>
        <v>0</v>
      </c>
      <c r="H105" s="309">
        <f>E105</f>
        <v>1.45</v>
      </c>
      <c r="I105" s="88">
        <f>ROUND(D105*H105,2)</f>
        <v>0</v>
      </c>
      <c r="J105" s="365"/>
      <c r="K105" s="307">
        <f>I105-F105</f>
        <v>0</v>
      </c>
      <c r="L105" s="308">
        <f>IFERROR(K105/F105, )</f>
        <v>0</v>
      </c>
      <c r="M105" s="358"/>
      <c r="N105" s="358"/>
      <c r="O105" s="312" t="s">
        <v>122</v>
      </c>
    </row>
    <row r="106" spans="1:16" x14ac:dyDescent="0.2">
      <c r="B106" s="305" t="s">
        <v>94</v>
      </c>
      <c r="C106" s="35"/>
      <c r="D106" s="38">
        <f>D116</f>
        <v>21819455.762355208</v>
      </c>
      <c r="E106" s="75">
        <v>8.43E-3</v>
      </c>
      <c r="F106" s="82">
        <f>ROUND(D106*E106,2)</f>
        <v>183938.01</v>
      </c>
      <c r="H106" s="109">
        <f>ROUND(E106*(1+$O$108),5)</f>
        <v>9.3200000000000002E-3</v>
      </c>
      <c r="I106" s="82">
        <f>ROUND(D106*H106,2)</f>
        <v>203357.33</v>
      </c>
      <c r="J106" s="365"/>
      <c r="K106" s="307">
        <f>I106-F106</f>
        <v>19419.319999999978</v>
      </c>
      <c r="L106" s="308">
        <f t="shared" si="12"/>
        <v>0.10557535117401769</v>
      </c>
      <c r="M106" s="358"/>
      <c r="N106" s="358"/>
      <c r="O106" s="317">
        <f>I155-O104</f>
        <v>151.2490942561999</v>
      </c>
    </row>
    <row r="107" spans="1:16" x14ac:dyDescent="0.2">
      <c r="B107" s="85" t="s">
        <v>104</v>
      </c>
      <c r="C107" s="44"/>
      <c r="D107" s="38"/>
      <c r="E107" s="89"/>
      <c r="F107" s="88">
        <v>51086.770000000004</v>
      </c>
      <c r="H107" s="75" t="s">
        <v>111</v>
      </c>
      <c r="I107" s="88">
        <f>F107</f>
        <v>51086.770000000004</v>
      </c>
      <c r="J107" s="365"/>
      <c r="K107" s="307">
        <f>I107-F107</f>
        <v>0</v>
      </c>
      <c r="L107" s="308">
        <f t="shared" si="12"/>
        <v>0</v>
      </c>
      <c r="M107" s="358"/>
      <c r="N107" s="358"/>
      <c r="O107" s="411"/>
    </row>
    <row r="108" spans="1:16" x14ac:dyDescent="0.2">
      <c r="B108" s="305"/>
      <c r="C108" s="35"/>
      <c r="D108" s="38"/>
      <c r="E108" s="281"/>
      <c r="F108" s="82"/>
      <c r="H108" s="75"/>
      <c r="I108" s="88"/>
      <c r="J108" s="365"/>
      <c r="K108" s="326"/>
      <c r="L108" s="372"/>
      <c r="M108" s="358"/>
      <c r="N108" s="358"/>
      <c r="O108" s="412">
        <v>0.10610240784340896</v>
      </c>
    </row>
    <row r="109" spans="1:16" x14ac:dyDescent="0.2">
      <c r="B109" s="305" t="s">
        <v>98</v>
      </c>
      <c r="C109" s="35"/>
      <c r="D109" s="38"/>
      <c r="E109" s="281"/>
      <c r="F109" s="82"/>
      <c r="H109" s="75"/>
      <c r="I109" s="88"/>
      <c r="J109" s="365"/>
      <c r="K109" s="326"/>
      <c r="L109" s="372"/>
      <c r="M109" s="358"/>
      <c r="N109" s="358"/>
      <c r="O109" s="413">
        <f>(O104-SUM(I141:I144,I152))/SUM(F147:F151)-1</f>
        <v>0.18370474105037182</v>
      </c>
      <c r="P109" s="399"/>
    </row>
    <row r="110" spans="1:16" x14ac:dyDescent="0.2">
      <c r="B110" s="305" t="s">
        <v>105</v>
      </c>
      <c r="C110" s="35" t="s">
        <v>92</v>
      </c>
      <c r="D110" s="38">
        <v>1512193</v>
      </c>
      <c r="E110" s="75">
        <v>0.17533000000000001</v>
      </c>
      <c r="F110" s="82">
        <f t="shared" ref="F110:F115" si="13">ROUND(D110*E110,2)</f>
        <v>265132.79999999999</v>
      </c>
      <c r="H110" s="109">
        <f>ROUND(E110*(1+$O$109),5)</f>
        <v>0.20754</v>
      </c>
      <c r="I110" s="88">
        <f t="shared" ref="I110:I115" si="14">ROUND(D110*H110,2)</f>
        <v>313840.53999999998</v>
      </c>
      <c r="J110" s="365"/>
      <c r="K110" s="307">
        <f t="shared" ref="K110:K116" si="15">I110-F110</f>
        <v>48707.739999999991</v>
      </c>
      <c r="L110" s="308">
        <f t="shared" ref="L110:L115" si="16">IFERROR(K110/F110, )</f>
        <v>0.18371072911386291</v>
      </c>
      <c r="M110" s="358"/>
      <c r="N110" s="358"/>
      <c r="O110" s="413">
        <f>O108*0.33</f>
        <v>3.5013794588324959E-2</v>
      </c>
      <c r="P110" s="325"/>
    </row>
    <row r="111" spans="1:16" x14ac:dyDescent="0.2">
      <c r="B111" s="305" t="s">
        <v>106</v>
      </c>
      <c r="C111" s="35" t="s">
        <v>92</v>
      </c>
      <c r="D111" s="38">
        <v>1398016.115</v>
      </c>
      <c r="E111" s="75">
        <v>0.10595</v>
      </c>
      <c r="F111" s="82">
        <f t="shared" si="13"/>
        <v>148119.81</v>
      </c>
      <c r="H111" s="109">
        <f t="shared" ref="H111:H114" si="17">ROUND(E111*(1+$O$109),5)</f>
        <v>0.12540999999999999</v>
      </c>
      <c r="I111" s="88">
        <f t="shared" si="14"/>
        <v>175325.2</v>
      </c>
      <c r="J111" s="365"/>
      <c r="K111" s="307">
        <f t="shared" si="15"/>
        <v>27205.390000000014</v>
      </c>
      <c r="L111" s="308">
        <f t="shared" si="16"/>
        <v>0.18367151564669179</v>
      </c>
      <c r="M111" s="358"/>
      <c r="N111" s="358"/>
      <c r="O111" s="116"/>
      <c r="P111" s="35"/>
    </row>
    <row r="112" spans="1:16" x14ac:dyDescent="0.2">
      <c r="B112" s="305" t="s">
        <v>108</v>
      </c>
      <c r="C112" s="35" t="s">
        <v>92</v>
      </c>
      <c r="D112" s="38">
        <v>2316890.0959999999</v>
      </c>
      <c r="E112" s="75">
        <v>6.7419999999999994E-2</v>
      </c>
      <c r="F112" s="82">
        <f t="shared" si="13"/>
        <v>156204.73000000001</v>
      </c>
      <c r="H112" s="109">
        <f t="shared" si="17"/>
        <v>7.9810000000000006E-2</v>
      </c>
      <c r="I112" s="88">
        <f t="shared" si="14"/>
        <v>184911</v>
      </c>
      <c r="J112" s="365"/>
      <c r="K112" s="307">
        <f t="shared" si="15"/>
        <v>28706.26999999999</v>
      </c>
      <c r="L112" s="308">
        <f t="shared" si="16"/>
        <v>0.18377337229160723</v>
      </c>
      <c r="M112" s="358"/>
      <c r="N112" s="358"/>
      <c r="O112" s="314"/>
      <c r="P112" s="314"/>
    </row>
    <row r="113" spans="1:16" x14ac:dyDescent="0.2">
      <c r="B113" s="305" t="s">
        <v>15</v>
      </c>
      <c r="C113" s="35" t="s">
        <v>92</v>
      </c>
      <c r="D113" s="38">
        <v>3045256.8779999996</v>
      </c>
      <c r="E113" s="75">
        <v>4.3229999999999998E-2</v>
      </c>
      <c r="F113" s="82">
        <f t="shared" si="13"/>
        <v>131646.45000000001</v>
      </c>
      <c r="H113" s="109">
        <f t="shared" si="17"/>
        <v>5.117E-2</v>
      </c>
      <c r="I113" s="88">
        <f t="shared" si="14"/>
        <v>155825.79</v>
      </c>
      <c r="J113" s="365"/>
      <c r="K113" s="307">
        <f t="shared" si="15"/>
        <v>24179.339999999997</v>
      </c>
      <c r="L113" s="308">
        <f t="shared" si="16"/>
        <v>0.18366875825364068</v>
      </c>
      <c r="M113" s="358"/>
      <c r="N113" s="358"/>
      <c r="O113" s="35"/>
      <c r="P113" s="35"/>
    </row>
    <row r="114" spans="1:16" x14ac:dyDescent="0.2">
      <c r="B114" s="305" t="s">
        <v>14</v>
      </c>
      <c r="C114" s="35" t="s">
        <v>92</v>
      </c>
      <c r="D114" s="38">
        <v>3792042.2029999997</v>
      </c>
      <c r="E114" s="75">
        <v>3.1109999999999999E-2</v>
      </c>
      <c r="F114" s="82">
        <f t="shared" si="13"/>
        <v>117970.43</v>
      </c>
      <c r="H114" s="109">
        <f t="shared" si="17"/>
        <v>3.6830000000000002E-2</v>
      </c>
      <c r="I114" s="88">
        <f t="shared" si="14"/>
        <v>139660.91</v>
      </c>
      <c r="J114" s="365"/>
      <c r="K114" s="307">
        <f t="shared" si="15"/>
        <v>21690.48000000001</v>
      </c>
      <c r="L114" s="308">
        <f t="shared" si="16"/>
        <v>0.18386370211586084</v>
      </c>
      <c r="M114" s="358"/>
      <c r="N114" s="358"/>
      <c r="P114" s="35"/>
    </row>
    <row r="115" spans="1:16" x14ac:dyDescent="0.2">
      <c r="B115" s="305" t="s">
        <v>112</v>
      </c>
      <c r="C115" s="35" t="s">
        <v>92</v>
      </c>
      <c r="D115" s="38">
        <v>9755057.4703552071</v>
      </c>
      <c r="E115" s="75">
        <v>2.3990000000000001E-2</v>
      </c>
      <c r="F115" s="82">
        <f t="shared" si="13"/>
        <v>234023.83</v>
      </c>
      <c r="H115" s="109">
        <f>ROUND(E115*(1+$O$110),5)</f>
        <v>2.4830000000000001E-2</v>
      </c>
      <c r="I115" s="88">
        <f t="shared" si="14"/>
        <v>242218.08</v>
      </c>
      <c r="J115" s="365"/>
      <c r="K115" s="307">
        <f t="shared" si="15"/>
        <v>8194.25</v>
      </c>
      <c r="L115" s="308">
        <f t="shared" si="16"/>
        <v>3.501459659044124E-2</v>
      </c>
      <c r="M115" s="358"/>
      <c r="N115" s="358"/>
      <c r="O115" s="35"/>
      <c r="P115" s="314"/>
    </row>
    <row r="116" spans="1:16" x14ac:dyDescent="0.2">
      <c r="B116" s="321" t="s">
        <v>125</v>
      </c>
      <c r="C116" s="35" t="s">
        <v>92</v>
      </c>
      <c r="D116" s="15">
        <f>SUM(D110:D115)</f>
        <v>21819455.762355208</v>
      </c>
      <c r="E116" s="387"/>
      <c r="F116" s="128">
        <f>SUM(F104:F115)</f>
        <v>1325119.33</v>
      </c>
      <c r="H116" s="89"/>
      <c r="I116" s="128">
        <f>SUM(I104:I115)</f>
        <v>1509849.77</v>
      </c>
      <c r="J116" s="365"/>
      <c r="K116" s="374">
        <f t="shared" si="15"/>
        <v>184730.43999999994</v>
      </c>
      <c r="L116" s="408">
        <f>IFERROR(K116/F116, )</f>
        <v>0.13940664498494632</v>
      </c>
      <c r="M116" s="358"/>
      <c r="N116" s="358"/>
      <c r="O116" s="35"/>
      <c r="P116" s="371"/>
    </row>
    <row r="117" spans="1:16" x14ac:dyDescent="0.2">
      <c r="B117" s="321"/>
      <c r="C117" s="314"/>
      <c r="D117" s="38"/>
      <c r="E117" s="387"/>
      <c r="F117" s="82"/>
      <c r="H117" s="89"/>
      <c r="I117" s="88"/>
      <c r="J117" s="365"/>
      <c r="K117" s="307"/>
      <c r="L117" s="310"/>
      <c r="M117" s="358"/>
      <c r="N117" s="114"/>
      <c r="O117" s="135"/>
      <c r="P117" s="35"/>
    </row>
    <row r="118" spans="1:16" x14ac:dyDescent="0.2">
      <c r="B118" s="305" t="s">
        <v>221</v>
      </c>
      <c r="C118" s="35"/>
      <c r="D118" s="38"/>
      <c r="E118" s="281"/>
      <c r="F118" s="128">
        <f>F116</f>
        <v>1325119.33</v>
      </c>
      <c r="H118" s="89"/>
      <c r="I118" s="128">
        <f>I116</f>
        <v>1509849.77</v>
      </c>
      <c r="J118" s="365"/>
      <c r="K118" s="374">
        <f>K116</f>
        <v>184730.43999999994</v>
      </c>
      <c r="L118" s="408">
        <f>IFERROR(K118/F118, )</f>
        <v>0.13940664498494632</v>
      </c>
      <c r="M118" s="358"/>
      <c r="N118" s="358"/>
      <c r="O118" s="35"/>
      <c r="P118" s="35"/>
    </row>
    <row r="119" spans="1:16" x14ac:dyDescent="0.2">
      <c r="A119" s="35"/>
      <c r="B119" s="367"/>
      <c r="C119" s="336"/>
      <c r="D119" s="79"/>
      <c r="E119" s="129"/>
      <c r="F119" s="78"/>
      <c r="G119" s="79"/>
      <c r="H119" s="123"/>
      <c r="I119" s="130"/>
      <c r="J119" s="401"/>
      <c r="K119" s="369"/>
      <c r="L119" s="338"/>
      <c r="M119" s="358"/>
      <c r="N119" s="358"/>
      <c r="O119" s="314"/>
      <c r="P119" s="35"/>
    </row>
    <row r="120" spans="1:16" x14ac:dyDescent="0.2">
      <c r="A120" s="35"/>
      <c r="B120" s="35"/>
      <c r="C120" s="35"/>
      <c r="D120" s="38"/>
      <c r="E120" s="75"/>
      <c r="F120" s="82"/>
      <c r="H120" s="89"/>
      <c r="I120" s="88"/>
      <c r="J120" s="365"/>
      <c r="K120" s="307"/>
      <c r="L120" s="409"/>
      <c r="M120" s="358"/>
      <c r="N120" s="358"/>
      <c r="O120" s="35"/>
      <c r="P120" s="35"/>
    </row>
    <row r="121" spans="1:16" x14ac:dyDescent="0.2">
      <c r="A121" s="35"/>
      <c r="B121" s="299" t="s">
        <v>154</v>
      </c>
      <c r="C121" s="361"/>
      <c r="D121" s="362"/>
      <c r="E121" s="392"/>
      <c r="F121" s="402"/>
      <c r="G121" s="362"/>
      <c r="H121" s="394"/>
      <c r="I121" s="404"/>
      <c r="J121" s="395"/>
      <c r="K121" s="303"/>
      <c r="L121" s="304"/>
      <c r="M121" s="358"/>
      <c r="N121" s="358"/>
      <c r="O121" s="35"/>
      <c r="P121" s="35"/>
    </row>
    <row r="122" spans="1:16" x14ac:dyDescent="0.2">
      <c r="A122" s="35"/>
      <c r="B122" s="305"/>
      <c r="C122" s="35"/>
      <c r="D122" s="38"/>
      <c r="E122" s="387"/>
      <c r="F122" s="82"/>
      <c r="H122" s="89"/>
      <c r="I122" s="88"/>
      <c r="J122" s="365"/>
      <c r="K122" s="307"/>
      <c r="L122" s="308"/>
      <c r="M122" s="358"/>
      <c r="N122" s="358"/>
      <c r="O122" s="35"/>
      <c r="P122" s="35"/>
    </row>
    <row r="123" spans="1:16" x14ac:dyDescent="0.2">
      <c r="A123" s="35"/>
      <c r="B123" s="321" t="s">
        <v>89</v>
      </c>
      <c r="C123" s="314" t="s">
        <v>90</v>
      </c>
      <c r="D123" s="38">
        <v>120.00000000000001</v>
      </c>
      <c r="E123" s="89">
        <v>918.31</v>
      </c>
      <c r="F123" s="82">
        <f>ROUND(D123*E123,2)</f>
        <v>110197.2</v>
      </c>
      <c r="H123" s="309">
        <v>1082.81</v>
      </c>
      <c r="I123" s="88">
        <f>ROUND(D123*H123,2)</f>
        <v>129937.2</v>
      </c>
      <c r="J123" s="365"/>
      <c r="K123" s="307">
        <f>I123-F123</f>
        <v>19740</v>
      </c>
      <c r="L123" s="308">
        <f t="shared" ref="L123:L124" si="18">IFERROR(K123/F123, )</f>
        <v>0.179133408108373</v>
      </c>
      <c r="M123" s="358"/>
      <c r="N123" s="358"/>
      <c r="O123" s="35"/>
      <c r="P123" s="35"/>
    </row>
    <row r="124" spans="1:16" x14ac:dyDescent="0.2">
      <c r="A124" s="35"/>
      <c r="B124" s="305" t="s">
        <v>97</v>
      </c>
      <c r="C124" s="35" t="s">
        <v>95</v>
      </c>
      <c r="D124" s="38">
        <v>296082</v>
      </c>
      <c r="E124" s="89">
        <v>1.45</v>
      </c>
      <c r="F124" s="82">
        <f>ROUND(D124*E124,2)</f>
        <v>429318.9</v>
      </c>
      <c r="H124" s="309">
        <f>H105</f>
        <v>1.45</v>
      </c>
      <c r="I124" s="88">
        <f>ROUND(D124*H124,2)</f>
        <v>429318.9</v>
      </c>
      <c r="J124" s="365"/>
      <c r="K124" s="307">
        <f>I124-F124</f>
        <v>0</v>
      </c>
      <c r="L124" s="308">
        <f t="shared" si="18"/>
        <v>0</v>
      </c>
      <c r="M124" s="358"/>
      <c r="N124" s="358"/>
    </row>
    <row r="125" spans="1:16" x14ac:dyDescent="0.2">
      <c r="A125" s="35"/>
      <c r="B125" s="305" t="s">
        <v>104</v>
      </c>
      <c r="C125" s="35"/>
      <c r="D125" s="38"/>
      <c r="E125" s="89"/>
      <c r="F125" s="88">
        <v>19447.379999999997</v>
      </c>
      <c r="H125" s="309"/>
      <c r="I125" s="88">
        <f>F125</f>
        <v>19447.379999999997</v>
      </c>
      <c r="J125" s="365"/>
      <c r="K125" s="326"/>
      <c r="L125" s="308">
        <f>IFERROR(K125/F125, )</f>
        <v>0</v>
      </c>
      <c r="M125" s="358"/>
      <c r="N125" s="358"/>
    </row>
    <row r="126" spans="1:16" x14ac:dyDescent="0.2">
      <c r="A126" s="35"/>
      <c r="B126" s="85"/>
      <c r="C126" s="35"/>
      <c r="D126" s="38"/>
      <c r="E126" s="75"/>
      <c r="F126" s="82"/>
      <c r="H126" s="109"/>
      <c r="I126" s="88"/>
      <c r="J126" s="365"/>
      <c r="K126" s="326"/>
      <c r="L126" s="372"/>
      <c r="M126" s="358"/>
      <c r="N126" s="358"/>
    </row>
    <row r="127" spans="1:16" x14ac:dyDescent="0.2">
      <c r="A127" s="35"/>
      <c r="B127" s="305" t="s">
        <v>98</v>
      </c>
      <c r="C127" s="35"/>
      <c r="D127" s="38"/>
      <c r="E127" s="281"/>
      <c r="F127" s="82"/>
      <c r="H127" s="109"/>
      <c r="I127" s="88"/>
      <c r="J127" s="365"/>
      <c r="K127" s="326"/>
      <c r="L127" s="372"/>
      <c r="M127" s="358"/>
      <c r="N127" s="358"/>
    </row>
    <row r="128" spans="1:16" x14ac:dyDescent="0.2">
      <c r="A128" s="35"/>
      <c r="B128" s="305" t="s">
        <v>105</v>
      </c>
      <c r="C128" s="35" t="s">
        <v>92</v>
      </c>
      <c r="D128" s="38">
        <v>2998789.67</v>
      </c>
      <c r="E128" s="75">
        <v>0.17533000000000001</v>
      </c>
      <c r="F128" s="82">
        <f t="shared" ref="F128:F133" si="19">ROUND(D128*E128,2)</f>
        <v>525777.79</v>
      </c>
      <c r="H128" s="109">
        <f t="shared" ref="H128:H133" si="20">H110</f>
        <v>0.20754</v>
      </c>
      <c r="I128" s="88">
        <f t="shared" ref="I128:I133" si="21">ROUND(D128*H128,2)</f>
        <v>622368.81000000006</v>
      </c>
      <c r="J128" s="365"/>
      <c r="K128" s="307">
        <f t="shared" ref="K128:K133" si="22">I128-F128</f>
        <v>96591.020000000019</v>
      </c>
      <c r="L128" s="308">
        <f t="shared" ref="L128:L133" si="23">IFERROR(K128/F128, )</f>
        <v>0.18371072692134829</v>
      </c>
      <c r="M128" s="358"/>
      <c r="N128" s="358"/>
    </row>
    <row r="129" spans="1:15" x14ac:dyDescent="0.2">
      <c r="A129" s="35"/>
      <c r="B129" s="305" t="s">
        <v>106</v>
      </c>
      <c r="C129" s="35" t="s">
        <v>92</v>
      </c>
      <c r="D129" s="38">
        <v>3000000</v>
      </c>
      <c r="E129" s="75">
        <v>0.10595</v>
      </c>
      <c r="F129" s="82">
        <f t="shared" si="19"/>
        <v>317850</v>
      </c>
      <c r="H129" s="109">
        <f t="shared" si="20"/>
        <v>0.12540999999999999</v>
      </c>
      <c r="I129" s="88">
        <f t="shared" si="21"/>
        <v>376230</v>
      </c>
      <c r="J129" s="365"/>
      <c r="K129" s="307">
        <f t="shared" si="22"/>
        <v>58380</v>
      </c>
      <c r="L129" s="308">
        <f t="shared" si="23"/>
        <v>0.18367154318074563</v>
      </c>
      <c r="M129" s="358"/>
      <c r="N129" s="358"/>
    </row>
    <row r="130" spans="1:15" x14ac:dyDescent="0.2">
      <c r="A130" s="35"/>
      <c r="B130" s="305" t="s">
        <v>108</v>
      </c>
      <c r="C130" s="35" t="s">
        <v>92</v>
      </c>
      <c r="D130" s="38">
        <v>6000000</v>
      </c>
      <c r="E130" s="75">
        <v>6.7419999999999994E-2</v>
      </c>
      <c r="F130" s="82">
        <f t="shared" si="19"/>
        <v>404520</v>
      </c>
      <c r="H130" s="109">
        <f t="shared" si="20"/>
        <v>7.9810000000000006E-2</v>
      </c>
      <c r="I130" s="88">
        <f t="shared" si="21"/>
        <v>478860</v>
      </c>
      <c r="J130" s="365"/>
      <c r="K130" s="307">
        <f t="shared" si="22"/>
        <v>74340</v>
      </c>
      <c r="L130" s="308">
        <f t="shared" si="23"/>
        <v>0.18377336102046871</v>
      </c>
      <c r="M130" s="358"/>
      <c r="N130" s="358"/>
    </row>
    <row r="131" spans="1:15" x14ac:dyDescent="0.2">
      <c r="A131" s="35"/>
      <c r="B131" s="305" t="s">
        <v>15</v>
      </c>
      <c r="C131" s="35" t="s">
        <v>92</v>
      </c>
      <c r="D131" s="38">
        <v>11463691.02</v>
      </c>
      <c r="E131" s="75">
        <v>4.3229999999999998E-2</v>
      </c>
      <c r="F131" s="82">
        <f t="shared" si="19"/>
        <v>495575.36</v>
      </c>
      <c r="H131" s="109">
        <f t="shared" si="20"/>
        <v>5.117E-2</v>
      </c>
      <c r="I131" s="88">
        <f t="shared" si="21"/>
        <v>586597.06999999995</v>
      </c>
      <c r="J131" s="365"/>
      <c r="K131" s="307">
        <f t="shared" si="22"/>
        <v>91021.709999999963</v>
      </c>
      <c r="L131" s="308">
        <f t="shared" si="23"/>
        <v>0.18366875625131962</v>
      </c>
      <c r="M131" s="358"/>
      <c r="N131" s="358"/>
    </row>
    <row r="132" spans="1:15" x14ac:dyDescent="0.2">
      <c r="A132" s="35"/>
      <c r="B132" s="305" t="s">
        <v>14</v>
      </c>
      <c r="C132" s="35" t="s">
        <v>92</v>
      </c>
      <c r="D132" s="38">
        <v>25744602.149999999</v>
      </c>
      <c r="E132" s="75">
        <v>3.1109999999999999E-2</v>
      </c>
      <c r="F132" s="82">
        <f t="shared" si="19"/>
        <v>800914.57</v>
      </c>
      <c r="H132" s="109">
        <f t="shared" si="20"/>
        <v>3.6830000000000002E-2</v>
      </c>
      <c r="I132" s="88">
        <f t="shared" si="21"/>
        <v>948173.7</v>
      </c>
      <c r="J132" s="365"/>
      <c r="K132" s="307">
        <f t="shared" si="22"/>
        <v>147259.13</v>
      </c>
      <c r="L132" s="308">
        <f t="shared" si="23"/>
        <v>0.18386371720020028</v>
      </c>
      <c r="M132" s="358"/>
      <c r="N132" s="358"/>
    </row>
    <row r="133" spans="1:15" x14ac:dyDescent="0.2">
      <c r="A133" s="35"/>
      <c r="B133" s="305" t="s">
        <v>112</v>
      </c>
      <c r="C133" s="35" t="s">
        <v>92</v>
      </c>
      <c r="D133" s="38">
        <v>48293342.805479579</v>
      </c>
      <c r="E133" s="75">
        <v>2.3990000000000001E-2</v>
      </c>
      <c r="F133" s="82">
        <f t="shared" si="19"/>
        <v>1158557.29</v>
      </c>
      <c r="H133" s="109">
        <f t="shared" si="20"/>
        <v>2.4830000000000001E-2</v>
      </c>
      <c r="I133" s="88">
        <f t="shared" si="21"/>
        <v>1199123.7</v>
      </c>
      <c r="J133" s="365"/>
      <c r="K133" s="307">
        <f t="shared" si="22"/>
        <v>40566.409999999916</v>
      </c>
      <c r="L133" s="308">
        <f t="shared" si="23"/>
        <v>3.501459129397038E-2</v>
      </c>
      <c r="M133" s="358"/>
      <c r="N133" s="358"/>
    </row>
    <row r="134" spans="1:15" x14ac:dyDescent="0.2">
      <c r="A134" s="35"/>
      <c r="B134" s="321" t="s">
        <v>125</v>
      </c>
      <c r="C134" s="35"/>
      <c r="D134" s="15">
        <f>SUM(D128:D133)</f>
        <v>97500425.645479575</v>
      </c>
      <c r="E134" s="75"/>
      <c r="F134" s="128">
        <f>SUM(F123:F133)</f>
        <v>4262158.49</v>
      </c>
      <c r="H134" s="75"/>
      <c r="I134" s="128">
        <f>SUM(I123:I133)</f>
        <v>4790056.76</v>
      </c>
      <c r="J134" s="365"/>
      <c r="K134" s="128">
        <f>SUM(K123:K133)</f>
        <v>527898.2699999999</v>
      </c>
      <c r="L134" s="408">
        <f>IFERROR(K134/F134, )</f>
        <v>0.12385702484752037</v>
      </c>
      <c r="M134" s="358"/>
      <c r="N134" s="358"/>
    </row>
    <row r="135" spans="1:15" x14ac:dyDescent="0.2">
      <c r="A135" s="35"/>
      <c r="B135" s="305"/>
      <c r="C135" s="314"/>
      <c r="D135" s="38"/>
      <c r="E135" s="75"/>
      <c r="F135" s="82"/>
      <c r="H135" s="89"/>
      <c r="I135" s="88"/>
      <c r="J135" s="365"/>
      <c r="K135" s="307"/>
      <c r="L135" s="310"/>
      <c r="M135" s="358"/>
      <c r="N135" s="358"/>
    </row>
    <row r="136" spans="1:15" x14ac:dyDescent="0.2">
      <c r="A136" s="35"/>
      <c r="B136" s="305" t="s">
        <v>221</v>
      </c>
      <c r="C136" s="35"/>
      <c r="D136" s="38"/>
      <c r="E136" s="281"/>
      <c r="F136" s="128">
        <f>F134</f>
        <v>4262158.49</v>
      </c>
      <c r="H136" s="89"/>
      <c r="I136" s="128">
        <f>I134</f>
        <v>4790056.76</v>
      </c>
      <c r="J136" s="365"/>
      <c r="K136" s="374">
        <f>K134</f>
        <v>527898.2699999999</v>
      </c>
      <c r="L136" s="408">
        <f>IFERROR(K136/F136, )</f>
        <v>0.12385702484752037</v>
      </c>
      <c r="M136" s="358"/>
      <c r="N136" s="358"/>
      <c r="O136" s="341"/>
    </row>
    <row r="137" spans="1:15" s="35" customFormat="1" x14ac:dyDescent="0.2">
      <c r="B137" s="367"/>
      <c r="C137" s="336"/>
      <c r="D137" s="79"/>
      <c r="E137" s="129"/>
      <c r="F137" s="78"/>
      <c r="G137" s="79"/>
      <c r="H137" s="123"/>
      <c r="I137" s="130"/>
      <c r="J137" s="401"/>
      <c r="K137" s="369"/>
      <c r="L137" s="338"/>
      <c r="M137" s="358"/>
      <c r="N137" s="358"/>
    </row>
    <row r="138" spans="1:15" s="35" customFormat="1" x14ac:dyDescent="0.2">
      <c r="D138" s="38"/>
      <c r="E138" s="75"/>
      <c r="F138" s="82"/>
      <c r="G138" s="38"/>
      <c r="H138" s="89"/>
      <c r="I138" s="88"/>
      <c r="J138" s="365"/>
      <c r="K138" s="307"/>
      <c r="L138" s="409"/>
      <c r="M138" s="358"/>
      <c r="N138" s="358"/>
    </row>
    <row r="139" spans="1:15" x14ac:dyDescent="0.2">
      <c r="A139" s="35"/>
      <c r="B139" s="84" t="s">
        <v>155</v>
      </c>
      <c r="C139" s="414"/>
      <c r="D139" s="362"/>
      <c r="E139" s="25"/>
      <c r="F139" s="402"/>
      <c r="G139" s="362"/>
      <c r="H139" s="394"/>
      <c r="I139" s="404"/>
      <c r="J139" s="403"/>
      <c r="K139" s="402"/>
      <c r="L139" s="415"/>
      <c r="M139" s="358"/>
      <c r="N139" s="358"/>
    </row>
    <row r="140" spans="1:15" x14ac:dyDescent="0.2">
      <c r="A140" s="35"/>
      <c r="B140" s="85"/>
      <c r="C140" s="44"/>
      <c r="D140" s="38"/>
      <c r="E140" s="75"/>
      <c r="F140" s="82"/>
      <c r="H140" s="89"/>
      <c r="I140" s="88"/>
      <c r="J140" s="124"/>
      <c r="K140" s="82"/>
      <c r="L140" s="87"/>
      <c r="M140" s="358"/>
      <c r="N140" s="358"/>
    </row>
    <row r="141" spans="1:15" x14ac:dyDescent="0.2">
      <c r="A141" s="35"/>
      <c r="B141" s="72" t="s">
        <v>89</v>
      </c>
      <c r="C141" s="73" t="s">
        <v>90</v>
      </c>
      <c r="D141" s="38">
        <f>D123+D104</f>
        <v>181</v>
      </c>
      <c r="E141" s="89"/>
      <c r="F141" s="82">
        <f>F123+F104</f>
        <v>147193.70000000001</v>
      </c>
      <c r="H141" s="110"/>
      <c r="I141" s="82">
        <f>I123+I104</f>
        <v>173561.35</v>
      </c>
      <c r="J141" s="124"/>
      <c r="K141" s="88">
        <f>I141-F141</f>
        <v>26367.649999999994</v>
      </c>
      <c r="L141" s="87">
        <f t="shared" ref="L141:L144" si="24">IFERROR(K141/F141, )</f>
        <v>0.17913572387948665</v>
      </c>
      <c r="M141" s="358"/>
      <c r="N141" s="358"/>
    </row>
    <row r="142" spans="1:15" x14ac:dyDescent="0.2">
      <c r="A142" s="35"/>
      <c r="B142" s="85" t="s">
        <v>97</v>
      </c>
      <c r="C142" s="44" t="s">
        <v>95</v>
      </c>
      <c r="D142" s="38">
        <f>D124+D105</f>
        <v>296082</v>
      </c>
      <c r="E142" s="89"/>
      <c r="F142" s="82">
        <f>F124+F105</f>
        <v>429318.9</v>
      </c>
      <c r="H142" s="110"/>
      <c r="I142" s="82">
        <f>I124+I105</f>
        <v>429318.9</v>
      </c>
      <c r="J142" s="124"/>
      <c r="K142" s="88">
        <f>I142-F142</f>
        <v>0</v>
      </c>
      <c r="L142" s="87">
        <f t="shared" si="24"/>
        <v>0</v>
      </c>
      <c r="M142" s="358"/>
      <c r="N142" s="358"/>
    </row>
    <row r="143" spans="1:15" x14ac:dyDescent="0.2">
      <c r="A143" s="35"/>
      <c r="B143" s="85" t="s">
        <v>94</v>
      </c>
      <c r="C143" s="44"/>
      <c r="D143" s="38"/>
      <c r="E143" s="89"/>
      <c r="F143" s="82">
        <f>F106</f>
        <v>183938.01</v>
      </c>
      <c r="H143" s="110"/>
      <c r="I143" s="82">
        <f>I106</f>
        <v>203357.33</v>
      </c>
      <c r="J143" s="124"/>
      <c r="K143" s="88">
        <f>I143-F143</f>
        <v>19419.319999999978</v>
      </c>
      <c r="L143" s="87">
        <f t="shared" si="24"/>
        <v>0.10557535117401769</v>
      </c>
      <c r="M143" s="358"/>
      <c r="N143" s="358"/>
    </row>
    <row r="144" spans="1:15" x14ac:dyDescent="0.2">
      <c r="A144" s="35"/>
      <c r="B144" s="85" t="s">
        <v>104</v>
      </c>
      <c r="C144" s="44"/>
      <c r="D144" s="38"/>
      <c r="E144" s="89"/>
      <c r="F144" s="88">
        <f>F125+F107</f>
        <v>70534.149999999994</v>
      </c>
      <c r="H144" s="89"/>
      <c r="I144" s="88">
        <f>I125+I107</f>
        <v>70534.149999999994</v>
      </c>
      <c r="J144" s="124"/>
      <c r="K144" s="88">
        <f>I144-F144</f>
        <v>0</v>
      </c>
      <c r="L144" s="87">
        <f t="shared" si="24"/>
        <v>0</v>
      </c>
      <c r="M144" s="358"/>
      <c r="N144" s="358"/>
    </row>
    <row r="145" spans="1:16" x14ac:dyDescent="0.2">
      <c r="A145" s="35"/>
      <c r="B145" s="85"/>
      <c r="C145" s="44"/>
      <c r="D145" s="38"/>
      <c r="E145" s="89"/>
      <c r="F145" s="88"/>
      <c r="H145" s="75"/>
      <c r="I145" s="137"/>
      <c r="J145" s="124"/>
      <c r="K145" s="88"/>
      <c r="L145" s="136"/>
      <c r="M145" s="358"/>
      <c r="N145" s="358"/>
    </row>
    <row r="146" spans="1:16" ht="12" customHeight="1" x14ac:dyDescent="0.2">
      <c r="A146" s="35"/>
      <c r="B146" s="85" t="s">
        <v>98</v>
      </c>
      <c r="C146" s="44"/>
      <c r="D146" s="38"/>
      <c r="E146" s="89"/>
      <c r="F146" s="82"/>
      <c r="H146" s="75"/>
      <c r="I146" s="82"/>
      <c r="J146" s="124"/>
      <c r="K146" s="88"/>
      <c r="L146" s="136"/>
      <c r="M146" s="358"/>
      <c r="N146" s="358"/>
    </row>
    <row r="147" spans="1:16" x14ac:dyDescent="0.2">
      <c r="A147" s="35"/>
      <c r="B147" s="85" t="s">
        <v>105</v>
      </c>
      <c r="C147" s="44" t="s">
        <v>92</v>
      </c>
      <c r="D147" s="38">
        <f t="shared" ref="D147:D152" si="25">D128+D110</f>
        <v>4510982.67</v>
      </c>
      <c r="E147" s="75"/>
      <c r="F147" s="82">
        <f t="shared" ref="F147:F152" si="26">F128+F110</f>
        <v>790910.59000000008</v>
      </c>
      <c r="H147" s="93"/>
      <c r="I147" s="82">
        <f t="shared" ref="I147:I152" si="27">I128+I110</f>
        <v>936209.35000000009</v>
      </c>
      <c r="J147" s="124"/>
      <c r="K147" s="88">
        <f t="shared" ref="K147:K152" si="28">I147-F147</f>
        <v>145298.76</v>
      </c>
      <c r="L147" s="87">
        <f t="shared" ref="L147:L152" si="29">IFERROR(K147/F147, )</f>
        <v>0.18371072765633342</v>
      </c>
      <c r="M147" s="358"/>
      <c r="N147" s="358"/>
    </row>
    <row r="148" spans="1:16" x14ac:dyDescent="0.2">
      <c r="A148" s="35"/>
      <c r="B148" s="85" t="s">
        <v>106</v>
      </c>
      <c r="C148" s="44" t="s">
        <v>92</v>
      </c>
      <c r="D148" s="38">
        <f t="shared" si="25"/>
        <v>4398016.1150000002</v>
      </c>
      <c r="E148" s="75"/>
      <c r="F148" s="82">
        <f t="shared" si="26"/>
        <v>465969.81</v>
      </c>
      <c r="H148" s="93"/>
      <c r="I148" s="82">
        <f t="shared" si="27"/>
        <v>551555.19999999995</v>
      </c>
      <c r="J148" s="124"/>
      <c r="K148" s="88">
        <f t="shared" si="28"/>
        <v>85585.389999999956</v>
      </c>
      <c r="L148" s="87">
        <f t="shared" si="29"/>
        <v>0.18367153442837844</v>
      </c>
      <c r="M148" s="358"/>
      <c r="N148" s="358"/>
    </row>
    <row r="149" spans="1:16" x14ac:dyDescent="0.2">
      <c r="A149" s="35"/>
      <c r="B149" s="85" t="s">
        <v>108</v>
      </c>
      <c r="C149" s="44" t="s">
        <v>92</v>
      </c>
      <c r="D149" s="38">
        <f t="shared" si="25"/>
        <v>8316890.0959999999</v>
      </c>
      <c r="E149" s="75"/>
      <c r="F149" s="82">
        <f t="shared" si="26"/>
        <v>560724.73</v>
      </c>
      <c r="H149" s="93"/>
      <c r="I149" s="82">
        <f t="shared" si="27"/>
        <v>663771</v>
      </c>
      <c r="J149" s="124"/>
      <c r="K149" s="88">
        <f t="shared" si="28"/>
        <v>103046.27000000002</v>
      </c>
      <c r="L149" s="87">
        <f t="shared" si="29"/>
        <v>0.18377336416034304</v>
      </c>
      <c r="M149" s="358"/>
      <c r="N149" s="358"/>
    </row>
    <row r="150" spans="1:16" x14ac:dyDescent="0.2">
      <c r="A150" s="35"/>
      <c r="B150" s="85" t="s">
        <v>15</v>
      </c>
      <c r="C150" s="44" t="s">
        <v>92</v>
      </c>
      <c r="D150" s="38">
        <f t="shared" si="25"/>
        <v>14508947.897999998</v>
      </c>
      <c r="E150" s="75"/>
      <c r="F150" s="82">
        <f t="shared" si="26"/>
        <v>627221.81000000006</v>
      </c>
      <c r="H150" s="93"/>
      <c r="I150" s="82">
        <f t="shared" si="27"/>
        <v>742422.86</v>
      </c>
      <c r="J150" s="124"/>
      <c r="K150" s="88">
        <f t="shared" si="28"/>
        <v>115201.04999999993</v>
      </c>
      <c r="L150" s="87">
        <f t="shared" si="29"/>
        <v>0.18366875667158308</v>
      </c>
      <c r="M150" s="358"/>
      <c r="N150" s="358"/>
    </row>
    <row r="151" spans="1:16" x14ac:dyDescent="0.2">
      <c r="A151" s="35"/>
      <c r="B151" s="85" t="s">
        <v>14</v>
      </c>
      <c r="C151" s="44" t="s">
        <v>92</v>
      </c>
      <c r="D151" s="38">
        <f t="shared" si="25"/>
        <v>29536644.353</v>
      </c>
      <c r="E151" s="75"/>
      <c r="F151" s="82">
        <f t="shared" si="26"/>
        <v>918885</v>
      </c>
      <c r="H151" s="93"/>
      <c r="I151" s="82">
        <f t="shared" si="27"/>
        <v>1087834.6099999999</v>
      </c>
      <c r="J151" s="124"/>
      <c r="K151" s="88">
        <f t="shared" si="28"/>
        <v>168949.60999999987</v>
      </c>
      <c r="L151" s="87">
        <f t="shared" si="29"/>
        <v>0.18386371526360737</v>
      </c>
      <c r="M151" s="358"/>
      <c r="N151" s="358"/>
    </row>
    <row r="152" spans="1:16" x14ac:dyDescent="0.2">
      <c r="A152" s="35"/>
      <c r="B152" s="85" t="s">
        <v>112</v>
      </c>
      <c r="C152" s="44" t="s">
        <v>92</v>
      </c>
      <c r="D152" s="38">
        <f t="shared" si="25"/>
        <v>58048400.275834784</v>
      </c>
      <c r="E152" s="75"/>
      <c r="F152" s="82">
        <f t="shared" si="26"/>
        <v>1392581.12</v>
      </c>
      <c r="H152" s="93"/>
      <c r="I152" s="82">
        <f t="shared" si="27"/>
        <v>1441341.78</v>
      </c>
      <c r="J152" s="124"/>
      <c r="K152" s="88">
        <f t="shared" si="28"/>
        <v>48760.659999999916</v>
      </c>
      <c r="L152" s="87">
        <f t="shared" si="29"/>
        <v>3.5014592184044485E-2</v>
      </c>
      <c r="M152" s="358"/>
      <c r="N152" s="358"/>
    </row>
    <row r="153" spans="1:16" x14ac:dyDescent="0.2">
      <c r="A153" s="35"/>
      <c r="B153" s="321" t="s">
        <v>125</v>
      </c>
      <c r="C153" s="44" t="s">
        <v>92</v>
      </c>
      <c r="D153" s="15">
        <f>SUM(D147:D152)</f>
        <v>119319881.40783478</v>
      </c>
      <c r="E153" s="75"/>
      <c r="F153" s="102">
        <f>SUM(F141:F152)</f>
        <v>5587277.8200000003</v>
      </c>
      <c r="H153" s="89"/>
      <c r="I153" s="102">
        <f>SUM(I141:I152)</f>
        <v>6299906.5300000003</v>
      </c>
      <c r="J153" s="124"/>
      <c r="K153" s="102">
        <f>SUM(K141:K152)</f>
        <v>712628.70999999973</v>
      </c>
      <c r="L153" s="122">
        <f>IFERROR(K153/F153, )</f>
        <v>0.12754488553425819</v>
      </c>
      <c r="M153" s="358"/>
      <c r="N153" s="358"/>
      <c r="P153" s="371"/>
    </row>
    <row r="154" spans="1:16" x14ac:dyDescent="0.2">
      <c r="A154" s="35"/>
      <c r="B154" s="72"/>
      <c r="C154" s="73"/>
      <c r="D154" s="38"/>
      <c r="E154" s="75"/>
      <c r="F154" s="82"/>
      <c r="H154" s="89"/>
      <c r="I154" s="88"/>
      <c r="J154" s="124"/>
      <c r="K154" s="82"/>
      <c r="L154" s="90"/>
      <c r="M154" s="358"/>
      <c r="N154" s="358"/>
    </row>
    <row r="155" spans="1:16" x14ac:dyDescent="0.2">
      <c r="A155" s="35"/>
      <c r="B155" s="72" t="s">
        <v>221</v>
      </c>
      <c r="C155" s="73"/>
      <c r="D155" s="82"/>
      <c r="E155" s="89"/>
      <c r="F155" s="102">
        <f>F153</f>
        <v>5587277.8200000003</v>
      </c>
      <c r="G155" s="44"/>
      <c r="H155" s="89"/>
      <c r="I155" s="102">
        <f>I153</f>
        <v>6299906.5300000003</v>
      </c>
      <c r="J155" s="89"/>
      <c r="K155" s="102">
        <f>K153</f>
        <v>712628.70999999973</v>
      </c>
      <c r="L155" s="122">
        <f>IFERROR(K155/F155, )</f>
        <v>0.12754488553425819</v>
      </c>
      <c r="M155" s="358"/>
      <c r="N155" s="358"/>
    </row>
    <row r="156" spans="1:16" x14ac:dyDescent="0.2">
      <c r="A156" s="35"/>
      <c r="B156" s="367"/>
      <c r="C156" s="336"/>
      <c r="D156" s="79"/>
      <c r="E156" s="337"/>
      <c r="F156" s="130"/>
      <c r="G156" s="79"/>
      <c r="H156" s="123"/>
      <c r="I156" s="130"/>
      <c r="J156" s="401"/>
      <c r="K156" s="369"/>
      <c r="L156" s="370"/>
      <c r="M156" s="358"/>
      <c r="N156" s="358"/>
    </row>
    <row r="157" spans="1:16" x14ac:dyDescent="0.2">
      <c r="A157" s="35"/>
      <c r="B157" s="35"/>
      <c r="C157" s="35"/>
      <c r="D157" s="38"/>
      <c r="E157" s="75"/>
      <c r="F157" s="82"/>
      <c r="H157" s="89"/>
      <c r="I157" s="88"/>
      <c r="J157" s="365"/>
      <c r="K157" s="307"/>
      <c r="L157" s="409"/>
      <c r="M157" s="358"/>
      <c r="N157" s="358"/>
    </row>
    <row r="158" spans="1:16" x14ac:dyDescent="0.2">
      <c r="B158" s="278" t="s">
        <v>156</v>
      </c>
      <c r="C158" s="35"/>
      <c r="D158" s="38"/>
      <c r="E158" s="387"/>
      <c r="F158" s="89"/>
      <c r="H158" s="75"/>
      <c r="I158" s="89"/>
      <c r="J158" s="281"/>
      <c r="K158" s="281"/>
      <c r="L158" s="371"/>
      <c r="M158" s="358"/>
      <c r="N158" s="358"/>
      <c r="O158" s="103"/>
    </row>
    <row r="159" spans="1:16" x14ac:dyDescent="0.2">
      <c r="C159" s="35"/>
      <c r="D159" s="97" t="s">
        <v>92</v>
      </c>
      <c r="E159" s="387"/>
      <c r="F159" s="107" t="s">
        <v>83</v>
      </c>
      <c r="G159" s="34"/>
      <c r="H159" s="41"/>
      <c r="I159" s="107" t="s">
        <v>26</v>
      </c>
      <c r="J159" s="341"/>
      <c r="K159" s="377" t="s">
        <v>71</v>
      </c>
      <c r="L159" s="371"/>
      <c r="M159" s="358"/>
      <c r="N159" s="358"/>
      <c r="O159" s="103"/>
    </row>
    <row r="160" spans="1:16" x14ac:dyDescent="0.2">
      <c r="B160" s="278" t="s">
        <v>221</v>
      </c>
      <c r="C160" s="35"/>
      <c r="D160" s="279"/>
      <c r="E160" s="387"/>
      <c r="F160" s="138"/>
      <c r="G160" s="138"/>
      <c r="H160" s="138"/>
      <c r="I160" s="138"/>
      <c r="J160" s="416"/>
      <c r="K160" s="416"/>
      <c r="L160" s="371"/>
      <c r="M160" s="358"/>
      <c r="N160" s="358"/>
      <c r="O160" s="103"/>
    </row>
    <row r="161" spans="2:15" x14ac:dyDescent="0.2">
      <c r="B161" s="42" t="s">
        <v>157</v>
      </c>
      <c r="C161" s="35"/>
      <c r="D161" s="279">
        <f>D52</f>
        <v>88879730.522699013</v>
      </c>
      <c r="E161" s="387"/>
      <c r="F161" s="138">
        <f>F21+F36</f>
        <v>8603644.5934943184</v>
      </c>
      <c r="G161" s="138"/>
      <c r="H161" s="138"/>
      <c r="I161" s="138">
        <f>I21+I36</f>
        <v>9611990.370000001</v>
      </c>
      <c r="J161" s="416"/>
      <c r="K161" s="416">
        <f>I161-F161</f>
        <v>1008345.7765056826</v>
      </c>
      <c r="L161" s="409">
        <f t="shared" ref="L161:L163" si="30">IFERROR(K161/F161, )</f>
        <v>0.11719984078237582</v>
      </c>
      <c r="M161" s="358"/>
      <c r="N161" s="358"/>
      <c r="O161" s="103"/>
    </row>
    <row r="162" spans="2:15" x14ac:dyDescent="0.2">
      <c r="B162" s="42" t="s">
        <v>158</v>
      </c>
      <c r="C162" s="35"/>
      <c r="D162" s="279">
        <f>D96</f>
        <v>7491654.8276905464</v>
      </c>
      <c r="E162" s="387"/>
      <c r="F162" s="138">
        <f>F67+F81</f>
        <v>1496082.9500000002</v>
      </c>
      <c r="G162" s="138"/>
      <c r="H162" s="138"/>
      <c r="I162" s="138">
        <f>I67+I81</f>
        <v>1560031.02</v>
      </c>
      <c r="J162" s="416"/>
      <c r="K162" s="416">
        <f>I162-F162</f>
        <v>63948.069999999832</v>
      </c>
      <c r="L162" s="409">
        <f t="shared" si="30"/>
        <v>4.2743666051404318E-2</v>
      </c>
      <c r="M162" s="358"/>
      <c r="N162" s="358"/>
      <c r="O162" s="103"/>
    </row>
    <row r="163" spans="2:15" x14ac:dyDescent="0.2">
      <c r="B163" s="42" t="s">
        <v>159</v>
      </c>
      <c r="C163" s="35"/>
      <c r="D163" s="279">
        <f>D153</f>
        <v>119319881.40783478</v>
      </c>
      <c r="E163" s="387"/>
      <c r="F163" s="138">
        <f>F116+F134</f>
        <v>5587277.8200000003</v>
      </c>
      <c r="G163" s="138"/>
      <c r="H163" s="138"/>
      <c r="I163" s="138">
        <f>I116+I134</f>
        <v>6299906.5299999993</v>
      </c>
      <c r="J163" s="416"/>
      <c r="K163" s="416">
        <f>I163-F163</f>
        <v>712628.70999999903</v>
      </c>
      <c r="L163" s="409">
        <f t="shared" si="30"/>
        <v>0.12754488553425808</v>
      </c>
      <c r="M163" s="358"/>
      <c r="N163" s="358"/>
      <c r="O163" s="103"/>
    </row>
    <row r="164" spans="2:15" x14ac:dyDescent="0.2">
      <c r="B164" s="42" t="s">
        <v>0</v>
      </c>
      <c r="C164" s="35"/>
      <c r="D164" s="15">
        <f>SUM(D161:D163)</f>
        <v>215691266.75822434</v>
      </c>
      <c r="E164" s="387"/>
      <c r="F164" s="266">
        <f>SUM(F161:F163)</f>
        <v>15687005.363494318</v>
      </c>
      <c r="G164" s="138"/>
      <c r="H164" s="138"/>
      <c r="I164" s="266">
        <f>SUM(I161:I163)</f>
        <v>17471927.920000002</v>
      </c>
      <c r="J164" s="416"/>
      <c r="K164" s="417">
        <f>SUM(K161:K163)</f>
        <v>1784922.5565056815</v>
      </c>
      <c r="L164" s="409">
        <f>IFERROR(K164/F164, )</f>
        <v>0.11378351158465376</v>
      </c>
      <c r="M164" s="358"/>
      <c r="N164" s="358"/>
      <c r="O164" s="103"/>
    </row>
    <row r="165" spans="2:15" x14ac:dyDescent="0.2">
      <c r="C165" s="35"/>
      <c r="D165" s="279"/>
      <c r="E165" s="387"/>
      <c r="F165" s="138"/>
      <c r="G165" s="138"/>
      <c r="H165" s="138"/>
      <c r="I165" s="138"/>
      <c r="J165" s="416"/>
      <c r="K165" s="416"/>
      <c r="L165" s="371"/>
      <c r="M165" s="358"/>
      <c r="N165" s="358"/>
      <c r="O165" s="103"/>
    </row>
    <row r="166" spans="2:15" x14ac:dyDescent="0.2">
      <c r="B166" s="278" t="s">
        <v>160</v>
      </c>
      <c r="E166" s="381"/>
      <c r="F166" s="140"/>
      <c r="G166" s="139"/>
      <c r="H166" s="140"/>
      <c r="I166" s="140"/>
      <c r="J166" s="418"/>
      <c r="K166" s="418"/>
      <c r="L166" s="339"/>
      <c r="O166" s="341"/>
    </row>
    <row r="167" spans="2:15" x14ac:dyDescent="0.2">
      <c r="B167" s="280" t="s">
        <v>0</v>
      </c>
      <c r="D167" s="381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38"/>
      <c r="F167" s="140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138"/>
      <c r="H167" s="140"/>
      <c r="I167" s="267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418"/>
      <c r="K167" s="418">
        <f>I167-F167</f>
        <v>46559075.37602067</v>
      </c>
      <c r="L167" s="339">
        <f t="shared" ref="L167:L168" si="31">IFERROR(K167/F167, )</f>
        <v>8.971986344574176E-2</v>
      </c>
      <c r="O167" s="341"/>
    </row>
    <row r="168" spans="2:15" x14ac:dyDescent="0.2">
      <c r="B168" s="280" t="s">
        <v>161</v>
      </c>
      <c r="D168" s="34">
        <v>32154478.538398605</v>
      </c>
      <c r="E168" s="38"/>
      <c r="F168" s="140">
        <v>1679324.4523564125</v>
      </c>
      <c r="G168" s="138"/>
      <c r="H168" s="140"/>
      <c r="I168" s="268">
        <v>1699064.4523564125</v>
      </c>
      <c r="J168" s="418"/>
      <c r="K168" s="419">
        <f>I168-F168</f>
        <v>19740</v>
      </c>
      <c r="L168" s="339">
        <f t="shared" si="31"/>
        <v>1.1754726713054773E-2</v>
      </c>
      <c r="O168" s="341"/>
    </row>
    <row r="169" spans="2:15" x14ac:dyDescent="0.2">
      <c r="B169" s="280" t="s">
        <v>162</v>
      </c>
      <c r="D169" s="15">
        <f>SUM(D167:D168)</f>
        <v>1172906987.0608532</v>
      </c>
      <c r="E169" s="38"/>
      <c r="F169" s="266">
        <f>SUM(F167:F168)</f>
        <v>520617646.3344149</v>
      </c>
      <c r="G169" s="138"/>
      <c r="H169" s="140"/>
      <c r="I169" s="266">
        <f>SUM(I167:I168)</f>
        <v>567196461.71043563</v>
      </c>
      <c r="J169" s="418"/>
      <c r="K169" s="417">
        <f>SUM(K167:K168)</f>
        <v>46578815.37602067</v>
      </c>
      <c r="L169" s="339">
        <f>IFERROR(K169/F169, )</f>
        <v>8.9468376079786416E-2</v>
      </c>
      <c r="O169" s="341"/>
    </row>
    <row r="170" spans="2:15" x14ac:dyDescent="0.2">
      <c r="B170" s="141"/>
      <c r="C170" s="41"/>
      <c r="E170" s="38"/>
      <c r="F170" s="420"/>
      <c r="G170" s="138"/>
      <c r="H170" s="140"/>
      <c r="I170" s="421"/>
      <c r="J170" s="418"/>
      <c r="K170" s="421"/>
      <c r="L170" s="339"/>
    </row>
    <row r="171" spans="2:15" x14ac:dyDescent="0.2">
      <c r="B171" s="42" t="s">
        <v>130</v>
      </c>
      <c r="E171" s="38"/>
      <c r="F171" s="416"/>
      <c r="G171" s="138"/>
      <c r="H171" s="140"/>
      <c r="I171" s="416"/>
      <c r="J171" s="418"/>
      <c r="K171" s="416"/>
      <c r="L171" s="339"/>
    </row>
    <row r="172" spans="2:15" ht="13.5" thickBot="1" x14ac:dyDescent="0.25">
      <c r="F172" s="416"/>
      <c r="G172" s="138"/>
      <c r="H172" s="140"/>
      <c r="I172" s="416"/>
      <c r="J172" s="418"/>
      <c r="K172" s="416"/>
      <c r="L172" s="339"/>
    </row>
    <row r="173" spans="2:15" x14ac:dyDescent="0.2">
      <c r="B173" s="423" t="s">
        <v>13</v>
      </c>
      <c r="C173" s="424" t="s">
        <v>223</v>
      </c>
      <c r="D173" s="425">
        <v>15675792.294814982</v>
      </c>
      <c r="E173" s="424" t="s">
        <v>224</v>
      </c>
      <c r="F173" s="426">
        <f>D173-F164</f>
        <v>-11213.068679336458</v>
      </c>
      <c r="G173" s="138"/>
      <c r="H173" s="140" t="s">
        <v>13</v>
      </c>
      <c r="I173" s="418">
        <v>567193801.86914253</v>
      </c>
      <c r="J173" s="418"/>
      <c r="K173" s="418">
        <v>44570424.507699192</v>
      </c>
      <c r="L173" s="339"/>
    </row>
    <row r="174" spans="2:15" ht="13.5" thickBot="1" x14ac:dyDescent="0.25">
      <c r="B174" s="427" t="s">
        <v>13</v>
      </c>
      <c r="C174" s="428" t="s">
        <v>223</v>
      </c>
      <c r="D174" s="429">
        <v>522623377.36144328</v>
      </c>
      <c r="E174" s="428" t="s">
        <v>224</v>
      </c>
      <c r="F174" s="430">
        <f>D174-F169</f>
        <v>2005731.0270283818</v>
      </c>
      <c r="H174" s="141" t="s">
        <v>224</v>
      </c>
      <c r="I174" s="341">
        <f>I173-I169</f>
        <v>-2659.8412930965424</v>
      </c>
      <c r="K174" s="341">
        <f>K173-K169</f>
        <v>-2008390.8683214784</v>
      </c>
      <c r="L174" s="339"/>
    </row>
    <row r="175" spans="2:15" x14ac:dyDescent="0.2">
      <c r="L175" s="339"/>
    </row>
    <row r="176" spans="2:15" x14ac:dyDescent="0.2">
      <c r="B176" s="347"/>
      <c r="D176" s="422"/>
      <c r="L176" s="339"/>
    </row>
    <row r="177" spans="12:12" x14ac:dyDescent="0.2">
      <c r="L177" s="339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79"/>
  <sheetViews>
    <sheetView zoomScale="90" zoomScaleNormal="90" zoomScaleSheetLayoutView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3" sqref="O3"/>
    </sheetView>
  </sheetViews>
  <sheetFormatPr defaultColWidth="9.140625" defaultRowHeight="12.75" x14ac:dyDescent="0.2"/>
  <cols>
    <col min="1" max="1" width="2.85546875" style="41" customWidth="1"/>
    <col min="2" max="2" width="38.42578125" style="60" customWidth="1"/>
    <col min="3" max="3" width="12.28515625" style="511" customWidth="1"/>
    <col min="4" max="4" width="12.28515625" style="41" customWidth="1"/>
    <col min="5" max="5" width="15.85546875" style="41" bestFit="1" customWidth="1"/>
    <col min="6" max="6" width="14.5703125" style="433" bestFit="1" customWidth="1"/>
    <col min="7" max="7" width="14.5703125" style="141" bestFit="1" customWidth="1"/>
    <col min="8" max="8" width="13.28515625" style="141" bestFit="1" customWidth="1"/>
    <col min="9" max="9" width="14.5703125" style="141" bestFit="1" customWidth="1"/>
    <col min="10" max="10" width="14.5703125" style="141" customWidth="1"/>
    <col min="11" max="11" width="2.85546875" style="89" customWidth="1"/>
    <col min="12" max="12" width="19.140625" style="41" bestFit="1" customWidth="1"/>
    <col min="13" max="13" width="14.5703125" style="433" bestFit="1" customWidth="1"/>
    <col min="14" max="14" width="14.5703125" style="141" bestFit="1" customWidth="1"/>
    <col min="15" max="15" width="14" style="141" bestFit="1" customWidth="1"/>
    <col min="16" max="16" width="14.5703125" style="141" bestFit="1" customWidth="1"/>
    <col min="17" max="17" width="14.5703125" style="141" customWidth="1"/>
    <col min="18" max="18" width="2.85546875" style="89" customWidth="1"/>
    <col min="19" max="19" width="15.85546875" style="41" bestFit="1" customWidth="1"/>
    <col min="20" max="20" width="14.5703125" style="433" bestFit="1" customWidth="1"/>
    <col min="21" max="21" width="14.5703125" style="141" bestFit="1" customWidth="1"/>
    <col min="22" max="22" width="14" style="141" bestFit="1" customWidth="1"/>
    <col min="23" max="23" width="14.5703125" style="141" bestFit="1" customWidth="1"/>
    <col min="24" max="16384" width="9.140625" style="41"/>
  </cols>
  <sheetData>
    <row r="1" spans="2:23" ht="12.95" customHeight="1" x14ac:dyDescent="0.2">
      <c r="B1" s="273" t="s">
        <v>12</v>
      </c>
      <c r="C1" s="432"/>
      <c r="D1" s="58"/>
      <c r="G1" s="119"/>
      <c r="H1" s="119"/>
      <c r="I1" s="119"/>
      <c r="J1" s="119"/>
      <c r="K1" s="262"/>
      <c r="N1" s="119"/>
      <c r="O1" s="119"/>
      <c r="P1" s="119"/>
      <c r="Q1" s="119"/>
      <c r="R1" s="262"/>
      <c r="U1" s="119"/>
      <c r="V1" s="119"/>
      <c r="W1" s="119"/>
    </row>
    <row r="2" spans="2:23" x14ac:dyDescent="0.2">
      <c r="B2" s="275" t="s">
        <v>271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</row>
    <row r="3" spans="2:23" x14ac:dyDescent="0.2">
      <c r="B3" s="275" t="s">
        <v>272</v>
      </c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</row>
    <row r="4" spans="2:23" x14ac:dyDescent="0.2">
      <c r="B4" s="533" t="s">
        <v>225</v>
      </c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</row>
    <row r="5" spans="2:23" x14ac:dyDescent="0.2">
      <c r="B5" s="533" t="s">
        <v>273</v>
      </c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</row>
    <row r="7" spans="2:23" x14ac:dyDescent="0.2">
      <c r="B7" s="434"/>
      <c r="C7" s="435"/>
      <c r="D7" s="436"/>
      <c r="E7" s="722" t="s">
        <v>226</v>
      </c>
      <c r="F7" s="722"/>
      <c r="G7" s="722"/>
      <c r="H7" s="722"/>
      <c r="I7" s="722"/>
      <c r="J7" s="535"/>
      <c r="K7" s="437"/>
      <c r="L7" s="722" t="s">
        <v>227</v>
      </c>
      <c r="M7" s="722"/>
      <c r="N7" s="722"/>
      <c r="O7" s="722"/>
      <c r="P7" s="722"/>
      <c r="Q7" s="535"/>
      <c r="R7" s="437"/>
      <c r="S7" s="722" t="s">
        <v>228</v>
      </c>
      <c r="T7" s="722"/>
      <c r="U7" s="722"/>
      <c r="V7" s="722"/>
      <c r="W7" s="723"/>
    </row>
    <row r="8" spans="2:23" ht="25.5" x14ac:dyDescent="0.2">
      <c r="B8" s="438" t="s">
        <v>85</v>
      </c>
      <c r="C8" s="439" t="s">
        <v>199</v>
      </c>
      <c r="D8" s="440" t="s">
        <v>114</v>
      </c>
      <c r="E8" s="441" t="s">
        <v>229</v>
      </c>
      <c r="F8" s="442" t="s">
        <v>230</v>
      </c>
      <c r="G8" s="443" t="s">
        <v>231</v>
      </c>
      <c r="H8" s="538" t="s">
        <v>232</v>
      </c>
      <c r="I8" s="538" t="s">
        <v>233</v>
      </c>
      <c r="J8" s="445" t="s">
        <v>234</v>
      </c>
      <c r="K8" s="444"/>
      <c r="L8" s="441" t="s">
        <v>229</v>
      </c>
      <c r="M8" s="442" t="s">
        <v>230</v>
      </c>
      <c r="N8" s="443" t="s">
        <v>231</v>
      </c>
      <c r="O8" s="538" t="s">
        <v>232</v>
      </c>
      <c r="P8" s="538" t="s">
        <v>233</v>
      </c>
      <c r="Q8" s="445" t="s">
        <v>234</v>
      </c>
      <c r="R8" s="444"/>
      <c r="S8" s="441" t="s">
        <v>229</v>
      </c>
      <c r="T8" s="442" t="s">
        <v>230</v>
      </c>
      <c r="U8" s="443" t="s">
        <v>231</v>
      </c>
      <c r="V8" s="444" t="s">
        <v>232</v>
      </c>
      <c r="W8" s="446" t="s">
        <v>233</v>
      </c>
    </row>
    <row r="9" spans="2:23" x14ac:dyDescent="0.2">
      <c r="B9" s="263"/>
      <c r="C9" s="447"/>
      <c r="D9" s="534"/>
      <c r="E9" s="448"/>
      <c r="F9" s="449"/>
      <c r="G9" s="106"/>
      <c r="H9" s="539"/>
      <c r="I9" s="539"/>
      <c r="J9" s="106"/>
      <c r="K9" s="106"/>
      <c r="L9" s="448"/>
      <c r="M9" s="449"/>
      <c r="N9" s="106"/>
      <c r="O9" s="539"/>
      <c r="P9" s="539"/>
      <c r="Q9" s="106"/>
      <c r="R9" s="106"/>
      <c r="S9" s="448"/>
      <c r="T9" s="449"/>
      <c r="U9" s="106"/>
      <c r="V9" s="106"/>
      <c r="W9" s="450"/>
    </row>
    <row r="10" spans="2:23" x14ac:dyDescent="0.2">
      <c r="B10" s="451" t="s">
        <v>235</v>
      </c>
      <c r="C10" s="452"/>
      <c r="D10" s="71"/>
      <c r="E10" s="15">
        <f>E17+E25+E33</f>
        <v>636378193</v>
      </c>
      <c r="F10" s="453"/>
      <c r="G10" s="102"/>
      <c r="H10" s="540">
        <v>15615300.17325394</v>
      </c>
      <c r="I10" s="540">
        <v>14266993.036877459</v>
      </c>
      <c r="J10" s="454">
        <v>2074672.7347817947</v>
      </c>
      <c r="K10" s="455"/>
      <c r="L10" s="15">
        <f>L17+L25+L33</f>
        <v>639473381</v>
      </c>
      <c r="M10" s="453"/>
      <c r="N10" s="455"/>
      <c r="O10" s="540">
        <v>-3068266.7324704034</v>
      </c>
      <c r="P10" s="540">
        <v>46474104.097345166</v>
      </c>
      <c r="Q10" s="454">
        <v>2016093.3139364917</v>
      </c>
      <c r="R10" s="455"/>
      <c r="S10" s="15"/>
      <c r="T10" s="453"/>
      <c r="U10" s="456"/>
      <c r="V10" s="102"/>
      <c r="W10" s="457"/>
    </row>
    <row r="11" spans="2:23" s="44" customFormat="1" x14ac:dyDescent="0.2">
      <c r="B11" s="85"/>
      <c r="C11" s="458"/>
      <c r="F11" s="458"/>
      <c r="G11" s="124" t="s">
        <v>236</v>
      </c>
      <c r="H11" s="541">
        <f>ROUND(H10/E10, 5)</f>
        <v>2.4539999999999999E-2</v>
      </c>
      <c r="I11" s="541">
        <f>ROUND(I10/E10, 5)</f>
        <v>2.2419999999999999E-2</v>
      </c>
      <c r="J11" s="459">
        <f>ROUND(J10/E10, 5)</f>
        <v>3.2599999999999999E-3</v>
      </c>
      <c r="K11" s="89"/>
      <c r="M11" s="458"/>
      <c r="N11" s="89"/>
      <c r="O11" s="541">
        <f>ROUND(O10/L10, 5)</f>
        <v>-4.7999999999999996E-3</v>
      </c>
      <c r="P11" s="541">
        <f>ROUND(P10/L10, 5)</f>
        <v>7.2679999999999995E-2</v>
      </c>
      <c r="Q11" s="459">
        <f>ROUND(Q10/L10, 5)</f>
        <v>3.15E-3</v>
      </c>
      <c r="R11" s="89"/>
      <c r="T11" s="458"/>
      <c r="U11" s="89"/>
      <c r="V11" s="75"/>
      <c r="W11" s="460"/>
    </row>
    <row r="12" spans="2:23" s="44" customFormat="1" x14ac:dyDescent="0.2">
      <c r="B12" s="76"/>
      <c r="C12" s="461"/>
      <c r="D12" s="77"/>
      <c r="E12" s="462" t="s">
        <v>221</v>
      </c>
      <c r="F12" s="463">
        <f>F18+F26+F34</f>
        <v>381408517.88003999</v>
      </c>
      <c r="G12" s="78">
        <f>G18+G26+G34</f>
        <v>414358362.31292999</v>
      </c>
      <c r="H12" s="542"/>
      <c r="I12" s="542"/>
      <c r="J12" s="464"/>
      <c r="K12" s="123"/>
      <c r="L12" s="462" t="s">
        <v>221</v>
      </c>
      <c r="M12" s="463">
        <f>M18+M26+M34</f>
        <v>384032148.01235998</v>
      </c>
      <c r="N12" s="78">
        <f>N18+N26+N34</f>
        <v>417207632.91536999</v>
      </c>
      <c r="O12" s="542"/>
      <c r="P12" s="542"/>
      <c r="Q12" s="464"/>
      <c r="R12" s="123"/>
      <c r="S12" s="462"/>
      <c r="T12" s="463"/>
      <c r="U12" s="78"/>
      <c r="V12" s="464"/>
      <c r="W12" s="465"/>
    </row>
    <row r="13" spans="2:23" x14ac:dyDescent="0.2">
      <c r="B13" s="85"/>
      <c r="C13" s="458"/>
      <c r="D13" s="44"/>
      <c r="E13" s="44"/>
      <c r="F13" s="458"/>
      <c r="G13" s="89"/>
      <c r="H13" s="543"/>
      <c r="I13" s="543"/>
      <c r="J13" s="466"/>
      <c r="L13" s="44"/>
      <c r="M13" s="458"/>
      <c r="N13" s="89"/>
      <c r="O13" s="543"/>
      <c r="P13" s="543"/>
      <c r="Q13" s="466"/>
      <c r="S13" s="44"/>
      <c r="T13" s="458"/>
      <c r="U13" s="89"/>
      <c r="V13" s="466"/>
      <c r="W13" s="467"/>
    </row>
    <row r="14" spans="2:23" x14ac:dyDescent="0.2">
      <c r="B14" s="468" t="s">
        <v>121</v>
      </c>
      <c r="C14" s="469"/>
      <c r="D14" s="71"/>
      <c r="E14" s="71"/>
      <c r="F14" s="469"/>
      <c r="G14" s="102"/>
      <c r="H14" s="540"/>
      <c r="I14" s="540"/>
      <c r="J14" s="102"/>
      <c r="K14" s="102"/>
      <c r="L14" s="71"/>
      <c r="M14" s="469"/>
      <c r="N14" s="102"/>
      <c r="O14" s="540"/>
      <c r="P14" s="540"/>
      <c r="Q14" s="102"/>
      <c r="R14" s="102"/>
      <c r="S14" s="71"/>
      <c r="T14" s="469"/>
      <c r="U14" s="102"/>
      <c r="V14" s="102"/>
      <c r="W14" s="457"/>
    </row>
    <row r="15" spans="2:23" x14ac:dyDescent="0.2">
      <c r="B15" s="85"/>
      <c r="C15" s="458"/>
      <c r="D15" s="44"/>
      <c r="E15" s="44"/>
      <c r="F15" s="458"/>
      <c r="G15" s="82"/>
      <c r="H15" s="544"/>
      <c r="I15" s="544"/>
      <c r="J15" s="82"/>
      <c r="K15" s="82"/>
      <c r="L15" s="44"/>
      <c r="M15" s="458"/>
      <c r="N15" s="82"/>
      <c r="O15" s="544"/>
      <c r="P15" s="544"/>
      <c r="Q15" s="82"/>
      <c r="R15" s="82"/>
      <c r="S15" s="44"/>
      <c r="T15" s="458"/>
      <c r="U15" s="82"/>
      <c r="V15" s="82"/>
      <c r="W15" s="470"/>
    </row>
    <row r="16" spans="2:23" x14ac:dyDescent="0.2">
      <c r="B16" s="72" t="s">
        <v>89</v>
      </c>
      <c r="C16" s="471">
        <v>11.52</v>
      </c>
      <c r="D16" s="89">
        <v>12.5</v>
      </c>
      <c r="E16" s="38">
        <v>9926845</v>
      </c>
      <c r="F16" s="472">
        <f>SUM(+E16*C16)</f>
        <v>114357254.39999999</v>
      </c>
      <c r="G16" s="82">
        <f>SUM(+E16*D16)</f>
        <v>124085562.5</v>
      </c>
      <c r="H16" s="544"/>
      <c r="I16" s="544"/>
      <c r="J16" s="82"/>
      <c r="K16" s="82"/>
      <c r="L16" s="38">
        <v>10041842</v>
      </c>
      <c r="M16" s="472">
        <f>SUM(+L16*C16)</f>
        <v>115682019.83999999</v>
      </c>
      <c r="N16" s="82">
        <f>SUM(+L16*D16)</f>
        <v>125523025</v>
      </c>
      <c r="O16" s="544"/>
      <c r="P16" s="544"/>
      <c r="Q16" s="82"/>
      <c r="R16" s="82"/>
      <c r="S16" s="38"/>
      <c r="T16" s="472"/>
      <c r="U16" s="82"/>
      <c r="V16" s="82"/>
      <c r="W16" s="470"/>
    </row>
    <row r="17" spans="2:25" x14ac:dyDescent="0.2">
      <c r="B17" s="85" t="s">
        <v>91</v>
      </c>
      <c r="C17" s="473">
        <v>0.41964000000000001</v>
      </c>
      <c r="D17" s="75">
        <v>0.45612999999999998</v>
      </c>
      <c r="E17" s="38">
        <v>636369361</v>
      </c>
      <c r="F17" s="472">
        <f>SUM(+E17*C17)</f>
        <v>267046038.65004</v>
      </c>
      <c r="G17" s="82">
        <f>SUM(+E17*D17)</f>
        <v>290267156.63292998</v>
      </c>
      <c r="H17" s="544"/>
      <c r="I17" s="544"/>
      <c r="J17" s="82"/>
      <c r="K17" s="82"/>
      <c r="L17" s="38">
        <v>639464549</v>
      </c>
      <c r="M17" s="472">
        <f>SUM(+L17*C17)</f>
        <v>268344903.34236002</v>
      </c>
      <c r="N17" s="82">
        <f>SUM(+L17*D17)</f>
        <v>291678964.73536998</v>
      </c>
      <c r="O17" s="544"/>
      <c r="P17" s="544"/>
      <c r="Q17" s="82"/>
      <c r="R17" s="82"/>
      <c r="S17" s="38"/>
      <c r="T17" s="472"/>
      <c r="U17" s="82"/>
      <c r="V17" s="82"/>
      <c r="W17" s="470"/>
    </row>
    <row r="18" spans="2:25" x14ac:dyDescent="0.2">
      <c r="B18" s="91" t="s">
        <v>237</v>
      </c>
      <c r="C18" s="458"/>
      <c r="D18" s="44"/>
      <c r="E18" s="38"/>
      <c r="F18" s="474">
        <f>SUM(F16:F17)</f>
        <v>381403293.05004001</v>
      </c>
      <c r="G18" s="102">
        <f>SUM(G16:G17)</f>
        <v>414352719.13292998</v>
      </c>
      <c r="H18" s="545"/>
      <c r="I18" s="545"/>
      <c r="K18" s="82"/>
      <c r="L18" s="38"/>
      <c r="M18" s="474">
        <f>SUM(M16:M17)</f>
        <v>384026923.18235999</v>
      </c>
      <c r="N18" s="102">
        <f>SUM(N16:N17)</f>
        <v>417201989.73536998</v>
      </c>
      <c r="O18" s="545"/>
      <c r="P18" s="545"/>
      <c r="R18" s="82"/>
      <c r="S18" s="38"/>
      <c r="T18" s="474"/>
      <c r="U18" s="102"/>
      <c r="W18" s="470"/>
      <c r="Y18" s="81"/>
    </row>
    <row r="19" spans="2:25" x14ac:dyDescent="0.2">
      <c r="B19" s="85" t="s">
        <v>238</v>
      </c>
      <c r="C19" s="458"/>
      <c r="D19" s="44"/>
      <c r="E19" s="44"/>
      <c r="F19" s="458"/>
      <c r="G19" s="82"/>
      <c r="H19" s="546">
        <f>H11*E17</f>
        <v>15616504.118939999</v>
      </c>
      <c r="I19" s="547">
        <f>I11*E17</f>
        <v>14267401.073619999</v>
      </c>
      <c r="J19" s="475">
        <f>J11*E17</f>
        <v>2074564.11686</v>
      </c>
      <c r="K19" s="82"/>
      <c r="L19" s="44"/>
      <c r="M19" s="458"/>
      <c r="N19" s="82"/>
      <c r="O19" s="546">
        <f>O11*L17</f>
        <v>-3069429.8351999996</v>
      </c>
      <c r="P19" s="547">
        <f>P11*L17</f>
        <v>46476283.421319999</v>
      </c>
      <c r="Q19" s="475">
        <f>Q11*L17</f>
        <v>2014313.32935</v>
      </c>
      <c r="R19" s="82"/>
      <c r="S19" s="44"/>
      <c r="T19" s="458"/>
      <c r="U19" s="82"/>
      <c r="V19" s="78"/>
      <c r="W19" s="470"/>
    </row>
    <row r="20" spans="2:25" x14ac:dyDescent="0.2">
      <c r="B20" s="91" t="str">
        <f>"Total "&amp;B14</f>
        <v>Total Schedule 23</v>
      </c>
      <c r="C20" s="458"/>
      <c r="D20" s="44"/>
      <c r="E20" s="44"/>
      <c r="F20" s="458"/>
      <c r="G20" s="41"/>
      <c r="H20" s="544"/>
      <c r="I20" s="548">
        <f>G18+H19+I19</f>
        <v>444236624.32549</v>
      </c>
      <c r="J20" s="92"/>
      <c r="K20" s="82"/>
      <c r="L20" s="44"/>
      <c r="M20" s="458"/>
      <c r="N20" s="82"/>
      <c r="O20" s="544"/>
      <c r="P20" s="548">
        <f>N18+O19+P19</f>
        <v>460608843.32148999</v>
      </c>
      <c r="Q20" s="92"/>
      <c r="R20" s="82"/>
      <c r="S20" s="44"/>
      <c r="T20" s="458"/>
      <c r="U20" s="82"/>
      <c r="V20" s="82"/>
      <c r="W20" s="477"/>
    </row>
    <row r="21" spans="2:25" x14ac:dyDescent="0.2">
      <c r="B21" s="76"/>
      <c r="C21" s="478"/>
      <c r="D21" s="479"/>
      <c r="E21" s="77"/>
      <c r="F21" s="461"/>
      <c r="G21" s="78"/>
      <c r="H21" s="546"/>
      <c r="I21" s="546"/>
      <c r="J21" s="78"/>
      <c r="K21" s="78"/>
      <c r="L21" s="77"/>
      <c r="M21" s="461"/>
      <c r="N21" s="78"/>
      <c r="O21" s="546"/>
      <c r="P21" s="546"/>
      <c r="Q21" s="78"/>
      <c r="R21" s="78"/>
      <c r="S21" s="77"/>
      <c r="T21" s="461"/>
      <c r="U21" s="78"/>
      <c r="V21" s="78"/>
      <c r="W21" s="480"/>
    </row>
    <row r="22" spans="2:25" x14ac:dyDescent="0.2">
      <c r="B22" s="84" t="s">
        <v>124</v>
      </c>
      <c r="C22" s="481"/>
      <c r="D22" s="244"/>
      <c r="E22" s="244"/>
      <c r="F22" s="482"/>
      <c r="G22" s="244"/>
      <c r="H22" s="549"/>
      <c r="I22" s="549"/>
      <c r="J22" s="244"/>
      <c r="K22" s="244"/>
      <c r="L22" s="244"/>
      <c r="M22" s="482"/>
      <c r="N22" s="244"/>
      <c r="O22" s="549"/>
      <c r="P22" s="549"/>
      <c r="Q22" s="244"/>
      <c r="R22" s="244"/>
      <c r="S22" s="244"/>
      <c r="T22" s="482"/>
      <c r="U22" s="244"/>
      <c r="V22" s="244"/>
      <c r="W22" s="483"/>
    </row>
    <row r="23" spans="2:25" x14ac:dyDescent="0.2">
      <c r="B23" s="85"/>
      <c r="C23" s="458"/>
      <c r="D23" s="44"/>
      <c r="E23" s="44"/>
      <c r="F23" s="458"/>
      <c r="G23" s="82"/>
      <c r="H23" s="544"/>
      <c r="I23" s="544"/>
      <c r="J23" s="82"/>
      <c r="K23" s="82"/>
      <c r="L23" s="44"/>
      <c r="M23" s="458"/>
      <c r="N23" s="82"/>
      <c r="O23" s="544"/>
      <c r="P23" s="544"/>
      <c r="Q23" s="82"/>
      <c r="R23" s="82"/>
      <c r="S23" s="44"/>
      <c r="T23" s="458"/>
      <c r="U23" s="82"/>
      <c r="V23" s="82"/>
      <c r="W23" s="470"/>
    </row>
    <row r="24" spans="2:25" x14ac:dyDescent="0.2">
      <c r="B24" s="72" t="s">
        <v>89</v>
      </c>
      <c r="C24" s="471">
        <v>11.52</v>
      </c>
      <c r="D24" s="89">
        <f>D16</f>
        <v>12.5</v>
      </c>
      <c r="E24" s="38">
        <v>0</v>
      </c>
      <c r="F24" s="472">
        <f>SUM(+E24*C24)</f>
        <v>0</v>
      </c>
      <c r="G24" s="82">
        <f>SUM(+E24*D24)</f>
        <v>0</v>
      </c>
      <c r="H24" s="544"/>
      <c r="I24" s="544"/>
      <c r="J24" s="82"/>
      <c r="K24" s="82"/>
      <c r="L24" s="38">
        <v>0</v>
      </c>
      <c r="M24" s="472">
        <f>SUM(+L24*C24)</f>
        <v>0</v>
      </c>
      <c r="N24" s="82">
        <f>SUM(+L24*D24)</f>
        <v>0</v>
      </c>
      <c r="O24" s="544"/>
      <c r="P24" s="544"/>
      <c r="Q24" s="82"/>
      <c r="R24" s="82"/>
      <c r="S24" s="38"/>
      <c r="T24" s="472"/>
      <c r="U24" s="82"/>
      <c r="V24" s="82"/>
      <c r="W24" s="470"/>
    </row>
    <row r="25" spans="2:25" x14ac:dyDescent="0.2">
      <c r="B25" s="85" t="s">
        <v>91</v>
      </c>
      <c r="C25" s="473">
        <v>0.41964000000000001</v>
      </c>
      <c r="D25" s="75">
        <f>D17</f>
        <v>0.45612999999999998</v>
      </c>
      <c r="E25" s="38">
        <v>0</v>
      </c>
      <c r="F25" s="472">
        <f>SUM(+E25*C25)</f>
        <v>0</v>
      </c>
      <c r="G25" s="82">
        <f>SUM(+E25*D25)</f>
        <v>0</v>
      </c>
      <c r="H25" s="544"/>
      <c r="I25" s="544"/>
      <c r="J25" s="82"/>
      <c r="K25" s="82"/>
      <c r="L25" s="38">
        <v>0</v>
      </c>
      <c r="M25" s="472">
        <f>SUM(+L25*C25)</f>
        <v>0</v>
      </c>
      <c r="N25" s="82">
        <f>SUM(+L25*D25)</f>
        <v>0</v>
      </c>
      <c r="O25" s="544"/>
      <c r="P25" s="544"/>
      <c r="Q25" s="82"/>
      <c r="R25" s="82"/>
      <c r="S25" s="38"/>
      <c r="T25" s="472"/>
      <c r="U25" s="82"/>
      <c r="V25" s="82"/>
      <c r="W25" s="470"/>
    </row>
    <row r="26" spans="2:25" x14ac:dyDescent="0.2">
      <c r="B26" s="91" t="s">
        <v>237</v>
      </c>
      <c r="C26" s="484"/>
      <c r="D26" s="44"/>
      <c r="E26" s="44"/>
      <c r="F26" s="474">
        <f>SUM(F24:F25)</f>
        <v>0</v>
      </c>
      <c r="G26" s="102">
        <f>SUM(G24:G25)</f>
        <v>0</v>
      </c>
      <c r="H26" s="544"/>
      <c r="I26" s="544"/>
      <c r="J26" s="82"/>
      <c r="K26" s="82"/>
      <c r="L26" s="44"/>
      <c r="M26" s="474">
        <f>SUM(M24:M25)</f>
        <v>0</v>
      </c>
      <c r="N26" s="102">
        <f>SUM(N24:N25)</f>
        <v>0</v>
      </c>
      <c r="O26" s="544"/>
      <c r="P26" s="544"/>
      <c r="Q26" s="82"/>
      <c r="R26" s="82"/>
      <c r="S26" s="44"/>
      <c r="T26" s="474"/>
      <c r="U26" s="102"/>
      <c r="V26" s="82"/>
      <c r="W26" s="470"/>
    </row>
    <row r="27" spans="2:25" x14ac:dyDescent="0.2">
      <c r="B27" s="85" t="s">
        <v>238</v>
      </c>
      <c r="C27" s="458"/>
      <c r="D27" s="44"/>
      <c r="E27" s="44"/>
      <c r="F27" s="458"/>
      <c r="G27" s="82"/>
      <c r="H27" s="546">
        <f>H$11*E25</f>
        <v>0</v>
      </c>
      <c r="I27" s="547">
        <f>I$11*E25</f>
        <v>0</v>
      </c>
      <c r="J27" s="485">
        <f>J$11*E25</f>
        <v>0</v>
      </c>
      <c r="K27" s="82"/>
      <c r="L27" s="44"/>
      <c r="M27" s="458"/>
      <c r="N27" s="82"/>
      <c r="O27" s="546">
        <f>O$11*L25</f>
        <v>0</v>
      </c>
      <c r="P27" s="547">
        <f>P$11*L25</f>
        <v>0</v>
      </c>
      <c r="Q27" s="485">
        <f>Q$11*L25</f>
        <v>0</v>
      </c>
      <c r="R27" s="82"/>
      <c r="S27" s="44"/>
      <c r="T27" s="458"/>
      <c r="U27" s="82"/>
      <c r="V27" s="78"/>
      <c r="W27" s="470"/>
    </row>
    <row r="28" spans="2:25" x14ac:dyDescent="0.2">
      <c r="B28" s="91" t="str">
        <f>"Total "&amp;B22</f>
        <v>Total Schedule 53</v>
      </c>
      <c r="C28" s="484"/>
      <c r="D28" s="44"/>
      <c r="E28" s="44"/>
      <c r="F28" s="458"/>
      <c r="G28" s="82"/>
      <c r="H28" s="544"/>
      <c r="I28" s="548">
        <f>G26+H27+I27</f>
        <v>0</v>
      </c>
      <c r="J28" s="92"/>
      <c r="K28" s="82"/>
      <c r="L28" s="44"/>
      <c r="M28" s="458"/>
      <c r="N28" s="82"/>
      <c r="O28" s="544"/>
      <c r="P28" s="548">
        <f>N26+O27+P27</f>
        <v>0</v>
      </c>
      <c r="Q28" s="92"/>
      <c r="R28" s="82"/>
      <c r="S28" s="44"/>
      <c r="T28" s="458"/>
      <c r="U28" s="82"/>
      <c r="V28" s="82"/>
      <c r="W28" s="477"/>
    </row>
    <row r="29" spans="2:25" x14ac:dyDescent="0.2">
      <c r="B29" s="76"/>
      <c r="C29" s="461"/>
      <c r="D29" s="77"/>
      <c r="E29" s="77"/>
      <c r="F29" s="461"/>
      <c r="G29" s="78"/>
      <c r="H29" s="546"/>
      <c r="I29" s="546"/>
      <c r="J29" s="78"/>
      <c r="K29" s="78"/>
      <c r="L29" s="77"/>
      <c r="M29" s="461"/>
      <c r="N29" s="78"/>
      <c r="O29" s="546"/>
      <c r="P29" s="546"/>
      <c r="Q29" s="78"/>
      <c r="R29" s="78"/>
      <c r="S29" s="77"/>
      <c r="T29" s="461"/>
      <c r="U29" s="78"/>
      <c r="V29" s="78"/>
      <c r="W29" s="480"/>
    </row>
    <row r="30" spans="2:25" x14ac:dyDescent="0.2">
      <c r="B30" s="84" t="s">
        <v>126</v>
      </c>
      <c r="C30" s="481"/>
      <c r="D30" s="244"/>
      <c r="E30" s="244"/>
      <c r="F30" s="482"/>
      <c r="G30" s="244"/>
      <c r="H30" s="549"/>
      <c r="I30" s="549"/>
      <c r="J30" s="244"/>
      <c r="K30" s="244"/>
      <c r="L30" s="244"/>
      <c r="M30" s="482"/>
      <c r="N30" s="244"/>
      <c r="O30" s="549"/>
      <c r="P30" s="549"/>
      <c r="Q30" s="244"/>
      <c r="R30" s="244"/>
      <c r="S30" s="244"/>
      <c r="T30" s="482"/>
      <c r="U30" s="244"/>
      <c r="V30" s="244"/>
      <c r="W30" s="483"/>
    </row>
    <row r="31" spans="2:25" x14ac:dyDescent="0.2">
      <c r="B31" s="91"/>
      <c r="C31" s="484"/>
      <c r="D31" s="44"/>
      <c r="E31" s="44"/>
      <c r="F31" s="458"/>
      <c r="G31" s="82"/>
      <c r="H31" s="544"/>
      <c r="I31" s="544"/>
      <c r="J31" s="82"/>
      <c r="K31" s="82"/>
      <c r="L31" s="44"/>
      <c r="M31" s="458"/>
      <c r="N31" s="82"/>
      <c r="O31" s="544"/>
      <c r="P31" s="544"/>
      <c r="Q31" s="82"/>
      <c r="R31" s="82"/>
      <c r="S31" s="44"/>
      <c r="T31" s="458"/>
      <c r="U31" s="82"/>
      <c r="V31" s="82"/>
      <c r="W31" s="470"/>
    </row>
    <row r="32" spans="2:25" x14ac:dyDescent="0.2">
      <c r="B32" s="85" t="s">
        <v>127</v>
      </c>
      <c r="C32" s="471">
        <v>11.24</v>
      </c>
      <c r="D32" s="89">
        <v>12.14</v>
      </c>
      <c r="E32" s="38">
        <v>464.84210526315798</v>
      </c>
      <c r="F32" s="472">
        <f>ROUND(E32*C32,2)</f>
        <v>5224.83</v>
      </c>
      <c r="G32" s="82">
        <f>ROUND(E32*D32,2)</f>
        <v>5643.18</v>
      </c>
      <c r="H32" s="544"/>
      <c r="I32" s="544"/>
      <c r="J32" s="82"/>
      <c r="K32" s="82"/>
      <c r="L32" s="38">
        <v>464.84210526315798</v>
      </c>
      <c r="M32" s="472">
        <f>ROUND(L32*C32,2)</f>
        <v>5224.83</v>
      </c>
      <c r="N32" s="82">
        <f>ROUND(L32*D32,2)</f>
        <v>5643.18</v>
      </c>
      <c r="O32" s="544"/>
      <c r="P32" s="544"/>
      <c r="Q32" s="82"/>
      <c r="R32" s="82"/>
      <c r="S32" s="38"/>
      <c r="T32" s="472"/>
      <c r="U32" s="82"/>
      <c r="V32" s="82"/>
      <c r="W32" s="470"/>
    </row>
    <row r="33" spans="2:23" x14ac:dyDescent="0.2">
      <c r="B33" s="72" t="s">
        <v>128</v>
      </c>
      <c r="C33" s="486"/>
      <c r="D33" s="44"/>
      <c r="E33" s="38">
        <v>8832</v>
      </c>
      <c r="F33" s="487"/>
      <c r="G33" s="82"/>
      <c r="H33" s="544"/>
      <c r="I33" s="544"/>
      <c r="J33" s="82"/>
      <c r="K33" s="82"/>
      <c r="L33" s="38">
        <v>8832</v>
      </c>
      <c r="M33" s="487"/>
      <c r="N33" s="82"/>
      <c r="O33" s="544"/>
      <c r="P33" s="544"/>
      <c r="Q33" s="82"/>
      <c r="R33" s="82"/>
      <c r="S33" s="38"/>
      <c r="T33" s="487"/>
      <c r="U33" s="82"/>
      <c r="V33" s="82"/>
      <c r="W33" s="470"/>
    </row>
    <row r="34" spans="2:23" x14ac:dyDescent="0.2">
      <c r="B34" s="91" t="s">
        <v>237</v>
      </c>
      <c r="C34" s="484"/>
      <c r="D34" s="44"/>
      <c r="E34" s="44"/>
      <c r="F34" s="474">
        <f>SUM(F32:F33)</f>
        <v>5224.83</v>
      </c>
      <c r="G34" s="102">
        <f>SUM(G32:G33)</f>
        <v>5643.18</v>
      </c>
      <c r="H34" s="544"/>
      <c r="I34" s="544"/>
      <c r="J34" s="82"/>
      <c r="K34" s="82"/>
      <c r="L34" s="44"/>
      <c r="M34" s="474">
        <f>SUM(M32:M33)</f>
        <v>5224.83</v>
      </c>
      <c r="N34" s="102">
        <f>SUM(N32:N33)</f>
        <v>5643.18</v>
      </c>
      <c r="O34" s="544"/>
      <c r="P34" s="544"/>
      <c r="Q34" s="82"/>
      <c r="R34" s="82"/>
      <c r="S34" s="44"/>
      <c r="T34" s="474"/>
      <c r="U34" s="102"/>
      <c r="V34" s="82"/>
      <c r="W34" s="470"/>
    </row>
    <row r="35" spans="2:23" x14ac:dyDescent="0.2">
      <c r="B35" s="85" t="s">
        <v>238</v>
      </c>
      <c r="C35" s="458"/>
      <c r="D35" s="44"/>
      <c r="E35" s="44"/>
      <c r="F35" s="458"/>
      <c r="G35" s="82"/>
      <c r="H35" s="546">
        <f>H$11*E33</f>
        <v>216.73728</v>
      </c>
      <c r="I35" s="547">
        <f>I$11*E33</f>
        <v>198.01344</v>
      </c>
      <c r="J35" s="475">
        <f>J$11*E33</f>
        <v>28.79232</v>
      </c>
      <c r="K35" s="82"/>
      <c r="L35" s="44"/>
      <c r="M35" s="458"/>
      <c r="N35" s="82"/>
      <c r="O35" s="546">
        <f>O$11*L33</f>
        <v>-42.393599999999999</v>
      </c>
      <c r="P35" s="547">
        <f>P$11*L33</f>
        <v>641.90976000000001</v>
      </c>
      <c r="Q35" s="475">
        <f>Q$11*L33</f>
        <v>27.820799999999998</v>
      </c>
      <c r="R35" s="82"/>
      <c r="S35" s="44"/>
      <c r="T35" s="458"/>
      <c r="U35" s="82"/>
      <c r="V35" s="78"/>
      <c r="W35" s="470"/>
    </row>
    <row r="36" spans="2:23" x14ac:dyDescent="0.2">
      <c r="B36" s="91" t="str">
        <f>"Total "&amp;B30</f>
        <v>Total Schedule 16</v>
      </c>
      <c r="C36" s="484"/>
      <c r="D36" s="44"/>
      <c r="E36" s="44"/>
      <c r="F36" s="458"/>
      <c r="G36" s="82"/>
      <c r="H36" s="544"/>
      <c r="I36" s="548">
        <f>G34+H35+I35</f>
        <v>6057.9307200000003</v>
      </c>
      <c r="J36" s="92"/>
      <c r="K36" s="82"/>
      <c r="L36" s="44"/>
      <c r="M36" s="458"/>
      <c r="N36" s="82"/>
      <c r="O36" s="544"/>
      <c r="P36" s="548">
        <f>N34+O35+P35</f>
        <v>6242.6961599999995</v>
      </c>
      <c r="Q36" s="92"/>
      <c r="R36" s="82"/>
      <c r="S36" s="44"/>
      <c r="T36" s="458"/>
      <c r="U36" s="82"/>
      <c r="V36" s="82"/>
      <c r="W36" s="477"/>
    </row>
    <row r="37" spans="2:23" x14ac:dyDescent="0.2">
      <c r="B37" s="264"/>
      <c r="C37" s="488"/>
      <c r="D37" s="77"/>
      <c r="E37" s="77"/>
      <c r="F37" s="461"/>
      <c r="G37" s="123"/>
      <c r="H37" s="550"/>
      <c r="I37" s="550"/>
      <c r="J37" s="123"/>
      <c r="K37" s="123"/>
      <c r="L37" s="77"/>
      <c r="M37" s="461"/>
      <c r="N37" s="123"/>
      <c r="O37" s="550"/>
      <c r="P37" s="550"/>
      <c r="Q37" s="123"/>
      <c r="R37" s="123"/>
      <c r="S37" s="77"/>
      <c r="T37" s="461"/>
      <c r="U37" s="123"/>
      <c r="V37" s="123"/>
      <c r="W37" s="465"/>
    </row>
    <row r="38" spans="2:23" x14ac:dyDescent="0.2">
      <c r="B38" s="41"/>
      <c r="C38" s="433"/>
      <c r="G38" s="41"/>
      <c r="H38" s="551"/>
      <c r="I38" s="551"/>
      <c r="J38" s="41"/>
      <c r="K38" s="41"/>
      <c r="N38" s="41"/>
      <c r="O38" s="551"/>
      <c r="P38" s="551"/>
      <c r="Q38" s="41"/>
      <c r="R38" s="41"/>
      <c r="U38" s="41"/>
      <c r="V38" s="41"/>
      <c r="W38" s="41"/>
    </row>
    <row r="39" spans="2:23" x14ac:dyDescent="0.2">
      <c r="B39" s="451" t="s">
        <v>239</v>
      </c>
      <c r="C39" s="452"/>
      <c r="D39" s="71"/>
      <c r="E39" s="15">
        <f>E47+E55</f>
        <v>243226645</v>
      </c>
      <c r="F39" s="453"/>
      <c r="G39" s="102"/>
      <c r="H39" s="540">
        <v>5508993.2050401885</v>
      </c>
      <c r="I39" s="540">
        <v>5033317.7604318503</v>
      </c>
      <c r="J39" s="454">
        <v>730982.95631700102</v>
      </c>
      <c r="K39" s="455"/>
      <c r="L39" s="15">
        <f>L47+L55</f>
        <v>245970110</v>
      </c>
      <c r="M39" s="453"/>
      <c r="N39" s="455"/>
      <c r="O39" s="540">
        <v>-1082467.8611930923</v>
      </c>
      <c r="P39" s="540">
        <v>16395811.853884708</v>
      </c>
      <c r="Q39" s="454">
        <v>710343.28746178711</v>
      </c>
      <c r="R39" s="455"/>
      <c r="S39" s="15"/>
      <c r="T39" s="453"/>
      <c r="U39" s="456"/>
      <c r="V39" s="102"/>
      <c r="W39" s="457"/>
    </row>
    <row r="40" spans="2:23" x14ac:dyDescent="0.2">
      <c r="B40" s="85"/>
      <c r="C40" s="458"/>
      <c r="D40" s="44"/>
      <c r="E40" s="44"/>
      <c r="F40" s="458"/>
      <c r="G40" s="124" t="s">
        <v>236</v>
      </c>
      <c r="H40" s="541">
        <f>ROUND(H39/E39, 5)</f>
        <v>2.265E-2</v>
      </c>
      <c r="I40" s="541">
        <f>ROUND(I39/E39, 5)</f>
        <v>2.069E-2</v>
      </c>
      <c r="J40" s="459">
        <f>ROUND(J39/E47, 5)</f>
        <v>3.0100000000000001E-3</v>
      </c>
      <c r="L40" s="44"/>
      <c r="M40" s="458"/>
      <c r="N40" s="89"/>
      <c r="O40" s="541">
        <f>ROUND(O39/L39, 5)</f>
        <v>-4.4000000000000003E-3</v>
      </c>
      <c r="P40" s="541">
        <f>ROUND(P39/L39, 5)</f>
        <v>6.6659999999999997E-2</v>
      </c>
      <c r="Q40" s="459">
        <f>ROUND(Q39/L47, 5)</f>
        <v>2.8900000000000002E-3</v>
      </c>
      <c r="S40" s="44"/>
      <c r="T40" s="458"/>
      <c r="U40" s="89"/>
      <c r="V40" s="75"/>
      <c r="W40" s="460"/>
    </row>
    <row r="41" spans="2:23" x14ac:dyDescent="0.2">
      <c r="B41" s="76"/>
      <c r="C41" s="461"/>
      <c r="D41" s="77"/>
      <c r="E41" s="462" t="s">
        <v>221</v>
      </c>
      <c r="F41" s="463">
        <f>F48+F58</f>
        <v>119685870.05628002</v>
      </c>
      <c r="G41" s="78">
        <f>G48+G58</f>
        <v>131574707.34621</v>
      </c>
      <c r="H41" s="542"/>
      <c r="I41" s="542"/>
      <c r="J41" s="464"/>
      <c r="K41" s="123"/>
      <c r="L41" s="462" t="s">
        <v>221</v>
      </c>
      <c r="M41" s="463">
        <f>M48+M58</f>
        <v>120892478.12313001</v>
      </c>
      <c r="N41" s="78">
        <f>N48+N58</f>
        <v>132894031.59946001</v>
      </c>
      <c r="O41" s="542"/>
      <c r="P41" s="542"/>
      <c r="Q41" s="464"/>
      <c r="R41" s="123"/>
      <c r="S41" s="462"/>
      <c r="T41" s="463"/>
      <c r="U41" s="78"/>
      <c r="V41" s="464"/>
      <c r="W41" s="480"/>
    </row>
    <row r="42" spans="2:23" x14ac:dyDescent="0.2">
      <c r="B42" s="489"/>
      <c r="C42" s="490"/>
      <c r="D42" s="491"/>
      <c r="E42" s="244"/>
      <c r="F42" s="482"/>
      <c r="G42" s="244"/>
      <c r="H42" s="549"/>
      <c r="I42" s="549"/>
      <c r="J42" s="244"/>
      <c r="K42" s="244"/>
      <c r="L42" s="244"/>
      <c r="M42" s="482"/>
      <c r="N42" s="244"/>
      <c r="O42" s="549"/>
      <c r="P42" s="549"/>
      <c r="Q42" s="244"/>
      <c r="R42" s="244"/>
      <c r="S42" s="244"/>
      <c r="T42" s="482"/>
      <c r="U42" s="244"/>
      <c r="V42" s="244"/>
      <c r="W42" s="483"/>
    </row>
    <row r="43" spans="2:23" x14ac:dyDescent="0.2">
      <c r="B43" s="84" t="s">
        <v>132</v>
      </c>
      <c r="C43" s="481"/>
      <c r="D43" s="244"/>
      <c r="E43" s="244"/>
      <c r="F43" s="482"/>
      <c r="G43" s="244"/>
      <c r="H43" s="549"/>
      <c r="I43" s="549"/>
      <c r="J43" s="244"/>
      <c r="K43" s="244"/>
      <c r="L43" s="244"/>
      <c r="M43" s="482"/>
      <c r="N43" s="244"/>
      <c r="O43" s="549"/>
      <c r="P43" s="549"/>
      <c r="Q43" s="244"/>
      <c r="R43" s="244"/>
      <c r="S43" s="244"/>
      <c r="T43" s="482"/>
      <c r="U43" s="244"/>
      <c r="V43" s="244"/>
      <c r="W43" s="483"/>
    </row>
    <row r="44" spans="2:23" x14ac:dyDescent="0.2">
      <c r="B44" s="85"/>
      <c r="C44" s="458"/>
      <c r="D44" s="44"/>
      <c r="E44" s="44"/>
      <c r="F44" s="458"/>
      <c r="G44" s="44"/>
      <c r="H44" s="552"/>
      <c r="I44" s="552"/>
      <c r="J44" s="44"/>
      <c r="K44" s="44"/>
      <c r="L44" s="44"/>
      <c r="M44" s="458"/>
      <c r="N44" s="44"/>
      <c r="O44" s="552"/>
      <c r="P44" s="552"/>
      <c r="Q44" s="44"/>
      <c r="R44" s="44"/>
      <c r="S44" s="44"/>
      <c r="T44" s="458"/>
      <c r="U44" s="44"/>
      <c r="V44" s="44"/>
      <c r="W44" s="492"/>
    </row>
    <row r="45" spans="2:23" x14ac:dyDescent="0.2">
      <c r="B45" s="72" t="s">
        <v>89</v>
      </c>
      <c r="C45" s="471">
        <v>33.840000000000003</v>
      </c>
      <c r="D45" s="89">
        <v>38.89</v>
      </c>
      <c r="E45" s="38">
        <v>709925</v>
      </c>
      <c r="F45" s="472">
        <f>SUM(+E45*C45)</f>
        <v>24023862.000000004</v>
      </c>
      <c r="G45" s="82">
        <f>SUM(+E45*D45)</f>
        <v>27608983.25</v>
      </c>
      <c r="H45" s="544"/>
      <c r="I45" s="544"/>
      <c r="J45" s="82"/>
      <c r="K45" s="44"/>
      <c r="L45" s="38">
        <v>713698</v>
      </c>
      <c r="M45" s="472">
        <f>SUM(+L45*C45)</f>
        <v>24151540.320000004</v>
      </c>
      <c r="N45" s="82">
        <f>SUM(+L45*D45)</f>
        <v>27755715.219999999</v>
      </c>
      <c r="O45" s="544"/>
      <c r="P45" s="544"/>
      <c r="Q45" s="82"/>
      <c r="R45" s="82"/>
      <c r="S45" s="38"/>
      <c r="T45" s="472"/>
      <c r="U45" s="82"/>
      <c r="V45" s="82"/>
      <c r="W45" s="470"/>
    </row>
    <row r="46" spans="2:23" x14ac:dyDescent="0.2">
      <c r="B46" s="85" t="s">
        <v>91</v>
      </c>
      <c r="C46" s="473">
        <v>0.37956000000000001</v>
      </c>
      <c r="D46" s="75">
        <v>0.41249000000000002</v>
      </c>
      <c r="E46" s="38">
        <v>243192248</v>
      </c>
      <c r="F46" s="472">
        <f t="shared" ref="F46:F47" si="0">SUM(+E46*C46)</f>
        <v>92306049.650880009</v>
      </c>
      <c r="G46" s="82">
        <f>SUM(+E46*D46)</f>
        <v>100314370.37752001</v>
      </c>
      <c r="H46" s="544"/>
      <c r="I46" s="544"/>
      <c r="J46" s="82"/>
      <c r="K46" s="44"/>
      <c r="L46" s="38">
        <v>245936243</v>
      </c>
      <c r="M46" s="472">
        <f t="shared" ref="M46:M47" si="1">SUM(+L46*C46)</f>
        <v>93347560.393079996</v>
      </c>
      <c r="N46" s="82">
        <f>SUM(+L46*D46)</f>
        <v>101446240.87507001</v>
      </c>
      <c r="O46" s="544"/>
      <c r="P46" s="544"/>
      <c r="Q46" s="82"/>
      <c r="R46" s="82"/>
      <c r="S46" s="38"/>
      <c r="T46" s="472"/>
      <c r="U46" s="82"/>
      <c r="V46" s="82"/>
      <c r="W46" s="470"/>
    </row>
    <row r="47" spans="2:23" x14ac:dyDescent="0.2">
      <c r="B47" s="85" t="s">
        <v>94</v>
      </c>
      <c r="C47" s="473">
        <v>1.371E-2</v>
      </c>
      <c r="D47" s="75">
        <v>1.4919999999999999E-2</v>
      </c>
      <c r="E47" s="38">
        <f>E46</f>
        <v>243192248</v>
      </c>
      <c r="F47" s="463">
        <f t="shared" si="0"/>
        <v>3334165.7200799999</v>
      </c>
      <c r="G47" s="78">
        <f>SUM(+E47*D47)</f>
        <v>3628428.3401599997</v>
      </c>
      <c r="H47" s="551"/>
      <c r="I47" s="544"/>
      <c r="J47" s="82"/>
      <c r="K47" s="44"/>
      <c r="L47" s="38">
        <f>L46</f>
        <v>245936243</v>
      </c>
      <c r="M47" s="472">
        <f t="shared" si="1"/>
        <v>3371785.8915300001</v>
      </c>
      <c r="N47" s="78">
        <f>SUM(+L47*D47)</f>
        <v>3669368.7455599997</v>
      </c>
      <c r="O47" s="544"/>
      <c r="P47" s="544"/>
      <c r="Q47" s="82"/>
      <c r="R47" s="82"/>
      <c r="S47" s="38"/>
      <c r="T47" s="463"/>
      <c r="U47" s="78"/>
      <c r="V47" s="82"/>
      <c r="W47" s="470"/>
    </row>
    <row r="48" spans="2:23" x14ac:dyDescent="0.2">
      <c r="B48" s="91" t="s">
        <v>237</v>
      </c>
      <c r="C48" s="484"/>
      <c r="D48" s="44"/>
      <c r="E48" s="44"/>
      <c r="F48" s="472">
        <f>SUM(F45:F47)</f>
        <v>119664077.37096001</v>
      </c>
      <c r="G48" s="82">
        <f>SUM(G45:G47)</f>
        <v>131551781.96768001</v>
      </c>
      <c r="H48" s="544"/>
      <c r="I48" s="544"/>
      <c r="J48" s="82"/>
      <c r="K48" s="44"/>
      <c r="L48" s="44"/>
      <c r="M48" s="474">
        <f>SUM(M45:M47)</f>
        <v>120870886.60461001</v>
      </c>
      <c r="N48" s="102">
        <f>SUM(N45:N47)</f>
        <v>132871324.84063001</v>
      </c>
      <c r="O48" s="544"/>
      <c r="P48" s="544"/>
      <c r="Q48" s="82"/>
      <c r="R48" s="82"/>
      <c r="S48" s="44"/>
      <c r="T48" s="474"/>
      <c r="U48" s="102"/>
      <c r="V48" s="82"/>
      <c r="W48" s="470"/>
    </row>
    <row r="49" spans="2:23" x14ac:dyDescent="0.2">
      <c r="B49" s="85" t="s">
        <v>238</v>
      </c>
      <c r="C49" s="458"/>
      <c r="D49" s="44"/>
      <c r="E49" s="44"/>
      <c r="F49" s="458"/>
      <c r="G49" s="82"/>
      <c r="H49" s="546">
        <f>H$40*E47</f>
        <v>5508304.4172</v>
      </c>
      <c r="I49" s="546">
        <f>I$40*E47</f>
        <v>5031647.6111199996</v>
      </c>
      <c r="J49" s="475">
        <f>J$40*E47</f>
        <v>732008.66648000001</v>
      </c>
      <c r="K49" s="44"/>
      <c r="L49" s="44"/>
      <c r="M49" s="458"/>
      <c r="N49" s="44"/>
      <c r="O49" s="546">
        <f>O$40*L47</f>
        <v>-1082119.4692000002</v>
      </c>
      <c r="P49" s="546">
        <f>P$40*L47</f>
        <v>16394109.958379999</v>
      </c>
      <c r="Q49" s="475">
        <f>Q$40*L47</f>
        <v>710755.74227000005</v>
      </c>
      <c r="R49" s="44"/>
      <c r="S49" s="44"/>
      <c r="T49" s="458"/>
      <c r="U49" s="44"/>
      <c r="V49" s="78"/>
      <c r="W49" s="480"/>
    </row>
    <row r="50" spans="2:23" x14ac:dyDescent="0.2">
      <c r="B50" s="91" t="str">
        <f>"Total "&amp;B43</f>
        <v>Total Schedule 31 - Sales</v>
      </c>
      <c r="C50" s="484"/>
      <c r="D50" s="44"/>
      <c r="E50" s="44"/>
      <c r="F50" s="458"/>
      <c r="G50" s="82"/>
      <c r="H50" s="544"/>
      <c r="I50" s="548">
        <f>G48+H49+I49</f>
        <v>142091733.99599999</v>
      </c>
      <c r="J50" s="92"/>
      <c r="K50" s="44"/>
      <c r="L50" s="44"/>
      <c r="M50" s="458"/>
      <c r="N50" s="44"/>
      <c r="O50" s="544"/>
      <c r="P50" s="548">
        <f>N48+O49+P49</f>
        <v>148183315.32981002</v>
      </c>
      <c r="Q50" s="92"/>
      <c r="R50" s="82"/>
      <c r="S50" s="44"/>
      <c r="T50" s="458"/>
      <c r="U50" s="44"/>
      <c r="V50" s="82"/>
      <c r="W50" s="492"/>
    </row>
    <row r="51" spans="2:23" x14ac:dyDescent="0.2">
      <c r="B51" s="76"/>
      <c r="C51" s="461"/>
      <c r="D51" s="77"/>
      <c r="E51" s="77"/>
      <c r="F51" s="461"/>
      <c r="G51" s="77"/>
      <c r="H51" s="553"/>
      <c r="I51" s="553"/>
      <c r="J51" s="77"/>
      <c r="K51" s="77"/>
      <c r="L51" s="77"/>
      <c r="M51" s="461"/>
      <c r="N51" s="77"/>
      <c r="O51" s="553"/>
      <c r="P51" s="553"/>
      <c r="Q51" s="77"/>
      <c r="R51" s="77"/>
      <c r="S51" s="77"/>
      <c r="T51" s="461"/>
      <c r="U51" s="77"/>
      <c r="V51" s="77"/>
      <c r="W51" s="493"/>
    </row>
    <row r="52" spans="2:23" x14ac:dyDescent="0.2">
      <c r="B52" s="84" t="s">
        <v>134</v>
      </c>
      <c r="C52" s="481"/>
      <c r="D52" s="244"/>
      <c r="E52" s="244"/>
      <c r="F52" s="482"/>
      <c r="G52" s="244"/>
      <c r="H52" s="549"/>
      <c r="I52" s="549"/>
      <c r="J52" s="244"/>
      <c r="K52" s="244"/>
      <c r="L52" s="244"/>
      <c r="M52" s="482"/>
      <c r="N52" s="244"/>
      <c r="O52" s="549"/>
      <c r="P52" s="549"/>
      <c r="Q52" s="244"/>
      <c r="R52" s="244"/>
      <c r="S52" s="244"/>
      <c r="T52" s="482"/>
      <c r="U52" s="244"/>
      <c r="V52" s="244"/>
      <c r="W52" s="483"/>
    </row>
    <row r="53" spans="2:23" x14ac:dyDescent="0.2">
      <c r="B53" s="85"/>
      <c r="C53" s="458"/>
      <c r="D53" s="44"/>
      <c r="E53" s="44"/>
      <c r="F53" s="458"/>
      <c r="G53" s="44"/>
      <c r="H53" s="552"/>
      <c r="I53" s="552"/>
      <c r="J53" s="44"/>
      <c r="K53" s="44"/>
      <c r="L53" s="44"/>
      <c r="M53" s="458"/>
      <c r="N53" s="44"/>
      <c r="O53" s="552"/>
      <c r="P53" s="552"/>
      <c r="Q53" s="44"/>
      <c r="R53" s="44"/>
      <c r="S53" s="44"/>
      <c r="T53" s="458"/>
      <c r="U53" s="44"/>
      <c r="V53" s="44"/>
      <c r="W53" s="492"/>
    </row>
    <row r="54" spans="2:23" x14ac:dyDescent="0.2">
      <c r="B54" s="72" t="s">
        <v>89</v>
      </c>
      <c r="C54" s="471">
        <v>364.04</v>
      </c>
      <c r="D54" s="89">
        <v>364.04</v>
      </c>
      <c r="E54" s="38">
        <v>24</v>
      </c>
      <c r="F54" s="472">
        <f t="shared" ref="F54:F55" si="2">SUM(+E54*C54)</f>
        <v>8736.9600000000009</v>
      </c>
      <c r="G54" s="82">
        <f>SUM(+E54*D54)</f>
        <v>8736.9600000000009</v>
      </c>
      <c r="H54" s="544"/>
      <c r="I54" s="544"/>
      <c r="J54" s="82"/>
      <c r="K54" s="44"/>
      <c r="L54" s="38">
        <v>24</v>
      </c>
      <c r="M54" s="472">
        <f t="shared" ref="M54:M55" si="3">SUM(+L54*C54)</f>
        <v>8736.9600000000009</v>
      </c>
      <c r="N54" s="82">
        <f>SUM(+L54*D54)</f>
        <v>8736.9600000000009</v>
      </c>
      <c r="O54" s="544"/>
      <c r="P54" s="544"/>
      <c r="Q54" s="82"/>
      <c r="R54" s="82"/>
      <c r="S54" s="38"/>
      <c r="T54" s="472"/>
      <c r="U54" s="82"/>
      <c r="V54" s="82"/>
      <c r="W54" s="470"/>
    </row>
    <row r="55" spans="2:23" x14ac:dyDescent="0.2">
      <c r="B55" s="85" t="s">
        <v>91</v>
      </c>
      <c r="C55" s="473">
        <v>0.37956000000000001</v>
      </c>
      <c r="D55" s="75">
        <v>0.41249000000000002</v>
      </c>
      <c r="E55" s="38">
        <v>34397</v>
      </c>
      <c r="F55" s="472">
        <f t="shared" si="2"/>
        <v>13055.72532</v>
      </c>
      <c r="G55" s="82">
        <f>SUM(+E55*D55)</f>
        <v>14188.418530000001</v>
      </c>
      <c r="H55" s="544"/>
      <c r="I55" s="544"/>
      <c r="J55" s="82"/>
      <c r="K55" s="44"/>
      <c r="L55" s="38">
        <v>33867</v>
      </c>
      <c r="M55" s="472">
        <f t="shared" si="3"/>
        <v>12854.55852</v>
      </c>
      <c r="N55" s="82">
        <f>SUM(+L55*D55)</f>
        <v>13969.798830000002</v>
      </c>
      <c r="O55" s="544"/>
      <c r="P55" s="544"/>
      <c r="Q55" s="82"/>
      <c r="R55" s="82"/>
      <c r="S55" s="38"/>
      <c r="T55" s="472"/>
      <c r="U55" s="82"/>
      <c r="V55" s="82"/>
      <c r="W55" s="470"/>
    </row>
    <row r="56" spans="2:23" x14ac:dyDescent="0.2">
      <c r="B56" s="72" t="s">
        <v>125</v>
      </c>
      <c r="C56" s="486"/>
      <c r="D56" s="44"/>
      <c r="E56" s="44"/>
      <c r="F56" s="472">
        <f>SUM(F54:F55)</f>
        <v>21792.685320000001</v>
      </c>
      <c r="G56" s="82">
        <f>SUM(G54:G55)</f>
        <v>22925.378530000002</v>
      </c>
      <c r="H56" s="544"/>
      <c r="I56" s="544"/>
      <c r="J56" s="82"/>
      <c r="K56" s="44"/>
      <c r="L56" s="44"/>
      <c r="M56" s="474">
        <f>SUM(M54:M55)</f>
        <v>21591.518520000001</v>
      </c>
      <c r="N56" s="102">
        <f>SUM(N54:N55)</f>
        <v>22706.758830000002</v>
      </c>
      <c r="O56" s="544"/>
      <c r="P56" s="544"/>
      <c r="Q56" s="82"/>
      <c r="R56" s="82"/>
      <c r="S56" s="44"/>
      <c r="T56" s="474"/>
      <c r="U56" s="102"/>
      <c r="V56" s="82"/>
      <c r="W56" s="470"/>
    </row>
    <row r="57" spans="2:23" x14ac:dyDescent="0.2">
      <c r="B57" s="85"/>
      <c r="C57" s="458"/>
      <c r="D57" s="44"/>
      <c r="E57" s="44"/>
      <c r="F57" s="458"/>
      <c r="G57" s="44"/>
      <c r="H57" s="552"/>
      <c r="I57" s="552"/>
      <c r="J57" s="44"/>
      <c r="K57" s="44"/>
      <c r="L57" s="44"/>
      <c r="M57" s="458"/>
      <c r="N57" s="44"/>
      <c r="O57" s="552"/>
      <c r="P57" s="552"/>
      <c r="Q57" s="44"/>
      <c r="R57" s="44"/>
      <c r="S57" s="44"/>
      <c r="T57" s="458"/>
      <c r="U57" s="44"/>
      <c r="V57" s="44"/>
      <c r="W57" s="492"/>
    </row>
    <row r="58" spans="2:23" x14ac:dyDescent="0.2">
      <c r="B58" s="91" t="s">
        <v>237</v>
      </c>
      <c r="C58" s="484"/>
      <c r="D58" s="44"/>
      <c r="E58" s="44"/>
      <c r="F58" s="474">
        <f>F56</f>
        <v>21792.685320000001</v>
      </c>
      <c r="G58" s="102">
        <f>G56</f>
        <v>22925.378530000002</v>
      </c>
      <c r="H58" s="544"/>
      <c r="I58" s="544"/>
      <c r="J58" s="82"/>
      <c r="K58" s="44"/>
      <c r="L58" s="44"/>
      <c r="M58" s="474">
        <f>M56</f>
        <v>21591.518520000001</v>
      </c>
      <c r="N58" s="102">
        <f>N56</f>
        <v>22706.758830000002</v>
      </c>
      <c r="O58" s="551"/>
      <c r="P58" s="551"/>
      <c r="Q58" s="82"/>
      <c r="R58" s="44"/>
      <c r="S58" s="44"/>
      <c r="T58" s="474"/>
      <c r="U58" s="102"/>
      <c r="V58" s="41"/>
      <c r="W58" s="470"/>
    </row>
    <row r="59" spans="2:23" x14ac:dyDescent="0.2">
      <c r="B59" s="85" t="s">
        <v>238</v>
      </c>
      <c r="C59" s="458"/>
      <c r="D59" s="44"/>
      <c r="E59" s="44"/>
      <c r="F59" s="458"/>
      <c r="G59" s="82"/>
      <c r="H59" s="546">
        <f>H$40*E55</f>
        <v>779.09204999999997</v>
      </c>
      <c r="I59" s="546">
        <f>I$40*E55</f>
        <v>711.67393000000004</v>
      </c>
      <c r="J59" s="82"/>
      <c r="K59" s="75"/>
      <c r="L59" s="75"/>
      <c r="M59" s="473"/>
      <c r="N59" s="75"/>
      <c r="O59" s="546">
        <f>O$40*L55</f>
        <v>-149.01480000000001</v>
      </c>
      <c r="P59" s="546">
        <f>P$40*L55</f>
        <v>2257.57422</v>
      </c>
      <c r="Q59" s="82"/>
      <c r="R59" s="75"/>
      <c r="S59" s="75"/>
      <c r="T59" s="473"/>
      <c r="U59" s="75"/>
      <c r="V59" s="78"/>
      <c r="W59" s="480"/>
    </row>
    <row r="60" spans="2:23" x14ac:dyDescent="0.2">
      <c r="B60" s="91" t="str">
        <f>"Total "&amp;B52</f>
        <v>Total Schedule 31 - Transportation</v>
      </c>
      <c r="C60" s="484"/>
      <c r="D60" s="44"/>
      <c r="E60" s="44"/>
      <c r="F60" s="458"/>
      <c r="G60" s="82"/>
      <c r="H60" s="544"/>
      <c r="I60" s="554">
        <f>G58+H59+I59</f>
        <v>24416.144510000002</v>
      </c>
      <c r="J60" s="92"/>
      <c r="K60" s="44"/>
      <c r="L60" s="44"/>
      <c r="M60" s="458"/>
      <c r="N60" s="82"/>
      <c r="O60" s="544"/>
      <c r="P60" s="548">
        <f>N58+O59+P59</f>
        <v>24815.31825</v>
      </c>
      <c r="Q60" s="92"/>
      <c r="R60" s="44"/>
      <c r="S60" s="44"/>
      <c r="T60" s="458"/>
      <c r="U60" s="82"/>
      <c r="V60" s="82"/>
      <c r="W60" s="494"/>
    </row>
    <row r="61" spans="2:23" x14ac:dyDescent="0.2">
      <c r="B61" s="76"/>
      <c r="C61" s="461"/>
      <c r="D61" s="106"/>
      <c r="E61" s="77"/>
      <c r="F61" s="461"/>
      <c r="G61" s="77"/>
      <c r="H61" s="553"/>
      <c r="I61" s="553"/>
      <c r="J61" s="77"/>
      <c r="K61" s="77"/>
      <c r="L61" s="77"/>
      <c r="M61" s="461"/>
      <c r="N61" s="77"/>
      <c r="O61" s="553"/>
      <c r="P61" s="553"/>
      <c r="Q61" s="77"/>
      <c r="R61" s="77"/>
      <c r="S61" s="77"/>
      <c r="T61" s="461"/>
      <c r="U61" s="77"/>
      <c r="V61" s="77"/>
      <c r="W61" s="493"/>
    </row>
    <row r="62" spans="2:23" x14ac:dyDescent="0.2">
      <c r="B62" s="41"/>
      <c r="C62" s="433"/>
      <c r="G62" s="41"/>
      <c r="H62" s="551"/>
      <c r="I62" s="551"/>
      <c r="J62" s="41"/>
      <c r="K62" s="41"/>
      <c r="N62" s="41"/>
      <c r="O62" s="551"/>
      <c r="P62" s="551"/>
      <c r="Q62" s="41"/>
      <c r="R62" s="41"/>
      <c r="U62" s="41"/>
      <c r="V62" s="41"/>
      <c r="W62" s="41"/>
    </row>
    <row r="63" spans="2:23" x14ac:dyDescent="0.2">
      <c r="B63" s="451" t="s">
        <v>240</v>
      </c>
      <c r="C63" s="452"/>
      <c r="D63" s="71"/>
      <c r="E63" s="15">
        <f>E77+E93</f>
        <v>92387406</v>
      </c>
      <c r="F63" s="453"/>
      <c r="G63" s="102"/>
      <c r="H63" s="540">
        <v>1000288.464697674</v>
      </c>
      <c r="I63" s="540">
        <v>913918.2982312612</v>
      </c>
      <c r="J63" s="454">
        <v>151679.99799864666</v>
      </c>
      <c r="K63" s="455"/>
      <c r="L63" s="15">
        <f>L77+L93</f>
        <v>93400775</v>
      </c>
      <c r="M63" s="453"/>
      <c r="N63" s="455"/>
      <c r="O63" s="540">
        <v>-196547.73107484967</v>
      </c>
      <c r="P63" s="540">
        <v>2977048.7739555337</v>
      </c>
      <c r="Q63" s="454">
        <v>147397.23749979044</v>
      </c>
      <c r="R63" s="455"/>
      <c r="S63" s="15"/>
      <c r="T63" s="453"/>
      <c r="U63" s="456"/>
      <c r="V63" s="102"/>
      <c r="W63" s="457"/>
    </row>
    <row r="64" spans="2:23" x14ac:dyDescent="0.2">
      <c r="B64" s="85"/>
      <c r="C64" s="458"/>
      <c r="D64" s="44"/>
      <c r="E64" s="44"/>
      <c r="F64" s="458"/>
      <c r="G64" s="124" t="s">
        <v>236</v>
      </c>
      <c r="H64" s="541">
        <f>ROUND(H63/E63, 5)</f>
        <v>1.0829999999999999E-2</v>
      </c>
      <c r="I64" s="541">
        <f>ROUND(I63/E63, 5)</f>
        <v>9.8899999999999995E-3</v>
      </c>
      <c r="J64" s="459">
        <f>ROUND(J63/E77, 5)</f>
        <v>2.2699999999999999E-3</v>
      </c>
      <c r="L64" s="44"/>
      <c r="M64" s="458"/>
      <c r="N64" s="89"/>
      <c r="O64" s="541">
        <f>ROUND(O63/L63, 5)</f>
        <v>-2.0999999999999999E-3</v>
      </c>
      <c r="P64" s="541">
        <f>ROUND(P63/L63, 5)</f>
        <v>3.1870000000000002E-2</v>
      </c>
      <c r="Q64" s="459">
        <f>ROUND(Q63/L77, 5)</f>
        <v>2.2000000000000001E-3</v>
      </c>
      <c r="S64" s="44"/>
      <c r="T64" s="458"/>
      <c r="U64" s="89"/>
      <c r="V64" s="75"/>
      <c r="W64" s="460"/>
    </row>
    <row r="65" spans="2:23" x14ac:dyDescent="0.2">
      <c r="B65" s="76"/>
      <c r="C65" s="461"/>
      <c r="D65" s="77"/>
      <c r="E65" s="462" t="s">
        <v>221</v>
      </c>
      <c r="F65" s="463">
        <f>F79+F96</f>
        <v>21705020.029999997</v>
      </c>
      <c r="G65" s="78">
        <f>G79+G96</f>
        <v>23329049.833149999</v>
      </c>
      <c r="H65" s="542"/>
      <c r="I65" s="542"/>
      <c r="J65" s="464"/>
      <c r="K65" s="123"/>
      <c r="L65" s="462" t="s">
        <v>221</v>
      </c>
      <c r="M65" s="463">
        <f>M79+M96</f>
        <v>21813071.000000004</v>
      </c>
      <c r="N65" s="78">
        <f>N79+N96</f>
        <v>23444839.643789999</v>
      </c>
      <c r="O65" s="542"/>
      <c r="P65" s="542"/>
      <c r="Q65" s="464"/>
      <c r="R65" s="123"/>
      <c r="S65" s="462"/>
      <c r="T65" s="463"/>
      <c r="U65" s="78"/>
      <c r="V65" s="464"/>
      <c r="W65" s="480"/>
    </row>
    <row r="66" spans="2:23" x14ac:dyDescent="0.2">
      <c r="B66" s="489"/>
      <c r="C66" s="490"/>
      <c r="D66" s="491"/>
      <c r="E66" s="244"/>
      <c r="F66" s="482"/>
      <c r="G66" s="244"/>
      <c r="H66" s="549"/>
      <c r="I66" s="549"/>
      <c r="J66" s="244"/>
      <c r="K66" s="244"/>
      <c r="L66" s="244"/>
      <c r="M66" s="482"/>
      <c r="N66" s="244"/>
      <c r="O66" s="549"/>
      <c r="P66" s="549"/>
      <c r="Q66" s="244"/>
      <c r="R66" s="244"/>
      <c r="S66" s="244"/>
      <c r="T66" s="482"/>
      <c r="U66" s="244"/>
      <c r="V66" s="244"/>
      <c r="W66" s="483"/>
    </row>
    <row r="67" spans="2:23" x14ac:dyDescent="0.2">
      <c r="B67" s="84" t="s">
        <v>136</v>
      </c>
      <c r="C67" s="481"/>
      <c r="D67" s="244"/>
      <c r="E67" s="244"/>
      <c r="F67" s="482"/>
      <c r="G67" s="244"/>
      <c r="H67" s="549"/>
      <c r="I67" s="549"/>
      <c r="J67" s="244"/>
      <c r="K67" s="244"/>
      <c r="L67" s="244"/>
      <c r="M67" s="482"/>
      <c r="N67" s="244"/>
      <c r="O67" s="549"/>
      <c r="P67" s="549"/>
      <c r="Q67" s="244"/>
      <c r="R67" s="244"/>
      <c r="S67" s="244"/>
      <c r="T67" s="482"/>
      <c r="U67" s="244"/>
      <c r="V67" s="244"/>
      <c r="W67" s="483"/>
    </row>
    <row r="68" spans="2:23" x14ac:dyDescent="0.2">
      <c r="B68" s="85"/>
      <c r="C68" s="458"/>
      <c r="D68" s="44"/>
      <c r="E68" s="44"/>
      <c r="F68" s="458"/>
      <c r="G68" s="44"/>
      <c r="H68" s="552"/>
      <c r="I68" s="552"/>
      <c r="J68" s="44"/>
      <c r="K68" s="44"/>
      <c r="L68" s="44"/>
      <c r="M68" s="458"/>
      <c r="N68" s="44"/>
      <c r="O68" s="552"/>
      <c r="P68" s="552"/>
      <c r="Q68" s="44"/>
      <c r="R68" s="44"/>
      <c r="S68" s="44"/>
      <c r="T68" s="458"/>
      <c r="U68" s="44"/>
      <c r="V68" s="44"/>
      <c r="W68" s="492"/>
    </row>
    <row r="69" spans="2:23" x14ac:dyDescent="0.2">
      <c r="B69" s="72" t="s">
        <v>89</v>
      </c>
      <c r="C69" s="471">
        <v>113.4</v>
      </c>
      <c r="D69" s="89">
        <v>130.33000000000001</v>
      </c>
      <c r="E69" s="38">
        <v>15609</v>
      </c>
      <c r="F69" s="472">
        <f>SUM(+E69*C69)</f>
        <v>1770060.6</v>
      </c>
      <c r="G69" s="82">
        <f>SUM(+E69*D69)</f>
        <v>2034320.9700000002</v>
      </c>
      <c r="H69" s="544"/>
      <c r="I69" s="544"/>
      <c r="J69" s="82"/>
      <c r="K69" s="44"/>
      <c r="L69" s="38">
        <v>15603</v>
      </c>
      <c r="M69" s="472">
        <f>SUM(+L69*C69)</f>
        <v>1769380.2000000002</v>
      </c>
      <c r="N69" s="82">
        <f>SUM(+L69*D69)</f>
        <v>2033538.9900000002</v>
      </c>
      <c r="O69" s="544"/>
      <c r="P69" s="544"/>
      <c r="Q69" s="82"/>
      <c r="R69" s="44"/>
      <c r="S69" s="38"/>
      <c r="T69" s="472"/>
      <c r="U69" s="82"/>
      <c r="V69" s="82"/>
      <c r="W69" s="470"/>
    </row>
    <row r="70" spans="2:23" x14ac:dyDescent="0.2">
      <c r="B70" s="85" t="s">
        <v>96</v>
      </c>
      <c r="C70" s="471">
        <v>123.82</v>
      </c>
      <c r="D70" s="89">
        <v>126.28</v>
      </c>
      <c r="E70" s="38">
        <f>E69</f>
        <v>15609</v>
      </c>
      <c r="F70" s="472">
        <f t="shared" ref="F70:F71" si="4">SUM(+E70*C70)</f>
        <v>1932706.38</v>
      </c>
      <c r="G70" s="82">
        <f>SUM(+E70*D70)</f>
        <v>1971104.52</v>
      </c>
      <c r="H70" s="544"/>
      <c r="I70" s="544"/>
      <c r="J70" s="82"/>
      <c r="K70" s="44"/>
      <c r="L70" s="38">
        <f>L69</f>
        <v>15603</v>
      </c>
      <c r="M70" s="472">
        <f>SUM(+L70*C70)</f>
        <v>1931963.46</v>
      </c>
      <c r="N70" s="82">
        <f>SUM(+L70*D70)</f>
        <v>1970346.84</v>
      </c>
      <c r="O70" s="544"/>
      <c r="P70" s="544"/>
      <c r="Q70" s="82"/>
      <c r="R70" s="44"/>
      <c r="S70" s="38"/>
      <c r="T70" s="472"/>
      <c r="U70" s="82"/>
      <c r="V70" s="82"/>
      <c r="W70" s="470"/>
    </row>
    <row r="71" spans="2:23" x14ac:dyDescent="0.2">
      <c r="B71" s="85" t="s">
        <v>97</v>
      </c>
      <c r="C71" s="471">
        <v>1.25</v>
      </c>
      <c r="D71" s="89">
        <v>1.37</v>
      </c>
      <c r="E71" s="38">
        <v>4682844</v>
      </c>
      <c r="F71" s="463">
        <f t="shared" si="4"/>
        <v>5853555</v>
      </c>
      <c r="G71" s="78">
        <f>SUM(+E71*D71)</f>
        <v>6415496.2800000003</v>
      </c>
      <c r="H71" s="544"/>
      <c r="I71" s="544"/>
      <c r="J71" s="82"/>
      <c r="K71" s="44"/>
      <c r="L71" s="38">
        <v>4682844</v>
      </c>
      <c r="M71" s="463">
        <f>SUM(+L71*C71)</f>
        <v>5853555</v>
      </c>
      <c r="N71" s="78">
        <f>SUM(+L71*D71)</f>
        <v>6415496.2800000003</v>
      </c>
      <c r="O71" s="544"/>
      <c r="P71" s="544"/>
      <c r="Q71" s="82"/>
      <c r="R71" s="44"/>
      <c r="S71" s="38"/>
      <c r="T71" s="463"/>
      <c r="U71" s="78"/>
      <c r="V71" s="82"/>
      <c r="W71" s="470"/>
    </row>
    <row r="72" spans="2:23" x14ac:dyDescent="0.2">
      <c r="B72" s="85"/>
      <c r="C72" s="458"/>
      <c r="D72" s="89"/>
      <c r="E72" s="44"/>
      <c r="F72" s="458"/>
      <c r="G72" s="44"/>
      <c r="H72" s="552"/>
      <c r="I72" s="552"/>
      <c r="J72" s="44"/>
      <c r="K72" s="44"/>
      <c r="L72" s="44"/>
      <c r="M72" s="458"/>
      <c r="N72" s="44"/>
      <c r="O72" s="552"/>
      <c r="P72" s="552"/>
      <c r="Q72" s="44"/>
      <c r="R72" s="44"/>
      <c r="S72" s="44"/>
      <c r="T72" s="458"/>
      <c r="U72" s="44"/>
      <c r="V72" s="44"/>
      <c r="W72" s="470"/>
    </row>
    <row r="73" spans="2:23" x14ac:dyDescent="0.2">
      <c r="B73" s="85" t="s">
        <v>98</v>
      </c>
      <c r="C73" s="458"/>
      <c r="D73" s="89"/>
      <c r="E73" s="44"/>
      <c r="F73" s="458"/>
      <c r="G73" s="44"/>
      <c r="H73" s="552"/>
      <c r="I73" s="552"/>
      <c r="J73" s="44"/>
      <c r="K73" s="44"/>
      <c r="L73" s="44"/>
      <c r="M73" s="458"/>
      <c r="N73" s="44"/>
      <c r="O73" s="552"/>
      <c r="P73" s="552"/>
      <c r="Q73" s="44"/>
      <c r="R73" s="44"/>
      <c r="S73" s="44"/>
      <c r="T73" s="458"/>
      <c r="U73" s="44"/>
      <c r="V73" s="44"/>
      <c r="W73" s="470"/>
    </row>
    <row r="74" spans="2:23" x14ac:dyDescent="0.2">
      <c r="B74" s="85" t="s">
        <v>99</v>
      </c>
      <c r="C74" s="473">
        <v>0.13758000000000001</v>
      </c>
      <c r="D74" s="75">
        <v>0.14030999999999999</v>
      </c>
      <c r="E74" s="38">
        <v>13187913.90979786</v>
      </c>
      <c r="F74" s="472" t="s">
        <v>100</v>
      </c>
      <c r="G74" s="82" t="s">
        <v>100</v>
      </c>
      <c r="H74" s="544"/>
      <c r="I74" s="544"/>
      <c r="J74" s="82"/>
      <c r="K74" s="44"/>
      <c r="L74" s="38">
        <v>13204762.568891775</v>
      </c>
      <c r="M74" s="472" t="s">
        <v>100</v>
      </c>
      <c r="N74" s="82" t="s">
        <v>100</v>
      </c>
      <c r="O74" s="544"/>
      <c r="P74" s="544"/>
      <c r="Q74" s="82"/>
      <c r="R74" s="44"/>
      <c r="S74" s="38"/>
      <c r="T74" s="472"/>
      <c r="U74" s="82"/>
      <c r="V74" s="82"/>
      <c r="W74" s="470"/>
    </row>
    <row r="75" spans="2:23" x14ac:dyDescent="0.2">
      <c r="B75" s="85" t="s">
        <v>101</v>
      </c>
      <c r="C75" s="473">
        <v>0.13758000000000001</v>
      </c>
      <c r="D75" s="75">
        <v>0.14030999999999999</v>
      </c>
      <c r="E75" s="38">
        <v>29570821.950464178</v>
      </c>
      <c r="F75" s="472">
        <f>ROUND(E75*C75,2)</f>
        <v>4068353.68</v>
      </c>
      <c r="G75" s="82">
        <f>ROUND(E75*D75,2)</f>
        <v>4149082.03</v>
      </c>
      <c r="H75" s="544"/>
      <c r="I75" s="544"/>
      <c r="J75" s="82"/>
      <c r="K75" s="44"/>
      <c r="L75" s="38">
        <v>29590375.242762744</v>
      </c>
      <c r="M75" s="472">
        <f>ROUND(L75*C75,2)</f>
        <v>4071043.83</v>
      </c>
      <c r="N75" s="82">
        <f>ROUND(L75*D75,2)</f>
        <v>4151825.55</v>
      </c>
      <c r="O75" s="544"/>
      <c r="P75" s="544"/>
      <c r="Q75" s="82"/>
      <c r="R75" s="44"/>
      <c r="S75" s="38"/>
      <c r="T75" s="472"/>
      <c r="U75" s="82"/>
      <c r="V75" s="82"/>
      <c r="W75" s="470"/>
    </row>
    <row r="76" spans="2:23" x14ac:dyDescent="0.2">
      <c r="B76" s="85" t="s">
        <v>102</v>
      </c>
      <c r="C76" s="473">
        <v>0.11074000000000001</v>
      </c>
      <c r="D76" s="75">
        <v>0.12131</v>
      </c>
      <c r="E76" s="38">
        <v>24164149.139737964</v>
      </c>
      <c r="F76" s="472">
        <f>ROUND(E76*C76,2)</f>
        <v>2675937.88</v>
      </c>
      <c r="G76" s="82">
        <f>ROUND(E76*D76,2)</f>
        <v>2931352.93</v>
      </c>
      <c r="H76" s="544"/>
      <c r="I76" s="544"/>
      <c r="J76" s="82"/>
      <c r="K76" s="44"/>
      <c r="L76" s="38">
        <v>24095403.188345484</v>
      </c>
      <c r="M76" s="472">
        <f>ROUND(L76*C76,2)</f>
        <v>2668324.9500000002</v>
      </c>
      <c r="N76" s="82">
        <f>ROUND(L76*D76,2)</f>
        <v>2923013.36</v>
      </c>
      <c r="O76" s="544"/>
      <c r="P76" s="544"/>
      <c r="Q76" s="82"/>
      <c r="R76" s="44"/>
      <c r="S76" s="38"/>
      <c r="T76" s="472"/>
      <c r="U76" s="82"/>
      <c r="V76" s="82"/>
      <c r="W76" s="470"/>
    </row>
    <row r="77" spans="2:23" x14ac:dyDescent="0.2">
      <c r="B77" s="72" t="s">
        <v>103</v>
      </c>
      <c r="C77" s="487"/>
      <c r="D77" s="38"/>
      <c r="E77" s="15">
        <f>SUM(E74:E76)</f>
        <v>66922885</v>
      </c>
      <c r="F77" s="487"/>
      <c r="G77" s="44"/>
      <c r="H77" s="552"/>
      <c r="I77" s="552"/>
      <c r="J77" s="44"/>
      <c r="K77" s="44"/>
      <c r="L77" s="15">
        <f>SUM(L74:L76)</f>
        <v>66890541.000000007</v>
      </c>
      <c r="M77" s="458"/>
      <c r="N77" s="44"/>
      <c r="O77" s="552"/>
      <c r="P77" s="552"/>
      <c r="Q77" s="44"/>
      <c r="R77" s="44"/>
      <c r="S77" s="15"/>
      <c r="T77" s="487"/>
      <c r="U77" s="44"/>
      <c r="V77" s="44"/>
      <c r="W77" s="470"/>
    </row>
    <row r="78" spans="2:23" x14ac:dyDescent="0.2">
      <c r="B78" s="72" t="s">
        <v>94</v>
      </c>
      <c r="C78" s="473">
        <v>1.005E-2</v>
      </c>
      <c r="D78" s="75">
        <v>1.119E-2</v>
      </c>
      <c r="E78" s="38">
        <f>E77</f>
        <v>66922885</v>
      </c>
      <c r="F78" s="463">
        <f>ROUND(E78*C78,2)</f>
        <v>672574.99</v>
      </c>
      <c r="G78" s="130">
        <f>E78*D78</f>
        <v>748867.08314999996</v>
      </c>
      <c r="H78" s="555"/>
      <c r="I78" s="555"/>
      <c r="J78" s="88"/>
      <c r="K78" s="44"/>
      <c r="L78" s="38">
        <f>L77</f>
        <v>66890541.000000007</v>
      </c>
      <c r="M78" s="463">
        <f>ROUND(L78*C78,2)</f>
        <v>672249.94</v>
      </c>
      <c r="N78" s="130">
        <f>L78*D78</f>
        <v>748505.15379000013</v>
      </c>
      <c r="O78" s="555"/>
      <c r="P78" s="555"/>
      <c r="Q78" s="88"/>
      <c r="R78" s="44"/>
      <c r="S78" s="38"/>
      <c r="T78" s="463"/>
      <c r="U78" s="130"/>
      <c r="V78" s="88"/>
      <c r="W78" s="470"/>
    </row>
    <row r="79" spans="2:23" x14ac:dyDescent="0.2">
      <c r="B79" s="91" t="s">
        <v>237</v>
      </c>
      <c r="C79" s="484"/>
      <c r="D79" s="38"/>
      <c r="E79" s="44"/>
      <c r="F79" s="495">
        <f>SUM(F69:F78)</f>
        <v>16973188.529999997</v>
      </c>
      <c r="G79" s="128">
        <f>SUM(G69:G78)</f>
        <v>18250223.81315</v>
      </c>
      <c r="H79" s="555"/>
      <c r="I79" s="555"/>
      <c r="J79" s="88"/>
      <c r="K79" s="44"/>
      <c r="L79" s="44"/>
      <c r="M79" s="495">
        <f>SUM(M69:M78)</f>
        <v>16966517.380000003</v>
      </c>
      <c r="N79" s="128">
        <f>SUM(N69:N78)</f>
        <v>18242726.17379</v>
      </c>
      <c r="O79" s="555"/>
      <c r="P79" s="555"/>
      <c r="Q79" s="88"/>
      <c r="R79" s="44"/>
      <c r="S79" s="44"/>
      <c r="T79" s="495"/>
      <c r="U79" s="128"/>
      <c r="V79" s="88"/>
      <c r="W79" s="470"/>
    </row>
    <row r="80" spans="2:23" x14ac:dyDescent="0.2">
      <c r="B80" s="85" t="s">
        <v>238</v>
      </c>
      <c r="C80" s="458"/>
      <c r="D80" s="44"/>
      <c r="E80" s="44"/>
      <c r="F80" s="458"/>
      <c r="G80" s="82"/>
      <c r="H80" s="546">
        <f>H$64*E78</f>
        <v>724774.84454999992</v>
      </c>
      <c r="I80" s="546">
        <f>I$64*E78</f>
        <v>661867.33265</v>
      </c>
      <c r="J80" s="475">
        <f>J$64*E78</f>
        <v>151914.94894999999</v>
      </c>
      <c r="K80" s="44"/>
      <c r="L80" s="44"/>
      <c r="M80" s="458"/>
      <c r="N80" s="82"/>
      <c r="O80" s="546">
        <f>O$64*L78</f>
        <v>-140470.1361</v>
      </c>
      <c r="P80" s="546">
        <f>P$64*L78</f>
        <v>2131801.5416700002</v>
      </c>
      <c r="Q80" s="475">
        <f>Q$64*L78</f>
        <v>147159.19020000001</v>
      </c>
      <c r="R80" s="44"/>
      <c r="S80" s="44"/>
      <c r="T80" s="458"/>
      <c r="U80" s="82"/>
      <c r="V80" s="78"/>
      <c r="W80" s="480"/>
    </row>
    <row r="81" spans="2:23" x14ac:dyDescent="0.2">
      <c r="B81" s="91" t="str">
        <f>"Total "&amp;B67</f>
        <v>Total Schedule 41 - Sales</v>
      </c>
      <c r="C81" s="484"/>
      <c r="D81" s="44"/>
      <c r="E81" s="44"/>
      <c r="F81" s="458"/>
      <c r="G81" s="82"/>
      <c r="H81" s="544"/>
      <c r="I81" s="548">
        <f>G79+H80+I80</f>
        <v>19636865.990349997</v>
      </c>
      <c r="J81" s="92"/>
      <c r="K81" s="44"/>
      <c r="L81" s="44"/>
      <c r="M81" s="458"/>
      <c r="N81" s="82"/>
      <c r="O81" s="544"/>
      <c r="P81" s="548">
        <f>N79+O80+P80</f>
        <v>20234057.579360001</v>
      </c>
      <c r="Q81" s="92"/>
      <c r="R81" s="44"/>
      <c r="S81" s="44"/>
      <c r="T81" s="458"/>
      <c r="U81" s="82"/>
      <c r="V81" s="82"/>
      <c r="W81" s="494"/>
    </row>
    <row r="82" spans="2:23" x14ac:dyDescent="0.2">
      <c r="B82" s="76"/>
      <c r="C82" s="461"/>
      <c r="D82" s="77"/>
      <c r="E82" s="77"/>
      <c r="F82" s="461"/>
      <c r="G82" s="77"/>
      <c r="H82" s="553"/>
      <c r="I82" s="553"/>
      <c r="J82" s="77"/>
      <c r="K82" s="77"/>
      <c r="L82" s="77"/>
      <c r="M82" s="461"/>
      <c r="N82" s="77"/>
      <c r="O82" s="553"/>
      <c r="P82" s="553"/>
      <c r="Q82" s="77"/>
      <c r="R82" s="77"/>
      <c r="S82" s="77"/>
      <c r="T82" s="461"/>
      <c r="U82" s="77"/>
      <c r="V82" s="77"/>
      <c r="W82" s="493"/>
    </row>
    <row r="83" spans="2:23" x14ac:dyDescent="0.2">
      <c r="B83" s="84" t="s">
        <v>138</v>
      </c>
      <c r="C83" s="481"/>
      <c r="D83" s="244"/>
      <c r="E83" s="244"/>
      <c r="F83" s="482"/>
      <c r="G83" s="244"/>
      <c r="H83" s="549"/>
      <c r="I83" s="549"/>
      <c r="J83" s="244"/>
      <c r="K83" s="244"/>
      <c r="L83" s="244"/>
      <c r="M83" s="482"/>
      <c r="N83" s="244"/>
      <c r="O83" s="549"/>
      <c r="P83" s="549"/>
      <c r="Q83" s="244"/>
      <c r="R83" s="244"/>
      <c r="S83" s="244"/>
      <c r="T83" s="482"/>
      <c r="U83" s="244"/>
      <c r="V83" s="244"/>
      <c r="W83" s="483"/>
    </row>
    <row r="84" spans="2:23" x14ac:dyDescent="0.2">
      <c r="B84" s="85"/>
      <c r="C84" s="458"/>
      <c r="D84" s="44"/>
      <c r="E84" s="44"/>
      <c r="F84" s="458"/>
      <c r="G84" s="44"/>
      <c r="H84" s="552"/>
      <c r="I84" s="552"/>
      <c r="J84" s="44"/>
      <c r="K84" s="44"/>
      <c r="L84" s="44"/>
      <c r="M84" s="458"/>
      <c r="N84" s="44"/>
      <c r="O84" s="552"/>
      <c r="P84" s="552"/>
      <c r="Q84" s="44"/>
      <c r="R84" s="44"/>
      <c r="S84" s="44"/>
      <c r="T84" s="458"/>
      <c r="U84" s="44"/>
      <c r="V84" s="44"/>
      <c r="W84" s="492"/>
    </row>
    <row r="85" spans="2:23" x14ac:dyDescent="0.2">
      <c r="B85" s="72" t="s">
        <v>89</v>
      </c>
      <c r="C85" s="471">
        <v>422.79</v>
      </c>
      <c r="D85" s="89">
        <v>422.79</v>
      </c>
      <c r="E85" s="38">
        <v>1032</v>
      </c>
      <c r="F85" s="472">
        <f>SUM(+E85*C85)</f>
        <v>436319.28</v>
      </c>
      <c r="G85" s="82">
        <f>SUM(+E85*D85)</f>
        <v>436319.28</v>
      </c>
      <c r="H85" s="544"/>
      <c r="I85" s="544"/>
      <c r="J85" s="82"/>
      <c r="K85" s="44"/>
      <c r="L85" s="38">
        <v>1032</v>
      </c>
      <c r="M85" s="472">
        <f>SUM(+L85*C85)</f>
        <v>436319.28</v>
      </c>
      <c r="N85" s="82">
        <f>SUM(+L85*D85)</f>
        <v>436319.28</v>
      </c>
      <c r="O85" s="544"/>
      <c r="P85" s="544"/>
      <c r="Q85" s="82"/>
      <c r="R85" s="44"/>
      <c r="S85" s="38"/>
      <c r="T85" s="472"/>
      <c r="U85" s="82"/>
      <c r="V85" s="82"/>
      <c r="W85" s="470"/>
    </row>
    <row r="86" spans="2:23" x14ac:dyDescent="0.2">
      <c r="B86" s="85" t="s">
        <v>96</v>
      </c>
      <c r="C86" s="471">
        <v>123.82</v>
      </c>
      <c r="D86" s="89">
        <v>126.28</v>
      </c>
      <c r="E86" s="38">
        <f>E85</f>
        <v>1032</v>
      </c>
      <c r="F86" s="472">
        <f t="shared" ref="F86:F87" si="5">SUM(+E86*C86)</f>
        <v>127782.23999999999</v>
      </c>
      <c r="G86" s="82">
        <f>SUM(+E86*D86)</f>
        <v>130320.96000000001</v>
      </c>
      <c r="H86" s="544"/>
      <c r="I86" s="544"/>
      <c r="J86" s="82"/>
      <c r="K86" s="44"/>
      <c r="L86" s="38">
        <f>L85</f>
        <v>1032</v>
      </c>
      <c r="M86" s="472">
        <f>SUM(+L86*C86)</f>
        <v>127782.23999999999</v>
      </c>
      <c r="N86" s="82">
        <f>SUM(+L86*D86)</f>
        <v>130320.96000000001</v>
      </c>
      <c r="O86" s="544"/>
      <c r="P86" s="544"/>
      <c r="Q86" s="82"/>
      <c r="R86" s="44"/>
      <c r="S86" s="38"/>
      <c r="T86" s="472"/>
      <c r="U86" s="82"/>
      <c r="V86" s="82"/>
      <c r="W86" s="470"/>
    </row>
    <row r="87" spans="2:23" x14ac:dyDescent="0.2">
      <c r="B87" s="85" t="s">
        <v>97</v>
      </c>
      <c r="C87" s="471">
        <v>1.25</v>
      </c>
      <c r="D87" s="89">
        <v>1.37</v>
      </c>
      <c r="E87" s="38">
        <v>1092876</v>
      </c>
      <c r="F87" s="463">
        <f t="shared" si="5"/>
        <v>1366095</v>
      </c>
      <c r="G87" s="78">
        <f>SUM(+E87*D87)</f>
        <v>1497240.12</v>
      </c>
      <c r="H87" s="544"/>
      <c r="I87" s="544"/>
      <c r="J87" s="82"/>
      <c r="K87" s="44"/>
      <c r="L87" s="38">
        <v>1092876</v>
      </c>
      <c r="M87" s="472">
        <f>SUM(+L87*C87)</f>
        <v>1366095</v>
      </c>
      <c r="N87" s="78">
        <f>SUM(+L87*D87)</f>
        <v>1497240.12</v>
      </c>
      <c r="O87" s="544"/>
      <c r="P87" s="544"/>
      <c r="Q87" s="82"/>
      <c r="R87" s="44"/>
      <c r="S87" s="38"/>
      <c r="T87" s="472"/>
      <c r="U87" s="78"/>
      <c r="V87" s="82"/>
      <c r="W87" s="470"/>
    </row>
    <row r="88" spans="2:23" x14ac:dyDescent="0.2">
      <c r="B88" s="85"/>
      <c r="C88" s="471"/>
      <c r="D88" s="89"/>
      <c r="E88" s="44"/>
      <c r="F88" s="458"/>
      <c r="G88" s="44"/>
      <c r="H88" s="552"/>
      <c r="I88" s="552"/>
      <c r="J88" s="44"/>
      <c r="K88" s="44"/>
      <c r="L88" s="44"/>
      <c r="M88" s="458"/>
      <c r="N88" s="44"/>
      <c r="O88" s="552"/>
      <c r="P88" s="552"/>
      <c r="Q88" s="44"/>
      <c r="R88" s="44"/>
      <c r="S88" s="44"/>
      <c r="T88" s="458"/>
      <c r="U88" s="44"/>
      <c r="V88" s="44"/>
      <c r="W88" s="470"/>
    </row>
    <row r="89" spans="2:23" x14ac:dyDescent="0.2">
      <c r="B89" s="85" t="s">
        <v>98</v>
      </c>
      <c r="C89" s="471"/>
      <c r="D89" s="89"/>
      <c r="E89" s="44"/>
      <c r="F89" s="458"/>
      <c r="G89" s="44"/>
      <c r="H89" s="552"/>
      <c r="I89" s="552"/>
      <c r="J89" s="44"/>
      <c r="K89" s="44"/>
      <c r="L89" s="44"/>
      <c r="M89" s="458"/>
      <c r="N89" s="44"/>
      <c r="O89" s="552"/>
      <c r="P89" s="552"/>
      <c r="Q89" s="44"/>
      <c r="R89" s="44"/>
      <c r="S89" s="44"/>
      <c r="T89" s="458"/>
      <c r="U89" s="44"/>
      <c r="V89" s="44"/>
      <c r="W89" s="470"/>
    </row>
    <row r="90" spans="2:23" x14ac:dyDescent="0.2">
      <c r="B90" s="85" t="s">
        <v>99</v>
      </c>
      <c r="C90" s="473">
        <v>0.13758000000000001</v>
      </c>
      <c r="D90" s="75">
        <v>0.14030999999999999</v>
      </c>
      <c r="E90" s="38">
        <v>1425917.3695433964</v>
      </c>
      <c r="F90" s="472" t="s">
        <v>100</v>
      </c>
      <c r="G90" s="82" t="s">
        <v>100</v>
      </c>
      <c r="H90" s="544"/>
      <c r="I90" s="544"/>
      <c r="J90" s="82"/>
      <c r="K90" s="44"/>
      <c r="L90" s="38">
        <v>1491237.6656937972</v>
      </c>
      <c r="M90" s="472" t="s">
        <v>100</v>
      </c>
      <c r="N90" s="82" t="s">
        <v>100</v>
      </c>
      <c r="O90" s="544"/>
      <c r="P90" s="544"/>
      <c r="Q90" s="82"/>
      <c r="R90" s="44"/>
      <c r="S90" s="38"/>
      <c r="T90" s="472"/>
      <c r="U90" s="82"/>
      <c r="V90" s="82"/>
      <c r="W90" s="470"/>
    </row>
    <row r="91" spans="2:23" x14ac:dyDescent="0.2">
      <c r="B91" s="85" t="s">
        <v>101</v>
      </c>
      <c r="C91" s="473">
        <v>0.13758000000000001</v>
      </c>
      <c r="D91" s="75">
        <v>0.14030999999999999</v>
      </c>
      <c r="E91" s="38">
        <v>5201192.5123006459</v>
      </c>
      <c r="F91" s="472">
        <f>ROUND(E91*C91,2)</f>
        <v>715580.07</v>
      </c>
      <c r="G91" s="82">
        <f>ROUND(E91*D91,2)</f>
        <v>729779.32</v>
      </c>
      <c r="H91" s="544"/>
      <c r="I91" s="544"/>
      <c r="J91" s="82"/>
      <c r="K91" s="44"/>
      <c r="L91" s="38">
        <v>5430456.225439975</v>
      </c>
      <c r="M91" s="472">
        <f>ROUND(L91*C91,2)</f>
        <v>747122.17</v>
      </c>
      <c r="N91" s="82">
        <f>ROUND(L91*D91,2)</f>
        <v>761947.31</v>
      </c>
      <c r="O91" s="544"/>
      <c r="P91" s="544"/>
      <c r="Q91" s="82"/>
      <c r="R91" s="44"/>
      <c r="S91" s="38"/>
      <c r="T91" s="472"/>
      <c r="U91" s="82"/>
      <c r="V91" s="82"/>
      <c r="W91" s="470"/>
    </row>
    <row r="92" spans="2:23" x14ac:dyDescent="0.2">
      <c r="B92" s="85" t="s">
        <v>102</v>
      </c>
      <c r="C92" s="473">
        <v>0.11074000000000001</v>
      </c>
      <c r="D92" s="75">
        <v>0.12131</v>
      </c>
      <c r="E92" s="38">
        <v>18837411.118155956</v>
      </c>
      <c r="F92" s="472">
        <f>ROUND(E92*C92,2)</f>
        <v>2086054.91</v>
      </c>
      <c r="G92" s="82">
        <f>ROUND(E92*D92,2)</f>
        <v>2285166.34</v>
      </c>
      <c r="H92" s="544"/>
      <c r="I92" s="544"/>
      <c r="J92" s="82"/>
      <c r="K92" s="44"/>
      <c r="L92" s="38">
        <v>19588540.108866226</v>
      </c>
      <c r="M92" s="472">
        <f>ROUND(L92*C92,2)</f>
        <v>2169234.9300000002</v>
      </c>
      <c r="N92" s="82">
        <f>ROUND(L92*D92,2)</f>
        <v>2376285.7999999998</v>
      </c>
      <c r="O92" s="544"/>
      <c r="P92" s="544"/>
      <c r="Q92" s="82"/>
      <c r="R92" s="44"/>
      <c r="S92" s="38"/>
      <c r="T92" s="472"/>
      <c r="U92" s="82"/>
      <c r="V92" s="82"/>
      <c r="W92" s="470"/>
    </row>
    <row r="93" spans="2:23" x14ac:dyDescent="0.2">
      <c r="B93" s="72" t="s">
        <v>103</v>
      </c>
      <c r="C93" s="487"/>
      <c r="D93" s="38"/>
      <c r="E93" s="15">
        <f>SUM(E90:E92)</f>
        <v>25464521</v>
      </c>
      <c r="F93" s="487"/>
      <c r="G93" s="44"/>
      <c r="H93" s="552"/>
      <c r="I93" s="552"/>
      <c r="J93" s="44"/>
      <c r="K93" s="44"/>
      <c r="L93" s="15">
        <f>SUM(L90:L92)</f>
        <v>26510234</v>
      </c>
      <c r="M93" s="458"/>
      <c r="N93" s="44"/>
      <c r="O93" s="552"/>
      <c r="P93" s="552"/>
      <c r="Q93" s="44"/>
      <c r="R93" s="44"/>
      <c r="S93" s="15"/>
      <c r="T93" s="458"/>
      <c r="U93" s="44"/>
      <c r="V93" s="44"/>
      <c r="W93" s="470"/>
    </row>
    <row r="94" spans="2:23" x14ac:dyDescent="0.2">
      <c r="B94" s="72" t="s">
        <v>125</v>
      </c>
      <c r="C94" s="486"/>
      <c r="D94" s="38"/>
      <c r="E94" s="44"/>
      <c r="F94" s="495">
        <f>SUM(F85:F93)</f>
        <v>4731831.5</v>
      </c>
      <c r="G94" s="128">
        <f>SUM(G85:G93)</f>
        <v>5078826.0199999996</v>
      </c>
      <c r="H94" s="555"/>
      <c r="I94" s="555"/>
      <c r="J94" s="88"/>
      <c r="K94" s="44"/>
      <c r="L94" s="44"/>
      <c r="M94" s="495">
        <f>SUM(M85:M93)</f>
        <v>4846553.62</v>
      </c>
      <c r="N94" s="128">
        <f>SUM(N85:N93)</f>
        <v>5202113.47</v>
      </c>
      <c r="O94" s="555"/>
      <c r="P94" s="555"/>
      <c r="Q94" s="88"/>
      <c r="R94" s="44"/>
      <c r="S94" s="44"/>
      <c r="T94" s="495"/>
      <c r="U94" s="128"/>
      <c r="V94" s="88"/>
      <c r="W94" s="470"/>
    </row>
    <row r="95" spans="2:23" x14ac:dyDescent="0.2">
      <c r="B95" s="72"/>
      <c r="C95" s="486"/>
      <c r="D95" s="38"/>
      <c r="E95" s="44"/>
      <c r="F95" s="458"/>
      <c r="G95" s="44"/>
      <c r="H95" s="552"/>
      <c r="I95" s="552"/>
      <c r="J95" s="44"/>
      <c r="K95" s="44"/>
      <c r="L95" s="44"/>
      <c r="M95" s="458"/>
      <c r="N95" s="44"/>
      <c r="O95" s="552"/>
      <c r="P95" s="552"/>
      <c r="Q95" s="44"/>
      <c r="R95" s="44"/>
      <c r="S95" s="44"/>
      <c r="T95" s="458"/>
      <c r="U95" s="44"/>
      <c r="V95" s="44"/>
      <c r="W95" s="470"/>
    </row>
    <row r="96" spans="2:23" x14ac:dyDescent="0.2">
      <c r="B96" s="91" t="s">
        <v>237</v>
      </c>
      <c r="C96" s="484"/>
      <c r="D96" s="75"/>
      <c r="E96" s="44"/>
      <c r="F96" s="495">
        <f>F94</f>
        <v>4731831.5</v>
      </c>
      <c r="G96" s="128">
        <f>G94</f>
        <v>5078826.0199999996</v>
      </c>
      <c r="H96" s="555"/>
      <c r="I96" s="555"/>
      <c r="J96" s="88"/>
      <c r="K96" s="44"/>
      <c r="L96" s="44"/>
      <c r="M96" s="495">
        <f>M94</f>
        <v>4846553.62</v>
      </c>
      <c r="N96" s="128">
        <f>N94</f>
        <v>5202113.47</v>
      </c>
      <c r="O96" s="555"/>
      <c r="P96" s="555"/>
      <c r="Q96" s="88"/>
      <c r="R96" s="44"/>
      <c r="S96" s="44"/>
      <c r="T96" s="495"/>
      <c r="U96" s="128"/>
      <c r="V96" s="88"/>
      <c r="W96" s="470"/>
    </row>
    <row r="97" spans="2:23" x14ac:dyDescent="0.2">
      <c r="B97" s="85" t="s">
        <v>238</v>
      </c>
      <c r="C97" s="458"/>
      <c r="D97" s="44"/>
      <c r="E97" s="44"/>
      <c r="F97" s="458"/>
      <c r="G97" s="82"/>
      <c r="H97" s="546">
        <f>H$64*E93</f>
        <v>275780.76243</v>
      </c>
      <c r="I97" s="546">
        <f>I$64*E93</f>
        <v>251844.11268999998</v>
      </c>
      <c r="J97" s="82"/>
      <c r="K97" s="44"/>
      <c r="L97" s="44"/>
      <c r="M97" s="458"/>
      <c r="N97" s="82"/>
      <c r="O97" s="546">
        <f>O$64*L93</f>
        <v>-55671.491399999999</v>
      </c>
      <c r="P97" s="546">
        <f>P$64*L93</f>
        <v>844881.15758000012</v>
      </c>
      <c r="Q97" s="82"/>
      <c r="R97" s="44"/>
      <c r="S97" s="44"/>
      <c r="T97" s="458"/>
      <c r="U97" s="82"/>
      <c r="V97" s="78"/>
      <c r="W97" s="480"/>
    </row>
    <row r="98" spans="2:23" x14ac:dyDescent="0.2">
      <c r="B98" s="91" t="str">
        <f>"Total "&amp;B83</f>
        <v>Total Schedule 41 - Transportation</v>
      </c>
      <c r="C98" s="484"/>
      <c r="D98" s="44"/>
      <c r="E98" s="44"/>
      <c r="F98" s="458"/>
      <c r="G98" s="82"/>
      <c r="H98" s="544"/>
      <c r="I98" s="548">
        <f>G96+H97+I97</f>
        <v>5606450.8951199995</v>
      </c>
      <c r="J98" s="92"/>
      <c r="K98" s="44"/>
      <c r="L98" s="44"/>
      <c r="M98" s="458"/>
      <c r="N98" s="82"/>
      <c r="O98" s="544"/>
      <c r="P98" s="548">
        <f>N96+O97+P97</f>
        <v>5991323.1361800004</v>
      </c>
      <c r="Q98" s="92"/>
      <c r="R98" s="44"/>
      <c r="S98" s="44"/>
      <c r="T98" s="458"/>
      <c r="U98" s="82"/>
      <c r="V98" s="82"/>
      <c r="W98" s="494"/>
    </row>
    <row r="99" spans="2:23" x14ac:dyDescent="0.2">
      <c r="B99" s="76"/>
      <c r="C99" s="461"/>
      <c r="D99" s="77"/>
      <c r="E99" s="77"/>
      <c r="F99" s="461"/>
      <c r="G99" s="77"/>
      <c r="H99" s="553"/>
      <c r="I99" s="553"/>
      <c r="J99" s="77"/>
      <c r="K99" s="77"/>
      <c r="L99" s="77"/>
      <c r="M99" s="461"/>
      <c r="N99" s="77"/>
      <c r="O99" s="553"/>
      <c r="P99" s="553"/>
      <c r="Q99" s="77"/>
      <c r="R99" s="77"/>
      <c r="S99" s="77"/>
      <c r="T99" s="461"/>
      <c r="U99" s="77"/>
      <c r="V99" s="77"/>
      <c r="W99" s="493"/>
    </row>
    <row r="100" spans="2:23" x14ac:dyDescent="0.2">
      <c r="H100" s="545"/>
      <c r="I100" s="545"/>
      <c r="O100" s="545"/>
      <c r="P100" s="545"/>
    </row>
    <row r="101" spans="2:23" x14ac:dyDescent="0.2">
      <c r="B101" s="451" t="s">
        <v>241</v>
      </c>
      <c r="C101" s="452"/>
      <c r="D101" s="71"/>
      <c r="E101" s="15">
        <f>E109+E131</f>
        <v>73912158</v>
      </c>
      <c r="F101" s="453"/>
      <c r="G101" s="102"/>
      <c r="H101" s="540">
        <v>475918.82591419795</v>
      </c>
      <c r="I101" s="540">
        <v>434825.49167172762</v>
      </c>
      <c r="J101" s="454">
        <v>20472.643272653775</v>
      </c>
      <c r="K101" s="455"/>
      <c r="L101" s="15">
        <f>L109+L131</f>
        <v>73034304</v>
      </c>
      <c r="M101" s="453"/>
      <c r="N101" s="455"/>
      <c r="O101" s="540">
        <v>-93513.78998208644</v>
      </c>
      <c r="P101" s="540">
        <v>1416424.9685898777</v>
      </c>
      <c r="Q101" s="454">
        <v>19894.587964952108</v>
      </c>
      <c r="R101" s="455"/>
      <c r="S101" s="15"/>
      <c r="T101" s="453"/>
      <c r="U101" s="456"/>
      <c r="V101" s="102"/>
      <c r="W101" s="457"/>
    </row>
    <row r="102" spans="2:23" x14ac:dyDescent="0.2">
      <c r="B102" s="85"/>
      <c r="C102" s="458"/>
      <c r="D102" s="44"/>
      <c r="E102" s="44"/>
      <c r="F102" s="458"/>
      <c r="G102" s="124" t="s">
        <v>236</v>
      </c>
      <c r="H102" s="541">
        <f>ROUND(H101/E101, 5)</f>
        <v>6.4400000000000004E-3</v>
      </c>
      <c r="I102" s="541">
        <f>ROUND(I101/E101, 5)</f>
        <v>5.8799999999999998E-3</v>
      </c>
      <c r="J102" s="459">
        <f>ROUND(J101/E116, 5)</f>
        <v>1.8400000000000001E-3</v>
      </c>
      <c r="L102" s="44"/>
      <c r="M102" s="458"/>
      <c r="N102" s="89"/>
      <c r="O102" s="541">
        <f>ROUND(O101/L101, 5)</f>
        <v>-1.2800000000000001E-3</v>
      </c>
      <c r="P102" s="541">
        <f>ROUND(P101/L101, 5)</f>
        <v>1.9390000000000001E-2</v>
      </c>
      <c r="Q102" s="459">
        <f>ROUND(Q101/L116, 5)</f>
        <v>1.8500000000000001E-3</v>
      </c>
      <c r="S102" s="44"/>
      <c r="T102" s="458"/>
      <c r="U102" s="89"/>
      <c r="V102" s="75"/>
      <c r="W102" s="460"/>
    </row>
    <row r="103" spans="2:23" x14ac:dyDescent="0.2">
      <c r="B103" s="76"/>
      <c r="C103" s="461"/>
      <c r="D103" s="77"/>
      <c r="E103" s="462" t="s">
        <v>221</v>
      </c>
      <c r="F103" s="463">
        <f>F116+F133</f>
        <v>7448585.0592142921</v>
      </c>
      <c r="G103" s="78">
        <f>G116+G133</f>
        <v>8308183.4203100381</v>
      </c>
      <c r="H103" s="542"/>
      <c r="I103" s="542"/>
      <c r="J103" s="464"/>
      <c r="K103" s="123"/>
      <c r="L103" s="462" t="s">
        <v>221</v>
      </c>
      <c r="M103" s="463">
        <f>M116+M133</f>
        <v>7380545.0838783914</v>
      </c>
      <c r="N103" s="78">
        <f>N116+N133</f>
        <v>8231195.1450351439</v>
      </c>
      <c r="O103" s="542"/>
      <c r="P103" s="542"/>
      <c r="Q103" s="464"/>
      <c r="R103" s="123"/>
      <c r="S103" s="462"/>
      <c r="T103" s="463"/>
      <c r="U103" s="78"/>
      <c r="V103" s="464"/>
      <c r="W103" s="480"/>
    </row>
    <row r="104" spans="2:23" x14ac:dyDescent="0.2">
      <c r="B104" s="489"/>
      <c r="C104" s="490"/>
      <c r="D104" s="491"/>
      <c r="E104" s="244"/>
      <c r="F104" s="482"/>
      <c r="G104" s="244"/>
      <c r="H104" s="549"/>
      <c r="I104" s="549"/>
      <c r="J104" s="244"/>
      <c r="K104" s="244"/>
      <c r="L104" s="244"/>
      <c r="M104" s="482"/>
      <c r="N104" s="244"/>
      <c r="O104" s="549"/>
      <c r="P104" s="549"/>
      <c r="Q104" s="244"/>
      <c r="R104" s="244"/>
      <c r="S104" s="244"/>
      <c r="T104" s="482"/>
      <c r="U104" s="244"/>
      <c r="V104" s="244"/>
      <c r="W104" s="483"/>
    </row>
    <row r="105" spans="2:23" x14ac:dyDescent="0.2">
      <c r="B105" s="84" t="s">
        <v>144</v>
      </c>
      <c r="C105" s="481"/>
      <c r="D105" s="496"/>
      <c r="E105" s="244"/>
      <c r="F105" s="482"/>
      <c r="G105" s="244"/>
      <c r="H105" s="549"/>
      <c r="I105" s="549"/>
      <c r="J105" s="244"/>
      <c r="K105" s="244"/>
      <c r="L105" s="244"/>
      <c r="M105" s="482"/>
      <c r="N105" s="244"/>
      <c r="O105" s="549"/>
      <c r="P105" s="549"/>
      <c r="Q105" s="244"/>
      <c r="R105" s="244"/>
      <c r="S105" s="244"/>
      <c r="T105" s="482"/>
      <c r="U105" s="244"/>
      <c r="V105" s="244"/>
      <c r="W105" s="483"/>
    </row>
    <row r="106" spans="2:23" x14ac:dyDescent="0.2">
      <c r="B106" s="85"/>
      <c r="C106" s="458"/>
      <c r="D106" s="75"/>
      <c r="E106" s="44"/>
      <c r="F106" s="458"/>
      <c r="G106" s="44"/>
      <c r="H106" s="552"/>
      <c r="I106" s="552"/>
      <c r="J106" s="44"/>
      <c r="K106" s="44"/>
      <c r="L106" s="44"/>
      <c r="M106" s="458"/>
      <c r="N106" s="44"/>
      <c r="O106" s="552"/>
      <c r="P106" s="552"/>
      <c r="Q106" s="44"/>
      <c r="R106" s="44"/>
      <c r="S106" s="44"/>
      <c r="T106" s="458"/>
      <c r="U106" s="44"/>
      <c r="V106" s="44"/>
      <c r="W106" s="492"/>
    </row>
    <row r="107" spans="2:23" x14ac:dyDescent="0.2">
      <c r="B107" s="72" t="s">
        <v>89</v>
      </c>
      <c r="C107" s="471">
        <v>595.08000000000004</v>
      </c>
      <c r="D107" s="89">
        <v>701.68</v>
      </c>
      <c r="E107" s="38">
        <v>396</v>
      </c>
      <c r="F107" s="472">
        <f>SUM(+E107*C107)</f>
        <v>235651.68000000002</v>
      </c>
      <c r="G107" s="82">
        <f>SUM(+E107*D107)</f>
        <v>277865.27999999997</v>
      </c>
      <c r="H107" s="544"/>
      <c r="I107" s="544"/>
      <c r="J107" s="82"/>
      <c r="K107" s="44"/>
      <c r="L107" s="38">
        <v>396</v>
      </c>
      <c r="M107" s="472">
        <f>SUM(+L107*C107)</f>
        <v>235651.68000000002</v>
      </c>
      <c r="N107" s="82">
        <f>SUM(+L107*D107)</f>
        <v>277865.27999999997</v>
      </c>
      <c r="O107" s="544"/>
      <c r="P107" s="544"/>
      <c r="Q107" s="82"/>
      <c r="R107" s="44"/>
      <c r="S107" s="82"/>
      <c r="T107" s="472"/>
      <c r="U107" s="82"/>
      <c r="V107" s="82"/>
      <c r="W107" s="470"/>
    </row>
    <row r="108" spans="2:23" x14ac:dyDescent="0.2">
      <c r="B108" s="85" t="s">
        <v>97</v>
      </c>
      <c r="C108" s="471">
        <v>1.3</v>
      </c>
      <c r="D108" s="89">
        <v>1.44</v>
      </c>
      <c r="E108" s="38">
        <v>94536</v>
      </c>
      <c r="F108" s="472">
        <f t="shared" ref="F108:F109" si="6">SUM(+E108*C108)</f>
        <v>122896.8</v>
      </c>
      <c r="G108" s="82">
        <f>SUM(+E108*D108)</f>
        <v>136131.84</v>
      </c>
      <c r="H108" s="544"/>
      <c r="I108" s="544"/>
      <c r="J108" s="82"/>
      <c r="K108" s="44"/>
      <c r="L108" s="38">
        <v>94536</v>
      </c>
      <c r="M108" s="472">
        <f t="shared" ref="M108:M109" si="7">SUM(+L108*C108)</f>
        <v>122896.8</v>
      </c>
      <c r="N108" s="82">
        <f>SUM(+L108*D108)</f>
        <v>136131.84</v>
      </c>
      <c r="O108" s="544"/>
      <c r="P108" s="544"/>
      <c r="Q108" s="82"/>
      <c r="R108" s="44"/>
      <c r="S108" s="82"/>
      <c r="T108" s="472"/>
      <c r="U108" s="82"/>
      <c r="V108" s="82"/>
      <c r="W108" s="470"/>
    </row>
    <row r="109" spans="2:23" x14ac:dyDescent="0.2">
      <c r="B109" s="85" t="s">
        <v>94</v>
      </c>
      <c r="C109" s="473">
        <v>7.0499999999999998E-3</v>
      </c>
      <c r="D109" s="75">
        <v>7.7999999999999996E-3</v>
      </c>
      <c r="E109" s="38">
        <f>E116</f>
        <v>11124640</v>
      </c>
      <c r="F109" s="472">
        <f t="shared" si="6"/>
        <v>78428.712</v>
      </c>
      <c r="G109" s="82">
        <f>SUM(+E109*D109)</f>
        <v>86772.191999999995</v>
      </c>
      <c r="H109" s="544"/>
      <c r="I109" s="544"/>
      <c r="J109" s="82"/>
      <c r="K109" s="44"/>
      <c r="L109" s="38">
        <f>L116</f>
        <v>10745378</v>
      </c>
      <c r="M109" s="472">
        <f t="shared" si="7"/>
        <v>75754.914900000003</v>
      </c>
      <c r="N109" s="82">
        <f>SUM(+L109*D109)</f>
        <v>83813.948399999994</v>
      </c>
      <c r="O109" s="544"/>
      <c r="P109" s="544"/>
      <c r="Q109" s="82"/>
      <c r="R109" s="44"/>
      <c r="S109" s="82"/>
      <c r="T109" s="472"/>
      <c r="U109" s="82"/>
      <c r="V109" s="82"/>
      <c r="W109" s="470"/>
    </row>
    <row r="110" spans="2:23" x14ac:dyDescent="0.2">
      <c r="B110" s="85" t="s">
        <v>104</v>
      </c>
      <c r="C110" s="473"/>
      <c r="D110" s="75"/>
      <c r="E110" s="38"/>
      <c r="F110" s="487">
        <v>9677.49</v>
      </c>
      <c r="G110" s="82">
        <v>9677.49</v>
      </c>
      <c r="H110" s="544"/>
      <c r="I110" s="544"/>
      <c r="J110" s="82"/>
      <c r="K110" s="44"/>
      <c r="L110" s="38"/>
      <c r="M110" s="487">
        <f>F110</f>
        <v>9677.49</v>
      </c>
      <c r="N110" s="82">
        <v>9677.49</v>
      </c>
      <c r="O110" s="544"/>
      <c r="P110" s="544"/>
      <c r="Q110" s="82"/>
      <c r="R110" s="44"/>
      <c r="S110" s="82"/>
      <c r="T110" s="472"/>
      <c r="U110" s="82"/>
      <c r="V110" s="82"/>
      <c r="W110" s="470"/>
    </row>
    <row r="111" spans="2:23" x14ac:dyDescent="0.2">
      <c r="B111" s="85"/>
      <c r="C111" s="473"/>
      <c r="D111" s="75"/>
      <c r="E111" s="44"/>
      <c r="F111" s="458"/>
      <c r="G111" s="44"/>
      <c r="H111" s="552"/>
      <c r="I111" s="552"/>
      <c r="J111" s="44"/>
      <c r="K111" s="44"/>
      <c r="L111" s="44"/>
      <c r="M111" s="458"/>
      <c r="N111" s="44"/>
      <c r="O111" s="552"/>
      <c r="P111" s="552"/>
      <c r="Q111" s="44"/>
      <c r="R111" s="44"/>
      <c r="S111" s="44"/>
      <c r="T111" s="458"/>
      <c r="U111" s="44"/>
      <c r="V111" s="44"/>
      <c r="W111" s="492"/>
    </row>
    <row r="112" spans="2:23" x14ac:dyDescent="0.2">
      <c r="B112" s="85" t="s">
        <v>98</v>
      </c>
      <c r="C112" s="473"/>
      <c r="D112" s="75"/>
      <c r="E112" s="44"/>
      <c r="F112" s="458"/>
      <c r="G112" s="44"/>
      <c r="H112" s="552"/>
      <c r="I112" s="552"/>
      <c r="J112" s="44"/>
      <c r="K112" s="44"/>
      <c r="L112" s="44"/>
      <c r="M112" s="458"/>
      <c r="N112" s="44"/>
      <c r="O112" s="552"/>
      <c r="P112" s="552"/>
      <c r="Q112" s="44"/>
      <c r="R112" s="44"/>
      <c r="S112" s="44"/>
      <c r="T112" s="458"/>
      <c r="U112" s="44"/>
      <c r="V112" s="44"/>
      <c r="W112" s="492"/>
    </row>
    <row r="113" spans="2:23" x14ac:dyDescent="0.2">
      <c r="B113" s="85" t="s">
        <v>105</v>
      </c>
      <c r="C113" s="473">
        <v>0.1084</v>
      </c>
      <c r="D113" s="75">
        <v>0.12488</v>
      </c>
      <c r="E113" s="38">
        <v>4674926.706264955</v>
      </c>
      <c r="F113" s="487">
        <f>SUM(+E113*C113)</f>
        <v>506762.0549591211</v>
      </c>
      <c r="G113" s="82">
        <f>SUM(+E113*D113)</f>
        <v>583804.8470783676</v>
      </c>
      <c r="H113" s="544"/>
      <c r="I113" s="544"/>
      <c r="J113" s="82"/>
      <c r="K113" s="44"/>
      <c r="L113" s="38">
        <v>4513873.5650214646</v>
      </c>
      <c r="M113" s="472">
        <f t="shared" ref="M113:M115" si="8">SUM(+L113*C113)</f>
        <v>489303.89444832673</v>
      </c>
      <c r="N113" s="82">
        <f>SUM(+L113*D113)</f>
        <v>563692.53079988051</v>
      </c>
      <c r="O113" s="544"/>
      <c r="P113" s="544"/>
      <c r="Q113" s="82"/>
      <c r="R113" s="44"/>
      <c r="S113" s="82"/>
      <c r="T113" s="472"/>
      <c r="U113" s="82"/>
      <c r="V113" s="82"/>
      <c r="W113" s="470"/>
    </row>
    <row r="114" spans="2:23" x14ac:dyDescent="0.2">
      <c r="B114" s="85" t="s">
        <v>106</v>
      </c>
      <c r="C114" s="473">
        <v>5.3650000000000003E-2</v>
      </c>
      <c r="D114" s="75">
        <v>5.9339999999999997E-2</v>
      </c>
      <c r="E114" s="38">
        <v>2569738.4472592678</v>
      </c>
      <c r="F114" s="487">
        <f t="shared" ref="F114:F115" si="9">SUM(+E114*C114)</f>
        <v>137866.46769545972</v>
      </c>
      <c r="G114" s="82">
        <f>SUM(+E114*D114)</f>
        <v>152488.27946036495</v>
      </c>
      <c r="H114" s="544"/>
      <c r="I114" s="544"/>
      <c r="J114" s="82"/>
      <c r="K114" s="44"/>
      <c r="L114" s="38">
        <v>2478939.5524124894</v>
      </c>
      <c r="M114" s="472">
        <f t="shared" si="8"/>
        <v>132995.10698693007</v>
      </c>
      <c r="N114" s="82">
        <f>SUM(+L114*D114)</f>
        <v>147100.2730401571</v>
      </c>
      <c r="O114" s="544"/>
      <c r="P114" s="544"/>
      <c r="Q114" s="82"/>
      <c r="R114" s="44"/>
      <c r="S114" s="82"/>
      <c r="T114" s="472"/>
      <c r="U114" s="82"/>
      <c r="V114" s="82"/>
      <c r="W114" s="470"/>
    </row>
    <row r="115" spans="2:23" x14ac:dyDescent="0.2">
      <c r="B115" s="85" t="s">
        <v>107</v>
      </c>
      <c r="C115" s="473">
        <v>5.1319999999999998E-2</v>
      </c>
      <c r="D115" s="75">
        <v>5.6770000000000001E-2</v>
      </c>
      <c r="E115" s="38">
        <v>3879974.8464757777</v>
      </c>
      <c r="F115" s="487">
        <f t="shared" si="9"/>
        <v>199120.3091211369</v>
      </c>
      <c r="G115" s="82">
        <f>SUM(+E115*D115)</f>
        <v>220266.17203442991</v>
      </c>
      <c r="H115" s="544"/>
      <c r="I115" s="544"/>
      <c r="J115" s="82"/>
      <c r="K115" s="44"/>
      <c r="L115" s="38">
        <v>3752564.882566046</v>
      </c>
      <c r="M115" s="472">
        <f t="shared" si="8"/>
        <v>192581.62977328946</v>
      </c>
      <c r="N115" s="82">
        <f>SUM(+L115*D115)</f>
        <v>213033.10838327443</v>
      </c>
      <c r="O115" s="544"/>
      <c r="P115" s="544"/>
      <c r="Q115" s="82"/>
      <c r="R115" s="44"/>
      <c r="S115" s="82"/>
      <c r="T115" s="463"/>
      <c r="U115" s="78"/>
      <c r="V115" s="82"/>
      <c r="W115" s="470"/>
    </row>
    <row r="116" spans="2:23" x14ac:dyDescent="0.2">
      <c r="B116" s="91" t="s">
        <v>237</v>
      </c>
      <c r="C116" s="484"/>
      <c r="D116" s="89"/>
      <c r="E116" s="15">
        <f>SUM(E113:E115)</f>
        <v>11124640</v>
      </c>
      <c r="F116" s="495">
        <f>SUM(F107:F115)</f>
        <v>1290403.5137757179</v>
      </c>
      <c r="G116" s="128">
        <f>SUM(G107:G115)</f>
        <v>1467006.1005731623</v>
      </c>
      <c r="H116" s="555"/>
      <c r="I116" s="555"/>
      <c r="J116" s="88"/>
      <c r="K116" s="44"/>
      <c r="L116" s="15">
        <f>SUM(L113:L115)</f>
        <v>10745378</v>
      </c>
      <c r="M116" s="495">
        <f>SUM(M107:M115)</f>
        <v>1258861.5161085464</v>
      </c>
      <c r="N116" s="128">
        <f>SUM(N107:N115)</f>
        <v>1431314.4706233121</v>
      </c>
      <c r="O116" s="555"/>
      <c r="P116" s="555"/>
      <c r="Q116" s="88"/>
      <c r="R116" s="44"/>
      <c r="S116" s="128"/>
      <c r="T116" s="497"/>
      <c r="U116" s="88"/>
      <c r="V116" s="88"/>
      <c r="W116" s="470"/>
    </row>
    <row r="117" spans="2:23" x14ac:dyDescent="0.2">
      <c r="B117" s="85" t="s">
        <v>238</v>
      </c>
      <c r="C117" s="458"/>
      <c r="D117" s="89"/>
      <c r="E117" s="38"/>
      <c r="F117" s="487"/>
      <c r="G117" s="88"/>
      <c r="H117" s="546">
        <f>H$102*E116</f>
        <v>71642.681600000011</v>
      </c>
      <c r="I117" s="546">
        <f>I$102*E116</f>
        <v>65412.883199999997</v>
      </c>
      <c r="J117" s="475">
        <f>J$102*E116</f>
        <v>20469.337599999999</v>
      </c>
      <c r="K117" s="44"/>
      <c r="L117" s="38"/>
      <c r="M117" s="487"/>
      <c r="N117" s="88"/>
      <c r="O117" s="546">
        <f>O$102*L116</f>
        <v>-13754.083840000001</v>
      </c>
      <c r="P117" s="546">
        <f>P$102*L116</f>
        <v>208352.87942000001</v>
      </c>
      <c r="Q117" s="475">
        <f>Q$102*L116</f>
        <v>19878.9493</v>
      </c>
      <c r="R117" s="44"/>
      <c r="S117" s="88"/>
      <c r="T117" s="497"/>
      <c r="U117" s="88"/>
      <c r="V117" s="78"/>
      <c r="W117" s="480"/>
    </row>
    <row r="118" spans="2:23" x14ac:dyDescent="0.2">
      <c r="B118" s="91" t="str">
        <f>"Total "&amp;B105</f>
        <v>Total Schedule 85 - Sales</v>
      </c>
      <c r="C118" s="484"/>
      <c r="D118" s="89"/>
      <c r="E118" s="38"/>
      <c r="F118" s="487"/>
      <c r="G118" s="88"/>
      <c r="H118" s="544"/>
      <c r="I118" s="548">
        <f>G116+H117+I117</f>
        <v>1604061.6653731624</v>
      </c>
      <c r="J118" s="92"/>
      <c r="K118" s="44"/>
      <c r="L118" s="38"/>
      <c r="M118" s="487"/>
      <c r="N118" s="88"/>
      <c r="O118" s="544"/>
      <c r="P118" s="548">
        <f>N116+O117+P117</f>
        <v>1625913.2662033122</v>
      </c>
      <c r="Q118" s="92"/>
      <c r="R118" s="44"/>
      <c r="S118" s="88"/>
      <c r="T118" s="497"/>
      <c r="U118" s="88"/>
      <c r="V118" s="82"/>
      <c r="W118" s="477"/>
    </row>
    <row r="119" spans="2:23" x14ac:dyDescent="0.2">
      <c r="B119" s="76"/>
      <c r="C119" s="461"/>
      <c r="D119" s="129"/>
      <c r="E119" s="77"/>
      <c r="F119" s="461"/>
      <c r="G119" s="77"/>
      <c r="H119" s="553"/>
      <c r="I119" s="553"/>
      <c r="J119" s="77"/>
      <c r="K119" s="77"/>
      <c r="L119" s="77"/>
      <c r="M119" s="461"/>
      <c r="N119" s="77"/>
      <c r="O119" s="553"/>
      <c r="P119" s="553"/>
      <c r="Q119" s="77"/>
      <c r="R119" s="77"/>
      <c r="S119" s="77"/>
      <c r="T119" s="461"/>
      <c r="U119" s="77"/>
      <c r="V119" s="77"/>
      <c r="W119" s="493"/>
    </row>
    <row r="120" spans="2:23" x14ac:dyDescent="0.2">
      <c r="B120" s="44"/>
      <c r="C120" s="458"/>
      <c r="D120" s="75"/>
      <c r="G120" s="41"/>
      <c r="H120" s="551"/>
      <c r="I120" s="551"/>
      <c r="J120" s="41"/>
      <c r="K120" s="41"/>
      <c r="N120" s="41"/>
      <c r="O120" s="551"/>
      <c r="P120" s="551"/>
      <c r="Q120" s="41"/>
      <c r="R120" s="41"/>
      <c r="U120" s="41"/>
      <c r="V120" s="41"/>
      <c r="W120" s="41"/>
    </row>
    <row r="121" spans="2:23" x14ac:dyDescent="0.2">
      <c r="B121" s="84" t="s">
        <v>146</v>
      </c>
      <c r="C121" s="481"/>
      <c r="D121" s="496"/>
      <c r="E121" s="244"/>
      <c r="F121" s="482"/>
      <c r="G121" s="244"/>
      <c r="H121" s="549"/>
      <c r="I121" s="549"/>
      <c r="J121" s="244"/>
      <c r="K121" s="244"/>
      <c r="L121" s="244"/>
      <c r="M121" s="482"/>
      <c r="N121" s="244"/>
      <c r="O121" s="549"/>
      <c r="P121" s="549"/>
      <c r="Q121" s="244"/>
      <c r="R121" s="244"/>
      <c r="S121" s="244"/>
      <c r="T121" s="482"/>
      <c r="U121" s="244"/>
      <c r="V121" s="244"/>
      <c r="W121" s="483"/>
    </row>
    <row r="122" spans="2:23" x14ac:dyDescent="0.2">
      <c r="B122" s="85"/>
      <c r="C122" s="458"/>
      <c r="D122" s="75"/>
      <c r="E122" s="44"/>
      <c r="F122" s="458"/>
      <c r="G122" s="44"/>
      <c r="H122" s="552"/>
      <c r="I122" s="552"/>
      <c r="J122" s="44"/>
      <c r="K122" s="44"/>
      <c r="L122" s="44"/>
      <c r="M122" s="458"/>
      <c r="N122" s="44"/>
      <c r="O122" s="552"/>
      <c r="P122" s="552"/>
      <c r="Q122" s="44"/>
      <c r="R122" s="44"/>
      <c r="S122" s="44"/>
      <c r="T122" s="458"/>
      <c r="U122" s="44"/>
      <c r="V122" s="44"/>
      <c r="W122" s="492"/>
    </row>
    <row r="123" spans="2:23" x14ac:dyDescent="0.2">
      <c r="B123" s="72" t="s">
        <v>89</v>
      </c>
      <c r="C123" s="471">
        <v>903.09</v>
      </c>
      <c r="D123" s="89">
        <v>903.09</v>
      </c>
      <c r="E123" s="38">
        <v>876</v>
      </c>
      <c r="F123" s="472">
        <f>SUM(+E123*C123)</f>
        <v>791106.84000000008</v>
      </c>
      <c r="G123" s="82">
        <f>SUM(+E123*D123)</f>
        <v>791106.84000000008</v>
      </c>
      <c r="H123" s="544"/>
      <c r="I123" s="544"/>
      <c r="J123" s="82"/>
      <c r="K123" s="44"/>
      <c r="L123" s="38">
        <v>876</v>
      </c>
      <c r="M123" s="472">
        <f>SUM(+L123*C123)</f>
        <v>791106.84000000008</v>
      </c>
      <c r="N123" s="82">
        <f>SUM(+L123*D123)</f>
        <v>791106.84000000008</v>
      </c>
      <c r="O123" s="544"/>
      <c r="P123" s="544"/>
      <c r="Q123" s="82"/>
      <c r="R123" s="44"/>
      <c r="S123" s="38"/>
      <c r="T123" s="472"/>
      <c r="U123" s="82"/>
      <c r="V123" s="82"/>
      <c r="W123" s="470"/>
    </row>
    <row r="124" spans="2:23" x14ac:dyDescent="0.2">
      <c r="B124" s="85" t="s">
        <v>97</v>
      </c>
      <c r="C124" s="471">
        <v>1.3</v>
      </c>
      <c r="D124" s="89">
        <v>1.44</v>
      </c>
      <c r="E124" s="38">
        <v>650832</v>
      </c>
      <c r="F124" s="472">
        <f>SUM(+E124*C124)</f>
        <v>846081.6</v>
      </c>
      <c r="G124" s="82">
        <f>SUM(+E124*D124)</f>
        <v>937198.07999999996</v>
      </c>
      <c r="H124" s="544"/>
      <c r="I124" s="544"/>
      <c r="J124" s="82"/>
      <c r="K124" s="44"/>
      <c r="L124" s="38">
        <v>650832</v>
      </c>
      <c r="M124" s="472">
        <f>SUM(+L124*C124)</f>
        <v>846081.6</v>
      </c>
      <c r="N124" s="82">
        <f>SUM(+L124*D124)</f>
        <v>937198.07999999996</v>
      </c>
      <c r="O124" s="544"/>
      <c r="P124" s="544"/>
      <c r="Q124" s="82"/>
      <c r="R124" s="44"/>
      <c r="S124" s="38"/>
      <c r="T124" s="472"/>
      <c r="U124" s="82"/>
      <c r="V124" s="82"/>
      <c r="W124" s="470"/>
    </row>
    <row r="125" spans="2:23" x14ac:dyDescent="0.2">
      <c r="B125" s="85" t="s">
        <v>104</v>
      </c>
      <c r="C125" s="458"/>
      <c r="D125" s="89"/>
      <c r="E125" s="38"/>
      <c r="F125" s="472">
        <f>G125</f>
        <v>-10601.630000000003</v>
      </c>
      <c r="G125" s="82">
        <v>-10601.630000000003</v>
      </c>
      <c r="H125" s="544"/>
      <c r="I125" s="544"/>
      <c r="J125" s="82"/>
      <c r="K125" s="44"/>
      <c r="L125" s="38"/>
      <c r="M125" s="472">
        <f>N125</f>
        <v>-10601.630000000003</v>
      </c>
      <c r="N125" s="82">
        <v>-10601.630000000003</v>
      </c>
      <c r="O125" s="544"/>
      <c r="P125" s="544"/>
      <c r="Q125" s="82"/>
      <c r="R125" s="44"/>
      <c r="S125" s="38"/>
      <c r="T125" s="472"/>
      <c r="U125" s="82"/>
      <c r="V125" s="82"/>
      <c r="W125" s="470"/>
    </row>
    <row r="126" spans="2:23" x14ac:dyDescent="0.2">
      <c r="B126" s="85"/>
      <c r="C126" s="458"/>
      <c r="D126" s="89"/>
      <c r="E126" s="38"/>
      <c r="F126" s="487"/>
      <c r="G126" s="82"/>
      <c r="H126" s="544"/>
      <c r="I126" s="544"/>
      <c r="J126" s="82"/>
      <c r="K126" s="44"/>
      <c r="L126" s="38"/>
      <c r="M126" s="487"/>
      <c r="N126" s="82"/>
      <c r="O126" s="544"/>
      <c r="P126" s="544"/>
      <c r="Q126" s="82"/>
      <c r="R126" s="44"/>
      <c r="S126" s="38"/>
      <c r="T126" s="487"/>
      <c r="U126" s="82"/>
      <c r="V126" s="82"/>
      <c r="W126" s="470"/>
    </row>
    <row r="127" spans="2:23" x14ac:dyDescent="0.2">
      <c r="B127" s="85" t="s">
        <v>98</v>
      </c>
      <c r="C127" s="458"/>
      <c r="D127" s="89"/>
      <c r="E127" s="44"/>
      <c r="F127" s="458"/>
      <c r="G127" s="44"/>
      <c r="H127" s="552"/>
      <c r="I127" s="552"/>
      <c r="J127" s="44"/>
      <c r="K127" s="44"/>
      <c r="L127" s="44"/>
      <c r="M127" s="458"/>
      <c r="N127" s="44"/>
      <c r="O127" s="552"/>
      <c r="P127" s="552"/>
      <c r="Q127" s="44"/>
      <c r="R127" s="44"/>
      <c r="S127" s="44"/>
      <c r="T127" s="458"/>
      <c r="U127" s="44"/>
      <c r="V127" s="44"/>
      <c r="W127" s="492"/>
    </row>
    <row r="128" spans="2:23" x14ac:dyDescent="0.2">
      <c r="B128" s="85" t="s">
        <v>105</v>
      </c>
      <c r="C128" s="473">
        <v>0.1084</v>
      </c>
      <c r="D128" s="75">
        <v>0.12488</v>
      </c>
      <c r="E128" s="38">
        <v>22292868.215119526</v>
      </c>
      <c r="F128" s="472">
        <f t="shared" ref="F128:F130" si="10">SUM(+E128*C128)</f>
        <v>2416546.9145189566</v>
      </c>
      <c r="G128" s="82">
        <f>SUM(+E128*D128)</f>
        <v>2783933.3827041266</v>
      </c>
      <c r="H128" s="544"/>
      <c r="I128" s="544"/>
      <c r="J128" s="82"/>
      <c r="K128" s="44"/>
      <c r="L128" s="38">
        <v>22106956.690598253</v>
      </c>
      <c r="M128" s="472">
        <f>SUM(+L128*C128)</f>
        <v>2396394.1052608504</v>
      </c>
      <c r="N128" s="82">
        <f>SUM(+L128*D128)</f>
        <v>2760716.7515219101</v>
      </c>
      <c r="O128" s="544"/>
      <c r="P128" s="544"/>
      <c r="Q128" s="82"/>
      <c r="R128" s="44"/>
      <c r="S128" s="38"/>
      <c r="T128" s="472"/>
      <c r="U128" s="82"/>
      <c r="V128" s="82"/>
      <c r="W128" s="470"/>
    </row>
    <row r="129" spans="2:23" x14ac:dyDescent="0.2">
      <c r="B129" s="85" t="s">
        <v>106</v>
      </c>
      <c r="C129" s="473">
        <v>5.3650000000000003E-2</v>
      </c>
      <c r="D129" s="75">
        <v>5.9339999999999997E-2</v>
      </c>
      <c r="E129" s="38">
        <v>15820769.939721871</v>
      </c>
      <c r="F129" s="472">
        <f t="shared" si="10"/>
        <v>848784.30726607842</v>
      </c>
      <c r="G129" s="82">
        <f>SUM(+E129*D129)</f>
        <v>938804.48822309577</v>
      </c>
      <c r="H129" s="544"/>
      <c r="I129" s="544"/>
      <c r="J129" s="82"/>
      <c r="K129" s="44"/>
      <c r="L129" s="38">
        <v>15692698.519526683</v>
      </c>
      <c r="M129" s="472">
        <f t="shared" ref="M129:M130" si="11">SUM(+L129*C129)</f>
        <v>841913.2755726066</v>
      </c>
      <c r="N129" s="82">
        <f>SUM(+L129*D129)</f>
        <v>931204.73014871334</v>
      </c>
      <c r="O129" s="544"/>
      <c r="P129" s="544"/>
      <c r="Q129" s="82"/>
      <c r="R129" s="44"/>
      <c r="S129" s="38"/>
      <c r="T129" s="472"/>
      <c r="U129" s="82"/>
      <c r="V129" s="82"/>
      <c r="W129" s="470"/>
    </row>
    <row r="130" spans="2:23" x14ac:dyDescent="0.2">
      <c r="B130" s="85" t="s">
        <v>108</v>
      </c>
      <c r="C130" s="473">
        <v>5.1319999999999998E-2</v>
      </c>
      <c r="D130" s="75">
        <v>5.6770000000000001E-2</v>
      </c>
      <c r="E130" s="38">
        <v>24673879.845158603</v>
      </c>
      <c r="F130" s="472">
        <f t="shared" si="10"/>
        <v>1266263.5136535394</v>
      </c>
      <c r="G130" s="82">
        <f>SUM(+E130*D130)</f>
        <v>1400736.1588096539</v>
      </c>
      <c r="H130" s="544"/>
      <c r="I130" s="544"/>
      <c r="J130" s="82"/>
      <c r="K130" s="44"/>
      <c r="L130" s="38">
        <v>24489270.789875064</v>
      </c>
      <c r="M130" s="472">
        <f t="shared" si="11"/>
        <v>1256789.3769363882</v>
      </c>
      <c r="N130" s="82">
        <f>SUM(+L130*D130)</f>
        <v>1390255.9027412075</v>
      </c>
      <c r="O130" s="544"/>
      <c r="P130" s="544"/>
      <c r="Q130" s="82"/>
      <c r="R130" s="44"/>
      <c r="S130" s="38"/>
      <c r="T130" s="463"/>
      <c r="U130" s="78"/>
      <c r="V130" s="82"/>
      <c r="W130" s="470"/>
    </row>
    <row r="131" spans="2:23" x14ac:dyDescent="0.2">
      <c r="B131" s="72" t="s">
        <v>125</v>
      </c>
      <c r="C131" s="486"/>
      <c r="D131" s="89"/>
      <c r="E131" s="15">
        <f>SUM(E128:E130)</f>
        <v>62787518</v>
      </c>
      <c r="F131" s="495">
        <f>SUM(F123:F130)</f>
        <v>6158181.5454385746</v>
      </c>
      <c r="G131" s="128">
        <f>SUM(G123:G130)</f>
        <v>6841177.3197368756</v>
      </c>
      <c r="H131" s="555"/>
      <c r="I131" s="555"/>
      <c r="J131" s="88"/>
      <c r="K131" s="44"/>
      <c r="L131" s="15">
        <f>SUM(L128:L130)</f>
        <v>62288926</v>
      </c>
      <c r="M131" s="495">
        <f>SUM(M123:M130)</f>
        <v>6121683.567769845</v>
      </c>
      <c r="N131" s="128">
        <f>SUM(N123:N130)</f>
        <v>6799880.6744118314</v>
      </c>
      <c r="O131" s="555"/>
      <c r="P131" s="555"/>
      <c r="Q131" s="88"/>
      <c r="R131" s="44"/>
      <c r="S131" s="15"/>
      <c r="T131" s="497"/>
      <c r="U131" s="88"/>
      <c r="V131" s="88"/>
      <c r="W131" s="470"/>
    </row>
    <row r="132" spans="2:23" x14ac:dyDescent="0.2">
      <c r="B132" s="72"/>
      <c r="C132" s="486"/>
      <c r="D132" s="89"/>
      <c r="E132" s="38"/>
      <c r="F132" s="487"/>
      <c r="G132" s="88"/>
      <c r="H132" s="555"/>
      <c r="I132" s="555"/>
      <c r="J132" s="88"/>
      <c r="K132" s="44"/>
      <c r="L132" s="38"/>
      <c r="M132" s="487"/>
      <c r="N132" s="88"/>
      <c r="O132" s="555"/>
      <c r="P132" s="555"/>
      <c r="Q132" s="88"/>
      <c r="R132" s="44"/>
      <c r="S132" s="38"/>
      <c r="T132" s="498"/>
      <c r="U132" s="130"/>
      <c r="V132" s="88"/>
      <c r="W132" s="265"/>
    </row>
    <row r="133" spans="2:23" x14ac:dyDescent="0.2">
      <c r="B133" s="499" t="s">
        <v>123</v>
      </c>
      <c r="C133" s="500"/>
      <c r="D133" s="89"/>
      <c r="E133" s="38"/>
      <c r="F133" s="495">
        <f>F131</f>
        <v>6158181.5454385746</v>
      </c>
      <c r="G133" s="128">
        <f>G131</f>
        <v>6841177.3197368756</v>
      </c>
      <c r="H133" s="555"/>
      <c r="I133" s="555"/>
      <c r="J133" s="88"/>
      <c r="K133" s="44"/>
      <c r="L133" s="38"/>
      <c r="M133" s="495">
        <f>M131</f>
        <v>6121683.567769845</v>
      </c>
      <c r="N133" s="128">
        <f>N131</f>
        <v>6799880.6744118314</v>
      </c>
      <c r="O133" s="555"/>
      <c r="P133" s="555"/>
      <c r="Q133" s="88"/>
      <c r="R133" s="44"/>
      <c r="S133" s="38"/>
      <c r="T133" s="497"/>
      <c r="U133" s="88"/>
      <c r="V133" s="88"/>
      <c r="W133" s="265"/>
    </row>
    <row r="134" spans="2:23" x14ac:dyDescent="0.2">
      <c r="B134" s="85" t="s">
        <v>238</v>
      </c>
      <c r="C134" s="458"/>
      <c r="D134" s="89"/>
      <c r="E134" s="38"/>
      <c r="F134" s="487"/>
      <c r="G134" s="88"/>
      <c r="H134" s="546">
        <f>H$102*E131</f>
        <v>404351.61592000001</v>
      </c>
      <c r="I134" s="546">
        <f>I$102*E131</f>
        <v>369190.60583999997</v>
      </c>
      <c r="J134" s="82"/>
      <c r="K134" s="44"/>
      <c r="L134" s="38"/>
      <c r="M134" s="487"/>
      <c r="N134" s="88"/>
      <c r="O134" s="546">
        <f>O$102*L131</f>
        <v>-79729.825280000005</v>
      </c>
      <c r="P134" s="546">
        <f>P$102*L131</f>
        <v>1207782.27514</v>
      </c>
      <c r="Q134" s="82"/>
      <c r="R134" s="44"/>
      <c r="S134" s="38"/>
      <c r="T134" s="487"/>
      <c r="U134" s="38"/>
      <c r="V134" s="78"/>
      <c r="W134" s="480"/>
    </row>
    <row r="135" spans="2:23" x14ac:dyDescent="0.2">
      <c r="B135" s="91" t="str">
        <f>"Total "&amp;B121</f>
        <v>Total Schedule 85 - Transportation</v>
      </c>
      <c r="C135" s="484"/>
      <c r="D135" s="89"/>
      <c r="E135" s="38"/>
      <c r="F135" s="487"/>
      <c r="G135" s="88"/>
      <c r="H135" s="544"/>
      <c r="I135" s="548">
        <f>G133+H134+I134</f>
        <v>7614719.5414968757</v>
      </c>
      <c r="J135" s="92"/>
      <c r="K135" s="44"/>
      <c r="L135" s="38"/>
      <c r="M135" s="487"/>
      <c r="N135" s="88"/>
      <c r="O135" s="544"/>
      <c r="P135" s="548">
        <f>N133+O134+P134</f>
        <v>7927933.1242718305</v>
      </c>
      <c r="Q135" s="92"/>
      <c r="R135" s="44"/>
      <c r="S135" s="38"/>
      <c r="T135" s="487"/>
      <c r="U135" s="38"/>
      <c r="V135" s="476"/>
      <c r="W135" s="501"/>
    </row>
    <row r="136" spans="2:23" x14ac:dyDescent="0.2">
      <c r="B136" s="76"/>
      <c r="C136" s="461"/>
      <c r="D136" s="129"/>
      <c r="E136" s="77"/>
      <c r="F136" s="461"/>
      <c r="G136" s="77"/>
      <c r="H136" s="553"/>
      <c r="I136" s="553"/>
      <c r="J136" s="77"/>
      <c r="K136" s="77"/>
      <c r="L136" s="77"/>
      <c r="M136" s="461"/>
      <c r="N136" s="77"/>
      <c r="O136" s="553"/>
      <c r="P136" s="553"/>
      <c r="Q136" s="77"/>
      <c r="R136" s="77"/>
      <c r="S136" s="77"/>
      <c r="T136" s="461"/>
      <c r="U136" s="77"/>
      <c r="V136" s="77"/>
      <c r="W136" s="493"/>
    </row>
    <row r="137" spans="2:23" x14ac:dyDescent="0.2">
      <c r="B137" s="44"/>
      <c r="C137" s="458"/>
      <c r="D137" s="75"/>
      <c r="G137" s="41"/>
      <c r="H137" s="544"/>
      <c r="I137" s="544"/>
      <c r="J137" s="82"/>
      <c r="K137" s="41"/>
      <c r="N137" s="41"/>
      <c r="O137" s="551"/>
      <c r="P137" s="551"/>
      <c r="Q137" s="82"/>
      <c r="R137" s="41"/>
      <c r="U137" s="41"/>
      <c r="V137" s="41"/>
      <c r="W137" s="41"/>
    </row>
    <row r="138" spans="2:23" x14ac:dyDescent="0.2">
      <c r="B138" s="451" t="s">
        <v>242</v>
      </c>
      <c r="C138" s="452"/>
      <c r="D138" s="71"/>
      <c r="E138" s="15">
        <f>E146+E166</f>
        <v>6233899</v>
      </c>
      <c r="F138" s="453"/>
      <c r="G138" s="102"/>
      <c r="H138" s="540">
        <v>32727.069526211297</v>
      </c>
      <c r="I138" s="540">
        <v>29901.242234689889</v>
      </c>
      <c r="J138" s="454">
        <v>2774.6506744699045</v>
      </c>
      <c r="K138" s="455"/>
      <c r="L138" s="15">
        <f>L146+L166</f>
        <v>6068110</v>
      </c>
      <c r="M138" s="453"/>
      <c r="N138" s="455"/>
      <c r="O138" s="540">
        <v>-6430.5762658672829</v>
      </c>
      <c r="P138" s="540">
        <v>97401.98517395879</v>
      </c>
      <c r="Q138" s="454">
        <v>2696.3070268991123</v>
      </c>
      <c r="R138" s="455"/>
      <c r="S138" s="15"/>
      <c r="T138" s="453"/>
      <c r="U138" s="456"/>
      <c r="V138" s="102"/>
      <c r="W138" s="457"/>
    </row>
    <row r="139" spans="2:23" x14ac:dyDescent="0.2">
      <c r="B139" s="85"/>
      <c r="C139" s="458"/>
      <c r="D139" s="44"/>
      <c r="E139" s="44"/>
      <c r="F139" s="458"/>
      <c r="G139" s="124" t="s">
        <v>236</v>
      </c>
      <c r="H139" s="541">
        <f>ROUND(H138/E138, 5)</f>
        <v>5.2500000000000003E-3</v>
      </c>
      <c r="I139" s="541">
        <f>ROUND(I138/E138, 5)</f>
        <v>4.7999999999999996E-3</v>
      </c>
      <c r="J139" s="459">
        <f>ROUND(J138/E152, 5)</f>
        <v>4.8999999999999998E-4</v>
      </c>
      <c r="L139" s="44"/>
      <c r="M139" s="458"/>
      <c r="N139" s="89"/>
      <c r="O139" s="541">
        <f>ROUND(O138/L138, 5)</f>
        <v>-1.06E-3</v>
      </c>
      <c r="P139" s="541">
        <f>ROUND(P138/L138, 5)</f>
        <v>1.6049999999999998E-2</v>
      </c>
      <c r="Q139" s="459">
        <f>ROUND(Q138/L152, 5)</f>
        <v>4.8999999999999998E-4</v>
      </c>
      <c r="S139" s="44"/>
      <c r="T139" s="458"/>
      <c r="U139" s="89"/>
      <c r="V139" s="75"/>
      <c r="W139" s="460"/>
    </row>
    <row r="140" spans="2:23" x14ac:dyDescent="0.2">
      <c r="B140" s="76"/>
      <c r="C140" s="461"/>
      <c r="D140" s="77"/>
      <c r="E140" s="462" t="s">
        <v>221</v>
      </c>
      <c r="F140" s="463">
        <f>F152+F168</f>
        <v>1247670.0419045878</v>
      </c>
      <c r="G140" s="78">
        <f>G152+G168</f>
        <v>1301149.7270639944</v>
      </c>
      <c r="H140" s="542"/>
      <c r="I140" s="542"/>
      <c r="J140" s="464"/>
      <c r="K140" s="123"/>
      <c r="L140" s="462" t="s">
        <v>221</v>
      </c>
      <c r="M140" s="463">
        <f>M152+M168</f>
        <v>1211985.7785573273</v>
      </c>
      <c r="N140" s="78">
        <f>N152+N168</f>
        <v>1264029.5076047436</v>
      </c>
      <c r="O140" s="542"/>
      <c r="P140" s="542"/>
      <c r="Q140" s="464"/>
      <c r="R140" s="123"/>
      <c r="S140" s="462"/>
      <c r="T140" s="463"/>
      <c r="U140" s="78"/>
      <c r="V140" s="464"/>
      <c r="W140" s="480"/>
    </row>
    <row r="141" spans="2:23" x14ac:dyDescent="0.2">
      <c r="B141" s="489"/>
      <c r="C141" s="490"/>
      <c r="D141" s="491"/>
      <c r="E141" s="244"/>
      <c r="F141" s="482"/>
      <c r="G141" s="244"/>
      <c r="H141" s="549"/>
      <c r="I141" s="549"/>
      <c r="J141" s="244"/>
      <c r="K141" s="244"/>
      <c r="L141" s="244"/>
      <c r="M141" s="482"/>
      <c r="N141" s="244"/>
      <c r="O141" s="549"/>
      <c r="P141" s="549"/>
      <c r="Q141" s="244"/>
      <c r="R141" s="244"/>
      <c r="S141" s="244"/>
      <c r="T141" s="482"/>
      <c r="U141" s="244"/>
      <c r="V141" s="244"/>
      <c r="W141" s="244"/>
    </row>
    <row r="142" spans="2:23" x14ac:dyDescent="0.2">
      <c r="B142" s="84" t="s">
        <v>148</v>
      </c>
      <c r="C142" s="481"/>
      <c r="D142" s="496"/>
      <c r="E142" s="244"/>
      <c r="F142" s="482"/>
      <c r="G142" s="244"/>
      <c r="H142" s="549"/>
      <c r="I142" s="549"/>
      <c r="J142" s="244"/>
      <c r="K142" s="244"/>
      <c r="L142" s="244"/>
      <c r="M142" s="482"/>
      <c r="N142" s="244"/>
      <c r="O142" s="549"/>
      <c r="P142" s="549"/>
      <c r="Q142" s="244"/>
      <c r="R142" s="244"/>
      <c r="S142" s="244"/>
      <c r="T142" s="482"/>
      <c r="U142" s="244"/>
      <c r="V142" s="244"/>
      <c r="W142" s="483"/>
    </row>
    <row r="143" spans="2:23" x14ac:dyDescent="0.2">
      <c r="B143" s="85"/>
      <c r="C143" s="458"/>
      <c r="D143" s="75"/>
      <c r="E143" s="44"/>
      <c r="F143" s="458"/>
      <c r="G143" s="44"/>
      <c r="H143" s="552"/>
      <c r="I143" s="552"/>
      <c r="J143" s="44"/>
      <c r="K143" s="44"/>
      <c r="L143" s="44"/>
      <c r="M143" s="458"/>
      <c r="N143" s="44"/>
      <c r="O143" s="552"/>
      <c r="P143" s="552"/>
      <c r="Q143" s="44"/>
      <c r="R143" s="44"/>
      <c r="S143" s="44"/>
      <c r="T143" s="458"/>
      <c r="U143" s="44"/>
      <c r="V143" s="44"/>
      <c r="W143" s="492"/>
    </row>
    <row r="144" spans="2:23" x14ac:dyDescent="0.2">
      <c r="B144" s="72" t="s">
        <v>89</v>
      </c>
      <c r="C144" s="471">
        <v>148.82</v>
      </c>
      <c r="D144" s="89">
        <v>148.82</v>
      </c>
      <c r="E144" s="38">
        <v>1194</v>
      </c>
      <c r="F144" s="472">
        <f t="shared" ref="F144:F146" si="12">SUM(+E144*C144)</f>
        <v>177691.08</v>
      </c>
      <c r="G144" s="82">
        <f>SUM(+E144*D144)</f>
        <v>177691.08</v>
      </c>
      <c r="H144" s="544"/>
      <c r="I144" s="544"/>
      <c r="J144" s="82"/>
      <c r="K144" s="44"/>
      <c r="L144" s="38">
        <v>1128</v>
      </c>
      <c r="M144" s="472">
        <f t="shared" ref="M144:M146" si="13">SUM(+L144*C144)</f>
        <v>167868.96</v>
      </c>
      <c r="N144" s="82">
        <f>SUM(+L144*D144)</f>
        <v>167868.96</v>
      </c>
      <c r="O144" s="544"/>
      <c r="P144" s="544"/>
      <c r="Q144" s="82"/>
      <c r="R144" s="44"/>
      <c r="S144" s="38"/>
      <c r="T144" s="472"/>
      <c r="U144" s="82"/>
      <c r="V144" s="82"/>
      <c r="W144" s="470"/>
    </row>
    <row r="145" spans="2:23" x14ac:dyDescent="0.2">
      <c r="B145" s="85" t="s">
        <v>97</v>
      </c>
      <c r="C145" s="473">
        <v>1.35</v>
      </c>
      <c r="D145" s="75">
        <v>1.35</v>
      </c>
      <c r="E145" s="38">
        <v>38184</v>
      </c>
      <c r="F145" s="472">
        <f t="shared" si="12"/>
        <v>51548.4</v>
      </c>
      <c r="G145" s="82">
        <f>SUM(+E145*D145)</f>
        <v>51548.4</v>
      </c>
      <c r="H145" s="544"/>
      <c r="I145" s="544"/>
      <c r="J145" s="82"/>
      <c r="K145" s="44"/>
      <c r="L145" s="38">
        <v>38184</v>
      </c>
      <c r="M145" s="472">
        <f t="shared" si="13"/>
        <v>51548.4</v>
      </c>
      <c r="N145" s="82">
        <f>SUM(+L145*D145)</f>
        <v>51548.4</v>
      </c>
      <c r="O145" s="544"/>
      <c r="P145" s="544"/>
      <c r="Q145" s="82"/>
      <c r="R145" s="44"/>
      <c r="S145" s="38"/>
      <c r="T145" s="472"/>
      <c r="U145" s="82"/>
      <c r="V145" s="82"/>
      <c r="W145" s="470"/>
    </row>
    <row r="146" spans="2:23" x14ac:dyDescent="0.2">
      <c r="B146" s="85" t="s">
        <v>94</v>
      </c>
      <c r="C146" s="473">
        <v>1.222E-2</v>
      </c>
      <c r="D146" s="75">
        <v>1.222E-2</v>
      </c>
      <c r="E146" s="38">
        <f>E152</f>
        <v>5691490</v>
      </c>
      <c r="F146" s="472">
        <f t="shared" si="12"/>
        <v>69550.007800000007</v>
      </c>
      <c r="G146" s="82">
        <f>SUM(+E146*D146)</f>
        <v>69550.007800000007</v>
      </c>
      <c r="H146" s="544"/>
      <c r="I146" s="544"/>
      <c r="J146" s="82"/>
      <c r="K146" s="44"/>
      <c r="L146" s="38">
        <f>L152</f>
        <v>5489408</v>
      </c>
      <c r="M146" s="472">
        <f t="shared" si="13"/>
        <v>67080.565759999998</v>
      </c>
      <c r="N146" s="82">
        <f>SUM(+L146*D146)</f>
        <v>67080.565759999998</v>
      </c>
      <c r="O146" s="544"/>
      <c r="P146" s="544"/>
      <c r="Q146" s="82"/>
      <c r="R146" s="44"/>
      <c r="S146" s="38"/>
      <c r="T146" s="472"/>
      <c r="U146" s="82"/>
      <c r="V146" s="82"/>
      <c r="W146" s="470"/>
    </row>
    <row r="147" spans="2:23" x14ac:dyDescent="0.2">
      <c r="B147" s="85" t="s">
        <v>104</v>
      </c>
      <c r="C147" s="458"/>
      <c r="D147" s="75"/>
      <c r="E147" s="38"/>
      <c r="F147" s="487">
        <f>G147</f>
        <v>7612.77</v>
      </c>
      <c r="G147" s="82">
        <v>7612.77</v>
      </c>
      <c r="H147" s="544"/>
      <c r="I147" s="544"/>
      <c r="J147" s="82"/>
      <c r="K147" s="44"/>
      <c r="L147" s="38"/>
      <c r="M147" s="487">
        <f>N147</f>
        <v>7612.77</v>
      </c>
      <c r="N147" s="82">
        <v>7612.77</v>
      </c>
      <c r="O147" s="544"/>
      <c r="P147" s="544"/>
      <c r="Q147" s="82"/>
      <c r="R147" s="44"/>
      <c r="S147" s="38"/>
      <c r="T147" s="487"/>
      <c r="U147" s="82"/>
      <c r="V147" s="82"/>
      <c r="W147" s="470"/>
    </row>
    <row r="148" spans="2:23" x14ac:dyDescent="0.2">
      <c r="B148" s="85"/>
      <c r="C148" s="458"/>
      <c r="D148" s="75"/>
      <c r="E148" s="44"/>
      <c r="F148" s="458"/>
      <c r="G148" s="44"/>
      <c r="H148" s="552"/>
      <c r="I148" s="552"/>
      <c r="J148" s="44"/>
      <c r="K148" s="44"/>
      <c r="L148" s="44"/>
      <c r="M148" s="458"/>
      <c r="N148" s="44"/>
      <c r="O148" s="552"/>
      <c r="P148" s="552"/>
      <c r="Q148" s="44"/>
      <c r="R148" s="44"/>
      <c r="S148" s="44"/>
      <c r="T148" s="458"/>
      <c r="U148" s="44"/>
      <c r="V148" s="44"/>
      <c r="W148" s="492"/>
    </row>
    <row r="149" spans="2:23" x14ac:dyDescent="0.2">
      <c r="B149" s="85" t="s">
        <v>98</v>
      </c>
      <c r="C149" s="458"/>
      <c r="D149" s="75"/>
      <c r="E149" s="44"/>
      <c r="F149" s="458"/>
      <c r="G149" s="44"/>
      <c r="H149" s="552"/>
      <c r="I149" s="552"/>
      <c r="J149" s="44"/>
      <c r="K149" s="44"/>
      <c r="L149" s="44"/>
      <c r="M149" s="458"/>
      <c r="N149" s="44"/>
      <c r="O149" s="552"/>
      <c r="P149" s="552"/>
      <c r="Q149" s="44"/>
      <c r="R149" s="44"/>
      <c r="S149" s="44"/>
      <c r="T149" s="458"/>
      <c r="U149" s="44"/>
      <c r="V149" s="44"/>
      <c r="W149" s="492"/>
    </row>
    <row r="150" spans="2:23" x14ac:dyDescent="0.2">
      <c r="B150" s="85" t="s">
        <v>109</v>
      </c>
      <c r="C150" s="473">
        <v>0.18382000000000001</v>
      </c>
      <c r="D150" s="75">
        <v>0.1951</v>
      </c>
      <c r="E150" s="38">
        <v>1046420.020336004</v>
      </c>
      <c r="F150" s="472">
        <f t="shared" ref="F150:F151" si="14">SUM(+E150*C150)</f>
        <v>192352.92813816425</v>
      </c>
      <c r="G150" s="82">
        <f>SUM(+E150*D150)</f>
        <v>204156.54596755438</v>
      </c>
      <c r="H150" s="544"/>
      <c r="I150" s="544"/>
      <c r="J150" s="82"/>
      <c r="K150" s="44"/>
      <c r="L150" s="38">
        <v>1009396.7998300681</v>
      </c>
      <c r="M150" s="472">
        <f t="shared" ref="M150:M151" si="15">SUM(+L150*C150)</f>
        <v>185547.31974476314</v>
      </c>
      <c r="N150" s="82">
        <f>SUM(+L150*D150)</f>
        <v>196933.31564684628</v>
      </c>
      <c r="O150" s="544"/>
      <c r="P150" s="544"/>
      <c r="Q150" s="82"/>
      <c r="R150" s="44"/>
      <c r="S150" s="38"/>
      <c r="T150" s="472"/>
      <c r="U150" s="82"/>
      <c r="V150" s="82"/>
      <c r="W150" s="492"/>
    </row>
    <row r="151" spans="2:23" x14ac:dyDescent="0.2">
      <c r="B151" s="85" t="s">
        <v>110</v>
      </c>
      <c r="C151" s="473">
        <v>0.13031000000000001</v>
      </c>
      <c r="D151" s="75">
        <v>0.13830999999999999</v>
      </c>
      <c r="E151" s="38">
        <v>4645069.979663996</v>
      </c>
      <c r="F151" s="472">
        <f t="shared" si="14"/>
        <v>605299.06905001542</v>
      </c>
      <c r="G151" s="82">
        <f>SUM(+E151*D151)</f>
        <v>642459.62888732727</v>
      </c>
      <c r="H151" s="544"/>
      <c r="I151" s="544"/>
      <c r="J151" s="82"/>
      <c r="K151" s="44"/>
      <c r="L151" s="38">
        <v>4480011.2001699321</v>
      </c>
      <c r="M151" s="472">
        <f t="shared" si="15"/>
        <v>583790.25949414389</v>
      </c>
      <c r="N151" s="82">
        <f>SUM(+L151*D151)</f>
        <v>619630.34909550322</v>
      </c>
      <c r="O151" s="544"/>
      <c r="P151" s="544"/>
      <c r="Q151" s="82"/>
      <c r="R151" s="44"/>
      <c r="S151" s="38"/>
      <c r="T151" s="463"/>
      <c r="U151" s="78"/>
      <c r="V151" s="82"/>
      <c r="W151" s="492"/>
    </row>
    <row r="152" spans="2:23" x14ac:dyDescent="0.2">
      <c r="B152" s="499" t="s">
        <v>123</v>
      </c>
      <c r="C152" s="500"/>
      <c r="D152" s="75"/>
      <c r="E152" s="15">
        <f>SUM(E150:E151)</f>
        <v>5691490</v>
      </c>
      <c r="F152" s="495">
        <f>SUM(F144:F151)</f>
        <v>1104054.2549881795</v>
      </c>
      <c r="G152" s="128">
        <f>SUM(G144:G151)</f>
        <v>1153018.4326548816</v>
      </c>
      <c r="H152" s="555"/>
      <c r="I152" s="555"/>
      <c r="J152" s="88"/>
      <c r="K152" s="44"/>
      <c r="L152" s="15">
        <f>SUM(L150:L151)</f>
        <v>5489408</v>
      </c>
      <c r="M152" s="495">
        <f>SUM(M144:M151)</f>
        <v>1063448.274998907</v>
      </c>
      <c r="N152" s="128">
        <f>SUM(N144:N151)</f>
        <v>1110674.3605023497</v>
      </c>
      <c r="O152" s="555"/>
      <c r="P152" s="555"/>
      <c r="Q152" s="88"/>
      <c r="R152" s="44"/>
      <c r="S152" s="15"/>
      <c r="T152" s="497"/>
      <c r="U152" s="88"/>
      <c r="V152" s="88"/>
      <c r="W152" s="492"/>
    </row>
    <row r="153" spans="2:23" x14ac:dyDescent="0.2">
      <c r="B153" s="85" t="s">
        <v>238</v>
      </c>
      <c r="C153" s="458"/>
      <c r="D153" s="89"/>
      <c r="E153" s="38"/>
      <c r="F153" s="487"/>
      <c r="G153" s="88"/>
      <c r="H153" s="546">
        <f>H$139*E152</f>
        <v>29880.322500000002</v>
      </c>
      <c r="I153" s="546">
        <f>I$139*E152</f>
        <v>27319.151999999998</v>
      </c>
      <c r="J153" s="475">
        <f>J$139*E152</f>
        <v>2788.8301000000001</v>
      </c>
      <c r="K153" s="44"/>
      <c r="L153" s="38"/>
      <c r="M153" s="487"/>
      <c r="N153" s="88"/>
      <c r="O153" s="546">
        <f>O$139*L152</f>
        <v>-5818.7724799999996</v>
      </c>
      <c r="P153" s="546">
        <f>P$139*L152</f>
        <v>88104.998399999997</v>
      </c>
      <c r="Q153" s="475">
        <f>Q$139*L152</f>
        <v>2689.8099199999997</v>
      </c>
      <c r="R153" s="44"/>
      <c r="S153" s="38"/>
      <c r="T153" s="487"/>
      <c r="U153" s="38"/>
      <c r="V153" s="78"/>
      <c r="W153" s="480"/>
    </row>
    <row r="154" spans="2:23" x14ac:dyDescent="0.2">
      <c r="B154" s="91" t="str">
        <f>"Total "&amp;B142</f>
        <v>Total Schedule 86 - Sales</v>
      </c>
      <c r="C154" s="484"/>
      <c r="D154" s="89"/>
      <c r="E154" s="38"/>
      <c r="F154" s="487"/>
      <c r="G154" s="88"/>
      <c r="H154" s="544"/>
      <c r="I154" s="548">
        <f>G152+H153+I153</f>
        <v>1210217.9071548816</v>
      </c>
      <c r="J154" s="92"/>
      <c r="K154" s="44"/>
      <c r="L154" s="38"/>
      <c r="M154" s="487"/>
      <c r="N154" s="88"/>
      <c r="O154" s="544"/>
      <c r="P154" s="548">
        <f>N152+O153+P153</f>
        <v>1192960.5864223496</v>
      </c>
      <c r="Q154" s="92"/>
      <c r="R154" s="44"/>
      <c r="S154" s="38"/>
      <c r="T154" s="487"/>
      <c r="U154" s="38"/>
      <c r="V154" s="476"/>
      <c r="W154" s="501"/>
    </row>
    <row r="155" spans="2:23" x14ac:dyDescent="0.2">
      <c r="B155" s="76"/>
      <c r="C155" s="461"/>
      <c r="D155" s="132"/>
      <c r="E155" s="77"/>
      <c r="F155" s="461"/>
      <c r="G155" s="77"/>
      <c r="H155" s="553"/>
      <c r="I155" s="553"/>
      <c r="J155" s="77"/>
      <c r="K155" s="77"/>
      <c r="L155" s="77"/>
      <c r="M155" s="461"/>
      <c r="N155" s="77"/>
      <c r="O155" s="553"/>
      <c r="P155" s="553"/>
      <c r="Q155" s="77"/>
      <c r="R155" s="77"/>
      <c r="S155" s="77"/>
      <c r="T155" s="461"/>
      <c r="U155" s="77"/>
      <c r="V155" s="77"/>
      <c r="W155" s="493"/>
    </row>
    <row r="156" spans="2:23" x14ac:dyDescent="0.2">
      <c r="B156" s="44"/>
      <c r="C156" s="458"/>
      <c r="D156" s="133"/>
      <c r="E156" s="44"/>
      <c r="F156" s="458"/>
      <c r="G156" s="44"/>
      <c r="H156" s="552"/>
      <c r="I156" s="552"/>
      <c r="J156" s="44"/>
      <c r="K156" s="44"/>
      <c r="L156" s="44"/>
      <c r="M156" s="458"/>
      <c r="N156" s="44"/>
      <c r="O156" s="552"/>
      <c r="P156" s="552"/>
      <c r="Q156" s="44"/>
      <c r="R156" s="44"/>
      <c r="S156" s="44"/>
      <c r="T156" s="458"/>
      <c r="U156" s="44"/>
      <c r="V156" s="44"/>
      <c r="W156" s="44"/>
    </row>
    <row r="157" spans="2:23" x14ac:dyDescent="0.2">
      <c r="B157" s="84" t="s">
        <v>150</v>
      </c>
      <c r="C157" s="481"/>
      <c r="D157" s="496"/>
      <c r="E157" s="244"/>
      <c r="F157" s="482"/>
      <c r="G157" s="244"/>
      <c r="H157" s="549"/>
      <c r="I157" s="549"/>
      <c r="J157" s="244"/>
      <c r="K157" s="244"/>
      <c r="L157" s="244"/>
      <c r="M157" s="482"/>
      <c r="N157" s="244"/>
      <c r="O157" s="549"/>
      <c r="P157" s="549"/>
      <c r="Q157" s="244"/>
      <c r="R157" s="244"/>
      <c r="S157" s="244"/>
      <c r="T157" s="482"/>
      <c r="U157" s="244"/>
      <c r="V157" s="244"/>
      <c r="W157" s="483"/>
    </row>
    <row r="158" spans="2:23" x14ac:dyDescent="0.2">
      <c r="B158" s="85"/>
      <c r="C158" s="458"/>
      <c r="D158" s="75"/>
      <c r="E158" s="44"/>
      <c r="F158" s="458"/>
      <c r="G158" s="44"/>
      <c r="H158" s="552"/>
      <c r="I158" s="552"/>
      <c r="J158" s="44"/>
      <c r="K158" s="44"/>
      <c r="L158" s="44"/>
      <c r="M158" s="458"/>
      <c r="N158" s="44"/>
      <c r="O158" s="552"/>
      <c r="P158" s="552"/>
      <c r="Q158" s="44"/>
      <c r="R158" s="44"/>
      <c r="S158" s="44"/>
      <c r="T158" s="458"/>
      <c r="U158" s="44"/>
      <c r="V158" s="44"/>
      <c r="W158" s="492"/>
    </row>
    <row r="159" spans="2:23" x14ac:dyDescent="0.2">
      <c r="B159" s="72" t="s">
        <v>89</v>
      </c>
      <c r="C159" s="471">
        <v>457.76</v>
      </c>
      <c r="D159" s="89">
        <v>457.76</v>
      </c>
      <c r="E159" s="38">
        <v>96</v>
      </c>
      <c r="F159" s="472">
        <f t="shared" ref="F159:F160" si="16">SUM(+E159*C159)</f>
        <v>43944.959999999999</v>
      </c>
      <c r="G159" s="82">
        <f>SUM(+E159*D159)</f>
        <v>43944.959999999999</v>
      </c>
      <c r="H159" s="544"/>
      <c r="I159" s="544"/>
      <c r="J159" s="82"/>
      <c r="K159" s="44"/>
      <c r="L159" s="38">
        <v>96</v>
      </c>
      <c r="M159" s="472">
        <f t="shared" ref="M159:M160" si="17">SUM(+L159*C159)</f>
        <v>43944.959999999999</v>
      </c>
      <c r="N159" s="82">
        <f>SUM(+L159*D159)</f>
        <v>43944.959999999999</v>
      </c>
      <c r="O159" s="544"/>
      <c r="P159" s="544"/>
      <c r="Q159" s="82"/>
      <c r="R159" s="44"/>
      <c r="S159" s="38"/>
      <c r="T159" s="472"/>
      <c r="U159" s="82"/>
      <c r="V159" s="82"/>
      <c r="W159" s="470"/>
    </row>
    <row r="160" spans="2:23" x14ac:dyDescent="0.2">
      <c r="B160" s="85" t="s">
        <v>97</v>
      </c>
      <c r="C160" s="471">
        <v>1.35</v>
      </c>
      <c r="D160" s="89">
        <v>1.35</v>
      </c>
      <c r="E160" s="38">
        <v>19344</v>
      </c>
      <c r="F160" s="472">
        <f t="shared" si="16"/>
        <v>26114.400000000001</v>
      </c>
      <c r="G160" s="82">
        <f>SUM(+E160*D160)</f>
        <v>26114.400000000001</v>
      </c>
      <c r="H160" s="544"/>
      <c r="I160" s="544"/>
      <c r="J160" s="82"/>
      <c r="K160" s="44"/>
      <c r="L160" s="38">
        <v>19344</v>
      </c>
      <c r="M160" s="472">
        <f t="shared" si="17"/>
        <v>26114.400000000001</v>
      </c>
      <c r="N160" s="82">
        <f>SUM(+L160*D160)</f>
        <v>26114.400000000001</v>
      </c>
      <c r="O160" s="544"/>
      <c r="P160" s="544"/>
      <c r="Q160" s="82"/>
      <c r="R160" s="44"/>
      <c r="S160" s="38"/>
      <c r="T160" s="472"/>
      <c r="U160" s="82"/>
      <c r="V160" s="82"/>
      <c r="W160" s="470"/>
    </row>
    <row r="161" spans="2:23" x14ac:dyDescent="0.2">
      <c r="B161" s="85" t="s">
        <v>104</v>
      </c>
      <c r="C161" s="473"/>
      <c r="D161" s="75"/>
      <c r="E161" s="38"/>
      <c r="F161" s="487"/>
      <c r="G161" s="82">
        <v>0</v>
      </c>
      <c r="H161" s="544"/>
      <c r="I161" s="544"/>
      <c r="J161" s="82"/>
      <c r="K161" s="44"/>
      <c r="L161" s="38"/>
      <c r="M161" s="487"/>
      <c r="N161" s="82">
        <v>0</v>
      </c>
      <c r="O161" s="544"/>
      <c r="P161" s="544"/>
      <c r="Q161" s="82"/>
      <c r="R161" s="44"/>
      <c r="S161" s="38"/>
      <c r="T161" s="487"/>
      <c r="U161" s="82"/>
      <c r="V161" s="82"/>
      <c r="W161" s="470"/>
    </row>
    <row r="162" spans="2:23" x14ac:dyDescent="0.2">
      <c r="B162" s="85"/>
      <c r="C162" s="473"/>
      <c r="D162" s="75"/>
      <c r="E162" s="38"/>
      <c r="F162" s="487"/>
      <c r="G162" s="82"/>
      <c r="H162" s="544"/>
      <c r="I162" s="544"/>
      <c r="J162" s="82"/>
      <c r="K162" s="44"/>
      <c r="L162" s="38"/>
      <c r="M162" s="487"/>
      <c r="N162" s="82"/>
      <c r="O162" s="544"/>
      <c r="P162" s="544"/>
      <c r="Q162" s="82"/>
      <c r="R162" s="44"/>
      <c r="S162" s="38"/>
      <c r="T162" s="487"/>
      <c r="U162" s="82"/>
      <c r="V162" s="82"/>
      <c r="W162" s="470"/>
    </row>
    <row r="163" spans="2:23" x14ac:dyDescent="0.2">
      <c r="B163" s="85" t="s">
        <v>98</v>
      </c>
      <c r="C163" s="473"/>
      <c r="D163" s="75"/>
      <c r="E163" s="44"/>
      <c r="F163" s="458"/>
      <c r="G163" s="44"/>
      <c r="H163" s="552"/>
      <c r="I163" s="552"/>
      <c r="J163" s="44"/>
      <c r="K163" s="44"/>
      <c r="L163" s="44"/>
      <c r="M163" s="458"/>
      <c r="N163" s="44"/>
      <c r="O163" s="552"/>
      <c r="P163" s="552"/>
      <c r="Q163" s="44"/>
      <c r="R163" s="44"/>
      <c r="S163" s="44"/>
      <c r="T163" s="458"/>
      <c r="U163" s="44"/>
      <c r="V163" s="44"/>
      <c r="W163" s="492"/>
    </row>
    <row r="164" spans="2:23" x14ac:dyDescent="0.2">
      <c r="B164" s="85" t="s">
        <v>109</v>
      </c>
      <c r="C164" s="473">
        <v>0.18382000000000001</v>
      </c>
      <c r="D164" s="75">
        <v>0.1951</v>
      </c>
      <c r="E164" s="38">
        <v>53730.333141622155</v>
      </c>
      <c r="F164" s="472">
        <f t="shared" ref="F164:F165" si="18">SUM(+E164*C164)</f>
        <v>9876.7098380929856</v>
      </c>
      <c r="G164" s="82">
        <f>SUM(+E164*D164)</f>
        <v>10482.787995930483</v>
      </c>
      <c r="H164" s="544"/>
      <c r="I164" s="544"/>
      <c r="J164" s="82"/>
      <c r="K164" s="44"/>
      <c r="L164" s="38">
        <v>57325.470723610815</v>
      </c>
      <c r="M164" s="472">
        <f t="shared" ref="M164:M165" si="19">SUM(+L164*C164)</f>
        <v>10537.56802841414</v>
      </c>
      <c r="N164" s="82">
        <f>SUM(+L164*D164)</f>
        <v>11184.19933817647</v>
      </c>
      <c r="O164" s="544"/>
      <c r="P164" s="544"/>
      <c r="Q164" s="82"/>
      <c r="R164" s="44"/>
      <c r="S164" s="38"/>
      <c r="T164" s="472"/>
      <c r="U164" s="82"/>
      <c r="V164" s="82"/>
      <c r="W164" s="492"/>
    </row>
    <row r="165" spans="2:23" x14ac:dyDescent="0.2">
      <c r="B165" s="85" t="s">
        <v>110</v>
      </c>
      <c r="C165" s="473">
        <v>0.13031000000000001</v>
      </c>
      <c r="D165" s="75">
        <v>0.13830999999999999</v>
      </c>
      <c r="E165" s="38">
        <v>488678.66685837781</v>
      </c>
      <c r="F165" s="472">
        <f t="shared" si="18"/>
        <v>63679.717078315218</v>
      </c>
      <c r="G165" s="82">
        <f>SUM(+E165*D165)</f>
        <v>67589.146413182229</v>
      </c>
      <c r="H165" s="544"/>
      <c r="I165" s="544"/>
      <c r="J165" s="82"/>
      <c r="K165" s="44"/>
      <c r="L165" s="38">
        <v>521376.5292763891</v>
      </c>
      <c r="M165" s="472">
        <f t="shared" si="19"/>
        <v>67940.575530006274</v>
      </c>
      <c r="N165" s="82">
        <f>SUM(+L165*D165)</f>
        <v>72111.587764217373</v>
      </c>
      <c r="O165" s="544"/>
      <c r="P165" s="544"/>
      <c r="Q165" s="82"/>
      <c r="R165" s="44"/>
      <c r="S165" s="38"/>
      <c r="T165" s="463"/>
      <c r="U165" s="78"/>
      <c r="V165" s="82"/>
      <c r="W165" s="492"/>
    </row>
    <row r="166" spans="2:23" x14ac:dyDescent="0.2">
      <c r="B166" s="72" t="s">
        <v>125</v>
      </c>
      <c r="C166" s="486"/>
      <c r="D166" s="75"/>
      <c r="E166" s="15">
        <f>SUM(E164:E165)</f>
        <v>542409</v>
      </c>
      <c r="F166" s="495">
        <f>SUM(F159:F165)</f>
        <v>143615.78691640819</v>
      </c>
      <c r="G166" s="128">
        <f>SUM(G159:G165)</f>
        <v>148131.29440911271</v>
      </c>
      <c r="H166" s="555"/>
      <c r="I166" s="555"/>
      <c r="J166" s="88"/>
      <c r="K166" s="44"/>
      <c r="L166" s="15">
        <f>SUM(L164:L165)</f>
        <v>578701.99999999988</v>
      </c>
      <c r="M166" s="495">
        <f>SUM(M159:M165)</f>
        <v>148537.5035584204</v>
      </c>
      <c r="N166" s="128">
        <f>SUM(N159:N165)</f>
        <v>153355.14710239385</v>
      </c>
      <c r="O166" s="555"/>
      <c r="P166" s="555"/>
      <c r="Q166" s="88"/>
      <c r="R166" s="44"/>
      <c r="S166" s="15"/>
      <c r="T166" s="497"/>
      <c r="U166" s="88"/>
      <c r="V166" s="88"/>
      <c r="W166" s="492"/>
    </row>
    <row r="167" spans="2:23" x14ac:dyDescent="0.2">
      <c r="B167" s="72"/>
      <c r="C167" s="486"/>
      <c r="D167" s="75"/>
      <c r="E167" s="38"/>
      <c r="F167" s="487"/>
      <c r="G167" s="88"/>
      <c r="H167" s="555"/>
      <c r="I167" s="555"/>
      <c r="J167" s="88"/>
      <c r="K167" s="44"/>
      <c r="L167" s="38"/>
      <c r="M167" s="487"/>
      <c r="N167" s="88"/>
      <c r="O167" s="555"/>
      <c r="P167" s="555"/>
      <c r="Q167" s="88"/>
      <c r="R167" s="44"/>
      <c r="S167" s="38"/>
      <c r="T167" s="487"/>
      <c r="U167" s="88"/>
      <c r="V167" s="88"/>
      <c r="W167" s="492"/>
    </row>
    <row r="168" spans="2:23" x14ac:dyDescent="0.2">
      <c r="B168" s="499" t="s">
        <v>123</v>
      </c>
      <c r="C168" s="500"/>
      <c r="D168" s="89"/>
      <c r="E168" s="89"/>
      <c r="F168" s="495">
        <f>F166</f>
        <v>143615.78691640819</v>
      </c>
      <c r="G168" s="128">
        <f>G166</f>
        <v>148131.29440911271</v>
      </c>
      <c r="H168" s="555"/>
      <c r="I168" s="555"/>
      <c r="J168" s="88"/>
      <c r="K168" s="44"/>
      <c r="L168" s="38"/>
      <c r="M168" s="495">
        <f>M166</f>
        <v>148537.5035584204</v>
      </c>
      <c r="N168" s="128">
        <f>N166</f>
        <v>153355.14710239385</v>
      </c>
      <c r="O168" s="555"/>
      <c r="P168" s="555"/>
      <c r="Q168" s="88"/>
      <c r="R168" s="44"/>
      <c r="S168" s="38"/>
      <c r="T168" s="495"/>
      <c r="U168" s="128"/>
      <c r="V168" s="88"/>
      <c r="W168" s="492"/>
    </row>
    <row r="169" spans="2:23" x14ac:dyDescent="0.2">
      <c r="B169" s="85" t="s">
        <v>238</v>
      </c>
      <c r="C169" s="458"/>
      <c r="D169" s="89"/>
      <c r="E169" s="38"/>
      <c r="F169" s="487"/>
      <c r="G169" s="88"/>
      <c r="H169" s="546">
        <f>H$139*E166</f>
        <v>2847.64725</v>
      </c>
      <c r="I169" s="546">
        <f>I$139*E166</f>
        <v>2603.5631999999996</v>
      </c>
      <c r="J169" s="82"/>
      <c r="K169" s="44"/>
      <c r="L169" s="38"/>
      <c r="M169" s="487"/>
      <c r="N169" s="88"/>
      <c r="O169" s="546">
        <f>O$139*L166</f>
        <v>-613.4241199999999</v>
      </c>
      <c r="P169" s="546">
        <f>P$139*L166</f>
        <v>9288.1670999999969</v>
      </c>
      <c r="Q169" s="82"/>
      <c r="R169" s="44"/>
      <c r="S169" s="38"/>
      <c r="T169" s="487"/>
      <c r="U169" s="38"/>
      <c r="V169" s="78"/>
      <c r="W169" s="480"/>
    </row>
    <row r="170" spans="2:23" x14ac:dyDescent="0.2">
      <c r="B170" s="91" t="str">
        <f>"Total "&amp;B157</f>
        <v>Total Schedule 86 - Transportation</v>
      </c>
      <c r="C170" s="484"/>
      <c r="D170" s="89"/>
      <c r="E170" s="38"/>
      <c r="F170" s="487"/>
      <c r="G170" s="88"/>
      <c r="H170" s="544"/>
      <c r="I170" s="548">
        <f>G168+H169+I169</f>
        <v>153582.50485911273</v>
      </c>
      <c r="J170" s="92"/>
      <c r="K170" s="44"/>
      <c r="L170" s="38"/>
      <c r="M170" s="487"/>
      <c r="N170" s="88"/>
      <c r="O170" s="544"/>
      <c r="P170" s="548">
        <f>N168+O169+P169</f>
        <v>162029.89008239383</v>
      </c>
      <c r="Q170" s="92"/>
      <c r="R170" s="44"/>
      <c r="S170" s="38"/>
      <c r="T170" s="487"/>
      <c r="U170" s="38"/>
      <c r="V170" s="476"/>
      <c r="W170" s="501"/>
    </row>
    <row r="171" spans="2:23" x14ac:dyDescent="0.2">
      <c r="B171" s="76"/>
      <c r="C171" s="461"/>
      <c r="D171" s="129"/>
      <c r="E171" s="77"/>
      <c r="F171" s="461"/>
      <c r="G171" s="77"/>
      <c r="H171" s="553"/>
      <c r="I171" s="553"/>
      <c r="J171" s="77"/>
      <c r="K171" s="77"/>
      <c r="L171" s="77"/>
      <c r="M171" s="461"/>
      <c r="N171" s="77"/>
      <c r="O171" s="553"/>
      <c r="P171" s="553"/>
      <c r="Q171" s="77"/>
      <c r="R171" s="77"/>
      <c r="S171" s="77"/>
      <c r="T171" s="461"/>
      <c r="U171" s="77"/>
      <c r="V171" s="77"/>
      <c r="W171" s="493"/>
    </row>
    <row r="172" spans="2:23" x14ac:dyDescent="0.2">
      <c r="B172" s="44"/>
      <c r="C172" s="458"/>
      <c r="D172" s="75"/>
      <c r="E172" s="44"/>
      <c r="F172" s="458"/>
      <c r="G172" s="44"/>
      <c r="H172" s="552"/>
      <c r="I172" s="552"/>
      <c r="J172" s="44"/>
      <c r="K172" s="44"/>
      <c r="L172" s="44"/>
      <c r="M172" s="458"/>
      <c r="N172" s="44"/>
      <c r="O172" s="552"/>
      <c r="P172" s="552"/>
      <c r="Q172" s="44"/>
      <c r="R172" s="44"/>
      <c r="S172" s="44"/>
      <c r="T172" s="458"/>
      <c r="U172" s="44"/>
      <c r="V172" s="44"/>
      <c r="W172" s="44"/>
    </row>
    <row r="173" spans="2:23" x14ac:dyDescent="0.2">
      <c r="B173" s="451" t="s">
        <v>243</v>
      </c>
      <c r="C173" s="452"/>
      <c r="D173" s="71"/>
      <c r="E173" s="15">
        <f>E191+E209</f>
        <v>150772868.4078348</v>
      </c>
      <c r="F173" s="453"/>
      <c r="G173" s="102"/>
      <c r="H173" s="540">
        <v>311260.76148369926</v>
      </c>
      <c r="I173" s="540">
        <v>284384.87044567277</v>
      </c>
      <c r="J173" s="454">
        <v>17392.144629522732</v>
      </c>
      <c r="K173" s="455"/>
      <c r="L173" s="15">
        <f>L191+L209</f>
        <v>163828422.4078348</v>
      </c>
      <c r="M173" s="453"/>
      <c r="N173" s="455"/>
      <c r="O173" s="540">
        <v>-61159.953954623772</v>
      </c>
      <c r="P173" s="540">
        <v>926371.24295497977</v>
      </c>
      <c r="Q173" s="454">
        <v>16901.068739540333</v>
      </c>
      <c r="R173" s="455"/>
      <c r="S173" s="15"/>
      <c r="T173" s="453"/>
      <c r="U173" s="456"/>
      <c r="V173" s="102"/>
      <c r="W173" s="457"/>
    </row>
    <row r="174" spans="2:23" x14ac:dyDescent="0.2">
      <c r="B174" s="85"/>
      <c r="C174" s="458"/>
      <c r="D174" s="44"/>
      <c r="E174" s="44"/>
      <c r="F174" s="458"/>
      <c r="G174" s="502" t="s">
        <v>244</v>
      </c>
      <c r="H174" s="556">
        <f>H173/SUM(G185:G190,G203:G208)</f>
        <v>4.865809718846309E-2</v>
      </c>
      <c r="I174" s="556">
        <f>I173/SUM(G185:G190,G203:G208)</f>
        <v>4.4456701188783497E-2</v>
      </c>
      <c r="J174" s="557">
        <f>J173/SUM(G185:G190)</f>
        <v>1.435254156171876E-2</v>
      </c>
      <c r="L174" s="44"/>
      <c r="M174" s="458"/>
      <c r="N174" s="89"/>
      <c r="O174" s="556">
        <f>O173/SUM(N185:N190,N203:N208)</f>
        <v>-9.0997416536799137E-3</v>
      </c>
      <c r="P174" s="556">
        <f>P173/SUM(N185:N190,N203:N208)</f>
        <v>0.13783102244555182</v>
      </c>
      <c r="Q174" s="557">
        <f>Q173/SUM(N185:N190)</f>
        <v>1.3947290382461298E-2</v>
      </c>
      <c r="S174" s="44"/>
      <c r="T174" s="458"/>
      <c r="U174" s="89"/>
      <c r="V174" s="75"/>
      <c r="W174" s="460"/>
    </row>
    <row r="175" spans="2:23" x14ac:dyDescent="0.2">
      <c r="B175" s="76"/>
      <c r="C175" s="461"/>
      <c r="D175" s="77"/>
      <c r="E175" s="462" t="s">
        <v>221</v>
      </c>
      <c r="F175" s="463">
        <f>F191+F211</f>
        <v>6484148.915463971</v>
      </c>
      <c r="G175" s="78">
        <f>G191+G211</f>
        <v>7273078.4699999997</v>
      </c>
      <c r="H175" s="558">
        <f>H174*0.33</f>
        <v>1.6057172072192819E-2</v>
      </c>
      <c r="I175" s="558">
        <f>I174*0.33</f>
        <v>1.4670711392298554E-2</v>
      </c>
      <c r="J175" s="559">
        <f>J174*0.33</f>
        <v>4.7363387153671914E-3</v>
      </c>
      <c r="K175" s="123"/>
      <c r="L175" s="462" t="s">
        <v>221</v>
      </c>
      <c r="M175" s="463">
        <f>M191+M211</f>
        <v>6797351.655923971</v>
      </c>
      <c r="N175" s="78">
        <f>N191+N211</f>
        <v>7597247.8700000001</v>
      </c>
      <c r="O175" s="558">
        <f>O174*0.33</f>
        <v>-3.0029147457143715E-3</v>
      </c>
      <c r="P175" s="558">
        <f>P174*0.33</f>
        <v>4.5484237407032099E-2</v>
      </c>
      <c r="Q175" s="559">
        <f>Q174*0.33</f>
        <v>4.6026058262122289E-3</v>
      </c>
      <c r="R175" s="123"/>
      <c r="S175" s="462"/>
      <c r="T175" s="463"/>
      <c r="U175" s="78"/>
      <c r="V175" s="464"/>
      <c r="W175" s="480"/>
    </row>
    <row r="176" spans="2:23" x14ac:dyDescent="0.2">
      <c r="B176" s="489"/>
      <c r="C176" s="490"/>
      <c r="D176" s="491"/>
      <c r="E176" s="244"/>
      <c r="F176" s="482"/>
      <c r="G176" s="244"/>
      <c r="H176" s="556">
        <f>((H173-SUM(H190*E190,H208*E208)))/SUM(G185:G189,G203:G207)</f>
        <v>6.4266591039420687E-2</v>
      </c>
      <c r="I176" s="556">
        <f>((I173-SUM(I190*E190,I208*E208)))/SUM(G185:G189,G203:G207)</f>
        <v>5.8822961897547536E-2</v>
      </c>
      <c r="J176" s="557">
        <f>((J173-SUM(J190*E190)))/SUM(G185:G189)</f>
        <v>1.6730764655358814E-2</v>
      </c>
      <c r="K176" s="244"/>
      <c r="L176" s="244"/>
      <c r="M176" s="482"/>
      <c r="N176" s="244"/>
      <c r="O176" s="556">
        <f>((O173-SUM(O190*L190,O208*L208)))/SUM(N185:N189,N203:N207)</f>
        <v>-1.2582459395383373E-2</v>
      </c>
      <c r="P176" s="556">
        <f>((P173-SUM(P190*L190,P208*L208)))/SUM(N185:N189,N203:N207)</f>
        <v>0.18902539842962102</v>
      </c>
      <c r="Q176" s="557">
        <f>((Q173-SUM(Q190*L190)))/SUM(N185:N189)</f>
        <v>1.6324885783442142E-2</v>
      </c>
      <c r="R176" s="244"/>
      <c r="S176" s="244"/>
      <c r="T176" s="482"/>
      <c r="U176" s="244"/>
      <c r="V176" s="244"/>
      <c r="W176" s="483"/>
    </row>
    <row r="177" spans="2:23" x14ac:dyDescent="0.2">
      <c r="B177" s="84" t="s">
        <v>152</v>
      </c>
      <c r="C177" s="481"/>
      <c r="D177" s="496"/>
      <c r="E177" s="244"/>
      <c r="F177" s="482"/>
      <c r="G177" s="244"/>
      <c r="H177" s="549"/>
      <c r="I177" s="549"/>
      <c r="J177" s="244"/>
      <c r="K177" s="244"/>
      <c r="L177" s="244"/>
      <c r="M177" s="482"/>
      <c r="N177" s="244"/>
      <c r="O177" s="549"/>
      <c r="P177" s="549"/>
      <c r="Q177" s="244"/>
      <c r="R177" s="244"/>
      <c r="S177" s="244"/>
      <c r="T177" s="482"/>
      <c r="U177" s="244"/>
      <c r="V177" s="244"/>
      <c r="W177" s="483"/>
    </row>
    <row r="178" spans="2:23" x14ac:dyDescent="0.2">
      <c r="B178" s="85"/>
      <c r="C178" s="458"/>
      <c r="D178" s="75"/>
      <c r="E178" s="44"/>
      <c r="F178" s="458"/>
      <c r="G178" s="44"/>
      <c r="H178" s="552"/>
      <c r="I178" s="552"/>
      <c r="J178" s="44"/>
      <c r="K178" s="44"/>
      <c r="L178" s="44"/>
      <c r="M178" s="458"/>
      <c r="N178" s="44"/>
      <c r="O178" s="552"/>
      <c r="P178" s="552"/>
      <c r="Q178" s="44"/>
      <c r="R178" s="44"/>
      <c r="S178" s="44"/>
      <c r="T178" s="458"/>
      <c r="U178" s="44"/>
      <c r="V178" s="44"/>
      <c r="W178" s="492"/>
    </row>
    <row r="179" spans="2:23" x14ac:dyDescent="0.2">
      <c r="B179" s="72" t="s">
        <v>89</v>
      </c>
      <c r="C179" s="471">
        <v>606.5</v>
      </c>
      <c r="D179" s="89">
        <v>715.15</v>
      </c>
      <c r="E179" s="38">
        <v>60</v>
      </c>
      <c r="F179" s="472">
        <f t="shared" ref="F179:F180" si="20">SUM(+E179*C179)</f>
        <v>36390</v>
      </c>
      <c r="G179" s="82">
        <f>ROUND(E179*D179,2)</f>
        <v>42909</v>
      </c>
      <c r="H179" s="544"/>
      <c r="I179" s="544"/>
      <c r="J179" s="82"/>
      <c r="K179" s="44"/>
      <c r="L179" s="38">
        <v>60</v>
      </c>
      <c r="M179" s="472">
        <f t="shared" ref="M179:M181" si="21">SUM(+L179*C179)</f>
        <v>36390</v>
      </c>
      <c r="N179" s="82">
        <f>ROUND(L179*D179,2)</f>
        <v>42909</v>
      </c>
      <c r="O179" s="544"/>
      <c r="P179" s="544"/>
      <c r="Q179" s="82"/>
      <c r="R179" s="44"/>
      <c r="S179" s="38"/>
      <c r="T179" s="472"/>
      <c r="U179" s="82"/>
      <c r="V179" s="82"/>
      <c r="W179" s="470"/>
    </row>
    <row r="180" spans="2:23" x14ac:dyDescent="0.2">
      <c r="B180" s="85" t="s">
        <v>97</v>
      </c>
      <c r="C180" s="471">
        <v>1.45</v>
      </c>
      <c r="D180" s="89">
        <v>1.45</v>
      </c>
      <c r="E180" s="38">
        <v>0</v>
      </c>
      <c r="F180" s="472">
        <f t="shared" si="20"/>
        <v>0</v>
      </c>
      <c r="G180" s="82">
        <f>ROUND(E180*D180,2)</f>
        <v>0</v>
      </c>
      <c r="H180" s="544"/>
      <c r="I180" s="544"/>
      <c r="J180" s="82"/>
      <c r="K180" s="44"/>
      <c r="L180" s="38">
        <v>0</v>
      </c>
      <c r="M180" s="472">
        <f t="shared" si="21"/>
        <v>0</v>
      </c>
      <c r="N180" s="82">
        <f>ROUND(L180*D180,2)</f>
        <v>0</v>
      </c>
      <c r="O180" s="544"/>
      <c r="P180" s="544"/>
      <c r="Q180" s="82"/>
      <c r="R180" s="44"/>
      <c r="S180" s="38"/>
      <c r="T180" s="472"/>
      <c r="U180" s="82"/>
      <c r="V180" s="82"/>
      <c r="W180" s="470"/>
    </row>
    <row r="181" spans="2:23" x14ac:dyDescent="0.2">
      <c r="B181" s="85" t="s">
        <v>94</v>
      </c>
      <c r="C181" s="473">
        <v>8.43E-3</v>
      </c>
      <c r="D181" s="75">
        <v>9.3200000000000002E-3</v>
      </c>
      <c r="E181" s="38">
        <f>E191</f>
        <v>21819455.762355208</v>
      </c>
      <c r="F181" s="472">
        <f>SUM(+E181*C181)</f>
        <v>183938.01207665441</v>
      </c>
      <c r="G181" s="82">
        <f>ROUND(E181*D181,2)</f>
        <v>203357.33</v>
      </c>
      <c r="H181" s="544"/>
      <c r="I181" s="544"/>
      <c r="J181" s="82"/>
      <c r="K181" s="44"/>
      <c r="L181" s="38">
        <f>L191</f>
        <v>21819455.762355208</v>
      </c>
      <c r="M181" s="472">
        <f t="shared" si="21"/>
        <v>183938.01207665441</v>
      </c>
      <c r="N181" s="82">
        <f>ROUND(L181*D181,2)</f>
        <v>203357.33</v>
      </c>
      <c r="O181" s="544"/>
      <c r="P181" s="544"/>
      <c r="Q181" s="82"/>
      <c r="R181" s="44"/>
      <c r="S181" s="38"/>
      <c r="T181" s="472"/>
      <c r="U181" s="82"/>
      <c r="V181" s="82"/>
      <c r="W181" s="470"/>
    </row>
    <row r="182" spans="2:23" x14ac:dyDescent="0.2">
      <c r="B182" s="85" t="s">
        <v>104</v>
      </c>
      <c r="C182" s="458"/>
      <c r="D182" s="89"/>
      <c r="E182" s="44"/>
      <c r="F182" s="472">
        <f>G182</f>
        <v>51086.770000000004</v>
      </c>
      <c r="G182" s="82">
        <v>51086.770000000004</v>
      </c>
      <c r="H182" s="544"/>
      <c r="I182" s="544"/>
      <c r="J182" s="82"/>
      <c r="K182" s="44"/>
      <c r="L182" s="44"/>
      <c r="M182" s="472">
        <f>N182</f>
        <v>51086.770000000004</v>
      </c>
      <c r="N182" s="82">
        <v>51086.770000000004</v>
      </c>
      <c r="O182" s="544"/>
      <c r="P182" s="544"/>
      <c r="Q182" s="82"/>
      <c r="R182" s="44"/>
      <c r="S182" s="44"/>
      <c r="T182" s="472"/>
      <c r="U182" s="82"/>
      <c r="V182" s="82"/>
      <c r="W182" s="470"/>
    </row>
    <row r="183" spans="2:23" x14ac:dyDescent="0.2">
      <c r="B183" s="85"/>
      <c r="C183" s="458"/>
      <c r="D183" s="89"/>
      <c r="E183" s="44"/>
      <c r="F183" s="458"/>
      <c r="G183" s="44"/>
      <c r="H183" s="552"/>
      <c r="I183" s="552"/>
      <c r="J183" s="44"/>
      <c r="K183" s="44"/>
      <c r="L183" s="44"/>
      <c r="M183" s="458"/>
      <c r="N183" s="44"/>
      <c r="O183" s="552"/>
      <c r="P183" s="552"/>
      <c r="Q183" s="44"/>
      <c r="R183" s="44"/>
      <c r="S183" s="44"/>
      <c r="T183" s="458"/>
      <c r="U183" s="44"/>
      <c r="V183" s="44"/>
      <c r="W183" s="492"/>
    </row>
    <row r="184" spans="2:23" x14ac:dyDescent="0.2">
      <c r="B184" s="85" t="s">
        <v>98</v>
      </c>
      <c r="C184" s="458"/>
      <c r="D184" s="89"/>
      <c r="E184" s="44"/>
      <c r="F184" s="458"/>
      <c r="G184" s="44"/>
      <c r="H184" s="552"/>
      <c r="I184" s="552"/>
      <c r="J184" s="44"/>
      <c r="K184" s="44"/>
      <c r="L184" s="44"/>
      <c r="M184" s="458"/>
      <c r="N184" s="44"/>
      <c r="O184" s="552"/>
      <c r="P184" s="552"/>
      <c r="Q184" s="44"/>
      <c r="R184" s="44"/>
      <c r="S184" s="44"/>
      <c r="T184" s="458"/>
      <c r="U184" s="44"/>
      <c r="V184" s="44"/>
      <c r="W184" s="492"/>
    </row>
    <row r="185" spans="2:23" x14ac:dyDescent="0.2">
      <c r="B185" s="85" t="s">
        <v>105</v>
      </c>
      <c r="C185" s="473">
        <v>0.17533000000000001</v>
      </c>
      <c r="D185" s="75">
        <v>0.20754</v>
      </c>
      <c r="E185" s="38">
        <v>1512193</v>
      </c>
      <c r="F185" s="472">
        <f t="shared" ref="F185:F190" si="22">SUM(+E185*C185)</f>
        <v>265132.79869000003</v>
      </c>
      <c r="G185" s="82">
        <f t="shared" ref="G185:G190" si="23">ROUND(E185*D185,2)</f>
        <v>313840.53999999998</v>
      </c>
      <c r="H185" s="560">
        <f>ROUND((G185*H$176)/E185,5)</f>
        <v>1.3339999999999999E-2</v>
      </c>
      <c r="I185" s="560">
        <f>ROUND((G185*I$176)/E185,5)</f>
        <v>1.221E-2</v>
      </c>
      <c r="J185" s="504">
        <f>ROUND((G185*J$176)/E185,5)</f>
        <v>3.47E-3</v>
      </c>
      <c r="K185" s="44"/>
      <c r="L185" s="38">
        <v>1512193</v>
      </c>
      <c r="M185" s="472">
        <f t="shared" ref="M185:M190" si="24">SUM(+L185*C185)</f>
        <v>265132.79869000003</v>
      </c>
      <c r="N185" s="82">
        <f t="shared" ref="N185:N190" si="25">ROUND(L185*D185,2)</f>
        <v>313840.53999999998</v>
      </c>
      <c r="O185" s="560">
        <f>ROUND((N185*O$176)/L185,5)</f>
        <v>-2.6099999999999999E-3</v>
      </c>
      <c r="P185" s="560">
        <f>ROUND((N185*P$176)/L185,5)</f>
        <v>3.9230000000000001E-2</v>
      </c>
      <c r="Q185" s="504">
        <f>ROUND((N185*Q$176)/L185,5)</f>
        <v>3.3899999999999998E-3</v>
      </c>
      <c r="R185" s="44"/>
      <c r="S185" s="38"/>
      <c r="T185" s="472"/>
      <c r="U185" s="82"/>
      <c r="V185" s="82"/>
      <c r="W185" s="470"/>
    </row>
    <row r="186" spans="2:23" x14ac:dyDescent="0.2">
      <c r="B186" s="85" t="s">
        <v>106</v>
      </c>
      <c r="C186" s="473">
        <v>0.10595</v>
      </c>
      <c r="D186" s="75">
        <v>0.12540999999999999</v>
      </c>
      <c r="E186" s="38">
        <v>1398016.115</v>
      </c>
      <c r="F186" s="472">
        <f t="shared" si="22"/>
        <v>148119.80738425002</v>
      </c>
      <c r="G186" s="82">
        <f t="shared" si="23"/>
        <v>175325.2</v>
      </c>
      <c r="H186" s="560">
        <f t="shared" ref="H186:H188" si="26">ROUND((G186*H$176)/E186,5)</f>
        <v>8.0599999999999995E-3</v>
      </c>
      <c r="I186" s="560">
        <f t="shared" ref="I186:I189" si="27">ROUND((G186*I$176)/E186,5)</f>
        <v>7.3800000000000003E-3</v>
      </c>
      <c r="J186" s="504">
        <f t="shared" ref="J186:J189" si="28">ROUND((G186*J$176)/E186,5)</f>
        <v>2.0999999999999999E-3</v>
      </c>
      <c r="K186" s="44"/>
      <c r="L186" s="38">
        <v>1398016.115</v>
      </c>
      <c r="M186" s="472">
        <f t="shared" si="24"/>
        <v>148119.80738425002</v>
      </c>
      <c r="N186" s="82">
        <f t="shared" si="25"/>
        <v>175325.2</v>
      </c>
      <c r="O186" s="560">
        <f t="shared" ref="O186:O188" si="29">ROUND((N186*O$176)/L186,5)</f>
        <v>-1.58E-3</v>
      </c>
      <c r="P186" s="560">
        <f t="shared" ref="P186:P189" si="30">ROUND((N186*P$176)/L186,5)</f>
        <v>2.3709999999999998E-2</v>
      </c>
      <c r="Q186" s="504">
        <f t="shared" ref="Q186:Q189" si="31">ROUND((N186*Q$176)/L186,5)</f>
        <v>2.0500000000000002E-3</v>
      </c>
      <c r="R186" s="44"/>
      <c r="S186" s="38"/>
      <c r="T186" s="472"/>
      <c r="U186" s="82"/>
      <c r="V186" s="82"/>
      <c r="W186" s="470"/>
    </row>
    <row r="187" spans="2:23" x14ac:dyDescent="0.2">
      <c r="B187" s="85" t="s">
        <v>108</v>
      </c>
      <c r="C187" s="473">
        <v>6.7419999999999994E-2</v>
      </c>
      <c r="D187" s="75">
        <v>7.9810000000000006E-2</v>
      </c>
      <c r="E187" s="38">
        <v>2316890.0959999999</v>
      </c>
      <c r="F187" s="472">
        <f t="shared" si="22"/>
        <v>156204.73027231998</v>
      </c>
      <c r="G187" s="82">
        <f t="shared" si="23"/>
        <v>184911</v>
      </c>
      <c r="H187" s="560">
        <f t="shared" si="26"/>
        <v>5.13E-3</v>
      </c>
      <c r="I187" s="560">
        <f t="shared" si="27"/>
        <v>4.6899999999999997E-3</v>
      </c>
      <c r="J187" s="504">
        <f t="shared" si="28"/>
        <v>1.34E-3</v>
      </c>
      <c r="K187" s="44"/>
      <c r="L187" s="38">
        <v>2316890.0959999999</v>
      </c>
      <c r="M187" s="472">
        <f t="shared" si="24"/>
        <v>156204.73027231998</v>
      </c>
      <c r="N187" s="82">
        <f t="shared" si="25"/>
        <v>184911</v>
      </c>
      <c r="O187" s="560">
        <f t="shared" si="29"/>
        <v>-1E-3</v>
      </c>
      <c r="P187" s="560">
        <f t="shared" si="30"/>
        <v>1.5089999999999999E-2</v>
      </c>
      <c r="Q187" s="504">
        <f t="shared" si="31"/>
        <v>1.2999999999999999E-3</v>
      </c>
      <c r="R187" s="44"/>
      <c r="S187" s="38"/>
      <c r="T187" s="472"/>
      <c r="U187" s="82"/>
      <c r="V187" s="82"/>
      <c r="W187" s="470"/>
    </row>
    <row r="188" spans="2:23" x14ac:dyDescent="0.2">
      <c r="B188" s="85" t="s">
        <v>15</v>
      </c>
      <c r="C188" s="473">
        <v>4.3229999999999998E-2</v>
      </c>
      <c r="D188" s="75">
        <v>5.117E-2</v>
      </c>
      <c r="E188" s="38">
        <v>3045256.878</v>
      </c>
      <c r="F188" s="472">
        <f t="shared" si="22"/>
        <v>131646.45483594001</v>
      </c>
      <c r="G188" s="82">
        <f t="shared" si="23"/>
        <v>155825.79</v>
      </c>
      <c r="H188" s="560">
        <f t="shared" si="26"/>
        <v>3.29E-3</v>
      </c>
      <c r="I188" s="560">
        <f t="shared" si="27"/>
        <v>3.0100000000000001E-3</v>
      </c>
      <c r="J188" s="504">
        <f t="shared" si="28"/>
        <v>8.5999999999999998E-4</v>
      </c>
      <c r="K188" s="44"/>
      <c r="L188" s="38">
        <v>3045256.878</v>
      </c>
      <c r="M188" s="472">
        <f t="shared" si="24"/>
        <v>131646.45483594001</v>
      </c>
      <c r="N188" s="82">
        <f t="shared" si="25"/>
        <v>155825.79</v>
      </c>
      <c r="O188" s="560">
        <f t="shared" si="29"/>
        <v>-6.4000000000000005E-4</v>
      </c>
      <c r="P188" s="560">
        <f t="shared" si="30"/>
        <v>9.6699999999999998E-3</v>
      </c>
      <c r="Q188" s="504">
        <f t="shared" si="31"/>
        <v>8.4000000000000003E-4</v>
      </c>
      <c r="R188" s="44"/>
      <c r="S188" s="38"/>
      <c r="T188" s="472"/>
      <c r="U188" s="82"/>
      <c r="V188" s="82"/>
      <c r="W188" s="470"/>
    </row>
    <row r="189" spans="2:23" x14ac:dyDescent="0.2">
      <c r="B189" s="85" t="s">
        <v>14</v>
      </c>
      <c r="C189" s="473">
        <v>3.1109999999999999E-2</v>
      </c>
      <c r="D189" s="75">
        <v>3.6830000000000002E-2</v>
      </c>
      <c r="E189" s="38">
        <v>3792042.2029999997</v>
      </c>
      <c r="F189" s="472">
        <f t="shared" si="22"/>
        <v>117970.43293532998</v>
      </c>
      <c r="G189" s="82">
        <f t="shared" si="23"/>
        <v>139660.91</v>
      </c>
      <c r="H189" s="560">
        <f>ROUND((G189*H$176)/E189,5)</f>
        <v>2.3700000000000001E-3</v>
      </c>
      <c r="I189" s="560">
        <f t="shared" si="27"/>
        <v>2.1700000000000001E-3</v>
      </c>
      <c r="J189" s="504">
        <f t="shared" si="28"/>
        <v>6.2E-4</v>
      </c>
      <c r="K189" s="44"/>
      <c r="L189" s="38">
        <v>3792042.2029999997</v>
      </c>
      <c r="M189" s="472">
        <f t="shared" si="24"/>
        <v>117970.43293532998</v>
      </c>
      <c r="N189" s="82">
        <f t="shared" si="25"/>
        <v>139660.91</v>
      </c>
      <c r="O189" s="560">
        <f>ROUND((N189*O$176)/L189,5)</f>
        <v>-4.6000000000000001E-4</v>
      </c>
      <c r="P189" s="560">
        <f t="shared" si="30"/>
        <v>6.96E-3</v>
      </c>
      <c r="Q189" s="504">
        <f t="shared" si="31"/>
        <v>5.9999999999999995E-4</v>
      </c>
      <c r="R189" s="44"/>
      <c r="S189" s="38"/>
      <c r="T189" s="472"/>
      <c r="U189" s="82"/>
      <c r="V189" s="82"/>
      <c r="W189" s="470"/>
    </row>
    <row r="190" spans="2:23" x14ac:dyDescent="0.2">
      <c r="B190" s="85" t="s">
        <v>112</v>
      </c>
      <c r="C190" s="473">
        <v>2.3990000000000001E-2</v>
      </c>
      <c r="D190" s="75">
        <v>2.4830000000000001E-2</v>
      </c>
      <c r="E190" s="79">
        <v>9755057.4703552071</v>
      </c>
      <c r="F190" s="472">
        <f t="shared" si="22"/>
        <v>234023.82871382142</v>
      </c>
      <c r="G190" s="82">
        <f t="shared" si="23"/>
        <v>242218.08</v>
      </c>
      <c r="H190" s="560">
        <f>ROUND((G190*H$175)/E190,5)</f>
        <v>4.0000000000000002E-4</v>
      </c>
      <c r="I190" s="560">
        <f>ROUND((G190*I$175)/E190,5)</f>
        <v>3.6000000000000002E-4</v>
      </c>
      <c r="J190" s="504">
        <f>ROUND((G190*J$175)/E190,5)</f>
        <v>1.2E-4</v>
      </c>
      <c r="K190" s="44"/>
      <c r="L190" s="79">
        <v>9755057.4703552071</v>
      </c>
      <c r="M190" s="472">
        <f t="shared" si="24"/>
        <v>234023.82871382142</v>
      </c>
      <c r="N190" s="82">
        <f t="shared" si="25"/>
        <v>242218.08</v>
      </c>
      <c r="O190" s="560">
        <f>ROUND((N190*O$175)/L190,5)</f>
        <v>-6.9999999999999994E-5</v>
      </c>
      <c r="P190" s="560">
        <f>ROUND((N190*P$175)/L190,5)</f>
        <v>1.1299999999999999E-3</v>
      </c>
      <c r="Q190" s="504">
        <f>ROUND((N190*Q$175)/L190,5)</f>
        <v>1.1E-4</v>
      </c>
      <c r="R190" s="44"/>
      <c r="S190" s="79"/>
      <c r="T190" s="463"/>
      <c r="U190" s="78"/>
      <c r="V190" s="82"/>
      <c r="W190" s="470"/>
    </row>
    <row r="191" spans="2:23" x14ac:dyDescent="0.2">
      <c r="B191" s="499" t="s">
        <v>123</v>
      </c>
      <c r="C191" s="500"/>
      <c r="D191" s="75"/>
      <c r="E191" s="38">
        <f>SUM(E185:E190)</f>
        <v>21819455.762355208</v>
      </c>
      <c r="F191" s="495">
        <f>SUM(F179:F190)</f>
        <v>1324512.8349083159</v>
      </c>
      <c r="G191" s="128">
        <f>SUM(G179:G190)</f>
        <v>1509134.6199999999</v>
      </c>
      <c r="H191" s="555"/>
      <c r="I191" s="555"/>
      <c r="J191" s="505"/>
      <c r="K191" s="44"/>
      <c r="L191" s="38">
        <f>SUM(L185:L190)</f>
        <v>21819455.762355208</v>
      </c>
      <c r="M191" s="495">
        <f>SUM(M179:M190)</f>
        <v>1324512.8349083159</v>
      </c>
      <c r="N191" s="128">
        <f>SUM(N179:N190)</f>
        <v>1509134.6199999999</v>
      </c>
      <c r="O191" s="555"/>
      <c r="P191" s="555"/>
      <c r="Q191" s="505"/>
      <c r="R191" s="44"/>
      <c r="S191" s="38"/>
      <c r="T191" s="495"/>
      <c r="U191" s="128"/>
      <c r="V191" s="88"/>
      <c r="W191" s="470"/>
    </row>
    <row r="192" spans="2:23" x14ac:dyDescent="0.2">
      <c r="B192" s="85" t="s">
        <v>238</v>
      </c>
      <c r="C192" s="458"/>
      <c r="D192" s="89"/>
      <c r="E192" s="38"/>
      <c r="F192" s="487"/>
      <c r="G192" s="88"/>
      <c r="H192" s="546">
        <f>SUMPRODUCT(E185:E190,H185:H190)</f>
        <v>66234.368837252085</v>
      </c>
      <c r="I192" s="546">
        <f>SUMPRODUCT(E185:E190,I185:I190)</f>
        <v>60554.225481557871</v>
      </c>
      <c r="J192" s="475">
        <f>SUMPRODUCT(E185:E190,J185:J190)</f>
        <v>17428.370257522623</v>
      </c>
      <c r="K192" s="44"/>
      <c r="L192" s="38"/>
      <c r="M192" s="487"/>
      <c r="N192" s="88"/>
      <c r="O192" s="546">
        <f>SUMPRODUCT(L185:L190,O185:O190)</f>
        <v>-12848.737125924865</v>
      </c>
      <c r="P192" s="546">
        <f>SUMPRODUCT(L185:L190,P185:P190)</f>
        <v>194295.62770993137</v>
      </c>
      <c r="Q192" s="475">
        <f>SUMPRODUCT(L185:L190,Q185:Q190)</f>
        <v>16910.521851609072</v>
      </c>
      <c r="R192" s="44"/>
      <c r="S192" s="38"/>
      <c r="T192" s="487"/>
      <c r="U192" s="38"/>
      <c r="V192" s="78"/>
      <c r="W192" s="480"/>
    </row>
    <row r="193" spans="2:23" x14ac:dyDescent="0.2">
      <c r="B193" s="91" t="str">
        <f>"Total "&amp;B177</f>
        <v>Total Schedule 87 - Sales</v>
      </c>
      <c r="C193" s="484"/>
      <c r="D193" s="89"/>
      <c r="E193" s="38"/>
      <c r="F193" s="487"/>
      <c r="G193" s="88"/>
      <c r="H193" s="544"/>
      <c r="I193" s="548">
        <f>G191+H192+I192</f>
        <v>1635923.2143188098</v>
      </c>
      <c r="J193" s="92"/>
      <c r="K193" s="44"/>
      <c r="L193" s="38"/>
      <c r="M193" s="487"/>
      <c r="N193" s="88"/>
      <c r="O193" s="544"/>
      <c r="P193" s="548">
        <f>N191+O192+P192</f>
        <v>1690581.5105840066</v>
      </c>
      <c r="Q193" s="92"/>
      <c r="R193" s="44"/>
      <c r="S193" s="38"/>
      <c r="T193" s="487"/>
      <c r="U193" s="38"/>
      <c r="V193" s="476"/>
      <c r="W193" s="501"/>
    </row>
    <row r="194" spans="2:23" x14ac:dyDescent="0.2">
      <c r="B194" s="76"/>
      <c r="C194" s="461"/>
      <c r="D194" s="129"/>
      <c r="E194" s="77"/>
      <c r="F194" s="461"/>
      <c r="G194" s="77"/>
      <c r="H194" s="553"/>
      <c r="I194" s="553"/>
      <c r="J194" s="77"/>
      <c r="K194" s="77"/>
      <c r="L194" s="77"/>
      <c r="M194" s="461"/>
      <c r="N194" s="77"/>
      <c r="O194" s="553"/>
      <c r="P194" s="553"/>
      <c r="Q194" s="77"/>
      <c r="R194" s="77"/>
      <c r="S194" s="77"/>
      <c r="T194" s="461"/>
      <c r="U194" s="77"/>
      <c r="V194" s="77"/>
      <c r="W194" s="493"/>
    </row>
    <row r="195" spans="2:23" x14ac:dyDescent="0.2">
      <c r="B195" s="76"/>
      <c r="C195" s="461"/>
      <c r="D195" s="129"/>
      <c r="E195" s="77"/>
      <c r="F195" s="461"/>
      <c r="G195" s="77"/>
      <c r="H195" s="553"/>
      <c r="I195" s="553"/>
      <c r="J195" s="77"/>
      <c r="K195" s="77"/>
      <c r="L195" s="77"/>
      <c r="M195" s="461"/>
      <c r="N195" s="77"/>
      <c r="O195" s="553"/>
      <c r="P195" s="553"/>
      <c r="Q195" s="77"/>
      <c r="R195" s="77"/>
      <c r="S195" s="77"/>
      <c r="T195" s="461"/>
      <c r="U195" s="77"/>
      <c r="V195" s="77"/>
      <c r="W195" s="493"/>
    </row>
    <row r="196" spans="2:23" x14ac:dyDescent="0.2">
      <c r="B196" s="84" t="s">
        <v>154</v>
      </c>
      <c r="C196" s="481"/>
      <c r="D196" s="496"/>
      <c r="E196" s="244"/>
      <c r="F196" s="482"/>
      <c r="G196" s="244"/>
      <c r="H196" s="549"/>
      <c r="I196" s="549"/>
      <c r="J196" s="244"/>
      <c r="K196" s="244"/>
      <c r="L196" s="244"/>
      <c r="M196" s="482"/>
      <c r="N196" s="244"/>
      <c r="O196" s="549"/>
      <c r="P196" s="549"/>
      <c r="Q196" s="244"/>
      <c r="R196" s="244"/>
      <c r="S196" s="244"/>
      <c r="T196" s="482"/>
      <c r="U196" s="244"/>
      <c r="V196" s="244"/>
      <c r="W196" s="483"/>
    </row>
    <row r="197" spans="2:23" x14ac:dyDescent="0.2">
      <c r="B197" s="85"/>
      <c r="C197" s="458"/>
      <c r="D197" s="75"/>
      <c r="E197" s="44"/>
      <c r="F197" s="458"/>
      <c r="G197" s="44"/>
      <c r="H197" s="552"/>
      <c r="I197" s="552"/>
      <c r="J197" s="44"/>
      <c r="K197" s="44"/>
      <c r="L197" s="44"/>
      <c r="M197" s="458"/>
      <c r="N197" s="44"/>
      <c r="O197" s="552"/>
      <c r="P197" s="552"/>
      <c r="Q197" s="44"/>
      <c r="R197" s="44"/>
      <c r="S197" s="44"/>
      <c r="T197" s="458"/>
      <c r="U197" s="44"/>
      <c r="V197" s="44"/>
      <c r="W197" s="492"/>
    </row>
    <row r="198" spans="2:23" x14ac:dyDescent="0.2">
      <c r="B198" s="72" t="s">
        <v>89</v>
      </c>
      <c r="C198" s="486">
        <v>918.31</v>
      </c>
      <c r="D198" s="89">
        <v>1082.81</v>
      </c>
      <c r="E198" s="38">
        <v>132</v>
      </c>
      <c r="F198" s="472">
        <f t="shared" ref="F198:F199" si="32">SUM(+E198*C198)</f>
        <v>121216.92</v>
      </c>
      <c r="G198" s="82">
        <f>ROUND(E198*D198,2)</f>
        <v>142930.92000000001</v>
      </c>
      <c r="H198" s="544"/>
      <c r="I198" s="544"/>
      <c r="J198" s="82"/>
      <c r="K198" s="44"/>
      <c r="L198" s="38">
        <v>132</v>
      </c>
      <c r="M198" s="472">
        <f t="shared" ref="M198:M199" si="33">SUM(+L198*C198)</f>
        <v>121216.92</v>
      </c>
      <c r="N198" s="82">
        <f>ROUND(L198*D198,2)</f>
        <v>142930.92000000001</v>
      </c>
      <c r="O198" s="544"/>
      <c r="P198" s="544"/>
      <c r="Q198" s="82"/>
      <c r="R198" s="44"/>
      <c r="S198" s="38"/>
      <c r="T198" s="472"/>
      <c r="U198" s="82"/>
      <c r="V198" s="82"/>
      <c r="W198" s="470"/>
    </row>
    <row r="199" spans="2:23" x14ac:dyDescent="0.2">
      <c r="B199" s="85" t="s">
        <v>97</v>
      </c>
      <c r="C199" s="486">
        <v>1.45</v>
      </c>
      <c r="D199" s="89">
        <v>1.45</v>
      </c>
      <c r="E199" s="38">
        <v>287208</v>
      </c>
      <c r="F199" s="472">
        <f t="shared" si="32"/>
        <v>416451.6</v>
      </c>
      <c r="G199" s="82">
        <f>ROUND(E199*D199,2)</f>
        <v>416451.6</v>
      </c>
      <c r="H199" s="544"/>
      <c r="I199" s="544"/>
      <c r="J199" s="82"/>
      <c r="K199" s="44"/>
      <c r="L199" s="38">
        <v>287208</v>
      </c>
      <c r="M199" s="472">
        <f t="shared" si="33"/>
        <v>416451.6</v>
      </c>
      <c r="N199" s="82">
        <f>ROUND(L199*D199,2)</f>
        <v>416451.6</v>
      </c>
      <c r="O199" s="544"/>
      <c r="P199" s="544"/>
      <c r="Q199" s="82"/>
      <c r="R199" s="44"/>
      <c r="S199" s="38"/>
      <c r="T199" s="472"/>
      <c r="U199" s="82"/>
      <c r="V199" s="82"/>
      <c r="W199" s="470"/>
    </row>
    <row r="200" spans="2:23" x14ac:dyDescent="0.2">
      <c r="B200" s="85" t="s">
        <v>104</v>
      </c>
      <c r="C200" s="458"/>
      <c r="D200" s="89"/>
      <c r="E200" s="38"/>
      <c r="F200" s="487">
        <f>G200</f>
        <v>19447.379999999997</v>
      </c>
      <c r="G200" s="82">
        <v>19447.379999999997</v>
      </c>
      <c r="H200" s="544"/>
      <c r="I200" s="544"/>
      <c r="J200" s="82"/>
      <c r="K200" s="44"/>
      <c r="L200" s="38"/>
      <c r="M200" s="487">
        <f>N200</f>
        <v>19447.379999999997</v>
      </c>
      <c r="N200" s="82">
        <v>19447.379999999997</v>
      </c>
      <c r="O200" s="544"/>
      <c r="P200" s="544"/>
      <c r="Q200" s="82"/>
      <c r="R200" s="44"/>
      <c r="S200" s="38"/>
      <c r="T200" s="487"/>
      <c r="U200" s="82"/>
      <c r="V200" s="82"/>
      <c r="W200" s="470"/>
    </row>
    <row r="201" spans="2:23" x14ac:dyDescent="0.2">
      <c r="B201" s="85"/>
      <c r="C201" s="458"/>
      <c r="D201" s="75"/>
      <c r="E201" s="44"/>
      <c r="F201" s="458"/>
      <c r="G201" s="44"/>
      <c r="H201" s="552"/>
      <c r="I201" s="552"/>
      <c r="J201" s="44"/>
      <c r="K201" s="44"/>
      <c r="L201" s="44"/>
      <c r="M201" s="458"/>
      <c r="N201" s="44"/>
      <c r="O201" s="552"/>
      <c r="P201" s="552"/>
      <c r="Q201" s="44"/>
      <c r="R201" s="44"/>
      <c r="S201" s="44"/>
      <c r="T201" s="458"/>
      <c r="U201" s="44"/>
      <c r="V201" s="44"/>
      <c r="W201" s="492"/>
    </row>
    <row r="202" spans="2:23" x14ac:dyDescent="0.2">
      <c r="B202" s="85" t="s">
        <v>98</v>
      </c>
      <c r="C202" s="458"/>
      <c r="D202" s="89"/>
      <c r="E202" s="44"/>
      <c r="F202" s="458"/>
      <c r="G202" s="44"/>
      <c r="H202" s="552"/>
      <c r="I202" s="552"/>
      <c r="J202" s="44"/>
      <c r="K202" s="44"/>
      <c r="L202" s="44"/>
      <c r="M202" s="458"/>
      <c r="N202" s="44"/>
      <c r="O202" s="552"/>
      <c r="P202" s="552"/>
      <c r="Q202" s="44"/>
      <c r="R202" s="44"/>
      <c r="S202" s="44"/>
      <c r="T202" s="458"/>
      <c r="U202" s="44"/>
      <c r="V202" s="44"/>
      <c r="W202" s="492"/>
    </row>
    <row r="203" spans="2:23" x14ac:dyDescent="0.2">
      <c r="B203" s="85" t="s">
        <v>105</v>
      </c>
      <c r="C203" s="486">
        <v>0.17533000000000001</v>
      </c>
      <c r="D203" s="75">
        <v>0.20754</v>
      </c>
      <c r="E203" s="38">
        <v>3298789.67</v>
      </c>
      <c r="F203" s="472">
        <f t="shared" ref="F203:F208" si="34">SUM(+E203*C203)</f>
        <v>578376.79284110002</v>
      </c>
      <c r="G203" s="82">
        <f t="shared" ref="G203:G208" si="35">ROUND(E203*D203,2)</f>
        <v>684630.81</v>
      </c>
      <c r="H203" s="560">
        <f>ROUND((G203*H$176)/E203,5)</f>
        <v>1.3339999999999999E-2</v>
      </c>
      <c r="I203" s="560">
        <f>ROUND((G203*I$176)/E203,5)</f>
        <v>1.221E-2</v>
      </c>
      <c r="J203" s="506"/>
      <c r="K203" s="44"/>
      <c r="L203" s="38">
        <v>3298789.67</v>
      </c>
      <c r="M203" s="472">
        <f t="shared" ref="M203:M208" si="36">SUM(+L203*C203)</f>
        <v>578376.79284110002</v>
      </c>
      <c r="N203" s="82">
        <f t="shared" ref="N203:N208" si="37">ROUND(L203*D203,2)</f>
        <v>684630.81</v>
      </c>
      <c r="O203" s="560">
        <f>ROUND((N203*O$176)/L203,5)</f>
        <v>-2.6099999999999999E-3</v>
      </c>
      <c r="P203" s="560">
        <f>ROUND((N203*P$176)/L203,5)</f>
        <v>3.9230000000000001E-2</v>
      </c>
      <c r="Q203" s="503"/>
      <c r="R203" s="44"/>
      <c r="S203" s="38"/>
      <c r="T203" s="472"/>
      <c r="U203" s="82"/>
      <c r="V203" s="82"/>
      <c r="W203" s="470"/>
    </row>
    <row r="204" spans="2:23" x14ac:dyDescent="0.2">
      <c r="B204" s="85" t="s">
        <v>106</v>
      </c>
      <c r="C204" s="486">
        <v>0.10595</v>
      </c>
      <c r="D204" s="75">
        <v>0.12540999999999999</v>
      </c>
      <c r="E204" s="38">
        <v>3300000</v>
      </c>
      <c r="F204" s="472">
        <f t="shared" si="34"/>
        <v>349635</v>
      </c>
      <c r="G204" s="82">
        <f t="shared" si="35"/>
        <v>413853</v>
      </c>
      <c r="H204" s="560">
        <f t="shared" ref="H204:H207" si="38">ROUND((G204*H$176)/E204,5)</f>
        <v>8.0599999999999995E-3</v>
      </c>
      <c r="I204" s="560">
        <f t="shared" ref="I204:I207" si="39">ROUND((G204*I$176)/E204,5)</f>
        <v>7.3800000000000003E-3</v>
      </c>
      <c r="J204" s="506"/>
      <c r="K204" s="44"/>
      <c r="L204" s="38">
        <v>3300000</v>
      </c>
      <c r="M204" s="472">
        <f t="shared" si="36"/>
        <v>349635</v>
      </c>
      <c r="N204" s="82">
        <f t="shared" si="37"/>
        <v>413853</v>
      </c>
      <c r="O204" s="560">
        <f t="shared" ref="O204:O207" si="40">ROUND((N204*O$176)/L204,5)</f>
        <v>-1.58E-3</v>
      </c>
      <c r="P204" s="560">
        <f t="shared" ref="P204:P207" si="41">ROUND((N204*P$176)/L204,5)</f>
        <v>2.3709999999999998E-2</v>
      </c>
      <c r="Q204" s="503"/>
      <c r="R204" s="44"/>
      <c r="S204" s="38"/>
      <c r="T204" s="472"/>
      <c r="U204" s="82"/>
      <c r="V204" s="82"/>
      <c r="W204" s="470"/>
    </row>
    <row r="205" spans="2:23" x14ac:dyDescent="0.2">
      <c r="B205" s="85" t="s">
        <v>108</v>
      </c>
      <c r="C205" s="486">
        <v>6.7419999999999994E-2</v>
      </c>
      <c r="D205" s="75">
        <v>7.9810000000000006E-2</v>
      </c>
      <c r="E205" s="38">
        <v>6600000</v>
      </c>
      <c r="F205" s="472">
        <f t="shared" si="34"/>
        <v>444971.99999999994</v>
      </c>
      <c r="G205" s="82">
        <f t="shared" si="35"/>
        <v>526746</v>
      </c>
      <c r="H205" s="560">
        <f t="shared" si="38"/>
        <v>5.13E-3</v>
      </c>
      <c r="I205" s="560">
        <f t="shared" si="39"/>
        <v>4.6899999999999997E-3</v>
      </c>
      <c r="J205" s="506"/>
      <c r="K205" s="44"/>
      <c r="L205" s="38">
        <v>6600000</v>
      </c>
      <c r="M205" s="472">
        <f t="shared" si="36"/>
        <v>444971.99999999994</v>
      </c>
      <c r="N205" s="82">
        <f t="shared" si="37"/>
        <v>526746</v>
      </c>
      <c r="O205" s="560">
        <f t="shared" si="40"/>
        <v>-1E-3</v>
      </c>
      <c r="P205" s="560">
        <f t="shared" si="41"/>
        <v>1.5089999999999999E-2</v>
      </c>
      <c r="Q205" s="503"/>
      <c r="R205" s="44"/>
      <c r="S205" s="38"/>
      <c r="T205" s="472"/>
      <c r="U205" s="82"/>
      <c r="V205" s="82"/>
      <c r="W205" s="470"/>
    </row>
    <row r="206" spans="2:23" x14ac:dyDescent="0.2">
      <c r="B206" s="85" t="s">
        <v>15</v>
      </c>
      <c r="C206" s="486">
        <v>4.3229999999999998E-2</v>
      </c>
      <c r="D206" s="75">
        <v>5.117E-2</v>
      </c>
      <c r="E206" s="38">
        <v>12663691.02</v>
      </c>
      <c r="F206" s="472">
        <f t="shared" si="34"/>
        <v>547451.36279459996</v>
      </c>
      <c r="G206" s="82">
        <f t="shared" si="35"/>
        <v>648001.06999999995</v>
      </c>
      <c r="H206" s="560">
        <f t="shared" si="38"/>
        <v>3.29E-3</v>
      </c>
      <c r="I206" s="560">
        <f t="shared" si="39"/>
        <v>3.0100000000000001E-3</v>
      </c>
      <c r="J206" s="506"/>
      <c r="K206" s="44"/>
      <c r="L206" s="38">
        <v>12663691.02</v>
      </c>
      <c r="M206" s="472">
        <f t="shared" si="36"/>
        <v>547451.36279459996</v>
      </c>
      <c r="N206" s="82">
        <f t="shared" si="37"/>
        <v>648001.06999999995</v>
      </c>
      <c r="O206" s="560">
        <f t="shared" si="40"/>
        <v>-6.4000000000000005E-4</v>
      </c>
      <c r="P206" s="560">
        <f t="shared" si="41"/>
        <v>9.6699999999999998E-3</v>
      </c>
      <c r="Q206" s="503"/>
      <c r="R206" s="44"/>
      <c r="S206" s="38"/>
      <c r="T206" s="472"/>
      <c r="U206" s="82"/>
      <c r="V206" s="82"/>
      <c r="W206" s="470"/>
    </row>
    <row r="207" spans="2:23" x14ac:dyDescent="0.2">
      <c r="B207" s="85" t="s">
        <v>14</v>
      </c>
      <c r="C207" s="486">
        <v>3.1109999999999999E-2</v>
      </c>
      <c r="D207" s="75">
        <v>3.6830000000000002E-2</v>
      </c>
      <c r="E207" s="38">
        <v>29344602.150000002</v>
      </c>
      <c r="F207" s="472">
        <f t="shared" si="34"/>
        <v>912910.57288650004</v>
      </c>
      <c r="G207" s="82">
        <f t="shared" si="35"/>
        <v>1080761.7</v>
      </c>
      <c r="H207" s="560">
        <f t="shared" si="38"/>
        <v>2.3700000000000001E-3</v>
      </c>
      <c r="I207" s="560">
        <f t="shared" si="39"/>
        <v>2.1700000000000001E-3</v>
      </c>
      <c r="J207" s="506"/>
      <c r="K207" s="44"/>
      <c r="L207" s="38">
        <v>29344602.150000002</v>
      </c>
      <c r="M207" s="472">
        <f t="shared" si="36"/>
        <v>912910.57288650004</v>
      </c>
      <c r="N207" s="82">
        <f t="shared" si="37"/>
        <v>1080761.7</v>
      </c>
      <c r="O207" s="560">
        <f t="shared" si="40"/>
        <v>-4.6000000000000001E-4</v>
      </c>
      <c r="P207" s="560">
        <f t="shared" si="41"/>
        <v>6.96E-3</v>
      </c>
      <c r="Q207" s="503"/>
      <c r="R207" s="44"/>
      <c r="S207" s="38"/>
      <c r="T207" s="472"/>
      <c r="U207" s="82"/>
      <c r="V207" s="82"/>
      <c r="W207" s="470"/>
    </row>
    <row r="208" spans="2:23" x14ac:dyDescent="0.2">
      <c r="B208" s="85" t="s">
        <v>112</v>
      </c>
      <c r="C208" s="486">
        <v>2.3990000000000001E-2</v>
      </c>
      <c r="D208" s="75">
        <v>2.4830000000000001E-2</v>
      </c>
      <c r="E208" s="38">
        <v>73746329.805479586</v>
      </c>
      <c r="F208" s="472">
        <f t="shared" si="34"/>
        <v>1769174.4520334553</v>
      </c>
      <c r="G208" s="82">
        <f t="shared" si="35"/>
        <v>1831121.37</v>
      </c>
      <c r="H208" s="560">
        <f>ROUND((G208*H$175)/E208,5)</f>
        <v>4.0000000000000002E-4</v>
      </c>
      <c r="I208" s="560">
        <f>ROUND((G208*I$175)/E208,5)</f>
        <v>3.6000000000000002E-4</v>
      </c>
      <c r="J208" s="506"/>
      <c r="K208" s="44"/>
      <c r="L208" s="38">
        <v>86801883.805479586</v>
      </c>
      <c r="M208" s="472">
        <f t="shared" si="36"/>
        <v>2082377.1924934553</v>
      </c>
      <c r="N208" s="82">
        <f t="shared" si="37"/>
        <v>2155290.77</v>
      </c>
      <c r="O208" s="560">
        <f>ROUND((N208*O$175)/L208,5)</f>
        <v>-6.9999999999999994E-5</v>
      </c>
      <c r="P208" s="560">
        <f>ROUND((N208*P$175)/L208,5)</f>
        <v>1.1299999999999999E-3</v>
      </c>
      <c r="Q208" s="503"/>
      <c r="R208" s="44"/>
      <c r="S208" s="38"/>
      <c r="T208" s="463"/>
      <c r="U208" s="78"/>
      <c r="V208" s="82"/>
      <c r="W208" s="470"/>
    </row>
    <row r="209" spans="2:23" x14ac:dyDescent="0.2">
      <c r="B209" s="72" t="s">
        <v>125</v>
      </c>
      <c r="C209" s="486"/>
      <c r="D209" s="75"/>
      <c r="E209" s="15">
        <f>SUM(E203:E208)</f>
        <v>128953412.64547959</v>
      </c>
      <c r="F209" s="453">
        <f>SUM(F198:F208)</f>
        <v>5159636.0805556551</v>
      </c>
      <c r="G209" s="128">
        <f>SUM(G198:G208)</f>
        <v>5763943.8499999996</v>
      </c>
      <c r="H209" s="555"/>
      <c r="I209" s="555"/>
      <c r="J209" s="88"/>
      <c r="K209" s="44"/>
      <c r="L209" s="15">
        <f>SUM(L203:L208)</f>
        <v>142008966.64547959</v>
      </c>
      <c r="M209" s="495">
        <f>SUM(M198:M208)</f>
        <v>5472838.8210156551</v>
      </c>
      <c r="N209" s="128">
        <f>SUM(N198:N208)</f>
        <v>6088113.25</v>
      </c>
      <c r="O209" s="555"/>
      <c r="P209" s="555"/>
      <c r="Q209" s="88"/>
      <c r="R209" s="44"/>
      <c r="S209" s="15"/>
      <c r="T209" s="497"/>
      <c r="U209" s="88"/>
      <c r="V209" s="88"/>
      <c r="W209" s="470"/>
    </row>
    <row r="210" spans="2:23" x14ac:dyDescent="0.2">
      <c r="B210" s="72"/>
      <c r="C210" s="486"/>
      <c r="D210" s="75"/>
      <c r="E210" s="44"/>
      <c r="F210" s="458"/>
      <c r="G210" s="44"/>
      <c r="H210" s="552"/>
      <c r="I210" s="552"/>
      <c r="J210" s="44"/>
      <c r="K210" s="44"/>
      <c r="L210" s="44"/>
      <c r="M210" s="458"/>
      <c r="N210" s="44"/>
      <c r="O210" s="552"/>
      <c r="P210" s="552"/>
      <c r="Q210" s="44"/>
      <c r="R210" s="44"/>
      <c r="S210" s="44"/>
      <c r="T210" s="458"/>
      <c r="U210" s="44"/>
      <c r="V210" s="44"/>
      <c r="W210" s="470"/>
    </row>
    <row r="211" spans="2:23" x14ac:dyDescent="0.2">
      <c r="B211" s="499" t="s">
        <v>123</v>
      </c>
      <c r="C211" s="500"/>
      <c r="D211" s="89"/>
      <c r="E211" s="44"/>
      <c r="F211" s="495">
        <f>F209</f>
        <v>5159636.0805556551</v>
      </c>
      <c r="G211" s="128">
        <f>G209</f>
        <v>5763943.8499999996</v>
      </c>
      <c r="H211" s="555"/>
      <c r="I211" s="555"/>
      <c r="J211" s="88"/>
      <c r="K211" s="44"/>
      <c r="L211" s="44"/>
      <c r="M211" s="495">
        <f>M209</f>
        <v>5472838.8210156551</v>
      </c>
      <c r="N211" s="128">
        <f>N209</f>
        <v>6088113.25</v>
      </c>
      <c r="O211" s="555"/>
      <c r="P211" s="555"/>
      <c r="Q211" s="88"/>
      <c r="R211" s="44"/>
      <c r="S211" s="88"/>
      <c r="T211" s="495"/>
      <c r="U211" s="128"/>
      <c r="V211" s="88"/>
      <c r="W211" s="470"/>
    </row>
    <row r="212" spans="2:23" x14ac:dyDescent="0.2">
      <c r="B212" s="85" t="s">
        <v>238</v>
      </c>
      <c r="C212" s="458"/>
      <c r="D212" s="89"/>
      <c r="E212" s="38"/>
      <c r="F212" s="487"/>
      <c r="G212" s="88"/>
      <c r="H212" s="546">
        <f>SUMPRODUCT(E203:E208,H203:H208)</f>
        <v>245170.63667129184</v>
      </c>
      <c r="I212" s="546">
        <f>SUMPRODUCT(E203:E208,I203:I208)</f>
        <v>223930.39723637264</v>
      </c>
      <c r="J212" s="82"/>
      <c r="K212" s="44"/>
      <c r="L212" s="38"/>
      <c r="M212" s="487"/>
      <c r="N212" s="88"/>
      <c r="O212" s="546">
        <f>SUMPRODUCT(L203:L208,O203:O208)</f>
        <v>-48103.252146883569</v>
      </c>
      <c r="P212" s="546">
        <f>SUMPRODUCT(L203:L208,P203:P208)</f>
        <v>732030.97058169206</v>
      </c>
      <c r="Q212" s="82"/>
      <c r="R212" s="44"/>
      <c r="S212" s="38"/>
      <c r="T212" s="487"/>
      <c r="U212" s="38"/>
      <c r="V212" s="78"/>
      <c r="W212" s="480"/>
    </row>
    <row r="213" spans="2:23" x14ac:dyDescent="0.2">
      <c r="B213" s="91" t="str">
        <f>"Total "&amp;B196</f>
        <v>Total Schedule 87 - Transportation</v>
      </c>
      <c r="C213" s="484"/>
      <c r="D213" s="89"/>
      <c r="E213" s="38"/>
      <c r="F213" s="487"/>
      <c r="G213" s="88"/>
      <c r="H213" s="544"/>
      <c r="I213" s="548">
        <f>G211+H212+I212</f>
        <v>6233044.8839076636</v>
      </c>
      <c r="J213" s="92"/>
      <c r="K213" s="44"/>
      <c r="L213" s="38"/>
      <c r="M213" s="487"/>
      <c r="N213" s="88"/>
      <c r="O213" s="544"/>
      <c r="P213" s="548">
        <f>N211+O212+P212</f>
        <v>6772040.9684348078</v>
      </c>
      <c r="Q213" s="92"/>
      <c r="R213" s="44"/>
      <c r="S213" s="38"/>
      <c r="T213" s="487"/>
      <c r="U213" s="38"/>
      <c r="V213" s="476"/>
      <c r="W213" s="501"/>
    </row>
    <row r="214" spans="2:23" x14ac:dyDescent="0.2">
      <c r="B214" s="91"/>
      <c r="C214" s="484"/>
      <c r="D214" s="89"/>
      <c r="E214" s="38"/>
      <c r="F214" s="487"/>
      <c r="G214" s="88"/>
      <c r="H214" s="544"/>
      <c r="I214" s="554"/>
      <c r="J214" s="92"/>
      <c r="K214" s="44"/>
      <c r="L214" s="38"/>
      <c r="M214" s="487"/>
      <c r="N214" s="88"/>
      <c r="O214" s="544"/>
      <c r="P214" s="554"/>
      <c r="Q214" s="92"/>
      <c r="R214" s="44"/>
      <c r="S214" s="38"/>
      <c r="T214" s="487"/>
      <c r="U214" s="38"/>
      <c r="V214" s="92"/>
      <c r="W214" s="501"/>
    </row>
    <row r="215" spans="2:23" x14ac:dyDescent="0.2">
      <c r="B215" s="507" t="s">
        <v>197</v>
      </c>
      <c r="C215" s="508"/>
      <c r="D215" s="394"/>
      <c r="E215" s="362">
        <v>31066759.999999996</v>
      </c>
      <c r="F215" s="509">
        <v>1620924.2085755297</v>
      </c>
      <c r="G215" s="404">
        <v>1641017.2645532298</v>
      </c>
      <c r="H215" s="561">
        <v>0</v>
      </c>
      <c r="I215" s="561">
        <v>0</v>
      </c>
      <c r="J215" s="510">
        <v>0</v>
      </c>
      <c r="K215" s="244"/>
      <c r="L215" s="362">
        <v>30967899.999999996</v>
      </c>
      <c r="M215" s="509">
        <v>1618329.5363931155</v>
      </c>
      <c r="N215" s="404">
        <v>1638422.5923708156</v>
      </c>
      <c r="O215" s="561">
        <v>0</v>
      </c>
      <c r="P215" s="561">
        <v>0</v>
      </c>
      <c r="Q215" s="510">
        <v>0</v>
      </c>
      <c r="R215" s="244"/>
      <c r="S215" s="362"/>
      <c r="T215" s="509"/>
      <c r="U215" s="404"/>
      <c r="V215" s="402"/>
      <c r="W215" s="402"/>
    </row>
    <row r="216" spans="2:23" x14ac:dyDescent="0.2">
      <c r="B216" s="76"/>
      <c r="C216" s="461"/>
      <c r="D216" s="129"/>
      <c r="E216" s="77"/>
      <c r="F216" s="461"/>
      <c r="G216" s="77"/>
      <c r="H216" s="77"/>
      <c r="I216" s="77"/>
      <c r="J216" s="77"/>
      <c r="K216" s="77"/>
      <c r="L216" s="77"/>
      <c r="M216" s="461"/>
      <c r="N216" s="77"/>
      <c r="O216" s="77"/>
      <c r="P216" s="77"/>
      <c r="Q216" s="77"/>
      <c r="R216" s="77"/>
      <c r="S216" s="77"/>
      <c r="T216" s="461"/>
      <c r="U216" s="77"/>
      <c r="V216" s="77"/>
      <c r="W216" s="493"/>
    </row>
    <row r="217" spans="2:23" x14ac:dyDescent="0.2">
      <c r="B217" s="347" t="s">
        <v>245</v>
      </c>
    </row>
    <row r="219" spans="2:23" s="433" customFormat="1" x14ac:dyDescent="0.2">
      <c r="B219" s="458" t="s">
        <v>235</v>
      </c>
      <c r="C219" s="511"/>
      <c r="E219" s="512">
        <f t="shared" ref="E219:E225" si="42">SUMIF($B$10:$B$216,$B219,E$10:E$216)</f>
        <v>636378193</v>
      </c>
      <c r="G219" s="513"/>
      <c r="H219" s="514">
        <f t="shared" ref="H219:J225" si="43">SUMIF($B$10:$B$216,$B219,H$10:H$216)</f>
        <v>15615300.17325394</v>
      </c>
      <c r="I219" s="514">
        <f>SUMIF($B$10:$B$216,$B219,I$10:I$216)</f>
        <v>14266993.036877459</v>
      </c>
      <c r="J219" s="514">
        <f>SUMIF($B$10:$B$216,$B219,J$10:J$216)</f>
        <v>2074672.7347817947</v>
      </c>
      <c r="K219" s="471"/>
      <c r="L219" s="512">
        <f t="shared" ref="L219:L225" si="44">SUMIF($B$10:$B$216,$B219,L$10:L$216)</f>
        <v>639473381</v>
      </c>
      <c r="N219" s="513"/>
      <c r="O219" s="514">
        <f t="shared" ref="O219:Q225" si="45">SUMIF($B$10:$B$216,$B219,O$10:O$216)</f>
        <v>-3068266.7324704034</v>
      </c>
      <c r="P219" s="514">
        <f t="shared" si="45"/>
        <v>46474104.097345166</v>
      </c>
      <c r="Q219" s="514">
        <f t="shared" si="45"/>
        <v>2016093.3139364917</v>
      </c>
      <c r="R219" s="471"/>
      <c r="S219" s="512"/>
      <c r="U219" s="513"/>
      <c r="V219" s="514"/>
      <c r="W219" s="514"/>
    </row>
    <row r="220" spans="2:23" s="433" customFormat="1" x14ac:dyDescent="0.2">
      <c r="B220" s="458" t="s">
        <v>239</v>
      </c>
      <c r="C220" s="511"/>
      <c r="E220" s="512">
        <f t="shared" si="42"/>
        <v>243226645</v>
      </c>
      <c r="G220" s="513"/>
      <c r="H220" s="514">
        <f t="shared" si="43"/>
        <v>5508993.2050401885</v>
      </c>
      <c r="I220" s="514">
        <f t="shared" si="43"/>
        <v>5033317.7604318503</v>
      </c>
      <c r="J220" s="514">
        <f t="shared" si="43"/>
        <v>730982.95631700102</v>
      </c>
      <c r="K220" s="471"/>
      <c r="L220" s="512">
        <f t="shared" si="44"/>
        <v>245970110</v>
      </c>
      <c r="N220" s="513"/>
      <c r="O220" s="514">
        <f t="shared" si="45"/>
        <v>-1082467.8611930923</v>
      </c>
      <c r="P220" s="514">
        <f t="shared" si="45"/>
        <v>16395811.853884708</v>
      </c>
      <c r="Q220" s="514">
        <f t="shared" si="45"/>
        <v>710343.28746178711</v>
      </c>
      <c r="R220" s="471"/>
      <c r="S220" s="512"/>
      <c r="U220" s="513"/>
      <c r="V220" s="514"/>
      <c r="W220" s="514"/>
    </row>
    <row r="221" spans="2:23" s="433" customFormat="1" x14ac:dyDescent="0.2">
      <c r="B221" s="458" t="s">
        <v>240</v>
      </c>
      <c r="C221" s="511"/>
      <c r="E221" s="512">
        <f t="shared" si="42"/>
        <v>92387406</v>
      </c>
      <c r="G221" s="513"/>
      <c r="H221" s="514">
        <f t="shared" si="43"/>
        <v>1000288.464697674</v>
      </c>
      <c r="I221" s="514">
        <f t="shared" si="43"/>
        <v>913918.2982312612</v>
      </c>
      <c r="J221" s="514">
        <f t="shared" si="43"/>
        <v>151679.99799864666</v>
      </c>
      <c r="K221" s="471"/>
      <c r="L221" s="512">
        <f t="shared" si="44"/>
        <v>93400775</v>
      </c>
      <c r="N221" s="513"/>
      <c r="O221" s="514">
        <f t="shared" si="45"/>
        <v>-196547.73107484967</v>
      </c>
      <c r="P221" s="514">
        <f t="shared" si="45"/>
        <v>2977048.7739555337</v>
      </c>
      <c r="Q221" s="514">
        <f t="shared" si="45"/>
        <v>147397.23749979044</v>
      </c>
      <c r="R221" s="471"/>
      <c r="S221" s="512"/>
      <c r="U221" s="513"/>
      <c r="V221" s="514"/>
      <c r="W221" s="514"/>
    </row>
    <row r="222" spans="2:23" s="433" customFormat="1" x14ac:dyDescent="0.2">
      <c r="B222" s="458" t="s">
        <v>241</v>
      </c>
      <c r="C222" s="511"/>
      <c r="E222" s="512">
        <f t="shared" si="42"/>
        <v>73912158</v>
      </c>
      <c r="G222" s="513"/>
      <c r="H222" s="514">
        <f>SUMIF($B$10:$B$216,$B222,H$10:H$216)</f>
        <v>475918.82591419795</v>
      </c>
      <c r="I222" s="514">
        <f t="shared" si="43"/>
        <v>434825.49167172762</v>
      </c>
      <c r="J222" s="514">
        <f t="shared" si="43"/>
        <v>20472.643272653775</v>
      </c>
      <c r="K222" s="471"/>
      <c r="L222" s="512">
        <f t="shared" si="44"/>
        <v>73034304</v>
      </c>
      <c r="N222" s="513"/>
      <c r="O222" s="514">
        <f t="shared" si="45"/>
        <v>-93513.78998208644</v>
      </c>
      <c r="P222" s="514">
        <f t="shared" si="45"/>
        <v>1416424.9685898777</v>
      </c>
      <c r="Q222" s="514">
        <f t="shared" si="45"/>
        <v>19894.587964952108</v>
      </c>
      <c r="R222" s="471"/>
      <c r="S222" s="512"/>
      <c r="U222" s="513"/>
      <c r="V222" s="514"/>
      <c r="W222" s="514"/>
    </row>
    <row r="223" spans="2:23" s="433" customFormat="1" x14ac:dyDescent="0.2">
      <c r="B223" s="458" t="s">
        <v>242</v>
      </c>
      <c r="C223" s="511"/>
      <c r="E223" s="512">
        <f t="shared" si="42"/>
        <v>6233899</v>
      </c>
      <c r="G223" s="513"/>
      <c r="H223" s="514">
        <f t="shared" si="43"/>
        <v>32727.069526211297</v>
      </c>
      <c r="I223" s="514">
        <f t="shared" si="43"/>
        <v>29901.242234689889</v>
      </c>
      <c r="J223" s="514">
        <f t="shared" si="43"/>
        <v>2774.6506744699045</v>
      </c>
      <c r="K223" s="471"/>
      <c r="L223" s="512">
        <f t="shared" si="44"/>
        <v>6068110</v>
      </c>
      <c r="N223" s="513"/>
      <c r="O223" s="514">
        <f t="shared" si="45"/>
        <v>-6430.5762658672829</v>
      </c>
      <c r="P223" s="514">
        <f t="shared" si="45"/>
        <v>97401.98517395879</v>
      </c>
      <c r="Q223" s="514">
        <f t="shared" si="45"/>
        <v>2696.3070268991123</v>
      </c>
      <c r="R223" s="471"/>
      <c r="S223" s="512"/>
      <c r="U223" s="513"/>
      <c r="V223" s="514"/>
      <c r="W223" s="514"/>
    </row>
    <row r="224" spans="2:23" s="433" customFormat="1" x14ac:dyDescent="0.2">
      <c r="B224" s="458" t="s">
        <v>243</v>
      </c>
      <c r="C224" s="511"/>
      <c r="E224" s="512">
        <f t="shared" si="42"/>
        <v>150772868.4078348</v>
      </c>
      <c r="G224" s="513"/>
      <c r="H224" s="514">
        <f t="shared" si="43"/>
        <v>311260.76148369926</v>
      </c>
      <c r="I224" s="514">
        <f t="shared" si="43"/>
        <v>284384.87044567277</v>
      </c>
      <c r="J224" s="514">
        <f t="shared" si="43"/>
        <v>17392.144629522732</v>
      </c>
      <c r="K224" s="471"/>
      <c r="L224" s="512">
        <f t="shared" si="44"/>
        <v>163828422.4078348</v>
      </c>
      <c r="M224" s="458"/>
      <c r="N224" s="471"/>
      <c r="O224" s="514">
        <f t="shared" si="45"/>
        <v>-61159.953954623772</v>
      </c>
      <c r="P224" s="514">
        <f t="shared" si="45"/>
        <v>926371.24295497977</v>
      </c>
      <c r="Q224" s="514">
        <f t="shared" si="45"/>
        <v>16901.068739540333</v>
      </c>
      <c r="R224" s="471"/>
      <c r="S224" s="512"/>
      <c r="T224" s="458"/>
      <c r="U224" s="471"/>
      <c r="V224" s="514"/>
      <c r="W224" s="514"/>
    </row>
    <row r="225" spans="2:23" s="433" customFormat="1" x14ac:dyDescent="0.2">
      <c r="B225" s="458" t="s">
        <v>197</v>
      </c>
      <c r="C225" s="511"/>
      <c r="E225" s="512">
        <f t="shared" si="42"/>
        <v>31066759.999999996</v>
      </c>
      <c r="G225" s="513"/>
      <c r="H225" s="514">
        <f t="shared" si="43"/>
        <v>0</v>
      </c>
      <c r="I225" s="514">
        <f t="shared" si="43"/>
        <v>0</v>
      </c>
      <c r="J225" s="514">
        <f t="shared" si="43"/>
        <v>0</v>
      </c>
      <c r="K225" s="471"/>
      <c r="L225" s="512">
        <f t="shared" si="44"/>
        <v>30967899.999999996</v>
      </c>
      <c r="N225" s="513"/>
      <c r="O225" s="514">
        <f t="shared" si="45"/>
        <v>0</v>
      </c>
      <c r="P225" s="514">
        <f t="shared" si="45"/>
        <v>0</v>
      </c>
      <c r="Q225" s="514">
        <f t="shared" si="45"/>
        <v>0</v>
      </c>
      <c r="R225" s="471"/>
      <c r="S225" s="512"/>
      <c r="U225" s="513"/>
      <c r="V225" s="514"/>
      <c r="W225" s="514"/>
    </row>
    <row r="226" spans="2:23" s="433" customFormat="1" x14ac:dyDescent="0.2">
      <c r="B226" s="511"/>
      <c r="C226" s="511"/>
      <c r="E226" s="515">
        <f>SUM(E219:E225)</f>
        <v>1233977929.4078348</v>
      </c>
      <c r="G226" s="513"/>
      <c r="H226" s="516">
        <f>SUM(H219:H225)</f>
        <v>22944488.499915909</v>
      </c>
      <c r="I226" s="516">
        <f>SUM(I219:I225)</f>
        <v>20963340.699892659</v>
      </c>
      <c r="J226" s="516">
        <f>SUM(J219:J225)</f>
        <v>2997975.1276740883</v>
      </c>
      <c r="K226" s="471"/>
      <c r="L226" s="515">
        <f>SUM(L219:L225)</f>
        <v>1252743002.4078348</v>
      </c>
      <c r="N226" s="513"/>
      <c r="O226" s="516">
        <f>SUM(O219:O225)</f>
        <v>-4508386.644940923</v>
      </c>
      <c r="P226" s="516">
        <f>SUM(P219:P225)</f>
        <v>68287162.921904221</v>
      </c>
      <c r="Q226" s="516">
        <f>SUM(Q219:Q225)</f>
        <v>2913325.8026294606</v>
      </c>
      <c r="R226" s="471"/>
      <c r="S226" s="515"/>
      <c r="U226" s="513"/>
      <c r="V226" s="516"/>
      <c r="W226" s="516"/>
    </row>
    <row r="227" spans="2:23" s="433" customFormat="1" x14ac:dyDescent="0.2">
      <c r="B227" s="511"/>
      <c r="C227" s="511"/>
      <c r="G227" s="513"/>
      <c r="H227" s="513"/>
      <c r="I227" s="513"/>
      <c r="J227" s="513"/>
      <c r="K227" s="471"/>
      <c r="N227" s="513"/>
      <c r="O227" s="513"/>
      <c r="P227" s="513"/>
      <c r="Q227" s="513"/>
      <c r="R227" s="471"/>
      <c r="U227" s="513"/>
      <c r="V227" s="513"/>
      <c r="W227" s="513"/>
    </row>
    <row r="228" spans="2:23" s="433" customFormat="1" x14ac:dyDescent="0.2">
      <c r="B228" s="433" t="s">
        <v>246</v>
      </c>
      <c r="C228" s="511"/>
      <c r="E228" s="517">
        <v>1233977929.6218345</v>
      </c>
      <c r="F228" s="517"/>
      <c r="G228" s="517"/>
      <c r="H228" s="517"/>
      <c r="I228" s="517"/>
      <c r="J228" s="517"/>
      <c r="K228" s="512"/>
      <c r="L228" s="517">
        <v>1252743002.6218348</v>
      </c>
      <c r="M228" s="517"/>
      <c r="N228" s="517"/>
      <c r="O228" s="517"/>
      <c r="P228" s="517"/>
      <c r="Q228" s="517"/>
      <c r="R228" s="512"/>
      <c r="S228" s="517"/>
      <c r="U228" s="513"/>
      <c r="V228" s="517"/>
      <c r="W228" s="517"/>
    </row>
    <row r="229" spans="2:23" s="433" customFormat="1" x14ac:dyDescent="0.2">
      <c r="B229" s="433" t="s">
        <v>13</v>
      </c>
      <c r="C229" s="511"/>
      <c r="E229" s="517">
        <f>E228-E226</f>
        <v>0.21399974822998047</v>
      </c>
      <c r="F229" s="517"/>
      <c r="G229" s="517"/>
      <c r="H229" s="517"/>
      <c r="I229" s="517"/>
      <c r="J229" s="517"/>
      <c r="K229" s="512"/>
      <c r="L229" s="517">
        <f>L228-L226</f>
        <v>0.21399998664855957</v>
      </c>
      <c r="M229" s="517"/>
      <c r="N229" s="517"/>
      <c r="O229" s="517"/>
      <c r="P229" s="517"/>
      <c r="Q229" s="517"/>
      <c r="R229" s="512"/>
      <c r="S229" s="517"/>
      <c r="U229" s="513"/>
      <c r="V229" s="517"/>
      <c r="W229" s="517"/>
    </row>
    <row r="230" spans="2:23" s="433" customFormat="1" x14ac:dyDescent="0.2">
      <c r="C230" s="511"/>
      <c r="G230" s="513"/>
      <c r="H230" s="513"/>
      <c r="I230" s="513"/>
      <c r="J230" s="513"/>
      <c r="K230" s="471"/>
      <c r="N230" s="513"/>
      <c r="O230" s="513"/>
      <c r="P230" s="513"/>
      <c r="Q230" s="513"/>
      <c r="R230" s="471"/>
      <c r="U230" s="513"/>
      <c r="V230" s="513"/>
      <c r="W230" s="513"/>
    </row>
    <row r="231" spans="2:23" s="433" customFormat="1" x14ac:dyDescent="0.2">
      <c r="C231" s="511"/>
      <c r="G231" s="513"/>
      <c r="H231" s="513"/>
      <c r="I231" s="513"/>
      <c r="J231" s="513"/>
      <c r="K231" s="471"/>
      <c r="N231" s="513"/>
      <c r="O231" s="513"/>
      <c r="P231" s="513"/>
      <c r="Q231" s="513"/>
      <c r="R231" s="471"/>
      <c r="U231" s="513"/>
      <c r="V231" s="513"/>
      <c r="W231" s="513"/>
    </row>
    <row r="232" spans="2:23" s="433" customFormat="1" x14ac:dyDescent="0.2">
      <c r="B232" s="433" t="s">
        <v>221</v>
      </c>
      <c r="C232" s="511"/>
      <c r="F232" s="518">
        <f>SUMIF($E$10:$E$216,$B232,F10:F216)+F215</f>
        <v>539600736.19147825</v>
      </c>
      <c r="G232" s="518">
        <f>SUMIF($E$10:$E$216,$B232,G10:G216)+G215</f>
        <v>587785548.37421727</v>
      </c>
      <c r="H232" s="513"/>
      <c r="I232" s="513"/>
      <c r="J232" s="513"/>
      <c r="K232" s="471"/>
      <c r="M232" s="517">
        <f>SUMIF($E$10:$E$216,$B232,M10:M216)+M215</f>
        <v>543745909.19024289</v>
      </c>
      <c r="N232" s="517">
        <f>SUMIF($E$10:$E$216,$B232,N10:N216)+N215</f>
        <v>592277399.27363074</v>
      </c>
      <c r="O232" s="513"/>
      <c r="P232" s="513"/>
      <c r="Q232" s="513"/>
      <c r="R232" s="471"/>
      <c r="T232" s="517"/>
      <c r="U232" s="517"/>
      <c r="V232" s="513"/>
      <c r="W232" s="513"/>
    </row>
    <row r="233" spans="2:23" s="433" customFormat="1" x14ac:dyDescent="0.2">
      <c r="B233" s="433" t="s">
        <v>247</v>
      </c>
      <c r="C233" s="511"/>
      <c r="F233" s="518">
        <v>541636319.26357377</v>
      </c>
      <c r="G233" s="518"/>
      <c r="H233" s="513"/>
      <c r="I233" s="513"/>
      <c r="J233" s="513"/>
      <c r="K233" s="471"/>
      <c r="M233" s="517">
        <v>545781492.25652039</v>
      </c>
      <c r="N233" s="513"/>
      <c r="O233" s="513"/>
      <c r="P233" s="513"/>
      <c r="Q233" s="513"/>
      <c r="R233" s="471"/>
      <c r="T233" s="517"/>
      <c r="U233" s="513"/>
      <c r="V233" s="513"/>
      <c r="W233" s="513"/>
    </row>
    <row r="234" spans="2:23" s="433" customFormat="1" x14ac:dyDescent="0.2">
      <c r="B234" s="433" t="s">
        <v>13</v>
      </c>
      <c r="C234" s="511"/>
      <c r="F234" s="518">
        <f>F232-F233</f>
        <v>-2035583.0720955133</v>
      </c>
      <c r="G234" s="518"/>
      <c r="H234" s="513"/>
      <c r="I234" s="513"/>
      <c r="J234" s="513"/>
      <c r="K234" s="471"/>
      <c r="M234" s="517">
        <f>M232-M233</f>
        <v>-2035583.066277504</v>
      </c>
      <c r="N234" s="513"/>
      <c r="O234" s="513"/>
      <c r="P234" s="513"/>
      <c r="Q234" s="513"/>
      <c r="R234" s="471"/>
      <c r="T234" s="517"/>
      <c r="U234" s="513"/>
      <c r="V234" s="513"/>
      <c r="W234" s="513"/>
    </row>
    <row r="235" spans="2:23" s="433" customFormat="1" x14ac:dyDescent="0.2">
      <c r="B235" s="511"/>
      <c r="C235" s="511"/>
      <c r="G235" s="513"/>
      <c r="H235" s="513"/>
      <c r="I235" s="513"/>
      <c r="J235" s="513"/>
      <c r="K235" s="471"/>
      <c r="N235" s="513"/>
      <c r="O235" s="513"/>
      <c r="P235" s="513"/>
      <c r="Q235" s="513"/>
      <c r="R235" s="471"/>
      <c r="U235" s="513"/>
      <c r="V235" s="513"/>
      <c r="W235" s="513"/>
    </row>
    <row r="236" spans="2:23" s="433" customFormat="1" x14ac:dyDescent="0.2">
      <c r="B236" s="511"/>
      <c r="C236" s="511"/>
      <c r="G236" s="513"/>
      <c r="H236" s="513"/>
      <c r="I236" s="513"/>
      <c r="J236" s="513"/>
      <c r="K236" s="471"/>
      <c r="N236" s="513"/>
      <c r="O236" s="513"/>
      <c r="P236" s="513"/>
      <c r="Q236" s="513"/>
      <c r="R236" s="471"/>
      <c r="U236" s="513"/>
      <c r="V236" s="513"/>
      <c r="W236" s="513"/>
    </row>
    <row r="237" spans="2:23" s="433" customFormat="1" x14ac:dyDescent="0.2">
      <c r="B237" s="511"/>
      <c r="C237" s="511"/>
      <c r="G237" s="513"/>
      <c r="H237" s="513"/>
      <c r="I237" s="513"/>
      <c r="J237" s="513"/>
      <c r="K237" s="471"/>
      <c r="N237" s="513"/>
      <c r="O237" s="513"/>
      <c r="P237" s="513"/>
      <c r="Q237" s="513"/>
      <c r="R237" s="471"/>
      <c r="U237" s="513"/>
      <c r="V237" s="513"/>
      <c r="W237" s="513"/>
    </row>
    <row r="238" spans="2:23" s="433" customFormat="1" x14ac:dyDescent="0.2"/>
    <row r="239" spans="2:23" s="518" customFormat="1" x14ac:dyDescent="0.2">
      <c r="B239" s="514" t="s">
        <v>248</v>
      </c>
      <c r="C239" s="519"/>
      <c r="I239" s="518">
        <f>SUMIF($B$10:$B$216,$B239,I$10:I$216)</f>
        <v>444236624.32549</v>
      </c>
      <c r="K239" s="514"/>
      <c r="P239" s="518">
        <f t="shared" ref="P239:P251" si="46">SUMIF($B$10:$B$216,$B239,P$10:P$216)</f>
        <v>460608843.32148999</v>
      </c>
      <c r="R239" s="514"/>
    </row>
    <row r="240" spans="2:23" s="518" customFormat="1" x14ac:dyDescent="0.2">
      <c r="B240" s="514" t="s">
        <v>249</v>
      </c>
      <c r="C240" s="519"/>
      <c r="I240" s="518">
        <f t="shared" ref="I240:I251" si="47">SUMIF($B$10:$B$216,$B240,I$10:I$216)</f>
        <v>0</v>
      </c>
      <c r="K240" s="514"/>
      <c r="P240" s="518">
        <f t="shared" si="46"/>
        <v>0</v>
      </c>
      <c r="R240" s="514"/>
    </row>
    <row r="241" spans="2:23" s="518" customFormat="1" x14ac:dyDescent="0.2">
      <c r="B241" s="514" t="s">
        <v>250</v>
      </c>
      <c r="C241" s="519"/>
      <c r="I241" s="518">
        <f t="shared" si="47"/>
        <v>6057.9307200000003</v>
      </c>
      <c r="K241" s="514"/>
      <c r="P241" s="518">
        <f t="shared" si="46"/>
        <v>6242.6961599999995</v>
      </c>
      <c r="R241" s="514"/>
    </row>
    <row r="242" spans="2:23" s="518" customFormat="1" x14ac:dyDescent="0.2">
      <c r="B242" s="514" t="s">
        <v>251</v>
      </c>
      <c r="C242" s="519"/>
      <c r="I242" s="518">
        <f t="shared" si="47"/>
        <v>142091733.99599999</v>
      </c>
      <c r="K242" s="514"/>
      <c r="P242" s="518">
        <f t="shared" si="46"/>
        <v>148183315.32981002</v>
      </c>
      <c r="R242" s="514"/>
    </row>
    <row r="243" spans="2:23" s="518" customFormat="1" x14ac:dyDescent="0.2">
      <c r="B243" s="514" t="s">
        <v>252</v>
      </c>
      <c r="C243" s="519"/>
      <c r="I243" s="518">
        <f>SUMIF($B$10:$B$216,$B243,I$10:I$216)</f>
        <v>24416.144510000002</v>
      </c>
      <c r="K243" s="514"/>
      <c r="P243" s="518">
        <f t="shared" si="46"/>
        <v>24815.31825</v>
      </c>
      <c r="R243" s="514"/>
    </row>
    <row r="244" spans="2:23" s="518" customFormat="1" x14ac:dyDescent="0.2">
      <c r="B244" s="514" t="s">
        <v>253</v>
      </c>
      <c r="C244" s="519"/>
      <c r="I244" s="518">
        <f t="shared" si="47"/>
        <v>19636865.990349997</v>
      </c>
      <c r="K244" s="514"/>
      <c r="P244" s="518">
        <f t="shared" si="46"/>
        <v>20234057.579360001</v>
      </c>
      <c r="R244" s="514"/>
    </row>
    <row r="245" spans="2:23" s="518" customFormat="1" x14ac:dyDescent="0.2">
      <c r="B245" s="514" t="s">
        <v>254</v>
      </c>
      <c r="C245" s="519"/>
      <c r="I245" s="518">
        <f t="shared" si="47"/>
        <v>5606450.8951199995</v>
      </c>
      <c r="K245" s="514"/>
      <c r="P245" s="518">
        <f t="shared" si="46"/>
        <v>5991323.1361800004</v>
      </c>
      <c r="R245" s="514"/>
    </row>
    <row r="246" spans="2:23" s="518" customFormat="1" x14ac:dyDescent="0.2">
      <c r="B246" s="514" t="s">
        <v>255</v>
      </c>
      <c r="C246" s="519"/>
      <c r="I246" s="518">
        <f t="shared" si="47"/>
        <v>1604061.6653731624</v>
      </c>
      <c r="K246" s="514"/>
      <c r="P246" s="518">
        <f t="shared" si="46"/>
        <v>1625913.2662033122</v>
      </c>
      <c r="R246" s="514"/>
    </row>
    <row r="247" spans="2:23" s="518" customFormat="1" x14ac:dyDescent="0.2">
      <c r="B247" s="514" t="s">
        <v>256</v>
      </c>
      <c r="C247" s="519"/>
      <c r="I247" s="518">
        <f t="shared" si="47"/>
        <v>7614719.5414968757</v>
      </c>
      <c r="K247" s="514"/>
      <c r="P247" s="518">
        <f t="shared" si="46"/>
        <v>7927933.1242718305</v>
      </c>
      <c r="R247" s="514"/>
    </row>
    <row r="248" spans="2:23" s="518" customFormat="1" x14ac:dyDescent="0.2">
      <c r="B248" s="514" t="s">
        <v>257</v>
      </c>
      <c r="C248" s="519"/>
      <c r="I248" s="518">
        <f t="shared" si="47"/>
        <v>1210217.9071548816</v>
      </c>
      <c r="K248" s="514"/>
      <c r="P248" s="518">
        <f t="shared" si="46"/>
        <v>1192960.5864223496</v>
      </c>
      <c r="R248" s="514"/>
    </row>
    <row r="249" spans="2:23" s="518" customFormat="1" x14ac:dyDescent="0.2">
      <c r="B249" s="514" t="s">
        <v>258</v>
      </c>
      <c r="C249" s="519"/>
      <c r="I249" s="518">
        <f t="shared" si="47"/>
        <v>153582.50485911273</v>
      </c>
      <c r="K249" s="514"/>
      <c r="P249" s="518">
        <f t="shared" si="46"/>
        <v>162029.89008239383</v>
      </c>
      <c r="R249" s="514"/>
    </row>
    <row r="250" spans="2:23" s="518" customFormat="1" x14ac:dyDescent="0.2">
      <c r="B250" s="514" t="s">
        <v>259</v>
      </c>
      <c r="C250" s="519"/>
      <c r="I250" s="518">
        <f t="shared" si="47"/>
        <v>1635923.2143188098</v>
      </c>
      <c r="K250" s="514"/>
      <c r="P250" s="518">
        <f t="shared" si="46"/>
        <v>1690581.5105840066</v>
      </c>
      <c r="R250" s="514"/>
    </row>
    <row r="251" spans="2:23" s="518" customFormat="1" x14ac:dyDescent="0.2">
      <c r="B251" s="514" t="s">
        <v>260</v>
      </c>
      <c r="C251" s="519"/>
      <c r="I251" s="518">
        <f t="shared" si="47"/>
        <v>6233044.8839076636</v>
      </c>
      <c r="K251" s="514"/>
      <c r="P251" s="518">
        <f t="shared" si="46"/>
        <v>6772040.9684348078</v>
      </c>
      <c r="R251" s="514"/>
    </row>
    <row r="252" spans="2:23" s="518" customFormat="1" x14ac:dyDescent="0.2">
      <c r="B252" s="518" t="s">
        <v>197</v>
      </c>
      <c r="I252" s="518">
        <f>G215</f>
        <v>1641017.2645532298</v>
      </c>
      <c r="P252" s="518">
        <f>N215</f>
        <v>1638422.5923708156</v>
      </c>
    </row>
    <row r="253" spans="2:23" s="518" customFormat="1" x14ac:dyDescent="0.2">
      <c r="B253" s="519" t="s">
        <v>0</v>
      </c>
      <c r="C253" s="519"/>
      <c r="I253" s="519">
        <f>SUM(I239:I252)</f>
        <v>631694716.26385367</v>
      </c>
      <c r="J253" s="519"/>
      <c r="K253" s="514"/>
      <c r="P253" s="519">
        <f>SUM(P239:P252)</f>
        <v>656058479.31961954</v>
      </c>
      <c r="Q253" s="519"/>
      <c r="R253" s="514"/>
      <c r="W253" s="519"/>
    </row>
    <row r="254" spans="2:23" s="518" customFormat="1" x14ac:dyDescent="0.2">
      <c r="B254" s="519"/>
      <c r="C254" s="519"/>
      <c r="K254" s="514"/>
      <c r="R254" s="514"/>
    </row>
    <row r="255" spans="2:23" s="521" customFormat="1" x14ac:dyDescent="0.2">
      <c r="B255" s="520" t="s">
        <v>261</v>
      </c>
      <c r="C255" s="520"/>
      <c r="I255" s="521">
        <v>631694363.20787597</v>
      </c>
      <c r="K255" s="522"/>
      <c r="P255" s="521">
        <v>656058126.26364183</v>
      </c>
      <c r="R255" s="522"/>
    </row>
    <row r="256" spans="2:23" s="521" customFormat="1" x14ac:dyDescent="0.2">
      <c r="B256" s="520" t="s">
        <v>13</v>
      </c>
      <c r="C256" s="520"/>
      <c r="I256" s="521">
        <f>I253-I255</f>
        <v>353.05597770214081</v>
      </c>
      <c r="K256" s="522"/>
      <c r="P256" s="521">
        <f>P253-P255</f>
        <v>353.05597770214081</v>
      </c>
      <c r="R256" s="522"/>
    </row>
    <row r="257" spans="2:23" s="518" customFormat="1" x14ac:dyDescent="0.2">
      <c r="B257" s="519"/>
      <c r="C257" s="519"/>
      <c r="K257" s="514"/>
      <c r="R257" s="514"/>
    </row>
    <row r="258" spans="2:23" s="433" customFormat="1" x14ac:dyDescent="0.2">
      <c r="B258" s="511"/>
      <c r="C258" s="511"/>
      <c r="G258" s="513"/>
      <c r="H258" s="513"/>
      <c r="I258" s="513"/>
      <c r="J258" s="513"/>
      <c r="K258" s="471"/>
      <c r="N258" s="513"/>
      <c r="O258" s="513"/>
      <c r="P258" s="513"/>
      <c r="Q258" s="513"/>
      <c r="R258" s="471"/>
      <c r="U258" s="513"/>
      <c r="V258" s="513"/>
      <c r="W258" s="513"/>
    </row>
    <row r="259" spans="2:23" s="433" customFormat="1" x14ac:dyDescent="0.2">
      <c r="B259" s="511"/>
      <c r="C259" s="511"/>
      <c r="G259" s="513"/>
      <c r="H259" s="513"/>
      <c r="I259" s="513"/>
      <c r="J259" s="513"/>
      <c r="K259" s="471"/>
      <c r="N259" s="513"/>
      <c r="O259" s="513"/>
      <c r="P259" s="513"/>
      <c r="Q259" s="513"/>
      <c r="R259" s="471"/>
      <c r="U259" s="513"/>
      <c r="V259" s="513"/>
      <c r="W259" s="513"/>
    </row>
    <row r="260" spans="2:23" s="433" customFormat="1" x14ac:dyDescent="0.2">
      <c r="B260" s="511"/>
      <c r="C260" s="511"/>
      <c r="G260" s="513"/>
      <c r="H260" s="513"/>
      <c r="I260" s="513"/>
      <c r="J260" s="513"/>
      <c r="K260" s="471"/>
      <c r="N260" s="513"/>
      <c r="O260" s="513"/>
      <c r="P260" s="513"/>
      <c r="Q260" s="513"/>
      <c r="R260" s="471"/>
      <c r="U260" s="513"/>
      <c r="V260" s="513"/>
      <c r="W260" s="513"/>
    </row>
    <row r="261" spans="2:23" s="433" customFormat="1" x14ac:dyDescent="0.2">
      <c r="B261" s="511"/>
      <c r="C261" s="511"/>
      <c r="G261" s="513"/>
      <c r="H261" s="513"/>
      <c r="I261" s="513"/>
      <c r="J261" s="513"/>
      <c r="K261" s="471"/>
      <c r="N261" s="513"/>
      <c r="O261" s="513"/>
      <c r="P261" s="513"/>
      <c r="Q261" s="513"/>
      <c r="R261" s="471"/>
      <c r="U261" s="513"/>
      <c r="V261" s="513"/>
      <c r="W261" s="513"/>
    </row>
    <row r="262" spans="2:23" s="433" customFormat="1" x14ac:dyDescent="0.2">
      <c r="B262" s="511"/>
      <c r="C262" s="511"/>
      <c r="G262" s="513"/>
      <c r="H262" s="513"/>
      <c r="I262" s="513"/>
      <c r="J262" s="513"/>
      <c r="K262" s="471"/>
      <c r="N262" s="513"/>
      <c r="O262" s="513"/>
      <c r="P262" s="513"/>
      <c r="Q262" s="513"/>
      <c r="R262" s="471"/>
      <c r="U262" s="513"/>
      <c r="V262" s="513"/>
      <c r="W262" s="513"/>
    </row>
    <row r="263" spans="2:23" s="433" customFormat="1" x14ac:dyDescent="0.2">
      <c r="B263" s="511"/>
      <c r="C263" s="511"/>
      <c r="G263" s="513"/>
      <c r="H263" s="513"/>
      <c r="I263" s="513"/>
      <c r="J263" s="513"/>
      <c r="K263" s="471"/>
      <c r="N263" s="513"/>
      <c r="O263" s="513"/>
      <c r="P263" s="513"/>
      <c r="Q263" s="513"/>
      <c r="R263" s="471"/>
      <c r="U263" s="513"/>
      <c r="V263" s="513"/>
      <c r="W263" s="513"/>
    </row>
    <row r="264" spans="2:23" s="433" customFormat="1" x14ac:dyDescent="0.2">
      <c r="B264" s="511"/>
      <c r="C264" s="511"/>
      <c r="G264" s="513"/>
      <c r="H264" s="513"/>
      <c r="I264" s="513"/>
      <c r="J264" s="513"/>
      <c r="K264" s="471"/>
      <c r="N264" s="513"/>
      <c r="O264" s="513"/>
      <c r="P264" s="513"/>
      <c r="Q264" s="513"/>
      <c r="R264" s="471"/>
      <c r="U264" s="513"/>
      <c r="V264" s="513"/>
      <c r="W264" s="513"/>
    </row>
    <row r="265" spans="2:23" s="433" customFormat="1" x14ac:dyDescent="0.2">
      <c r="B265" s="511"/>
      <c r="C265" s="511"/>
      <c r="G265" s="513"/>
      <c r="H265" s="513"/>
      <c r="I265" s="513"/>
      <c r="J265" s="513"/>
      <c r="K265" s="471"/>
      <c r="N265" s="513"/>
      <c r="O265" s="513"/>
      <c r="P265" s="513"/>
      <c r="Q265" s="513"/>
      <c r="R265" s="471"/>
      <c r="U265" s="513"/>
      <c r="V265" s="513"/>
      <c r="W265" s="513"/>
    </row>
    <row r="266" spans="2:23" s="433" customFormat="1" x14ac:dyDescent="0.2">
      <c r="B266" s="511"/>
      <c r="C266" s="511"/>
      <c r="G266" s="513"/>
      <c r="H266" s="513"/>
      <c r="I266" s="513"/>
      <c r="J266" s="513"/>
      <c r="K266" s="471"/>
      <c r="N266" s="513"/>
      <c r="O266" s="513"/>
      <c r="P266" s="513"/>
      <c r="Q266" s="513"/>
      <c r="R266" s="471"/>
      <c r="U266" s="513"/>
      <c r="V266" s="513"/>
      <c r="W266" s="513"/>
    </row>
    <row r="267" spans="2:23" s="433" customFormat="1" x14ac:dyDescent="0.2">
      <c r="B267" s="511"/>
      <c r="C267" s="511"/>
      <c r="G267" s="513"/>
      <c r="H267" s="513"/>
      <c r="I267" s="513"/>
      <c r="J267" s="513"/>
      <c r="K267" s="471"/>
      <c r="N267" s="513"/>
      <c r="O267" s="513"/>
      <c r="P267" s="513"/>
      <c r="Q267" s="513"/>
      <c r="R267" s="471"/>
      <c r="U267" s="513"/>
      <c r="V267" s="513"/>
      <c r="W267" s="513"/>
    </row>
    <row r="268" spans="2:23" s="433" customFormat="1" x14ac:dyDescent="0.2">
      <c r="B268" s="511"/>
      <c r="C268" s="511"/>
      <c r="G268" s="513"/>
      <c r="H268" s="513"/>
      <c r="I268" s="513"/>
      <c r="J268" s="513"/>
      <c r="K268" s="471"/>
      <c r="N268" s="513"/>
      <c r="O268" s="513"/>
      <c r="P268" s="513"/>
      <c r="Q268" s="513"/>
      <c r="R268" s="471"/>
      <c r="U268" s="513"/>
      <c r="V268" s="513"/>
      <c r="W268" s="513"/>
    </row>
    <row r="269" spans="2:23" s="433" customFormat="1" x14ac:dyDescent="0.2">
      <c r="B269" s="511"/>
      <c r="C269" s="511"/>
      <c r="G269" s="513"/>
      <c r="H269" s="513"/>
      <c r="I269" s="513"/>
      <c r="J269" s="513"/>
      <c r="K269" s="471"/>
      <c r="N269" s="513"/>
      <c r="O269" s="513"/>
      <c r="P269" s="513"/>
      <c r="Q269" s="513"/>
      <c r="R269" s="471"/>
      <c r="U269" s="513"/>
      <c r="V269" s="513"/>
      <c r="W269" s="513"/>
    </row>
    <row r="270" spans="2:23" s="433" customFormat="1" x14ac:dyDescent="0.2">
      <c r="B270" s="511"/>
      <c r="C270" s="511"/>
      <c r="G270" s="513"/>
      <c r="H270" s="513"/>
      <c r="I270" s="513"/>
      <c r="J270" s="513"/>
      <c r="K270" s="471"/>
      <c r="N270" s="513"/>
      <c r="O270" s="513"/>
      <c r="P270" s="513"/>
      <c r="Q270" s="513"/>
      <c r="R270" s="471"/>
      <c r="U270" s="513"/>
      <c r="V270" s="513"/>
      <c r="W270" s="513"/>
    </row>
    <row r="271" spans="2:23" s="433" customFormat="1" x14ac:dyDescent="0.2">
      <c r="B271" s="511"/>
      <c r="C271" s="511"/>
      <c r="G271" s="513"/>
      <c r="H271" s="513"/>
      <c r="I271" s="513"/>
      <c r="J271" s="513"/>
      <c r="K271" s="471"/>
      <c r="N271" s="513"/>
      <c r="O271" s="513"/>
      <c r="P271" s="513"/>
      <c r="Q271" s="513"/>
      <c r="R271" s="471"/>
      <c r="U271" s="513"/>
      <c r="V271" s="513"/>
      <c r="W271" s="513"/>
    </row>
    <row r="272" spans="2:23" s="433" customFormat="1" x14ac:dyDescent="0.2">
      <c r="B272" s="511"/>
      <c r="C272" s="511"/>
      <c r="G272" s="513"/>
      <c r="H272" s="513"/>
      <c r="I272" s="513"/>
      <c r="J272" s="513"/>
      <c r="K272" s="471"/>
      <c r="N272" s="513"/>
      <c r="O272" s="513"/>
      <c r="P272" s="513"/>
      <c r="Q272" s="513"/>
      <c r="R272" s="471"/>
      <c r="U272" s="513"/>
      <c r="V272" s="513"/>
      <c r="W272" s="513"/>
    </row>
    <row r="273" spans="2:23" s="433" customFormat="1" x14ac:dyDescent="0.2">
      <c r="B273" s="511"/>
      <c r="C273" s="511"/>
      <c r="G273" s="513"/>
      <c r="H273" s="513"/>
      <c r="I273" s="513"/>
      <c r="J273" s="513"/>
      <c r="K273" s="471"/>
      <c r="N273" s="513"/>
      <c r="O273" s="513"/>
      <c r="P273" s="513"/>
      <c r="Q273" s="513"/>
      <c r="R273" s="471"/>
      <c r="U273" s="513"/>
      <c r="V273" s="513"/>
      <c r="W273" s="513"/>
    </row>
    <row r="274" spans="2:23" s="433" customFormat="1" x14ac:dyDescent="0.2">
      <c r="B274" s="511"/>
      <c r="C274" s="511"/>
      <c r="G274" s="513"/>
      <c r="H274" s="513"/>
      <c r="I274" s="513"/>
      <c r="J274" s="513"/>
      <c r="K274" s="471"/>
      <c r="N274" s="513"/>
      <c r="O274" s="513"/>
      <c r="P274" s="513"/>
      <c r="Q274" s="513"/>
      <c r="R274" s="471"/>
      <c r="U274" s="513"/>
      <c r="V274" s="513"/>
      <c r="W274" s="513"/>
    </row>
    <row r="275" spans="2:23" s="433" customFormat="1" x14ac:dyDescent="0.2">
      <c r="B275" s="511"/>
      <c r="C275" s="511"/>
      <c r="G275" s="513"/>
      <c r="H275" s="513"/>
      <c r="I275" s="513"/>
      <c r="J275" s="513"/>
      <c r="K275" s="471"/>
      <c r="N275" s="513"/>
      <c r="O275" s="513"/>
      <c r="P275" s="513"/>
      <c r="Q275" s="513"/>
      <c r="R275" s="471"/>
      <c r="U275" s="513"/>
      <c r="V275" s="513"/>
      <c r="W275" s="513"/>
    </row>
    <row r="276" spans="2:23" s="433" customFormat="1" x14ac:dyDescent="0.2">
      <c r="B276" s="511"/>
      <c r="C276" s="511"/>
      <c r="G276" s="513"/>
      <c r="H276" s="513"/>
      <c r="I276" s="513"/>
      <c r="J276" s="513"/>
      <c r="K276" s="471"/>
      <c r="N276" s="513"/>
      <c r="O276" s="513"/>
      <c r="P276" s="513"/>
      <c r="Q276" s="513"/>
      <c r="R276" s="471"/>
      <c r="U276" s="513"/>
      <c r="V276" s="513"/>
      <c r="W276" s="513"/>
    </row>
    <row r="277" spans="2:23" s="433" customFormat="1" x14ac:dyDescent="0.2">
      <c r="B277" s="511"/>
      <c r="C277" s="511"/>
      <c r="G277" s="513"/>
      <c r="H277" s="513"/>
      <c r="I277" s="513"/>
      <c r="J277" s="513"/>
      <c r="K277" s="471"/>
      <c r="N277" s="513"/>
      <c r="O277" s="513"/>
      <c r="P277" s="513"/>
      <c r="Q277" s="513"/>
      <c r="R277" s="471"/>
      <c r="U277" s="513"/>
      <c r="V277" s="513"/>
      <c r="W277" s="513"/>
    </row>
    <row r="278" spans="2:23" s="433" customFormat="1" x14ac:dyDescent="0.2">
      <c r="B278" s="511"/>
      <c r="C278" s="511"/>
      <c r="G278" s="513"/>
      <c r="H278" s="513"/>
      <c r="I278" s="513"/>
      <c r="J278" s="513"/>
      <c r="K278" s="471"/>
      <c r="N278" s="513"/>
      <c r="O278" s="513"/>
      <c r="P278" s="513"/>
      <c r="Q278" s="513"/>
      <c r="R278" s="471"/>
      <c r="U278" s="513"/>
      <c r="V278" s="513"/>
      <c r="W278" s="513"/>
    </row>
    <row r="279" spans="2:23" s="433" customFormat="1" x14ac:dyDescent="0.2">
      <c r="B279" s="511"/>
      <c r="C279" s="511"/>
      <c r="G279" s="513"/>
      <c r="H279" s="513"/>
      <c r="I279" s="513"/>
      <c r="J279" s="513"/>
      <c r="K279" s="471"/>
      <c r="N279" s="513"/>
      <c r="O279" s="513"/>
      <c r="P279" s="513"/>
      <c r="Q279" s="513"/>
      <c r="R279" s="471"/>
      <c r="U279" s="513"/>
      <c r="V279" s="513"/>
      <c r="W279" s="513"/>
    </row>
  </sheetData>
  <mergeCells count="3">
    <mergeCell ref="E7:I7"/>
    <mergeCell ref="L7:P7"/>
    <mergeCell ref="S7:W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17" man="1"/>
    <brk id="99" max="16383" man="1"/>
    <brk id="137" min="1" max="17" man="1"/>
    <brk id="172" max="16383" man="1"/>
    <brk id="216" min="1" max="17" man="1"/>
  </rowBreaks>
  <colBreaks count="2" manualBreakCount="2">
    <brk id="11" max="255" man="1"/>
    <brk id="18" max="2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="90" zoomScaleNormal="90" workbookViewId="0">
      <pane ySplit="8" topLeftCell="A9" activePane="bottomLeft" state="frozen"/>
      <selection pane="bottomLeft" activeCell="L16" sqref="L16"/>
    </sheetView>
  </sheetViews>
  <sheetFormatPr defaultColWidth="8.85546875" defaultRowHeight="12.75" x14ac:dyDescent="0.2"/>
  <cols>
    <col min="1" max="1" width="4.5703125" style="42" customWidth="1"/>
    <col min="2" max="2" width="2.85546875" style="42" customWidth="1"/>
    <col min="3" max="3" width="26.7109375" style="42" customWidth="1"/>
    <col min="4" max="4" width="8.85546875" style="42" customWidth="1"/>
    <col min="5" max="5" width="13.5703125" style="42" bestFit="1" customWidth="1"/>
    <col min="6" max="6" width="15.42578125" style="42" bestFit="1" customWidth="1"/>
    <col min="7" max="7" width="8" style="42" bestFit="1" customWidth="1"/>
    <col min="8" max="8" width="13.28515625" style="42" customWidth="1"/>
    <col min="9" max="9" width="12.5703125" style="42" customWidth="1"/>
    <col min="10" max="10" width="13.42578125" style="42" customWidth="1"/>
    <col min="11" max="11" width="15.28515625" style="42" bestFit="1" customWidth="1"/>
    <col min="12" max="12" width="10" style="42" customWidth="1"/>
    <col min="13" max="13" width="14.5703125" style="42" customWidth="1"/>
    <col min="14" max="14" width="10.5703125" style="42" customWidth="1"/>
    <col min="15" max="16384" width="8.85546875" style="42"/>
  </cols>
  <sheetData>
    <row r="1" spans="1:14" ht="15" customHeight="1" x14ac:dyDescent="0.2">
      <c r="A1" s="142" t="s">
        <v>12</v>
      </c>
      <c r="B1" s="142"/>
      <c r="C1" s="142"/>
      <c r="D1" s="142"/>
      <c r="E1" s="142"/>
      <c r="F1" s="142"/>
      <c r="G1" s="142"/>
      <c r="H1" s="142"/>
      <c r="I1" s="142"/>
      <c r="J1" s="142"/>
      <c r="K1" s="354"/>
    </row>
    <row r="2" spans="1:14" s="41" customFormat="1" ht="15" customHeight="1" x14ac:dyDescent="0.2">
      <c r="A2" s="142" t="s">
        <v>307</v>
      </c>
      <c r="B2" s="142"/>
      <c r="C2" s="142"/>
      <c r="D2" s="142"/>
      <c r="E2" s="142"/>
      <c r="F2" s="142"/>
      <c r="G2" s="142"/>
      <c r="H2" s="223"/>
      <c r="I2" s="223"/>
      <c r="J2" s="223"/>
      <c r="K2" s="10"/>
    </row>
    <row r="3" spans="1:14" s="41" customFormat="1" ht="15" customHeight="1" x14ac:dyDescent="0.2">
      <c r="A3" s="58" t="s">
        <v>471</v>
      </c>
      <c r="B3" s="58"/>
      <c r="C3" s="58"/>
      <c r="D3" s="58"/>
      <c r="E3" s="58"/>
      <c r="F3" s="58"/>
      <c r="G3" s="58"/>
      <c r="H3" s="58"/>
      <c r="I3" s="58"/>
      <c r="J3" s="58"/>
      <c r="K3" s="10"/>
    </row>
    <row r="4" spans="1:14" s="41" customFormat="1" ht="15" customHeight="1" x14ac:dyDescent="0.2">
      <c r="A4" s="58" t="s">
        <v>308</v>
      </c>
      <c r="B4" s="58"/>
      <c r="C4" s="58"/>
      <c r="D4" s="58"/>
      <c r="E4" s="58"/>
      <c r="F4" s="58"/>
      <c r="G4" s="58"/>
      <c r="H4" s="68"/>
      <c r="I4" s="68"/>
      <c r="J4" s="68"/>
      <c r="K4" s="10"/>
    </row>
    <row r="5" spans="1:14" s="41" customFormat="1" x14ac:dyDescent="0.2">
      <c r="H5" s="537" t="s">
        <v>473</v>
      </c>
      <c r="I5" s="537" t="s">
        <v>472</v>
      </c>
    </row>
    <row r="6" spans="1:14" s="41" customFormat="1" x14ac:dyDescent="0.2">
      <c r="E6" s="224">
        <v>2023</v>
      </c>
      <c r="F6" s="43">
        <f>+E6</f>
        <v>2023</v>
      </c>
      <c r="G6" s="218"/>
      <c r="H6" s="218" t="s">
        <v>38</v>
      </c>
      <c r="I6" s="218" t="s">
        <v>26</v>
      </c>
      <c r="J6" s="218"/>
    </row>
    <row r="7" spans="1:14" s="41" customFormat="1" x14ac:dyDescent="0.2">
      <c r="A7" s="537" t="s">
        <v>36</v>
      </c>
      <c r="D7" s="218" t="s">
        <v>11</v>
      </c>
      <c r="E7" s="218" t="s">
        <v>10</v>
      </c>
      <c r="F7" s="43" t="s">
        <v>37</v>
      </c>
      <c r="G7" s="218" t="s">
        <v>9</v>
      </c>
      <c r="H7" s="218" t="s">
        <v>6</v>
      </c>
      <c r="I7" s="218" t="s">
        <v>113</v>
      </c>
      <c r="J7" s="218" t="s">
        <v>27</v>
      </c>
    </row>
    <row r="8" spans="1:14" s="41" customFormat="1" ht="14.25" x14ac:dyDescent="0.2">
      <c r="A8" s="536" t="s">
        <v>310</v>
      </c>
      <c r="B8" s="714" t="s">
        <v>25</v>
      </c>
      <c r="C8" s="714"/>
      <c r="D8" s="17" t="s">
        <v>7</v>
      </c>
      <c r="E8" s="17" t="s">
        <v>64</v>
      </c>
      <c r="F8" s="17" t="s">
        <v>65</v>
      </c>
      <c r="G8" s="17" t="s">
        <v>35</v>
      </c>
      <c r="H8" s="17" t="s">
        <v>34</v>
      </c>
      <c r="I8" s="17" t="s">
        <v>79</v>
      </c>
      <c r="J8" s="17" t="s">
        <v>6</v>
      </c>
    </row>
    <row r="9" spans="1:14" s="41" customFormat="1" x14ac:dyDescent="0.2">
      <c r="A9" s="244"/>
      <c r="B9" s="491"/>
      <c r="C9" s="491" t="s">
        <v>72</v>
      </c>
      <c r="D9" s="491" t="s">
        <v>73</v>
      </c>
      <c r="E9" s="491" t="s">
        <v>74</v>
      </c>
      <c r="F9" s="491" t="s">
        <v>75</v>
      </c>
      <c r="G9" s="491" t="s">
        <v>311</v>
      </c>
      <c r="H9" s="491" t="s">
        <v>312</v>
      </c>
      <c r="I9" s="491" t="s">
        <v>313</v>
      </c>
      <c r="J9" s="491" t="s">
        <v>76</v>
      </c>
    </row>
    <row r="10" spans="1:14" s="41" customFormat="1" x14ac:dyDescent="0.2">
      <c r="A10" s="218">
        <v>1</v>
      </c>
      <c r="B10" s="41" t="s">
        <v>5</v>
      </c>
      <c r="D10" s="218" t="s">
        <v>24</v>
      </c>
      <c r="E10" s="2">
        <f>SUM('Weather Adj. Volumes'!H181:L181)</f>
        <v>86971830.005645901</v>
      </c>
      <c r="F10" s="49">
        <f>+'Margin Revenue'!M10</f>
        <v>421496303.94128865</v>
      </c>
      <c r="G10" s="48">
        <f>F10/$F$48</f>
        <v>0.6828285758242999</v>
      </c>
      <c r="H10" s="225">
        <f>$H$50*G10</f>
        <v>6939586.8161023594</v>
      </c>
      <c r="I10" s="226">
        <f>H10/E10</f>
        <v>7.9791201537921713E-2</v>
      </c>
      <c r="J10" s="225">
        <f>E10*(I10)</f>
        <v>6939586.8161023594</v>
      </c>
      <c r="K10" s="227"/>
      <c r="L10" s="228"/>
      <c r="M10" s="40"/>
      <c r="N10" s="52"/>
    </row>
    <row r="11" spans="1:14" s="41" customFormat="1" x14ac:dyDescent="0.2">
      <c r="A11" s="218"/>
      <c r="D11" s="218"/>
      <c r="E11" s="229"/>
      <c r="F11" s="230"/>
      <c r="G11" s="48"/>
      <c r="H11" s="225"/>
      <c r="I11" s="226"/>
      <c r="J11" s="225"/>
      <c r="L11" s="228"/>
      <c r="M11" s="40"/>
      <c r="N11" s="52"/>
    </row>
    <row r="12" spans="1:14" s="41" customFormat="1" x14ac:dyDescent="0.2">
      <c r="A12" s="218">
        <v>2</v>
      </c>
      <c r="B12" s="41" t="s">
        <v>23</v>
      </c>
      <c r="D12" s="218" t="s">
        <v>33</v>
      </c>
      <c r="E12" s="2">
        <f>SUM('Weather Adj. Volumes'!H182:L182,'Weather Adj. Volumes'!H189:L189)</f>
        <v>47645091.267523915</v>
      </c>
      <c r="F12" s="49">
        <f>+'Margin Revenue'!M13</f>
        <v>148792256.92306823</v>
      </c>
      <c r="G12" s="48">
        <f>F12/$F$48</f>
        <v>0.24104506715345736</v>
      </c>
      <c r="H12" s="225">
        <f>$H$50*G12</f>
        <v>2449741.0174805871</v>
      </c>
      <c r="I12" s="226">
        <f>H12/E12</f>
        <v>5.1416440861146842E-2</v>
      </c>
      <c r="J12" s="225">
        <f>E12*(I12)</f>
        <v>2449741.0174805871</v>
      </c>
      <c r="K12" s="227"/>
      <c r="L12" s="228"/>
      <c r="M12" s="40"/>
      <c r="N12" s="52"/>
    </row>
    <row r="13" spans="1:14" s="41" customFormat="1" x14ac:dyDescent="0.2">
      <c r="A13" s="218"/>
      <c r="D13" s="218"/>
      <c r="E13" s="229"/>
      <c r="F13" s="23"/>
      <c r="G13" s="48"/>
      <c r="H13" s="225"/>
      <c r="I13" s="226"/>
      <c r="J13" s="225"/>
      <c r="L13" s="228"/>
      <c r="M13" s="40"/>
      <c r="N13" s="52"/>
    </row>
    <row r="14" spans="1:14" s="41" customFormat="1" x14ac:dyDescent="0.2">
      <c r="A14" s="218">
        <v>3</v>
      </c>
      <c r="B14" s="41" t="s">
        <v>22</v>
      </c>
      <c r="D14" s="218" t="s">
        <v>32</v>
      </c>
      <c r="E14" s="2">
        <f>SUM('Weather Adj. Volumes'!H183:L183,'Weather Adj. Volumes'!H190:L190)</f>
        <v>23929743.594057612</v>
      </c>
      <c r="F14" s="49">
        <f>+'Margin Revenue'!M15</f>
        <v>27825470.097331945</v>
      </c>
      <c r="G14" s="48">
        <f>F14/F$48</f>
        <v>4.5077562817370229E-2</v>
      </c>
      <c r="H14" s="231">
        <f>$H$50*G14</f>
        <v>458123.27091293363</v>
      </c>
      <c r="I14" s="226">
        <f>H14/E14</f>
        <v>1.9144512314235484E-2</v>
      </c>
      <c r="J14" s="225">
        <f>E14*(I14)</f>
        <v>458123.27091293363</v>
      </c>
      <c r="K14" s="26"/>
      <c r="L14" s="228"/>
      <c r="M14" s="40"/>
      <c r="N14" s="52"/>
    </row>
    <row r="15" spans="1:14" s="41" customFormat="1" x14ac:dyDescent="0.2">
      <c r="A15" s="218"/>
      <c r="D15" s="218"/>
      <c r="E15" s="34"/>
      <c r="F15" s="49"/>
      <c r="G15" s="48"/>
      <c r="H15" s="231"/>
      <c r="I15" s="226"/>
      <c r="J15" s="225"/>
      <c r="L15" s="228"/>
      <c r="M15" s="40"/>
      <c r="N15" s="52"/>
    </row>
    <row r="16" spans="1:14" s="41" customFormat="1" x14ac:dyDescent="0.2">
      <c r="A16" s="218">
        <v>4</v>
      </c>
      <c r="B16" s="41" t="s">
        <v>4</v>
      </c>
      <c r="D16" s="218">
        <v>85</v>
      </c>
      <c r="E16" s="2"/>
      <c r="F16" s="49"/>
      <c r="G16" s="48"/>
      <c r="H16" s="231"/>
      <c r="I16" s="226"/>
      <c r="J16" s="225"/>
      <c r="L16" s="228"/>
      <c r="M16" s="40"/>
      <c r="N16" s="52"/>
    </row>
    <row r="17" spans="1:14" s="41" customFormat="1" x14ac:dyDescent="0.2">
      <c r="A17" s="218">
        <v>5</v>
      </c>
      <c r="C17" s="41" t="s">
        <v>18</v>
      </c>
      <c r="D17" s="218"/>
      <c r="E17" s="2">
        <f>'Sch 85 87 Rate Calc'!F11</f>
        <v>3240035.1141590416</v>
      </c>
      <c r="F17" s="49"/>
      <c r="G17" s="48"/>
      <c r="H17" s="23"/>
      <c r="I17" s="232">
        <f>'Sch 85 87 Rate Calc'!K11</f>
        <v>1.0638130072302894E-2</v>
      </c>
      <c r="J17" s="225"/>
      <c r="K17" s="34"/>
      <c r="L17" s="228"/>
      <c r="M17" s="40"/>
      <c r="N17" s="52"/>
    </row>
    <row r="18" spans="1:14" s="41" customFormat="1" x14ac:dyDescent="0.2">
      <c r="A18" s="218">
        <v>6</v>
      </c>
      <c r="C18" s="41" t="s">
        <v>17</v>
      </c>
      <c r="D18" s="218"/>
      <c r="E18" s="2">
        <f>'Sch 85 87 Rate Calc'!F12</f>
        <v>1619927.5722365452</v>
      </c>
      <c r="F18" s="49"/>
      <c r="G18" s="48"/>
      <c r="H18" s="23"/>
      <c r="I18" s="232">
        <f>'Sch 85 87 Rate Calc'!K12</f>
        <v>6.4923887328019111E-3</v>
      </c>
      <c r="J18" s="225"/>
      <c r="L18" s="228"/>
      <c r="M18" s="40"/>
      <c r="N18" s="52"/>
    </row>
    <row r="19" spans="1:14" s="41" customFormat="1" x14ac:dyDescent="0.2">
      <c r="A19" s="218">
        <v>7</v>
      </c>
      <c r="C19" s="41" t="s">
        <v>21</v>
      </c>
      <c r="D19" s="218"/>
      <c r="E19" s="1">
        <f>'Sch 85 87 Rate Calc'!F17</f>
        <v>2051653.4470325604</v>
      </c>
      <c r="F19" s="49"/>
      <c r="G19" s="48"/>
      <c r="H19" s="23"/>
      <c r="I19" s="232">
        <f>'Sch 85 87 Rate Calc'!K17</f>
        <v>3.789872039790196E-3</v>
      </c>
      <c r="J19" s="225"/>
      <c r="L19" s="228"/>
      <c r="M19" s="40"/>
      <c r="N19" s="52"/>
    </row>
    <row r="20" spans="1:14" s="41" customFormat="1" x14ac:dyDescent="0.2">
      <c r="A20" s="218">
        <v>8</v>
      </c>
      <c r="C20" s="41" t="s">
        <v>0</v>
      </c>
      <c r="D20" s="218"/>
      <c r="E20" s="34">
        <f>SUM(E17:E19)</f>
        <v>6911616.1334281471</v>
      </c>
      <c r="F20" s="49">
        <f>+'Margin Revenue'!M20</f>
        <v>3127341.4526430806</v>
      </c>
      <c r="G20" s="48">
        <f>F20/F$48</f>
        <v>5.0663270122577935E-3</v>
      </c>
      <c r="H20" s="231">
        <f>$H$50*G20</f>
        <v>51489.081425575954</v>
      </c>
      <c r="I20" s="226"/>
      <c r="J20" s="49">
        <f>'Sch 85 87 Rate Calc'!L18</f>
        <v>52760.618535444213</v>
      </c>
      <c r="L20" s="228"/>
      <c r="M20" s="40"/>
      <c r="N20" s="52"/>
    </row>
    <row r="21" spans="1:14" s="41" customFormat="1" x14ac:dyDescent="0.2">
      <c r="A21" s="218"/>
      <c r="D21" s="218"/>
      <c r="E21" s="34"/>
      <c r="F21" s="230"/>
      <c r="G21" s="48"/>
      <c r="H21" s="231"/>
      <c r="I21" s="226"/>
      <c r="J21" s="225"/>
      <c r="L21" s="228"/>
      <c r="M21" s="40"/>
      <c r="N21" s="52"/>
    </row>
    <row r="22" spans="1:14" s="41" customFormat="1" x14ac:dyDescent="0.2">
      <c r="A22" s="218">
        <v>9</v>
      </c>
      <c r="B22" s="41" t="s">
        <v>4</v>
      </c>
      <c r="D22" s="218" t="s">
        <v>31</v>
      </c>
      <c r="E22" s="29">
        <f>SUM('Weather Adj. Volumes'!H187:L187,'Weather Adj. Volumes'!H192:L192)</f>
        <v>1816534.6044567749</v>
      </c>
      <c r="F22" s="49">
        <f>'Margin Revenue'!M17</f>
        <v>1711315.6536120272</v>
      </c>
      <c r="G22" s="48">
        <f>F22/F$48</f>
        <v>2.7723498868557094E-3</v>
      </c>
      <c r="H22" s="231">
        <f>$H$50*G22</f>
        <v>28175.391900114573</v>
      </c>
      <c r="I22" s="226">
        <f>H22/E22</f>
        <v>1.5510517570646707E-2</v>
      </c>
      <c r="J22" s="225">
        <f>E22*(I22)</f>
        <v>28175.391900114573</v>
      </c>
      <c r="L22" s="228"/>
      <c r="M22" s="40"/>
      <c r="N22" s="52"/>
    </row>
    <row r="23" spans="1:14" s="41" customFormat="1" x14ac:dyDescent="0.2">
      <c r="A23" s="218"/>
      <c r="D23" s="218"/>
      <c r="E23" s="34"/>
      <c r="F23" s="49"/>
      <c r="G23" s="48"/>
      <c r="H23" s="231"/>
      <c r="I23" s="226"/>
      <c r="J23" s="225"/>
      <c r="L23" s="228"/>
      <c r="M23" s="40"/>
      <c r="N23" s="52"/>
    </row>
    <row r="24" spans="1:14" s="41" customFormat="1" x14ac:dyDescent="0.2">
      <c r="A24" s="218">
        <v>10</v>
      </c>
      <c r="B24" s="41" t="s">
        <v>4</v>
      </c>
      <c r="D24" s="218">
        <v>87</v>
      </c>
      <c r="E24" s="34"/>
      <c r="F24" s="49"/>
      <c r="G24" s="48"/>
      <c r="H24" s="231"/>
      <c r="I24" s="226"/>
      <c r="J24" s="225"/>
      <c r="L24" s="228"/>
      <c r="M24" s="40"/>
      <c r="N24" s="52"/>
    </row>
    <row r="25" spans="1:14" s="41" customFormat="1" x14ac:dyDescent="0.2">
      <c r="A25" s="218">
        <v>11</v>
      </c>
      <c r="C25" s="41" t="s">
        <v>18</v>
      </c>
      <c r="D25" s="218"/>
      <c r="E25" s="2">
        <f>'Sch 85 87 Rate Calc'!F21</f>
        <v>311656.14077232109</v>
      </c>
      <c r="F25" s="49"/>
      <c r="G25" s="48"/>
      <c r="H25" s="231"/>
      <c r="I25" s="232">
        <f>'Sch 85 87 Rate Calc'!K21</f>
        <v>1.0638130072302894E-2</v>
      </c>
      <c r="J25" s="225"/>
      <c r="L25" s="228"/>
      <c r="M25" s="40"/>
      <c r="N25" s="52"/>
    </row>
    <row r="26" spans="1:14" s="41" customFormat="1" x14ac:dyDescent="0.2">
      <c r="A26" s="218">
        <v>12</v>
      </c>
      <c r="C26" s="41" t="s">
        <v>17</v>
      </c>
      <c r="D26" s="218"/>
      <c r="E26" s="2">
        <f>'Sch 85 87 Rate Calc'!F22</f>
        <v>311656.14077232109</v>
      </c>
      <c r="F26" s="49"/>
      <c r="G26" s="48"/>
      <c r="H26" s="231"/>
      <c r="I26" s="232">
        <f>'Sch 85 87 Rate Calc'!K22</f>
        <v>6.4923887328019111E-3</v>
      </c>
      <c r="J26" s="225"/>
      <c r="L26" s="228"/>
      <c r="M26" s="40"/>
      <c r="N26" s="52"/>
    </row>
    <row r="27" spans="1:14" s="41" customFormat="1" x14ac:dyDescent="0.2">
      <c r="A27" s="218">
        <v>13</v>
      </c>
      <c r="C27" s="41" t="s">
        <v>16</v>
      </c>
      <c r="D27" s="218"/>
      <c r="E27" s="2">
        <f>'Sch 85 87 Rate Calc'!F23</f>
        <v>527807.75045409054</v>
      </c>
      <c r="F27" s="49"/>
      <c r="G27" s="48"/>
      <c r="H27" s="231"/>
      <c r="I27" s="232">
        <f>'Sch 85 87 Rate Calc'!K23</f>
        <v>4.1907975140677506E-3</v>
      </c>
      <c r="J27" s="225"/>
      <c r="L27" s="228"/>
      <c r="M27" s="40"/>
      <c r="N27" s="52"/>
    </row>
    <row r="28" spans="1:14" s="41" customFormat="1" x14ac:dyDescent="0.2">
      <c r="A28" s="218">
        <v>14</v>
      </c>
      <c r="C28" s="41" t="s">
        <v>15</v>
      </c>
      <c r="D28" s="218"/>
      <c r="E28" s="2">
        <f>'Sch 85 87 Rate Calc'!F24</f>
        <v>389707.92797962273</v>
      </c>
      <c r="F28" s="49"/>
      <c r="G28" s="48"/>
      <c r="H28" s="231"/>
      <c r="I28" s="232">
        <f>'Sch 85 87 Rate Calc'!K24</f>
        <v>2.7448091883436197E-3</v>
      </c>
      <c r="J28" s="225"/>
      <c r="L28" s="228"/>
      <c r="M28" s="40"/>
      <c r="N28" s="52"/>
    </row>
    <row r="29" spans="1:14" s="41" customFormat="1" x14ac:dyDescent="0.2">
      <c r="A29" s="218">
        <v>15</v>
      </c>
      <c r="C29" s="41" t="s">
        <v>14</v>
      </c>
      <c r="D29" s="218"/>
      <c r="E29" s="2">
        <f>'Sch 85 87 Rate Calc'!F25</f>
        <v>934968.42231696332</v>
      </c>
      <c r="F29" s="49"/>
      <c r="G29" s="48"/>
      <c r="H29" s="231"/>
      <c r="I29" s="232">
        <f>'Sch 85 87 Rate Calc'!K25</f>
        <v>2.0209584093852898E-3</v>
      </c>
      <c r="J29" s="225"/>
      <c r="L29" s="228"/>
      <c r="M29" s="40"/>
      <c r="N29" s="52"/>
    </row>
    <row r="30" spans="1:14" s="41" customFormat="1" x14ac:dyDescent="0.2">
      <c r="A30" s="218">
        <v>16</v>
      </c>
      <c r="C30" s="41" t="s">
        <v>19</v>
      </c>
      <c r="D30" s="218"/>
      <c r="E30" s="1">
        <f>'Sch 85 87 Rate Calc'!F26</f>
        <v>862444.791734681</v>
      </c>
      <c r="F30" s="49"/>
      <c r="G30" s="48"/>
      <c r="H30" s="231"/>
      <c r="I30" s="232">
        <f>'Sch 85 87 Rate Calc'!K26</f>
        <v>1.2726460203629452E-3</v>
      </c>
      <c r="J30" s="225"/>
      <c r="L30" s="228"/>
      <c r="M30" s="40"/>
      <c r="N30" s="52"/>
    </row>
    <row r="31" spans="1:14" s="41" customFormat="1" x14ac:dyDescent="0.2">
      <c r="A31" s="218">
        <v>17</v>
      </c>
      <c r="C31" s="41" t="s">
        <v>0</v>
      </c>
      <c r="D31" s="218"/>
      <c r="E31" s="34">
        <f>SUM(E25:E30)</f>
        <v>3338241.1740299999</v>
      </c>
      <c r="F31" s="49">
        <f>+'Margin Revenue'!M21</f>
        <v>1615193.5328799866</v>
      </c>
      <c r="G31" s="48">
        <f>F31/F$48</f>
        <v>2.6166310105786516E-3</v>
      </c>
      <c r="H31" s="231">
        <f>$H$50*G31</f>
        <v>26592.820960510835</v>
      </c>
      <c r="I31" s="226"/>
      <c r="J31" s="49">
        <f>'Sch 85 87 Rate Calc'!L27</f>
        <v>11607.559917799208</v>
      </c>
      <c r="L31" s="228"/>
      <c r="M31" s="40"/>
      <c r="N31" s="52"/>
    </row>
    <row r="32" spans="1:14" s="41" customFormat="1" x14ac:dyDescent="0.2">
      <c r="A32" s="218"/>
      <c r="D32" s="218"/>
      <c r="E32" s="34"/>
      <c r="F32" s="230"/>
      <c r="G32" s="48"/>
      <c r="H32" s="231"/>
      <c r="I32" s="226"/>
      <c r="J32" s="49"/>
      <c r="L32" s="233"/>
      <c r="M32" s="40"/>
      <c r="N32" s="52"/>
    </row>
    <row r="33" spans="1:14" s="41" customFormat="1" x14ac:dyDescent="0.2">
      <c r="A33" s="218">
        <f>A31+1</f>
        <v>18</v>
      </c>
      <c r="B33" s="41" t="s">
        <v>20</v>
      </c>
      <c r="D33" s="218" t="s">
        <v>3</v>
      </c>
      <c r="E33" s="34"/>
      <c r="F33" s="230"/>
      <c r="G33" s="48"/>
      <c r="H33" s="231"/>
      <c r="I33" s="226"/>
      <c r="J33" s="49"/>
      <c r="L33" s="233"/>
      <c r="M33" s="40"/>
      <c r="N33" s="52"/>
    </row>
    <row r="34" spans="1:14" s="41" customFormat="1" x14ac:dyDescent="0.2">
      <c r="A34" s="218">
        <f>A33+1</f>
        <v>19</v>
      </c>
      <c r="C34" s="41" t="s">
        <v>18</v>
      </c>
      <c r="D34" s="218"/>
      <c r="E34" s="2">
        <f>'Sch 85 87 Rate Calc'!F30</f>
        <v>7953164.23415446</v>
      </c>
      <c r="F34" s="230"/>
      <c r="G34" s="48"/>
      <c r="H34" s="231"/>
      <c r="I34" s="234">
        <f>'Sch 85 87 Rate Calc'!K30</f>
        <v>1.0638130072302894E-2</v>
      </c>
      <c r="J34" s="49"/>
      <c r="L34" s="233"/>
      <c r="M34" s="40"/>
      <c r="N34" s="52"/>
    </row>
    <row r="35" spans="1:14" s="41" customFormat="1" x14ac:dyDescent="0.2">
      <c r="A35" s="218">
        <f>A34+1</f>
        <v>20</v>
      </c>
      <c r="C35" s="41" t="s">
        <v>17</v>
      </c>
      <c r="D35" s="218"/>
      <c r="E35" s="2">
        <f>'Sch 85 87 Rate Calc'!F31</f>
        <v>5090866.5379488673</v>
      </c>
      <c r="F35" s="230"/>
      <c r="G35" s="48"/>
      <c r="H35" s="231"/>
      <c r="I35" s="234">
        <f>'Sch 85 87 Rate Calc'!K31</f>
        <v>6.4923887328019111E-3</v>
      </c>
      <c r="J35" s="49"/>
      <c r="L35" s="233"/>
      <c r="M35" s="40"/>
      <c r="N35" s="52"/>
    </row>
    <row r="36" spans="1:14" s="41" customFormat="1" x14ac:dyDescent="0.2">
      <c r="A36" s="218">
        <f>A35+1</f>
        <v>21</v>
      </c>
      <c r="C36" s="41" t="s">
        <v>21</v>
      </c>
      <c r="D36" s="218"/>
      <c r="E36" s="1">
        <f>'Sch 85 87 Rate Calc'!F36</f>
        <v>6309022.298892674</v>
      </c>
      <c r="F36" s="230"/>
      <c r="G36" s="48"/>
      <c r="H36" s="231"/>
      <c r="I36" s="234">
        <f>'Sch 85 87 Rate Calc'!K36</f>
        <v>3.789872039790196E-3</v>
      </c>
      <c r="J36" s="49"/>
      <c r="L36" s="233"/>
      <c r="M36" s="40"/>
      <c r="N36" s="52"/>
    </row>
    <row r="37" spans="1:14" s="41" customFormat="1" x14ac:dyDescent="0.2">
      <c r="A37" s="218">
        <f>A36+1</f>
        <v>22</v>
      </c>
      <c r="C37" s="41" t="s">
        <v>0</v>
      </c>
      <c r="D37" s="218"/>
      <c r="E37" s="34">
        <f>SUM(E34:E36)</f>
        <v>19353053.070996001</v>
      </c>
      <c r="F37" s="49">
        <f>+'Margin Revenue'!M25</f>
        <v>7529782.2383079072</v>
      </c>
      <c r="G37" s="48">
        <f>F37/F$48</f>
        <v>1.2198328749205539E-2</v>
      </c>
      <c r="H37" s="231">
        <f>$H$50*G37</f>
        <v>123971.61507817589</v>
      </c>
      <c r="I37" s="226"/>
      <c r="J37" s="49">
        <f>'Sch 85 87 Rate Calc'!L37</f>
        <v>141569.06736948609</v>
      </c>
      <c r="L37" s="228"/>
      <c r="M37" s="40"/>
      <c r="N37" s="52"/>
    </row>
    <row r="38" spans="1:14" s="41" customFormat="1" x14ac:dyDescent="0.2">
      <c r="A38" s="218"/>
      <c r="D38" s="218"/>
      <c r="E38" s="34"/>
      <c r="F38" s="230"/>
      <c r="G38" s="48"/>
      <c r="H38" s="231"/>
      <c r="I38" s="226"/>
      <c r="J38" s="49"/>
      <c r="L38" s="233"/>
      <c r="M38" s="40"/>
      <c r="N38" s="52"/>
    </row>
    <row r="39" spans="1:14" s="41" customFormat="1" x14ac:dyDescent="0.2">
      <c r="A39" s="218">
        <f>A37+1</f>
        <v>23</v>
      </c>
      <c r="B39" s="41" t="s">
        <v>20</v>
      </c>
      <c r="D39" s="218" t="s">
        <v>467</v>
      </c>
      <c r="E39" s="34"/>
      <c r="F39" s="230"/>
      <c r="G39" s="48"/>
      <c r="H39" s="231"/>
      <c r="I39" s="226"/>
      <c r="J39" s="49"/>
      <c r="L39" s="233"/>
      <c r="M39" s="40"/>
      <c r="N39" s="52"/>
    </row>
    <row r="40" spans="1:14" s="41" customFormat="1" x14ac:dyDescent="0.2">
      <c r="A40" s="218">
        <f t="shared" ref="A40:A46" si="0">A39+1</f>
        <v>24</v>
      </c>
      <c r="C40" s="41" t="s">
        <v>18</v>
      </c>
      <c r="D40" s="218"/>
      <c r="E40" s="2">
        <f>'Sch 85 87 Rate Calc'!F40</f>
        <v>1197539.0628928684</v>
      </c>
      <c r="F40" s="230"/>
      <c r="G40" s="48"/>
      <c r="H40" s="231"/>
      <c r="I40" s="234">
        <f>'Sch 85 87 Rate Calc'!K40</f>
        <v>1.0638130072302894E-2</v>
      </c>
      <c r="J40" s="49"/>
      <c r="L40" s="233"/>
      <c r="M40" s="40"/>
      <c r="N40" s="52"/>
    </row>
    <row r="41" spans="1:14" s="41" customFormat="1" x14ac:dyDescent="0.2">
      <c r="A41" s="218">
        <f t="shared" si="0"/>
        <v>25</v>
      </c>
      <c r="C41" s="41" t="s">
        <v>17</v>
      </c>
      <c r="D41" s="218"/>
      <c r="E41" s="2">
        <f>'Sch 85 87 Rate Calc'!F41</f>
        <v>1197539.0628928684</v>
      </c>
      <c r="F41" s="230"/>
      <c r="G41" s="48"/>
      <c r="H41" s="231"/>
      <c r="I41" s="234">
        <f>'Sch 85 87 Rate Calc'!K41</f>
        <v>6.4923887328019111E-3</v>
      </c>
      <c r="J41" s="49"/>
      <c r="L41" s="233"/>
      <c r="M41" s="40"/>
      <c r="N41" s="52"/>
    </row>
    <row r="42" spans="1:14" s="41" customFormat="1" x14ac:dyDescent="0.2">
      <c r="A42" s="218">
        <f t="shared" si="0"/>
        <v>26</v>
      </c>
      <c r="C42" s="41" t="s">
        <v>16</v>
      </c>
      <c r="D42" s="218"/>
      <c r="E42" s="2">
        <f>'Sch 85 87 Rate Calc'!F42</f>
        <v>2395078.1257857368</v>
      </c>
      <c r="F42" s="230"/>
      <c r="G42" s="48"/>
      <c r="H42" s="231"/>
      <c r="I42" s="234">
        <f>'Sch 85 87 Rate Calc'!K42</f>
        <v>4.1907975140677506E-3</v>
      </c>
      <c r="J42" s="49"/>
      <c r="L42" s="233"/>
      <c r="M42" s="40"/>
      <c r="N42" s="52"/>
    </row>
    <row r="43" spans="1:14" s="41" customFormat="1" x14ac:dyDescent="0.2">
      <c r="A43" s="218">
        <f t="shared" si="0"/>
        <v>27</v>
      </c>
      <c r="C43" s="41" t="s">
        <v>15</v>
      </c>
      <c r="D43" s="218"/>
      <c r="E43" s="2">
        <f>'Sch 85 87 Rate Calc'!F43</f>
        <v>4509318.9708543411</v>
      </c>
      <c r="F43" s="230"/>
      <c r="G43" s="48"/>
      <c r="H43" s="231"/>
      <c r="I43" s="234">
        <f>'Sch 85 87 Rate Calc'!K43</f>
        <v>2.7448091883436197E-3</v>
      </c>
      <c r="J43" s="49"/>
      <c r="L43" s="233"/>
      <c r="M43" s="40"/>
      <c r="N43" s="52"/>
    </row>
    <row r="44" spans="1:14" s="41" customFormat="1" x14ac:dyDescent="0.2">
      <c r="A44" s="218">
        <f t="shared" si="0"/>
        <v>28</v>
      </c>
      <c r="C44" s="41" t="s">
        <v>14</v>
      </c>
      <c r="D44" s="218"/>
      <c r="E44" s="2">
        <f>'Sch 85 87 Rate Calc'!F44</f>
        <v>9751263.5994490292</v>
      </c>
      <c r="F44" s="230"/>
      <c r="G44" s="48"/>
      <c r="H44" s="231"/>
      <c r="I44" s="234">
        <f>'Sch 85 87 Rate Calc'!K44</f>
        <v>2.0209584093852898E-3</v>
      </c>
      <c r="J44" s="49"/>
      <c r="L44" s="233"/>
      <c r="M44" s="40"/>
      <c r="N44" s="52"/>
    </row>
    <row r="45" spans="1:14" s="41" customFormat="1" x14ac:dyDescent="0.2">
      <c r="A45" s="218">
        <f t="shared" si="0"/>
        <v>29</v>
      </c>
      <c r="C45" s="41" t="s">
        <v>19</v>
      </c>
      <c r="D45" s="218"/>
      <c r="E45" s="1">
        <f>'Sch 85 87 Rate Calc'!F45</f>
        <v>14772775.775690151</v>
      </c>
      <c r="F45" s="230"/>
      <c r="G45" s="48"/>
      <c r="H45" s="231"/>
      <c r="I45" s="234">
        <f>'Sch 85 87 Rate Calc'!K45</f>
        <v>1.2726460203629452E-3</v>
      </c>
      <c r="J45" s="49"/>
      <c r="L45" s="233"/>
      <c r="M45" s="40"/>
      <c r="N45" s="52"/>
    </row>
    <row r="46" spans="1:14" s="41" customFormat="1" x14ac:dyDescent="0.2">
      <c r="A46" s="218">
        <f t="shared" si="0"/>
        <v>30</v>
      </c>
      <c r="C46" s="41" t="s">
        <v>0</v>
      </c>
      <c r="D46" s="218"/>
      <c r="E46" s="34">
        <f>SUM(E40:E45)</f>
        <v>33823514.597564995</v>
      </c>
      <c r="F46" s="49">
        <f>+'Margin Revenue'!M26</f>
        <v>5182161.3826890187</v>
      </c>
      <c r="G46" s="48">
        <f>F46/F$48</f>
        <v>8.3951575459748715E-3</v>
      </c>
      <c r="H46" s="231">
        <f>$H$50*G46</f>
        <v>85319.986139742614</v>
      </c>
      <c r="I46" s="226"/>
      <c r="J46" s="49">
        <f>'Sch 85 87 Rate Calc'!L46</f>
        <v>81436.385510733351</v>
      </c>
      <c r="L46" s="228"/>
      <c r="M46" s="40"/>
      <c r="N46" s="52"/>
    </row>
    <row r="47" spans="1:14" s="41" customFormat="1" x14ac:dyDescent="0.2">
      <c r="A47" s="218"/>
      <c r="E47" s="79"/>
      <c r="F47" s="77"/>
      <c r="G47" s="235"/>
      <c r="H47" s="236"/>
      <c r="I47" s="39"/>
      <c r="J47" s="236"/>
      <c r="K47" s="77"/>
      <c r="L47" s="228"/>
      <c r="M47" s="237"/>
      <c r="N47" s="52"/>
    </row>
    <row r="48" spans="1:14" s="41" customFormat="1" x14ac:dyDescent="0.2">
      <c r="A48" s="218">
        <f>A46+1</f>
        <v>31</v>
      </c>
      <c r="C48" s="41" t="s">
        <v>0</v>
      </c>
      <c r="E48" s="15">
        <f>E10+E12+E14+E20+E22+E31+E37+E46</f>
        <v>223789624.44770336</v>
      </c>
      <c r="F48" s="11">
        <f>F10+F12+F14+F20+F22+F31+F37+F46</f>
        <v>617279825.22182083</v>
      </c>
      <c r="G48" s="48">
        <f>SUM(G10:G47)</f>
        <v>1</v>
      </c>
      <c r="H48" s="11">
        <f>H10+H12+H14+H20+H22+H31+H37+H46</f>
        <v>10163000</v>
      </c>
      <c r="I48" s="226">
        <f>ROUND(J48/E48,5)</f>
        <v>4.5409999999999999E-2</v>
      </c>
      <c r="J48" s="11">
        <f>J10+J12+J14+J20+J22+J31+J37+J46</f>
        <v>10163000.127729459</v>
      </c>
      <c r="K48" s="238">
        <f>J48-H48</f>
        <v>0.12772945873439312</v>
      </c>
      <c r="L48" s="228"/>
      <c r="M48" s="40"/>
      <c r="N48" s="52"/>
    </row>
    <row r="49" spans="1:13" s="41" customFormat="1" x14ac:dyDescent="0.2">
      <c r="A49" s="218"/>
      <c r="E49" s="44"/>
      <c r="F49" s="7"/>
      <c r="G49" s="44"/>
      <c r="H49" s="44"/>
      <c r="I49" s="44"/>
      <c r="J49" s="44"/>
      <c r="K49" s="239">
        <f>K48/H48</f>
        <v>1.256808607049032E-8</v>
      </c>
      <c r="M49" s="53"/>
    </row>
    <row r="50" spans="1:13" s="41" customFormat="1" ht="15" customHeight="1" x14ac:dyDescent="0.2">
      <c r="A50" s="218">
        <f>A48+1</f>
        <v>32</v>
      </c>
      <c r="C50" s="41" t="s">
        <v>474</v>
      </c>
      <c r="E50" s="44"/>
      <c r="F50" s="7"/>
      <c r="G50" s="44"/>
      <c r="H50" s="49">
        <f>'Revenue Requirement'!G22</f>
        <v>10163000</v>
      </c>
      <c r="I50" s="44"/>
      <c r="J50" s="6"/>
      <c r="K50" s="44"/>
    </row>
    <row r="51" spans="1:13" s="41" customFormat="1" x14ac:dyDescent="0.2">
      <c r="H51" s="23"/>
      <c r="M51" s="53"/>
    </row>
    <row r="52" spans="1:13" s="41" customFormat="1" ht="15" customHeight="1" x14ac:dyDescent="0.2">
      <c r="A52" s="240" t="s">
        <v>30</v>
      </c>
      <c r="B52" s="241" t="s">
        <v>315</v>
      </c>
      <c r="C52" s="242"/>
      <c r="D52" s="242"/>
      <c r="E52" s="242"/>
      <c r="F52" s="242"/>
      <c r="G52" s="242"/>
      <c r="H52" s="242"/>
      <c r="I52" s="242"/>
      <c r="J52" s="242"/>
    </row>
    <row r="53" spans="1:13" s="41" customFormat="1" ht="15" customHeight="1" x14ac:dyDescent="0.2">
      <c r="A53" s="240" t="s">
        <v>29</v>
      </c>
      <c r="B53" s="529" t="s">
        <v>316</v>
      </c>
      <c r="C53" s="529"/>
      <c r="D53" s="529"/>
      <c r="E53" s="529"/>
      <c r="F53" s="529"/>
      <c r="G53" s="529"/>
      <c r="H53" s="529"/>
      <c r="I53" s="529"/>
      <c r="J53" s="529"/>
      <c r="K53" s="10"/>
    </row>
    <row r="54" spans="1:13" ht="12.75" customHeight="1" x14ac:dyDescent="0.2">
      <c r="C54" s="653"/>
      <c r="D54" s="653"/>
      <c r="E54" s="653"/>
      <c r="F54" s="653"/>
      <c r="G54" s="36"/>
    </row>
    <row r="55" spans="1:13" x14ac:dyDescent="0.2">
      <c r="A55" s="653"/>
      <c r="B55" s="653" t="s">
        <v>468</v>
      </c>
      <c r="C55" s="653"/>
      <c r="D55" s="653"/>
      <c r="E55" s="653"/>
      <c r="F55" s="653"/>
      <c r="G55" s="36"/>
    </row>
    <row r="56" spans="1:13" x14ac:dyDescent="0.2">
      <c r="B56" s="44"/>
      <c r="C56" s="37"/>
      <c r="D56" s="35"/>
      <c r="E56" s="35"/>
      <c r="G56" s="36"/>
    </row>
    <row r="57" spans="1:13" x14ac:dyDescent="0.2">
      <c r="B57" s="44"/>
      <c r="C57" s="35"/>
      <c r="D57" s="44"/>
      <c r="E57" s="44"/>
      <c r="F57" s="36"/>
      <c r="G57" s="36"/>
    </row>
    <row r="58" spans="1:13" x14ac:dyDescent="0.2">
      <c r="B58" s="44"/>
      <c r="C58" s="35"/>
      <c r="D58" s="45"/>
      <c r="E58" s="38"/>
      <c r="G58" s="36"/>
    </row>
    <row r="59" spans="1:13" x14ac:dyDescent="0.2">
      <c r="B59" s="36"/>
      <c r="C59" s="36"/>
      <c r="D59" s="45"/>
      <c r="E59" s="38"/>
      <c r="G59" s="36"/>
    </row>
    <row r="60" spans="1:13" x14ac:dyDescent="0.2">
      <c r="D60" s="45"/>
      <c r="E60" s="38"/>
    </row>
    <row r="61" spans="1:13" x14ac:dyDescent="0.2">
      <c r="D61" s="35"/>
      <c r="E61" s="35"/>
    </row>
    <row r="62" spans="1:13" x14ac:dyDescent="0.2">
      <c r="D62" s="35"/>
      <c r="E62" s="35"/>
    </row>
    <row r="63" spans="1:13" x14ac:dyDescent="0.2">
      <c r="D63" s="35"/>
      <c r="E63" s="35"/>
    </row>
  </sheetData>
  <mergeCells count="1">
    <mergeCell ref="B8:C8"/>
  </mergeCells>
  <printOptions horizontalCentered="1"/>
  <pageMargins left="0.75" right="0.75" top="1" bottom="1" header="0.5" footer="0.5"/>
  <pageSetup scale="76" orientation="portrait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  <ignoredErrors>
    <ignoredError sqref="G48 I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O34" sqref="O3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zoomScale="85" zoomScaleNormal="85" workbookViewId="0">
      <pane xSplit="3" ySplit="9" topLeftCell="D10" activePane="bottomRight" state="frozenSplit"/>
      <selection activeCell="F9" sqref="F9"/>
      <selection pane="topRight" activeCell="F9" sqref="F9"/>
      <selection pane="bottomLeft" activeCell="F9" sqref="F9"/>
      <selection pane="bottomRight" activeCell="B45" sqref="B45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bestFit="1" customWidth="1"/>
    <col min="6" max="6" width="10" bestFit="1" customWidth="1"/>
    <col min="7" max="7" width="14.28515625" bestFit="1" customWidth="1"/>
    <col min="8" max="8" width="14.7109375" bestFit="1" customWidth="1"/>
    <col min="9" max="9" width="13.7109375" bestFit="1" customWidth="1"/>
    <col min="10" max="10" width="14.42578125" bestFit="1" customWidth="1"/>
    <col min="11" max="12" width="12.5703125" bestFit="1" customWidth="1"/>
    <col min="13" max="13" width="11.5703125" bestFit="1" customWidth="1"/>
    <col min="14" max="15" width="12.5703125" bestFit="1" customWidth="1"/>
    <col min="16" max="16" width="11.5703125" bestFit="1" customWidth="1"/>
    <col min="17" max="17" width="12.28515625" bestFit="1" customWidth="1"/>
    <col min="18" max="18" width="12.5703125" bestFit="1" customWidth="1"/>
    <col min="19" max="19" width="12.28515625" bestFit="1" customWidth="1"/>
    <col min="20" max="20" width="16.5703125" bestFit="1" customWidth="1"/>
    <col min="21" max="21" width="14.140625" bestFit="1" customWidth="1"/>
    <col min="22" max="22" width="7.85546875" bestFit="1" customWidth="1"/>
  </cols>
  <sheetData>
    <row r="1" spans="1:22" x14ac:dyDescent="0.25">
      <c r="A1" s="219" t="s">
        <v>12</v>
      </c>
      <c r="B1" s="220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</row>
    <row r="2" spans="1:22" x14ac:dyDescent="0.25">
      <c r="A2" s="219" t="s">
        <v>426</v>
      </c>
      <c r="B2" s="220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</row>
    <row r="3" spans="1:22" x14ac:dyDescent="0.25">
      <c r="A3" s="220" t="s">
        <v>167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</row>
    <row r="4" spans="1:22" x14ac:dyDescent="0.25">
      <c r="A4" s="220" t="s">
        <v>427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</row>
    <row r="5" spans="1:22" x14ac:dyDescent="0.25">
      <c r="F5" s="527"/>
      <c r="P5" s="527"/>
      <c r="Q5" s="527"/>
      <c r="R5" s="527"/>
    </row>
    <row r="6" spans="1:22" x14ac:dyDescent="0.25">
      <c r="F6" s="527"/>
      <c r="G6" s="148" t="s">
        <v>168</v>
      </c>
      <c r="P6" s="527"/>
      <c r="Q6" s="527"/>
      <c r="R6" s="527"/>
    </row>
    <row r="7" spans="1:22" x14ac:dyDescent="0.25">
      <c r="B7" s="148"/>
      <c r="C7" s="148"/>
      <c r="D7" s="148" t="s">
        <v>262</v>
      </c>
      <c r="E7" s="148" t="str">
        <f>D7</f>
        <v>UG-220067</v>
      </c>
      <c r="F7" s="148" t="s">
        <v>204</v>
      </c>
      <c r="G7" s="148" t="s">
        <v>92</v>
      </c>
      <c r="H7" s="527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 t="s">
        <v>466</v>
      </c>
      <c r="U7" s="149" t="s">
        <v>113</v>
      </c>
      <c r="V7" s="148"/>
    </row>
    <row r="8" spans="1:22" x14ac:dyDescent="0.25">
      <c r="A8" t="s">
        <v>36</v>
      </c>
      <c r="B8" s="148"/>
      <c r="C8" s="148" t="s">
        <v>11</v>
      </c>
      <c r="D8" s="148" t="s">
        <v>10</v>
      </c>
      <c r="E8" s="148" t="s">
        <v>205</v>
      </c>
      <c r="F8" s="148" t="s">
        <v>11</v>
      </c>
      <c r="G8" s="149" t="s">
        <v>428</v>
      </c>
      <c r="H8" s="527" t="s">
        <v>205</v>
      </c>
      <c r="I8" s="148" t="s">
        <v>206</v>
      </c>
      <c r="J8" s="148" t="s">
        <v>207</v>
      </c>
      <c r="K8" s="148" t="s">
        <v>429</v>
      </c>
      <c r="L8" s="148" t="s">
        <v>208</v>
      </c>
      <c r="M8" s="148" t="s">
        <v>113</v>
      </c>
      <c r="N8" s="148" t="s">
        <v>217</v>
      </c>
      <c r="O8" s="148" t="s">
        <v>81</v>
      </c>
      <c r="P8" s="148" t="s">
        <v>277</v>
      </c>
      <c r="Q8" s="148" t="s">
        <v>274</v>
      </c>
      <c r="R8" s="148" t="s">
        <v>275</v>
      </c>
      <c r="S8" s="148" t="s">
        <v>209</v>
      </c>
      <c r="T8" s="148" t="s">
        <v>169</v>
      </c>
      <c r="U8" s="148" t="s">
        <v>6</v>
      </c>
      <c r="V8" s="148" t="s">
        <v>70</v>
      </c>
    </row>
    <row r="9" spans="1:22" ht="17.25" x14ac:dyDescent="0.25">
      <c r="A9" t="s">
        <v>310</v>
      </c>
      <c r="B9" s="528" t="s">
        <v>8</v>
      </c>
      <c r="C9" s="528" t="s">
        <v>7</v>
      </c>
      <c r="D9" s="528" t="s">
        <v>170</v>
      </c>
      <c r="E9" s="528" t="s">
        <v>171</v>
      </c>
      <c r="F9" s="528" t="s">
        <v>172</v>
      </c>
      <c r="G9" s="221" t="s">
        <v>437</v>
      </c>
      <c r="H9" s="528" t="s">
        <v>6</v>
      </c>
      <c r="I9" s="528" t="s">
        <v>6</v>
      </c>
      <c r="J9" s="528" t="s">
        <v>6</v>
      </c>
      <c r="K9" s="528" t="s">
        <v>6</v>
      </c>
      <c r="L9" s="528" t="s">
        <v>6</v>
      </c>
      <c r="M9" s="528" t="s">
        <v>6</v>
      </c>
      <c r="N9" s="528" t="s">
        <v>6</v>
      </c>
      <c r="O9" s="528" t="s">
        <v>6</v>
      </c>
      <c r="P9" s="528" t="s">
        <v>6</v>
      </c>
      <c r="Q9" s="528" t="s">
        <v>6</v>
      </c>
      <c r="R9" s="528" t="s">
        <v>6</v>
      </c>
      <c r="S9" s="528" t="s">
        <v>6</v>
      </c>
      <c r="T9" s="150" t="s">
        <v>173</v>
      </c>
      <c r="U9" s="528" t="s">
        <v>71</v>
      </c>
      <c r="V9" s="528" t="s">
        <v>71</v>
      </c>
    </row>
    <row r="10" spans="1:22" x14ac:dyDescent="0.25">
      <c r="B10" s="148" t="s">
        <v>72</v>
      </c>
      <c r="C10" s="148" t="s">
        <v>73</v>
      </c>
      <c r="D10" s="151" t="s">
        <v>74</v>
      </c>
      <c r="E10" s="152" t="s">
        <v>75</v>
      </c>
      <c r="F10" s="148" t="s">
        <v>174</v>
      </c>
      <c r="G10" s="148" t="s">
        <v>175</v>
      </c>
      <c r="H10" s="148" t="s">
        <v>176</v>
      </c>
      <c r="I10" s="148" t="s">
        <v>76</v>
      </c>
      <c r="J10" s="148" t="s">
        <v>77</v>
      </c>
      <c r="K10" s="148" t="s">
        <v>78</v>
      </c>
      <c r="L10" s="148" t="s">
        <v>177</v>
      </c>
      <c r="M10" s="152" t="s">
        <v>178</v>
      </c>
      <c r="N10" s="152" t="s">
        <v>179</v>
      </c>
      <c r="O10" s="152" t="s">
        <v>180</v>
      </c>
      <c r="P10" s="152" t="s">
        <v>181</v>
      </c>
      <c r="Q10" s="152" t="s">
        <v>182</v>
      </c>
      <c r="R10" s="152" t="s">
        <v>278</v>
      </c>
      <c r="S10" s="152" t="s">
        <v>279</v>
      </c>
      <c r="T10" s="153" t="s">
        <v>280</v>
      </c>
      <c r="U10" s="148" t="s">
        <v>281</v>
      </c>
      <c r="V10" s="148" t="s">
        <v>430</v>
      </c>
    </row>
    <row r="11" spans="1:22" x14ac:dyDescent="0.25">
      <c r="A11" s="527">
        <v>1</v>
      </c>
      <c r="B11" t="s">
        <v>5</v>
      </c>
      <c r="C11" s="527" t="s">
        <v>183</v>
      </c>
      <c r="D11" s="269">
        <v>620836684.05687141</v>
      </c>
      <c r="E11" s="159">
        <v>403613457.09474093</v>
      </c>
      <c r="F11" s="155">
        <f t="shared" ref="F11:F16" si="0">(E11)/D11</f>
        <v>0.6501121268436002</v>
      </c>
      <c r="G11" s="269">
        <v>91517221</v>
      </c>
      <c r="H11" s="156">
        <f>F11*G11</f>
        <v>59496455.187125795</v>
      </c>
      <c r="I11" s="159">
        <v>50893641.770000003</v>
      </c>
      <c r="J11" s="159">
        <v>-18461768.989999998</v>
      </c>
      <c r="K11" s="159">
        <v>15045472.863566926</v>
      </c>
      <c r="L11" s="159">
        <v>2631120.1037500002</v>
      </c>
      <c r="M11" s="154">
        <f>'Sch. 129'!$G$9</f>
        <v>478345.06503105245</v>
      </c>
      <c r="N11" s="159">
        <v>1460614.8471599999</v>
      </c>
      <c r="O11" s="159">
        <v>2091168.4998499998</v>
      </c>
      <c r="P11" s="159">
        <v>288279.24615000002</v>
      </c>
      <c r="Q11" s="159">
        <v>-439282.66079999995</v>
      </c>
      <c r="R11" s="159">
        <v>6514195.7907799995</v>
      </c>
      <c r="S11" s="159">
        <v>424639.91</v>
      </c>
      <c r="T11" s="157">
        <f t="shared" ref="T11:T23" si="1">SUM(H11:S11)</f>
        <v>120422881.63261378</v>
      </c>
      <c r="U11" s="154">
        <f>'Sch. 129'!I9</f>
        <v>6939482.3161504865</v>
      </c>
      <c r="V11" s="158">
        <f>U11/T11</f>
        <v>5.7625944688165363E-2</v>
      </c>
    </row>
    <row r="12" spans="1:22" x14ac:dyDescent="0.25">
      <c r="A12" s="527">
        <f>A11+1</f>
        <v>2</v>
      </c>
      <c r="B12" t="s">
        <v>184</v>
      </c>
      <c r="C12" s="527">
        <v>16</v>
      </c>
      <c r="D12" s="269">
        <v>8190.2669999999998</v>
      </c>
      <c r="E12" s="159">
        <v>5233.1499999999996</v>
      </c>
      <c r="F12" s="155">
        <f t="shared" si="0"/>
        <v>0.63894742381414427</v>
      </c>
      <c r="G12" s="269">
        <v>2915</v>
      </c>
      <c r="H12" s="156">
        <f t="shared" ref="H12:H23" si="2">F12*G12</f>
        <v>1862.5317404182306</v>
      </c>
      <c r="I12" s="159">
        <v>1621.06</v>
      </c>
      <c r="J12" s="159">
        <v>-588.04</v>
      </c>
      <c r="K12" s="159">
        <v>308.07867894736842</v>
      </c>
      <c r="L12" s="159">
        <v>83.806250000000006</v>
      </c>
      <c r="M12" s="154"/>
      <c r="N12" s="159"/>
      <c r="O12" s="159">
        <v>66.607749999999996</v>
      </c>
      <c r="P12" s="159">
        <v>9.1822499999999998</v>
      </c>
      <c r="Q12" s="159">
        <v>-13.991999999999999</v>
      </c>
      <c r="R12" s="159">
        <v>207.48969999999997</v>
      </c>
      <c r="S12" s="159"/>
      <c r="T12" s="157">
        <f t="shared" si="1"/>
        <v>3556.7243693655987</v>
      </c>
      <c r="U12" s="154"/>
      <c r="V12" s="158">
        <f t="shared" ref="V12:V24" si="3">U12/T12</f>
        <v>0</v>
      </c>
    </row>
    <row r="13" spans="1:22" x14ac:dyDescent="0.25">
      <c r="A13" s="527">
        <f t="shared" ref="A13:A24" si="4">A12+1</f>
        <v>3</v>
      </c>
      <c r="B13" t="s">
        <v>185</v>
      </c>
      <c r="C13" s="527">
        <v>31</v>
      </c>
      <c r="D13" s="269">
        <v>222166912.14539161</v>
      </c>
      <c r="E13" s="159">
        <v>122121000.06</v>
      </c>
      <c r="F13" s="155">
        <f t="shared" si="0"/>
        <v>0.54968131339054194</v>
      </c>
      <c r="G13" s="269">
        <v>51968681</v>
      </c>
      <c r="H13" s="156">
        <f t="shared" si="2"/>
        <v>28566212.827254102</v>
      </c>
      <c r="I13" s="159">
        <v>28560947.699999999</v>
      </c>
      <c r="J13" s="159">
        <v>-10404129.939999999</v>
      </c>
      <c r="K13" s="159">
        <v>9924978.5884723943</v>
      </c>
      <c r="L13" s="159">
        <v>1494099.5787500001</v>
      </c>
      <c r="M13" s="154">
        <f>'Sch. 129'!$G$11</f>
        <v>224884.83078271287</v>
      </c>
      <c r="N13" s="159">
        <v>711970.92969999998</v>
      </c>
      <c r="O13" s="159">
        <v>1305972.9535300001</v>
      </c>
      <c r="P13" s="159">
        <v>150189.48809</v>
      </c>
      <c r="Q13" s="159">
        <v>-228662.19640000002</v>
      </c>
      <c r="R13" s="159">
        <v>3393035.18249</v>
      </c>
      <c r="S13" s="159">
        <v>-925562.21</v>
      </c>
      <c r="T13" s="157">
        <f t="shared" si="1"/>
        <v>62773937.732669212</v>
      </c>
      <c r="U13" s="154">
        <f>'Sch. 129'!I11</f>
        <v>2449910.5929760798</v>
      </c>
      <c r="V13" s="158">
        <f t="shared" si="3"/>
        <v>3.9027511758292673E-2</v>
      </c>
    </row>
    <row r="14" spans="1:22" x14ac:dyDescent="0.25">
      <c r="A14" s="527">
        <f t="shared" si="4"/>
        <v>4</v>
      </c>
      <c r="B14" t="s">
        <v>186</v>
      </c>
      <c r="C14" s="527">
        <v>41</v>
      </c>
      <c r="D14" s="269">
        <v>62517991.156948164</v>
      </c>
      <c r="E14" s="159">
        <v>17786398.291046247</v>
      </c>
      <c r="F14" s="155">
        <f t="shared" si="0"/>
        <v>0.28450047677306872</v>
      </c>
      <c r="G14" s="269">
        <v>16123086</v>
      </c>
      <c r="H14" s="156">
        <f t="shared" si="2"/>
        <v>4587025.6540531898</v>
      </c>
      <c r="I14" s="159">
        <v>9402551.8599999994</v>
      </c>
      <c r="J14" s="159">
        <v>-3163671.93</v>
      </c>
      <c r="K14" s="159">
        <v>2698727.1620595334</v>
      </c>
      <c r="L14" s="159">
        <v>463538.72250000003</v>
      </c>
      <c r="M14" s="154">
        <f>'Sch. 129'!$G$14</f>
        <v>40403.090090806007</v>
      </c>
      <c r="N14" s="159">
        <v>108347.13792000001</v>
      </c>
      <c r="O14" s="159">
        <v>161875.78344</v>
      </c>
      <c r="P14" s="159">
        <v>35470.789199999999</v>
      </c>
      <c r="Q14" s="159">
        <v>-33858.480599999995</v>
      </c>
      <c r="R14" s="159">
        <v>503201.51406000002</v>
      </c>
      <c r="S14" s="159">
        <v>-730304.21000000008</v>
      </c>
      <c r="T14" s="157">
        <f t="shared" si="1"/>
        <v>14073307.092723528</v>
      </c>
      <c r="U14" s="154">
        <f>'Sch. 129'!I14</f>
        <v>334768.46075239265</v>
      </c>
      <c r="V14" s="158">
        <f t="shared" si="3"/>
        <v>2.3787476429437227E-2</v>
      </c>
    </row>
    <row r="15" spans="1:22" x14ac:dyDescent="0.25">
      <c r="A15" s="527">
        <f t="shared" si="4"/>
        <v>5</v>
      </c>
      <c r="B15" t="s">
        <v>4</v>
      </c>
      <c r="C15" s="527">
        <v>85</v>
      </c>
      <c r="D15" s="269">
        <v>19992939.502740219</v>
      </c>
      <c r="E15" s="159">
        <v>2272313.06</v>
      </c>
      <c r="F15" s="155">
        <f t="shared" si="0"/>
        <v>0.11365577631486147</v>
      </c>
      <c r="G15" s="269">
        <v>6331338</v>
      </c>
      <c r="H15" s="156">
        <f t="shared" si="2"/>
        <v>719593.13550178241</v>
      </c>
      <c r="I15" s="159">
        <v>3161007.76</v>
      </c>
      <c r="J15" s="159">
        <v>-1192001.01</v>
      </c>
      <c r="K15" s="159">
        <v>624461.8514479975</v>
      </c>
      <c r="L15" s="159">
        <v>163601.77391999998</v>
      </c>
      <c r="M15" s="154">
        <f>'Sch. 129'!$G$21</f>
        <v>8142.9945333308278</v>
      </c>
      <c r="N15" s="159">
        <v>20460.653353180354</v>
      </c>
      <c r="O15" s="159">
        <v>33492.778020000005</v>
      </c>
      <c r="P15" s="159">
        <v>11712.9753</v>
      </c>
      <c r="Q15" s="159">
        <v>-8104.1126400000003</v>
      </c>
      <c r="R15" s="159">
        <v>120232.10862</v>
      </c>
      <c r="S15" s="159"/>
      <c r="T15" s="157">
        <f t="shared" si="1"/>
        <v>3662600.9080562913</v>
      </c>
      <c r="U15" s="154">
        <f>'Sch. 129'!I21</f>
        <v>52763.070122720783</v>
      </c>
      <c r="V15" s="158">
        <f t="shared" si="3"/>
        <v>1.4405902102700471E-2</v>
      </c>
    </row>
    <row r="16" spans="1:22" x14ac:dyDescent="0.25">
      <c r="A16" s="527">
        <f t="shared" si="4"/>
        <v>6</v>
      </c>
      <c r="B16" t="s">
        <v>187</v>
      </c>
      <c r="C16" s="527">
        <v>86</v>
      </c>
      <c r="D16" s="269">
        <v>5773170.4876905456</v>
      </c>
      <c r="E16" s="159">
        <v>1192875.52</v>
      </c>
      <c r="F16" s="155">
        <f t="shared" si="0"/>
        <v>0.20662398980654192</v>
      </c>
      <c r="G16" s="269">
        <v>775599</v>
      </c>
      <c r="H16" s="156">
        <f t="shared" si="2"/>
        <v>160257.3598699641</v>
      </c>
      <c r="I16" s="159">
        <v>401538.82</v>
      </c>
      <c r="J16" s="159">
        <v>-147379.32</v>
      </c>
      <c r="K16" s="159">
        <v>214059.09803333334</v>
      </c>
      <c r="L16" s="159">
        <v>20041.478159999999</v>
      </c>
      <c r="M16" s="154">
        <f>'Sch. 129'!$G$23</f>
        <v>1993.9660789210848</v>
      </c>
      <c r="N16" s="159">
        <v>3862.4830200000001</v>
      </c>
      <c r="O16" s="159">
        <v>5219.7812699999995</v>
      </c>
      <c r="P16" s="159">
        <v>380.04350999999997</v>
      </c>
      <c r="Q16" s="159">
        <v>-822.13493999999992</v>
      </c>
      <c r="R16" s="159">
        <v>12192.416279999998</v>
      </c>
      <c r="S16" s="159">
        <v>-22360.639999999999</v>
      </c>
      <c r="T16" s="157">
        <f t="shared" si="1"/>
        <v>648983.3512822187</v>
      </c>
      <c r="U16" s="154">
        <f>'Sch. 129'!I23</f>
        <v>18085.622154424578</v>
      </c>
      <c r="V16" s="158">
        <f t="shared" si="3"/>
        <v>2.7867621131870631E-2</v>
      </c>
    </row>
    <row r="17" spans="1:22" x14ac:dyDescent="0.25">
      <c r="A17" s="527">
        <f t="shared" si="4"/>
        <v>7</v>
      </c>
      <c r="B17" t="s">
        <v>188</v>
      </c>
      <c r="C17" s="527">
        <v>87</v>
      </c>
      <c r="D17" s="269">
        <v>21819455.762355208</v>
      </c>
      <c r="E17" s="159">
        <v>1509849.77</v>
      </c>
      <c r="F17" s="155">
        <f>(E17)/D17</f>
        <v>6.9197407416775353E-2</v>
      </c>
      <c r="G17" s="269">
        <v>7454923</v>
      </c>
      <c r="H17" s="156">
        <f t="shared" si="2"/>
        <v>515861.34409168916</v>
      </c>
      <c r="I17" s="159">
        <v>3670356.79</v>
      </c>
      <c r="J17" s="159">
        <v>-1393399.66</v>
      </c>
      <c r="K17" s="159">
        <v>67694.000043528635</v>
      </c>
      <c r="L17" s="159">
        <v>192635.21031999998</v>
      </c>
      <c r="M17" s="154">
        <f>'Sch. 129'!$G$33</f>
        <v>1828.352721598746</v>
      </c>
      <c r="N17" s="159">
        <v>9900.8819106911469</v>
      </c>
      <c r="O17" s="159">
        <v>28105.059709999998</v>
      </c>
      <c r="P17" s="159">
        <v>5777.7168993859141</v>
      </c>
      <c r="Q17" s="159">
        <v>-4389.9511960454101</v>
      </c>
      <c r="R17" s="159">
        <v>65029.749964799237</v>
      </c>
      <c r="S17" s="159"/>
      <c r="T17" s="157">
        <f t="shared" si="1"/>
        <v>3159399.4944656477</v>
      </c>
      <c r="U17" s="154">
        <f>'Sch. 129'!I33</f>
        <v>11601.924987079978</v>
      </c>
      <c r="V17" s="158">
        <f>U17/T17</f>
        <v>3.6721930884027767E-3</v>
      </c>
    </row>
    <row r="18" spans="1:22" x14ac:dyDescent="0.25">
      <c r="A18" s="527">
        <f t="shared" si="4"/>
        <v>8</v>
      </c>
      <c r="B18" t="s">
        <v>189</v>
      </c>
      <c r="C18" s="527" t="s">
        <v>190</v>
      </c>
      <c r="D18" s="269">
        <v>36958.529999999992</v>
      </c>
      <c r="E18" s="159">
        <v>23981.98</v>
      </c>
      <c r="F18" s="155">
        <f>(E18)/D18</f>
        <v>0.64888890331947735</v>
      </c>
      <c r="G18" s="269">
        <v>0</v>
      </c>
      <c r="H18" s="156">
        <f t="shared" si="2"/>
        <v>0</v>
      </c>
      <c r="I18" s="159"/>
      <c r="J18" s="159"/>
      <c r="K18" s="159">
        <v>0</v>
      </c>
      <c r="L18" s="159"/>
      <c r="M18" s="154">
        <f>'Sch. 129'!$G$12</f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7">
        <f t="shared" si="1"/>
        <v>0</v>
      </c>
      <c r="U18" s="154">
        <f>'Sch. 129'!I12</f>
        <v>0</v>
      </c>
      <c r="V18" s="158">
        <f>V13</f>
        <v>3.9027511758292673E-2</v>
      </c>
    </row>
    <row r="19" spans="1:22" x14ac:dyDescent="0.25">
      <c r="A19" s="527">
        <f t="shared" si="4"/>
        <v>9</v>
      </c>
      <c r="B19" t="s">
        <v>191</v>
      </c>
      <c r="C19" s="527" t="s">
        <v>192</v>
      </c>
      <c r="D19" s="269">
        <v>19494505.608019032</v>
      </c>
      <c r="E19" s="159">
        <v>4475398.7622919884</v>
      </c>
      <c r="F19" s="155">
        <f t="shared" ref="F19:F24" si="5">(E19)/D19</f>
        <v>0.22957231397810063</v>
      </c>
      <c r="G19" s="269">
        <v>8831553</v>
      </c>
      <c r="H19" s="156">
        <f>F19*G19</f>
        <v>2027480.0582302366</v>
      </c>
      <c r="I19" s="159"/>
      <c r="J19" s="159"/>
      <c r="K19" s="159">
        <v>951329.71254166646</v>
      </c>
      <c r="L19" s="159"/>
      <c r="M19" s="154">
        <f>'Sch. 129'!$G$15</f>
        <v>14874.617611467074</v>
      </c>
      <c r="N19" s="159">
        <v>59348.036160000003</v>
      </c>
      <c r="O19" s="159">
        <v>88668.792119999998</v>
      </c>
      <c r="P19" s="159">
        <v>0</v>
      </c>
      <c r="Q19" s="159">
        <v>-18546.261299999998</v>
      </c>
      <c r="R19" s="159">
        <v>275632.76913000003</v>
      </c>
      <c r="S19" s="159">
        <v>-267771.06</v>
      </c>
      <c r="T19" s="157">
        <f t="shared" si="1"/>
        <v>3131016.6644933699</v>
      </c>
      <c r="U19" s="154">
        <f>'Sch. 129'!I15</f>
        <v>123246.83163787005</v>
      </c>
      <c r="V19" s="158">
        <f t="shared" si="3"/>
        <v>3.9363198872597711E-2</v>
      </c>
    </row>
    <row r="20" spans="1:22" x14ac:dyDescent="0.25">
      <c r="A20" s="527">
        <f t="shared" si="4"/>
        <v>10</v>
      </c>
      <c r="B20" t="s">
        <v>193</v>
      </c>
      <c r="C20" s="527" t="s">
        <v>3</v>
      </c>
      <c r="D20" s="269">
        <v>68886791.019958794</v>
      </c>
      <c r="E20" s="159">
        <v>7339677.3100000005</v>
      </c>
      <c r="F20" s="155">
        <f t="shared" si="5"/>
        <v>0.1065469475544804</v>
      </c>
      <c r="G20" s="269">
        <v>26543557</v>
      </c>
      <c r="H20" s="156">
        <f t="shared" si="2"/>
        <v>2828134.9755883608</v>
      </c>
      <c r="I20" s="159"/>
      <c r="J20" s="159"/>
      <c r="K20" s="159">
        <v>2601263.0647025942</v>
      </c>
      <c r="L20" s="159"/>
      <c r="M20" s="154">
        <f>'Sch. 129'!$G$39</f>
        <v>21813.990096415731</v>
      </c>
      <c r="N20" s="159">
        <v>81900.307664661319</v>
      </c>
      <c r="O20" s="159">
        <v>140415.41653000002</v>
      </c>
      <c r="P20" s="159">
        <v>0</v>
      </c>
      <c r="Q20" s="159">
        <v>-33975.752960000005</v>
      </c>
      <c r="R20" s="159">
        <v>504062.14743000001</v>
      </c>
      <c r="S20" s="159"/>
      <c r="T20" s="157">
        <f t="shared" si="1"/>
        <v>6143614.1490520323</v>
      </c>
      <c r="U20" s="154">
        <f>'Sch. 129'!I39</f>
        <v>141572.58579549484</v>
      </c>
      <c r="V20" s="158">
        <f t="shared" si="3"/>
        <v>2.3043860236134733E-2</v>
      </c>
    </row>
    <row r="21" spans="1:22" x14ac:dyDescent="0.25">
      <c r="A21" s="527">
        <f t="shared" si="4"/>
        <v>11</v>
      </c>
      <c r="B21" t="s">
        <v>194</v>
      </c>
      <c r="C21" s="527" t="s">
        <v>195</v>
      </c>
      <c r="D21" s="269">
        <v>1718484.3400000003</v>
      </c>
      <c r="E21" s="159">
        <v>367155.5</v>
      </c>
      <c r="F21" s="155">
        <f t="shared" si="5"/>
        <v>0.21365076856039314</v>
      </c>
      <c r="G21" s="269">
        <v>479516</v>
      </c>
      <c r="H21" s="156">
        <f t="shared" si="2"/>
        <v>102448.96193700547</v>
      </c>
      <c r="I21" s="159"/>
      <c r="J21" s="159"/>
      <c r="K21" s="159">
        <v>52890.806216666657</v>
      </c>
      <c r="L21" s="159"/>
      <c r="M21" s="154">
        <f>'Sch. 129'!$G$24</f>
        <v>1112.3080947000001</v>
      </c>
      <c r="N21" s="159">
        <v>2387.9896800000001</v>
      </c>
      <c r="O21" s="159">
        <v>3227.1426799999999</v>
      </c>
      <c r="P21" s="159">
        <v>0</v>
      </c>
      <c r="Q21" s="159">
        <v>-508.28695999999997</v>
      </c>
      <c r="R21" s="159">
        <v>7537.9915199999987</v>
      </c>
      <c r="S21" s="159">
        <v>-11586.4</v>
      </c>
      <c r="T21" s="157">
        <f t="shared" si="1"/>
        <v>157510.51316837216</v>
      </c>
      <c r="U21" s="154">
        <f>'Sch. 129'!I24</f>
        <v>10088.8295607</v>
      </c>
      <c r="V21" s="158">
        <f t="shared" si="3"/>
        <v>6.4051785228554634E-2</v>
      </c>
    </row>
    <row r="22" spans="1:22" x14ac:dyDescent="0.25">
      <c r="A22" s="527">
        <f t="shared" si="4"/>
        <v>12</v>
      </c>
      <c r="B22" t="s">
        <v>196</v>
      </c>
      <c r="C22" s="527" t="s">
        <v>2</v>
      </c>
      <c r="D22" s="269">
        <v>97500425.645479575</v>
      </c>
      <c r="E22" s="159">
        <v>4790056.76</v>
      </c>
      <c r="F22" s="155">
        <f>(E22)/D22</f>
        <v>4.9128572806616068E-2</v>
      </c>
      <c r="G22" s="269">
        <v>56661317</v>
      </c>
      <c r="H22" s="156">
        <f t="shared" si="2"/>
        <v>2783689.6375532527</v>
      </c>
      <c r="I22" s="159"/>
      <c r="J22" s="159"/>
      <c r="K22" s="159">
        <v>336665.76332444965</v>
      </c>
      <c r="L22" s="159"/>
      <c r="M22" s="154">
        <f>'Sch. 129'!$G$48</f>
        <v>12939.875283128533</v>
      </c>
      <c r="N22" s="159">
        <v>59116.270813843905</v>
      </c>
      <c r="O22" s="159">
        <v>213613.16508999999</v>
      </c>
      <c r="P22" s="159">
        <v>0</v>
      </c>
      <c r="Q22" s="159">
        <v>-23900.309969979549</v>
      </c>
      <c r="R22" s="159">
        <v>727277.34372560855</v>
      </c>
      <c r="S22" s="159"/>
      <c r="T22" s="157">
        <f t="shared" si="1"/>
        <v>4109401.7458203039</v>
      </c>
      <c r="U22" s="154">
        <f>'Sch. 129'!I48</f>
        <v>81363.733180551499</v>
      </c>
      <c r="V22" s="158">
        <f t="shared" si="3"/>
        <v>1.9799410769051E-2</v>
      </c>
    </row>
    <row r="23" spans="1:22" x14ac:dyDescent="0.25">
      <c r="A23" s="527">
        <f t="shared" si="4"/>
        <v>13</v>
      </c>
      <c r="B23" t="s">
        <v>197</v>
      </c>
      <c r="D23" s="269">
        <v>32154478.538398605</v>
      </c>
      <c r="E23" s="159">
        <v>1699064.4523564125</v>
      </c>
      <c r="F23" s="160">
        <f t="shared" si="5"/>
        <v>5.2840678175744761E-2</v>
      </c>
      <c r="G23" s="269">
        <v>9806971</v>
      </c>
      <c r="H23" s="156">
        <f t="shared" si="2"/>
        <v>518206.99848986178</v>
      </c>
      <c r="I23" s="159"/>
      <c r="J23" s="159"/>
      <c r="K23" s="159">
        <v>583865.25037026114</v>
      </c>
      <c r="L23" s="159"/>
      <c r="M23" s="154"/>
      <c r="N23" s="159"/>
      <c r="O23" s="159">
        <v>9218.5527399999992</v>
      </c>
      <c r="P23" s="159">
        <v>0</v>
      </c>
      <c r="Q23" s="159">
        <v>0</v>
      </c>
      <c r="R23" s="159">
        <v>0</v>
      </c>
      <c r="S23" s="159"/>
      <c r="T23" s="157">
        <f t="shared" si="1"/>
        <v>1111290.8016001228</v>
      </c>
      <c r="U23" s="154"/>
      <c r="V23" s="158">
        <f t="shared" si="3"/>
        <v>0</v>
      </c>
    </row>
    <row r="24" spans="1:22" x14ac:dyDescent="0.25">
      <c r="A24" s="527">
        <f t="shared" si="4"/>
        <v>14</v>
      </c>
      <c r="B24" t="s">
        <v>0</v>
      </c>
      <c r="D24" s="161">
        <f>SUM(D11:D23)</f>
        <v>1172906987.060853</v>
      </c>
      <c r="E24" s="162">
        <f>SUM(E11:E23)</f>
        <v>567196461.71043551</v>
      </c>
      <c r="F24" s="155">
        <f t="shared" si="5"/>
        <v>0.48358179119706113</v>
      </c>
      <c r="G24" s="161">
        <f>SUM(G11:G23)</f>
        <v>276496677</v>
      </c>
      <c r="H24" s="162">
        <f>SUM(H11:H23)</f>
        <v>102307228.67143567</v>
      </c>
      <c r="I24" s="162">
        <f t="shared" ref="I24:L24" si="6">SUM(I11:I23)</f>
        <v>96091665.760000005</v>
      </c>
      <c r="J24" s="162">
        <f t="shared" si="6"/>
        <v>-34762938.890000001</v>
      </c>
      <c r="K24" s="162">
        <f t="shared" si="6"/>
        <v>33101716.2394583</v>
      </c>
      <c r="L24" s="162">
        <f t="shared" si="6"/>
        <v>4965120.6736500002</v>
      </c>
      <c r="M24" s="162">
        <f>SUM(M11:M23)</f>
        <v>806339.09032413329</v>
      </c>
      <c r="N24" s="162">
        <f>SUM(N11:N23)</f>
        <v>2517909.5373823764</v>
      </c>
      <c r="O24" s="162">
        <f>SUM(O11:O23)</f>
        <v>4081044.5327300001</v>
      </c>
      <c r="P24" s="162">
        <f>SUM(P11:P23)</f>
        <v>491819.44139938592</v>
      </c>
      <c r="Q24" s="162">
        <f t="shared" ref="Q24:T24" si="7">SUM(Q11:Q23)</f>
        <v>-792064.13976602501</v>
      </c>
      <c r="R24" s="162">
        <f t="shared" si="7"/>
        <v>12122604.503700409</v>
      </c>
      <c r="S24" s="162">
        <f t="shared" si="7"/>
        <v>-1532944.6099999999</v>
      </c>
      <c r="T24" s="163">
        <f t="shared" si="7"/>
        <v>219397500.81031424</v>
      </c>
      <c r="U24" s="162">
        <f>SUM(U11:U23)</f>
        <v>10162883.967317801</v>
      </c>
      <c r="V24" s="164">
        <f t="shared" si="3"/>
        <v>4.632178547970054E-2</v>
      </c>
    </row>
    <row r="25" spans="1:22" x14ac:dyDescent="0.25">
      <c r="A25" s="527"/>
      <c r="D25" s="165"/>
      <c r="E25" s="156"/>
      <c r="G25" s="165"/>
      <c r="M25" s="156"/>
      <c r="N25" s="156"/>
      <c r="S25" s="156"/>
      <c r="T25" s="156"/>
      <c r="V25" s="166"/>
    </row>
    <row r="26" spans="1:22" s="171" customFormat="1" x14ac:dyDescent="0.25">
      <c r="A26" s="527">
        <f>A24+1</f>
        <v>15</v>
      </c>
      <c r="B26" s="167" t="s">
        <v>198</v>
      </c>
      <c r="C26" s="168"/>
      <c r="D26" s="169"/>
      <c r="E26" s="170"/>
      <c r="U26" s="172"/>
      <c r="V26" s="173"/>
    </row>
    <row r="27" spans="1:22" s="171" customFormat="1" x14ac:dyDescent="0.25">
      <c r="A27" s="527">
        <f>A26+1</f>
        <v>16</v>
      </c>
      <c r="B27" s="174" t="s">
        <v>5</v>
      </c>
      <c r="C27" s="222" t="s">
        <v>210</v>
      </c>
      <c r="D27" s="176">
        <f>D11+D12</f>
        <v>620844874.32387137</v>
      </c>
      <c r="E27" s="175">
        <f>E11+E12</f>
        <v>403618690.2447409</v>
      </c>
      <c r="F27" s="155">
        <f t="shared" ref="F27:F34" si="8">(E27)/D27</f>
        <v>0.65011197955737365</v>
      </c>
      <c r="G27" s="176">
        <f>G11+G12</f>
        <v>91520136</v>
      </c>
      <c r="H27" s="175">
        <f>H11+H12</f>
        <v>59498317.718866214</v>
      </c>
      <c r="I27" s="175">
        <f t="shared" ref="I27:S27" si="9">I11+I12</f>
        <v>50895262.830000006</v>
      </c>
      <c r="J27" s="175">
        <f t="shared" si="9"/>
        <v>-18462357.029999997</v>
      </c>
      <c r="K27" s="175">
        <f t="shared" si="9"/>
        <v>15045780.942245873</v>
      </c>
      <c r="L27" s="175">
        <f t="shared" si="9"/>
        <v>2631203.91</v>
      </c>
      <c r="M27" s="175">
        <f t="shared" si="9"/>
        <v>478345.06503105245</v>
      </c>
      <c r="N27" s="175">
        <f t="shared" si="9"/>
        <v>1460614.8471599999</v>
      </c>
      <c r="O27" s="175">
        <f t="shared" si="9"/>
        <v>2091235.1075999998</v>
      </c>
      <c r="P27" s="175">
        <f t="shared" si="9"/>
        <v>288288.42840000003</v>
      </c>
      <c r="Q27" s="175">
        <f t="shared" si="9"/>
        <v>-439296.65279999998</v>
      </c>
      <c r="R27" s="175">
        <f t="shared" si="9"/>
        <v>6514403.2804799993</v>
      </c>
      <c r="S27" s="175">
        <f t="shared" si="9"/>
        <v>424639.91</v>
      </c>
      <c r="T27" s="175">
        <f>T11+T12</f>
        <v>120426438.35698314</v>
      </c>
      <c r="U27" s="156">
        <f>SUM(U11:U12)</f>
        <v>6939482.3161504865</v>
      </c>
      <c r="V27" s="158">
        <f>U27/T27</f>
        <v>5.7624242739618386E-2</v>
      </c>
    </row>
    <row r="28" spans="1:22" s="171" customFormat="1" x14ac:dyDescent="0.25">
      <c r="A28" s="527">
        <f t="shared" ref="A28:A34" si="10">A27+1</f>
        <v>17</v>
      </c>
      <c r="B28" s="177" t="s">
        <v>23</v>
      </c>
      <c r="C28" s="222" t="s">
        <v>211</v>
      </c>
      <c r="D28" s="176">
        <f>D13+D18</f>
        <v>222203870.67539161</v>
      </c>
      <c r="E28" s="175">
        <f>E13+E18</f>
        <v>122144982.04000001</v>
      </c>
      <c r="F28" s="155">
        <f t="shared" si="8"/>
        <v>0.54969781430331843</v>
      </c>
      <c r="G28" s="176">
        <f t="shared" ref="G28:S32" si="11">G13+G18</f>
        <v>51968681</v>
      </c>
      <c r="H28" s="175">
        <f t="shared" si="11"/>
        <v>28566212.827254102</v>
      </c>
      <c r="I28" s="175">
        <f t="shared" si="11"/>
        <v>28560947.699999999</v>
      </c>
      <c r="J28" s="175">
        <f t="shared" si="11"/>
        <v>-10404129.939999999</v>
      </c>
      <c r="K28" s="175">
        <f t="shared" si="11"/>
        <v>9924978.5884723943</v>
      </c>
      <c r="L28" s="175">
        <f t="shared" si="11"/>
        <v>1494099.5787500001</v>
      </c>
      <c r="M28" s="175">
        <f t="shared" si="11"/>
        <v>224884.83078271287</v>
      </c>
      <c r="N28" s="175">
        <f t="shared" si="11"/>
        <v>711970.92969999998</v>
      </c>
      <c r="O28" s="175">
        <f t="shared" si="11"/>
        <v>1305972.9535300001</v>
      </c>
      <c r="P28" s="175">
        <f t="shared" si="11"/>
        <v>150189.48809</v>
      </c>
      <c r="Q28" s="175">
        <f t="shared" si="11"/>
        <v>-228662.19640000002</v>
      </c>
      <c r="R28" s="175">
        <f t="shared" si="11"/>
        <v>3393035.18249</v>
      </c>
      <c r="S28" s="175">
        <f t="shared" si="11"/>
        <v>-925562.21</v>
      </c>
      <c r="T28" s="175">
        <f>T13+T18</f>
        <v>62773937.732669212</v>
      </c>
      <c r="U28" s="156">
        <f>SUM(U13,U18)</f>
        <v>2449910.5929760798</v>
      </c>
      <c r="V28" s="158">
        <f t="shared" ref="V28:V34" si="12">U28/T28</f>
        <v>3.9027511758292673E-2</v>
      </c>
    </row>
    <row r="29" spans="1:22" s="171" customFormat="1" x14ac:dyDescent="0.25">
      <c r="A29" s="527">
        <f t="shared" si="10"/>
        <v>18</v>
      </c>
      <c r="B29" s="174" t="s">
        <v>22</v>
      </c>
      <c r="C29" s="222" t="s">
        <v>212</v>
      </c>
      <c r="D29" s="176">
        <f t="shared" ref="D29:E32" si="13">D14+D19</f>
        <v>82012496.764967203</v>
      </c>
      <c r="E29" s="175">
        <f t="shared" si="13"/>
        <v>22261797.053338237</v>
      </c>
      <c r="F29" s="155">
        <f t="shared" si="8"/>
        <v>0.27144396197492282</v>
      </c>
      <c r="G29" s="176">
        <f t="shared" si="11"/>
        <v>24954639</v>
      </c>
      <c r="H29" s="175">
        <f t="shared" si="11"/>
        <v>6614505.7122834269</v>
      </c>
      <c r="I29" s="175">
        <f t="shared" si="11"/>
        <v>9402551.8599999994</v>
      </c>
      <c r="J29" s="175">
        <f t="shared" si="11"/>
        <v>-3163671.93</v>
      </c>
      <c r="K29" s="175">
        <f t="shared" si="11"/>
        <v>3650056.8746011998</v>
      </c>
      <c r="L29" s="175">
        <f t="shared" si="11"/>
        <v>463538.72250000003</v>
      </c>
      <c r="M29" s="175">
        <f t="shared" si="11"/>
        <v>55277.707702273081</v>
      </c>
      <c r="N29" s="175">
        <f t="shared" si="11"/>
        <v>167695.17408000003</v>
      </c>
      <c r="O29" s="175">
        <f t="shared" si="11"/>
        <v>250544.57556</v>
      </c>
      <c r="P29" s="175">
        <f t="shared" si="11"/>
        <v>35470.789199999999</v>
      </c>
      <c r="Q29" s="175">
        <f t="shared" si="11"/>
        <v>-52404.741899999994</v>
      </c>
      <c r="R29" s="175">
        <f t="shared" si="11"/>
        <v>778834.2831900001</v>
      </c>
      <c r="S29" s="175">
        <f t="shared" si="11"/>
        <v>-998075.27</v>
      </c>
      <c r="T29" s="175">
        <f>T14+T19</f>
        <v>17204323.757216897</v>
      </c>
      <c r="U29" s="156">
        <f>SUM(U14,U19)</f>
        <v>458015.29239026271</v>
      </c>
      <c r="V29" s="158">
        <f t="shared" si="12"/>
        <v>2.6622103771915692E-2</v>
      </c>
    </row>
    <row r="30" spans="1:22" s="171" customFormat="1" x14ac:dyDescent="0.25">
      <c r="A30" s="527">
        <f t="shared" si="10"/>
        <v>19</v>
      </c>
      <c r="B30" s="174" t="s">
        <v>4</v>
      </c>
      <c r="C30" s="222" t="s">
        <v>213</v>
      </c>
      <c r="D30" s="176">
        <f t="shared" si="13"/>
        <v>88879730.522699013</v>
      </c>
      <c r="E30" s="175">
        <f t="shared" si="13"/>
        <v>9611990.370000001</v>
      </c>
      <c r="F30" s="155">
        <f t="shared" si="8"/>
        <v>0.10814603412355298</v>
      </c>
      <c r="G30" s="176">
        <f t="shared" si="11"/>
        <v>32874895</v>
      </c>
      <c r="H30" s="175">
        <f t="shared" si="11"/>
        <v>3547728.1110901432</v>
      </c>
      <c r="I30" s="175">
        <f t="shared" si="11"/>
        <v>3161007.76</v>
      </c>
      <c r="J30" s="175">
        <f t="shared" si="11"/>
        <v>-1192001.01</v>
      </c>
      <c r="K30" s="175">
        <f t="shared" si="11"/>
        <v>3225724.9161505918</v>
      </c>
      <c r="L30" s="175">
        <f t="shared" si="11"/>
        <v>163601.77391999998</v>
      </c>
      <c r="M30" s="175">
        <f t="shared" si="11"/>
        <v>29956.984629746559</v>
      </c>
      <c r="N30" s="175">
        <f t="shared" si="11"/>
        <v>102360.96101784168</v>
      </c>
      <c r="O30" s="175">
        <f t="shared" si="11"/>
        <v>173908.19455000001</v>
      </c>
      <c r="P30" s="175">
        <f t="shared" si="11"/>
        <v>11712.9753</v>
      </c>
      <c r="Q30" s="175">
        <f t="shared" si="11"/>
        <v>-42079.865600000005</v>
      </c>
      <c r="R30" s="175">
        <f t="shared" si="11"/>
        <v>624294.25604999997</v>
      </c>
      <c r="S30" s="175">
        <f t="shared" si="11"/>
        <v>0</v>
      </c>
      <c r="T30" s="175">
        <f>T15+T20</f>
        <v>9806215.057108324</v>
      </c>
      <c r="U30" s="156">
        <f>SUM(U15,U20)</f>
        <v>194335.65591821563</v>
      </c>
      <c r="V30" s="158">
        <f t="shared" si="12"/>
        <v>1.9817600856851053E-2</v>
      </c>
    </row>
    <row r="31" spans="1:22" s="171" customFormat="1" x14ac:dyDescent="0.25">
      <c r="A31" s="527">
        <f t="shared" si="10"/>
        <v>20</v>
      </c>
      <c r="B31" s="174" t="s">
        <v>41</v>
      </c>
      <c r="C31" s="222" t="s">
        <v>214</v>
      </c>
      <c r="D31" s="176">
        <f t="shared" si="13"/>
        <v>7491654.8276905455</v>
      </c>
      <c r="E31" s="175">
        <f t="shared" si="13"/>
        <v>1560031.02</v>
      </c>
      <c r="F31" s="155">
        <f t="shared" si="8"/>
        <v>0.20823583785972574</v>
      </c>
      <c r="G31" s="176">
        <f t="shared" si="11"/>
        <v>1255115</v>
      </c>
      <c r="H31" s="175">
        <f t="shared" si="11"/>
        <v>262706.32180696959</v>
      </c>
      <c r="I31" s="175">
        <f t="shared" si="11"/>
        <v>401538.82</v>
      </c>
      <c r="J31" s="175">
        <f t="shared" si="11"/>
        <v>-147379.32</v>
      </c>
      <c r="K31" s="175">
        <f t="shared" si="11"/>
        <v>266949.90425000002</v>
      </c>
      <c r="L31" s="175">
        <f t="shared" si="11"/>
        <v>20041.478159999999</v>
      </c>
      <c r="M31" s="175">
        <f t="shared" si="11"/>
        <v>3106.2741736210846</v>
      </c>
      <c r="N31" s="175">
        <f t="shared" si="11"/>
        <v>6250.4727000000003</v>
      </c>
      <c r="O31" s="175">
        <f t="shared" si="11"/>
        <v>8446.9239500000003</v>
      </c>
      <c r="P31" s="175">
        <f t="shared" si="11"/>
        <v>380.04350999999997</v>
      </c>
      <c r="Q31" s="175">
        <f t="shared" si="11"/>
        <v>-1330.4218999999998</v>
      </c>
      <c r="R31" s="175">
        <f t="shared" si="11"/>
        <v>19730.407799999997</v>
      </c>
      <c r="S31" s="175">
        <f t="shared" si="11"/>
        <v>-33947.040000000001</v>
      </c>
      <c r="T31" s="175">
        <f>T16+T21</f>
        <v>806493.86445059092</v>
      </c>
      <c r="U31" s="156">
        <f>SUM(U16,U21)</f>
        <v>28174.451715124578</v>
      </c>
      <c r="V31" s="158">
        <f t="shared" si="12"/>
        <v>3.4934489841801718E-2</v>
      </c>
    </row>
    <row r="32" spans="1:22" s="171" customFormat="1" x14ac:dyDescent="0.25">
      <c r="A32" s="527">
        <f t="shared" si="10"/>
        <v>21</v>
      </c>
      <c r="B32" s="178" t="s">
        <v>215</v>
      </c>
      <c r="C32" s="222" t="s">
        <v>216</v>
      </c>
      <c r="D32" s="176">
        <f t="shared" si="13"/>
        <v>119319881.40783478</v>
      </c>
      <c r="E32" s="175">
        <f t="shared" si="13"/>
        <v>6299906.5299999993</v>
      </c>
      <c r="F32" s="155">
        <f t="shared" si="8"/>
        <v>5.2798464561550719E-2</v>
      </c>
      <c r="G32" s="176">
        <f t="shared" si="11"/>
        <v>64116240</v>
      </c>
      <c r="H32" s="175">
        <f t="shared" si="11"/>
        <v>3299550.981644942</v>
      </c>
      <c r="I32" s="175">
        <f t="shared" si="11"/>
        <v>3670356.79</v>
      </c>
      <c r="J32" s="175">
        <f t="shared" si="11"/>
        <v>-1393399.66</v>
      </c>
      <c r="K32" s="175">
        <f t="shared" si="11"/>
        <v>404359.76336797827</v>
      </c>
      <c r="L32" s="175">
        <f t="shared" si="11"/>
        <v>192635.21031999998</v>
      </c>
      <c r="M32" s="175">
        <f t="shared" si="11"/>
        <v>14768.22800472728</v>
      </c>
      <c r="N32" s="175">
        <f t="shared" si="11"/>
        <v>69017.152724535059</v>
      </c>
      <c r="O32" s="175">
        <f t="shared" si="11"/>
        <v>241718.2248</v>
      </c>
      <c r="P32" s="175">
        <f t="shared" si="11"/>
        <v>5777.7168993859141</v>
      </c>
      <c r="Q32" s="175">
        <f t="shared" si="11"/>
        <v>-28290.26116602496</v>
      </c>
      <c r="R32" s="175">
        <f t="shared" si="11"/>
        <v>792307.09369040781</v>
      </c>
      <c r="S32" s="175">
        <f t="shared" si="11"/>
        <v>0</v>
      </c>
      <c r="T32" s="175">
        <f>T17+T22</f>
        <v>7268801.2402859516</v>
      </c>
      <c r="U32" s="156">
        <f>SUM(U17,U22)</f>
        <v>92965.658167631482</v>
      </c>
      <c r="V32" s="158">
        <f t="shared" si="12"/>
        <v>1.2789682245318108E-2</v>
      </c>
    </row>
    <row r="33" spans="1:22" s="171" customFormat="1" x14ac:dyDescent="0.25">
      <c r="A33" s="527">
        <f t="shared" si="10"/>
        <v>22</v>
      </c>
      <c r="B33" s="178" t="s">
        <v>197</v>
      </c>
      <c r="C33" s="174"/>
      <c r="D33" s="176">
        <f>D23</f>
        <v>32154478.538398605</v>
      </c>
      <c r="E33" s="175">
        <f>E23</f>
        <v>1699064.4523564125</v>
      </c>
      <c r="F33" s="155">
        <f t="shared" si="8"/>
        <v>5.2840678175744761E-2</v>
      </c>
      <c r="G33" s="176">
        <f>G23</f>
        <v>9806971</v>
      </c>
      <c r="H33" s="175">
        <f>H23</f>
        <v>518206.99848986178</v>
      </c>
      <c r="I33" s="175">
        <f t="shared" ref="I33:S33" si="14">I23</f>
        <v>0</v>
      </c>
      <c r="J33" s="175">
        <f t="shared" si="14"/>
        <v>0</v>
      </c>
      <c r="K33" s="175">
        <f t="shared" si="14"/>
        <v>583865.25037026114</v>
      </c>
      <c r="L33" s="175">
        <f t="shared" si="14"/>
        <v>0</v>
      </c>
      <c r="M33" s="175">
        <f t="shared" si="14"/>
        <v>0</v>
      </c>
      <c r="N33" s="175">
        <f t="shared" si="14"/>
        <v>0</v>
      </c>
      <c r="O33" s="175">
        <f t="shared" si="14"/>
        <v>9218.5527399999992</v>
      </c>
      <c r="P33" s="175">
        <f t="shared" si="14"/>
        <v>0</v>
      </c>
      <c r="Q33" s="175">
        <f t="shared" si="14"/>
        <v>0</v>
      </c>
      <c r="R33" s="175">
        <f t="shared" si="14"/>
        <v>0</v>
      </c>
      <c r="S33" s="175">
        <f t="shared" si="14"/>
        <v>0</v>
      </c>
      <c r="T33" s="175">
        <f>T23</f>
        <v>1111290.8016001228</v>
      </c>
      <c r="U33" s="156">
        <f>U23</f>
        <v>0</v>
      </c>
      <c r="V33" s="158">
        <f t="shared" si="12"/>
        <v>0</v>
      </c>
    </row>
    <row r="34" spans="1:22" s="171" customFormat="1" x14ac:dyDescent="0.25">
      <c r="A34" s="527">
        <f t="shared" si="10"/>
        <v>23</v>
      </c>
      <c r="B34" s="178" t="s">
        <v>0</v>
      </c>
      <c r="C34" s="178"/>
      <c r="D34" s="181">
        <f>SUM(D27:D33)</f>
        <v>1172906987.0608532</v>
      </c>
      <c r="E34" s="179">
        <f>SUM(E27:E33)</f>
        <v>567196461.71043563</v>
      </c>
      <c r="F34" s="180">
        <f t="shared" si="8"/>
        <v>0.48358179119706113</v>
      </c>
      <c r="G34" s="181">
        <f>SUM(G27:G33)</f>
        <v>276496677</v>
      </c>
      <c r="H34" s="179">
        <f>SUM(H27:H33)</f>
        <v>102307228.67143565</v>
      </c>
      <c r="I34" s="179">
        <f t="shared" ref="I34:S34" si="15">SUM(I27:I33)</f>
        <v>96091665.760000005</v>
      </c>
      <c r="J34" s="179">
        <f t="shared" si="15"/>
        <v>-34762938.890000001</v>
      </c>
      <c r="K34" s="179">
        <f t="shared" si="15"/>
        <v>33101716.239458296</v>
      </c>
      <c r="L34" s="179">
        <f t="shared" si="15"/>
        <v>4965120.6736500002</v>
      </c>
      <c r="M34" s="179">
        <f t="shared" si="15"/>
        <v>806339.09032413329</v>
      </c>
      <c r="N34" s="179">
        <f t="shared" si="15"/>
        <v>2517909.5373823764</v>
      </c>
      <c r="O34" s="179">
        <f t="shared" si="15"/>
        <v>4081044.5327300001</v>
      </c>
      <c r="P34" s="179">
        <f t="shared" si="15"/>
        <v>491819.44139938592</v>
      </c>
      <c r="Q34" s="179">
        <f t="shared" si="15"/>
        <v>-792064.13976602501</v>
      </c>
      <c r="R34" s="179">
        <f t="shared" si="15"/>
        <v>12122604.503700409</v>
      </c>
      <c r="S34" s="179">
        <f t="shared" si="15"/>
        <v>-1532944.61</v>
      </c>
      <c r="T34" s="179">
        <f>SUM(T27:T33)</f>
        <v>219397500.81031427</v>
      </c>
      <c r="U34" s="162">
        <f>SUM(U27:U33)</f>
        <v>10162883.967317803</v>
      </c>
      <c r="V34" s="164">
        <f t="shared" si="12"/>
        <v>4.632178547970054E-2</v>
      </c>
    </row>
    <row r="35" spans="1:22" s="171" customFormat="1" x14ac:dyDescent="0.25">
      <c r="B35" s="182"/>
      <c r="C35" s="182"/>
      <c r="D35" s="182"/>
      <c r="E35" s="182"/>
      <c r="F35" s="182"/>
      <c r="I35" s="183"/>
      <c r="M35" s="182"/>
      <c r="N35" s="182"/>
      <c r="P35" s="182"/>
      <c r="Q35" s="182"/>
      <c r="R35" s="182"/>
      <c r="S35" s="182"/>
      <c r="T35" s="182"/>
      <c r="U35" s="184"/>
    </row>
    <row r="36" spans="1:22" ht="30" hidden="1" x14ac:dyDescent="0.25">
      <c r="A36" s="527">
        <f>A34+1</f>
        <v>24</v>
      </c>
      <c r="B36" s="670" t="s">
        <v>432</v>
      </c>
      <c r="D36" s="680" t="s">
        <v>92</v>
      </c>
      <c r="E36" s="680" t="s">
        <v>433</v>
      </c>
      <c r="F36" s="680" t="s">
        <v>434</v>
      </c>
    </row>
    <row r="37" spans="1:22" hidden="1" x14ac:dyDescent="0.25">
      <c r="A37" s="527">
        <f>A36+1</f>
        <v>25</v>
      </c>
      <c r="B37" t="s">
        <v>199</v>
      </c>
      <c r="D37">
        <v>64</v>
      </c>
      <c r="E37" s="671">
        <f>T11/G11</f>
        <v>1.3158494140967609</v>
      </c>
      <c r="F37" s="672">
        <f>D37*E37</f>
        <v>84.214362502192699</v>
      </c>
    </row>
    <row r="38" spans="1:22" hidden="1" x14ac:dyDescent="0.25">
      <c r="A38" s="527">
        <f t="shared" ref="A38:A40" si="16">A37+1</f>
        <v>26</v>
      </c>
      <c r="B38" t="s">
        <v>114</v>
      </c>
      <c r="D38">
        <v>64</v>
      </c>
      <c r="E38" s="155">
        <f>SUM(T11:U11)/G11</f>
        <v>1.3916764796514556</v>
      </c>
      <c r="F38" s="672">
        <f>D38*E38</f>
        <v>89.067294697693157</v>
      </c>
    </row>
    <row r="39" spans="1:22" ht="15" hidden="1" customHeight="1" x14ac:dyDescent="0.25">
      <c r="A39" s="527">
        <f t="shared" si="16"/>
        <v>27</v>
      </c>
      <c r="B39" t="s">
        <v>435</v>
      </c>
      <c r="F39" s="673">
        <f>F38-F37</f>
        <v>4.8529321955004576</v>
      </c>
    </row>
    <row r="40" spans="1:22" hidden="1" x14ac:dyDescent="0.25">
      <c r="A40" s="527">
        <f t="shared" si="16"/>
        <v>28</v>
      </c>
      <c r="B40" t="s">
        <v>436</v>
      </c>
      <c r="F40" s="674">
        <f>F39/F37</f>
        <v>5.7625944688165294E-2</v>
      </c>
    </row>
    <row r="42" spans="1:22" ht="17.25" x14ac:dyDescent="0.25">
      <c r="B42" t="s">
        <v>282</v>
      </c>
    </row>
    <row r="43" spans="1:22" ht="17.25" x14ac:dyDescent="0.25">
      <c r="B43" t="s">
        <v>431</v>
      </c>
    </row>
  </sheetData>
  <printOptions horizontalCentered="1"/>
  <pageMargins left="0.45" right="0.45" top="0.75" bottom="0.75" header="0.3" footer="0.3"/>
  <pageSetup paperSize="5" scale="56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zoomScale="90" zoomScaleNormal="90" workbookViewId="0">
      <selection activeCell="J37" sqref="J37"/>
    </sheetView>
  </sheetViews>
  <sheetFormatPr defaultColWidth="9.140625" defaultRowHeight="15" x14ac:dyDescent="0.25"/>
  <cols>
    <col min="1" max="1" width="2.140625" style="185" customWidth="1"/>
    <col min="2" max="2" width="2.42578125" style="185" customWidth="1"/>
    <col min="3" max="3" width="34.85546875" style="185" customWidth="1"/>
    <col min="4" max="5" width="11.85546875" style="185" customWidth="1"/>
    <col min="6" max="6" width="2.7109375" style="186" customWidth="1"/>
    <col min="7" max="8" width="11.85546875" style="185" customWidth="1"/>
    <col min="9" max="16384" width="9.140625" style="185"/>
  </cols>
  <sheetData>
    <row r="1" spans="2:8" x14ac:dyDescent="0.25">
      <c r="B1" s="681" t="s">
        <v>12</v>
      </c>
      <c r="C1" s="681"/>
      <c r="D1" s="681"/>
      <c r="E1" s="681"/>
      <c r="F1" s="681"/>
      <c r="G1" s="681"/>
      <c r="H1" s="681"/>
    </row>
    <row r="2" spans="2:8" x14ac:dyDescent="0.25">
      <c r="B2" s="681" t="str">
        <f>'Rate Impacts Sch 129'!A2</f>
        <v>2024 Gas Schedule 129 Low Income Filing</v>
      </c>
      <c r="C2" s="681"/>
      <c r="D2" s="681"/>
      <c r="E2" s="681"/>
      <c r="F2" s="681"/>
      <c r="G2" s="681"/>
      <c r="H2" s="681"/>
    </row>
    <row r="3" spans="2:8" x14ac:dyDescent="0.25">
      <c r="B3" s="219" t="s">
        <v>438</v>
      </c>
      <c r="C3" s="219"/>
      <c r="D3" s="219"/>
      <c r="E3" s="219"/>
      <c r="F3" s="219"/>
      <c r="G3" s="219"/>
      <c r="H3" s="219"/>
    </row>
    <row r="4" spans="2:8" x14ac:dyDescent="0.25">
      <c r="B4" s="219" t="str">
        <f>'Rate Impacts Sch 129'!A4</f>
        <v>Proposed Rates Effective May 1, 2024</v>
      </c>
      <c r="C4" s="219"/>
      <c r="D4" s="219"/>
      <c r="E4" s="219"/>
      <c r="F4" s="219"/>
      <c r="G4" s="219"/>
      <c r="H4" s="219"/>
    </row>
    <row r="6" spans="2:8" x14ac:dyDescent="0.25">
      <c r="G6" s="682" t="s">
        <v>439</v>
      </c>
      <c r="H6" s="682"/>
    </row>
    <row r="7" spans="2:8" x14ac:dyDescent="0.25">
      <c r="D7" s="683" t="s">
        <v>199</v>
      </c>
      <c r="E7" s="683"/>
      <c r="F7" s="684"/>
      <c r="G7" s="683" t="s">
        <v>440</v>
      </c>
      <c r="H7" s="683"/>
    </row>
    <row r="8" spans="2:8" ht="17.25" x14ac:dyDescent="0.25">
      <c r="D8" s="679" t="s">
        <v>441</v>
      </c>
      <c r="E8" s="679" t="s">
        <v>442</v>
      </c>
      <c r="F8" s="685"/>
      <c r="G8" s="679" t="s">
        <v>79</v>
      </c>
      <c r="H8" s="679" t="s">
        <v>442</v>
      </c>
    </row>
    <row r="9" spans="2:8" x14ac:dyDescent="0.25">
      <c r="B9" s="185" t="s">
        <v>443</v>
      </c>
      <c r="D9" s="686">
        <v>64</v>
      </c>
      <c r="E9" s="687"/>
      <c r="F9" s="688"/>
      <c r="G9" s="686">
        <v>64</v>
      </c>
      <c r="H9" s="687"/>
    </row>
    <row r="10" spans="2:8" x14ac:dyDescent="0.25">
      <c r="D10" s="686"/>
      <c r="E10" s="687"/>
      <c r="F10" s="688"/>
      <c r="G10" s="686"/>
      <c r="H10" s="687"/>
    </row>
    <row r="11" spans="2:8" x14ac:dyDescent="0.25">
      <c r="B11" s="185" t="s">
        <v>444</v>
      </c>
      <c r="D11" s="686"/>
      <c r="E11" s="687"/>
      <c r="F11" s="688"/>
      <c r="G11" s="686"/>
      <c r="H11" s="687"/>
    </row>
    <row r="12" spans="2:8" x14ac:dyDescent="0.25">
      <c r="C12" s="185" t="s">
        <v>445</v>
      </c>
      <c r="D12" s="712">
        <v>12.5</v>
      </c>
      <c r="E12" s="687">
        <f>D12</f>
        <v>12.5</v>
      </c>
      <c r="F12" s="690"/>
      <c r="G12" s="691">
        <f>$D$12</f>
        <v>12.5</v>
      </c>
      <c r="H12" s="687">
        <f>G12</f>
        <v>12.5</v>
      </c>
    </row>
    <row r="13" spans="2:8" x14ac:dyDescent="0.25">
      <c r="C13" s="185" t="s">
        <v>1</v>
      </c>
      <c r="D13" s="692">
        <f>SUM(D12:D12)</f>
        <v>12.5</v>
      </c>
      <c r="E13" s="693">
        <f>SUM(E12:E12)</f>
        <v>12.5</v>
      </c>
      <c r="F13" s="690"/>
      <c r="G13" s="693">
        <f>SUM(G12:G12)</f>
        <v>12.5</v>
      </c>
      <c r="H13" s="693">
        <f>SUM(H12:H12)</f>
        <v>12.5</v>
      </c>
    </row>
    <row r="14" spans="2:8" x14ac:dyDescent="0.25">
      <c r="D14" s="694"/>
      <c r="E14" s="695"/>
      <c r="F14" s="690"/>
      <c r="G14" s="695"/>
      <c r="H14" s="695"/>
    </row>
    <row r="15" spans="2:8" x14ac:dyDescent="0.25">
      <c r="C15" s="185" t="s">
        <v>446</v>
      </c>
      <c r="D15" s="689">
        <v>-18.47</v>
      </c>
      <c r="E15" s="687">
        <f>D15</f>
        <v>-18.47</v>
      </c>
      <c r="F15" s="690"/>
      <c r="G15" s="696">
        <f>$D$15</f>
        <v>-18.47</v>
      </c>
      <c r="H15" s="687">
        <f>G15</f>
        <v>-18.47</v>
      </c>
    </row>
    <row r="16" spans="2:8" x14ac:dyDescent="0.25">
      <c r="D16" s="697"/>
      <c r="E16" s="687"/>
      <c r="F16" s="690"/>
      <c r="G16" s="691"/>
      <c r="H16" s="687"/>
    </row>
    <row r="17" spans="2:8" x14ac:dyDescent="0.25">
      <c r="B17" s="185" t="s">
        <v>447</v>
      </c>
      <c r="D17" s="207"/>
      <c r="E17" s="687"/>
      <c r="H17" s="687"/>
    </row>
    <row r="18" spans="2:8" x14ac:dyDescent="0.25">
      <c r="C18" s="185" t="s">
        <v>448</v>
      </c>
      <c r="D18" s="713">
        <v>0.45612999999999998</v>
      </c>
      <c r="E18" s="687"/>
      <c r="F18" s="699"/>
      <c r="G18" s="700">
        <f>$D$18</f>
        <v>0.45612999999999998</v>
      </c>
      <c r="H18" s="687"/>
    </row>
    <row r="19" spans="2:8" x14ac:dyDescent="0.25">
      <c r="C19" s="185" t="s">
        <v>449</v>
      </c>
      <c r="D19" s="713">
        <v>2.8750000000000001E-2</v>
      </c>
      <c r="E19" s="687"/>
      <c r="F19" s="699"/>
      <c r="G19" s="701">
        <f>$D$19</f>
        <v>2.8750000000000001E-2</v>
      </c>
      <c r="H19" s="687"/>
    </row>
    <row r="20" spans="2:8" x14ac:dyDescent="0.25">
      <c r="C20" s="185" t="s">
        <v>450</v>
      </c>
      <c r="D20" s="698">
        <f>'Sch. 129'!E9</f>
        <v>5.4999999999999997E-3</v>
      </c>
      <c r="E20" s="687"/>
      <c r="F20" s="699"/>
      <c r="G20" s="702">
        <f>'Sch. 129'!$F$9</f>
        <v>8.5290000000000005E-2</v>
      </c>
      <c r="H20" s="687"/>
    </row>
    <row r="21" spans="2:8" x14ac:dyDescent="0.25">
      <c r="C21" s="185" t="s">
        <v>451</v>
      </c>
      <c r="D21" s="713">
        <v>1.5959999999999998E-2</v>
      </c>
      <c r="E21" s="687"/>
      <c r="F21" s="699"/>
      <c r="G21" s="703">
        <f>$D$21</f>
        <v>1.5959999999999998E-2</v>
      </c>
      <c r="H21" s="687"/>
    </row>
    <row r="22" spans="2:8" x14ac:dyDescent="0.25">
      <c r="C22" s="185" t="s">
        <v>452</v>
      </c>
      <c r="D22" s="713">
        <v>2.2849999999999999E-2</v>
      </c>
      <c r="E22" s="687"/>
      <c r="F22" s="699"/>
      <c r="G22" s="703">
        <f>$D$22</f>
        <v>2.2849999999999999E-2</v>
      </c>
      <c r="H22" s="687"/>
    </row>
    <row r="23" spans="2:8" x14ac:dyDescent="0.25">
      <c r="C23" s="185" t="s">
        <v>453</v>
      </c>
      <c r="D23" s="713">
        <v>3.15E-3</v>
      </c>
      <c r="E23" s="687"/>
      <c r="F23" s="699"/>
      <c r="G23" s="703">
        <f>$D$23</f>
        <v>3.15E-3</v>
      </c>
      <c r="H23" s="687"/>
    </row>
    <row r="24" spans="2:8" x14ac:dyDescent="0.25">
      <c r="C24" s="185" t="s">
        <v>454</v>
      </c>
      <c r="D24" s="713">
        <v>-4.7999999999999996E-3</v>
      </c>
      <c r="E24" s="687"/>
      <c r="F24" s="699"/>
      <c r="G24" s="703">
        <f>$D$24</f>
        <v>-4.7999999999999996E-3</v>
      </c>
      <c r="H24" s="687"/>
    </row>
    <row r="25" spans="2:8" x14ac:dyDescent="0.25">
      <c r="C25" s="185" t="s">
        <v>455</v>
      </c>
      <c r="D25" s="713">
        <v>7.1179999999999993E-2</v>
      </c>
      <c r="E25" s="687"/>
      <c r="F25" s="699"/>
      <c r="G25" s="703">
        <f>$D$25</f>
        <v>7.1179999999999993E-2</v>
      </c>
      <c r="H25" s="687"/>
    </row>
    <row r="26" spans="2:8" x14ac:dyDescent="0.25">
      <c r="C26" s="185" t="s">
        <v>456</v>
      </c>
      <c r="D26" s="713">
        <v>4.64E-3</v>
      </c>
      <c r="E26" s="687"/>
      <c r="F26" s="699"/>
      <c r="G26" s="703">
        <f>$D$26</f>
        <v>4.64E-3</v>
      </c>
      <c r="H26" s="687"/>
    </row>
    <row r="27" spans="2:8" x14ac:dyDescent="0.25">
      <c r="C27" s="185" t="s">
        <v>1</v>
      </c>
      <c r="D27" s="704">
        <f>SUM(D18:D26)</f>
        <v>0.60336000000000001</v>
      </c>
      <c r="E27" s="687">
        <f>ROUND(D27*D$9,2)</f>
        <v>38.619999999999997</v>
      </c>
      <c r="F27" s="699"/>
      <c r="G27" s="705">
        <f>SUM(G18:G26)</f>
        <v>0.68314999999999992</v>
      </c>
      <c r="H27" s="687">
        <f>ROUND(G27*G$9,2)</f>
        <v>43.72</v>
      </c>
    </row>
    <row r="28" spans="2:8" x14ac:dyDescent="0.25">
      <c r="D28" s="207"/>
    </row>
    <row r="29" spans="2:8" x14ac:dyDescent="0.25">
      <c r="C29" s="185" t="s">
        <v>457</v>
      </c>
      <c r="D29" s="713">
        <v>0.39673999999999998</v>
      </c>
      <c r="E29" s="687">
        <f>ROUND(D29*D$9,2)</f>
        <v>25.39</v>
      </c>
      <c r="F29" s="699"/>
      <c r="G29" s="701">
        <f>$D$29</f>
        <v>0.39673999999999998</v>
      </c>
      <c r="H29" s="687">
        <f>ROUND(G29*G$9,2)</f>
        <v>25.39</v>
      </c>
    </row>
    <row r="30" spans="2:8" x14ac:dyDescent="0.25">
      <c r="D30" s="713"/>
      <c r="E30" s="687"/>
      <c r="F30" s="699"/>
      <c r="G30" s="700"/>
      <c r="H30" s="687"/>
    </row>
    <row r="31" spans="2:8" x14ac:dyDescent="0.25">
      <c r="C31" s="185" t="s">
        <v>458</v>
      </c>
      <c r="D31" s="713">
        <v>0.55610999999999999</v>
      </c>
      <c r="E31" s="687"/>
      <c r="F31" s="699"/>
      <c r="G31" s="703">
        <f>$D$31</f>
        <v>0.55610999999999999</v>
      </c>
      <c r="H31" s="687"/>
    </row>
    <row r="32" spans="2:8" x14ac:dyDescent="0.25">
      <c r="C32" s="185" t="s">
        <v>459</v>
      </c>
      <c r="D32" s="713">
        <v>-0.20172999999999999</v>
      </c>
      <c r="E32" s="687"/>
      <c r="F32" s="699"/>
      <c r="G32" s="703">
        <f>$D$32</f>
        <v>-0.20172999999999999</v>
      </c>
      <c r="H32" s="687"/>
    </row>
    <row r="33" spans="2:8" x14ac:dyDescent="0.25">
      <c r="C33" s="185" t="s">
        <v>1</v>
      </c>
      <c r="D33" s="704">
        <f>SUM(D31:D32)</f>
        <v>0.35438000000000003</v>
      </c>
      <c r="E33" s="687">
        <f>ROUND(D33*D$9,2)</f>
        <v>22.68</v>
      </c>
      <c r="F33" s="699"/>
      <c r="G33" s="705">
        <f>SUM(G31:G32)</f>
        <v>0.35438000000000003</v>
      </c>
      <c r="H33" s="687">
        <f>ROUND(G33*G$9,2)</f>
        <v>22.68</v>
      </c>
    </row>
    <row r="34" spans="2:8" x14ac:dyDescent="0.25">
      <c r="C34" s="185" t="s">
        <v>460</v>
      </c>
      <c r="D34" s="704">
        <f>D27+D29+D33</f>
        <v>1.3544800000000001</v>
      </c>
      <c r="E34" s="706">
        <f>SUM(E27,E29,E33)</f>
        <v>86.69</v>
      </c>
      <c r="F34" s="707"/>
      <c r="G34" s="705">
        <f>G27+G29+G33</f>
        <v>1.4342699999999997</v>
      </c>
      <c r="H34" s="706">
        <f>SUM(H27,H29,H33)</f>
        <v>91.789999999999992</v>
      </c>
    </row>
    <row r="35" spans="2:8" x14ac:dyDescent="0.25">
      <c r="E35" s="687"/>
      <c r="H35" s="687"/>
    </row>
    <row r="36" spans="2:8" x14ac:dyDescent="0.25">
      <c r="B36" s="185" t="s">
        <v>461</v>
      </c>
      <c r="D36" s="691"/>
      <c r="E36" s="687">
        <f>E13+E15+E34</f>
        <v>80.72</v>
      </c>
      <c r="F36" s="695"/>
      <c r="G36" s="691"/>
      <c r="H36" s="687">
        <f>H13+H15+H34</f>
        <v>85.82</v>
      </c>
    </row>
    <row r="37" spans="2:8" x14ac:dyDescent="0.25">
      <c r="B37" s="185" t="s">
        <v>462</v>
      </c>
      <c r="D37" s="691"/>
      <c r="E37" s="687"/>
      <c r="F37" s="695"/>
      <c r="G37" s="691"/>
      <c r="H37" s="687">
        <f>H36-$E36</f>
        <v>5.0999999999999943</v>
      </c>
    </row>
    <row r="38" spans="2:8" x14ac:dyDescent="0.25">
      <c r="B38" s="185" t="s">
        <v>463</v>
      </c>
      <c r="D38" s="187"/>
      <c r="E38" s="187"/>
      <c r="F38" s="708"/>
      <c r="G38" s="187"/>
      <c r="H38" s="709">
        <f>H37/$E36</f>
        <v>6.3181367690782878E-2</v>
      </c>
    </row>
    <row r="39" spans="2:8" x14ac:dyDescent="0.25">
      <c r="E39" s="687"/>
    </row>
    <row r="40" spans="2:8" x14ac:dyDescent="0.25">
      <c r="B40" s="185" t="s">
        <v>464</v>
      </c>
      <c r="D40" s="700">
        <f>D27+D29</f>
        <v>1.0001</v>
      </c>
      <c r="E40" s="687"/>
      <c r="F40" s="707"/>
      <c r="G40" s="700">
        <f>G27+G29</f>
        <v>1.0798899999999998</v>
      </c>
    </row>
    <row r="42" spans="2:8" ht="17.25" x14ac:dyDescent="0.25">
      <c r="B42" s="710" t="s">
        <v>465</v>
      </c>
      <c r="D42" s="710"/>
      <c r="E42" s="710"/>
      <c r="F42" s="711"/>
      <c r="G42" s="711"/>
      <c r="H42" s="711"/>
    </row>
    <row r="47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workbookViewId="0">
      <pane ySplit="8" topLeftCell="A9" activePane="bottomLeft" state="frozen"/>
      <selection activeCell="F9" sqref="F9"/>
      <selection pane="bottomLeft" activeCell="I17" sqref="I17"/>
    </sheetView>
  </sheetViews>
  <sheetFormatPr defaultColWidth="9.140625" defaultRowHeight="15" x14ac:dyDescent="0.25"/>
  <cols>
    <col min="1" max="1" width="3.5703125" style="185" customWidth="1"/>
    <col min="2" max="2" width="19.85546875" style="185" customWidth="1"/>
    <col min="3" max="3" width="8.7109375" style="185" bestFit="1" customWidth="1"/>
    <col min="4" max="4" width="18.5703125" style="185" bestFit="1" customWidth="1"/>
    <col min="5" max="5" width="13.7109375" style="185" customWidth="1"/>
    <col min="6" max="6" width="13.7109375" style="207" customWidth="1"/>
    <col min="7" max="9" width="14.42578125" style="185" customWidth="1"/>
    <col min="10" max="10" width="8.28515625" style="185" customWidth="1"/>
    <col min="11" max="11" width="11.85546875" style="185" bestFit="1" customWidth="1"/>
    <col min="12" max="12" width="11.28515625" style="185" bestFit="1" customWidth="1"/>
    <col min="13" max="13" width="10.5703125" style="185" customWidth="1"/>
    <col min="14" max="16384" width="9.140625" style="185"/>
  </cols>
  <sheetData>
    <row r="1" spans="1:10" ht="15" customHeight="1" x14ac:dyDescent="0.25">
      <c r="A1" s="715" t="s">
        <v>12</v>
      </c>
      <c r="B1" s="715"/>
      <c r="C1" s="715"/>
      <c r="D1" s="715"/>
      <c r="E1" s="715"/>
      <c r="F1" s="715"/>
      <c r="G1" s="715"/>
      <c r="H1" s="715"/>
      <c r="I1" s="715"/>
      <c r="J1" s="715"/>
    </row>
    <row r="2" spans="1:10" ht="15" customHeight="1" x14ac:dyDescent="0.25">
      <c r="A2" s="715" t="s">
        <v>303</v>
      </c>
      <c r="B2" s="715"/>
      <c r="C2" s="715"/>
      <c r="D2" s="715"/>
      <c r="E2" s="715"/>
      <c r="F2" s="715"/>
      <c r="G2" s="715"/>
      <c r="H2" s="715"/>
      <c r="I2" s="715"/>
      <c r="J2" s="715"/>
    </row>
    <row r="3" spans="1:10" ht="15" customHeight="1" x14ac:dyDescent="0.25">
      <c r="A3" s="715" t="s">
        <v>304</v>
      </c>
      <c r="B3" s="715"/>
      <c r="C3" s="715"/>
      <c r="D3" s="715"/>
      <c r="E3" s="715"/>
      <c r="F3" s="715"/>
      <c r="G3" s="715"/>
      <c r="H3" s="715"/>
      <c r="I3" s="715"/>
      <c r="J3" s="715"/>
    </row>
    <row r="4" spans="1:10" ht="15" customHeight="1" x14ac:dyDescent="0.25">
      <c r="A4" s="716" t="s">
        <v>427</v>
      </c>
      <c r="B4" s="716"/>
      <c r="C4" s="716"/>
      <c r="D4" s="716"/>
      <c r="E4" s="716"/>
      <c r="F4" s="716"/>
      <c r="G4" s="716"/>
      <c r="H4" s="716"/>
      <c r="I4" s="716"/>
      <c r="J4" s="716"/>
    </row>
    <row r="6" spans="1:10" x14ac:dyDescent="0.25">
      <c r="D6" s="188" t="s">
        <v>59</v>
      </c>
      <c r="E6" s="526"/>
      <c r="F6" s="217"/>
      <c r="G6" s="526" t="s">
        <v>168</v>
      </c>
      <c r="H6" s="526" t="s">
        <v>168</v>
      </c>
      <c r="I6" s="526" t="s">
        <v>305</v>
      </c>
    </row>
    <row r="7" spans="1:10" x14ac:dyDescent="0.25">
      <c r="C7" s="526" t="s">
        <v>11</v>
      </c>
      <c r="D7" s="188" t="s">
        <v>200</v>
      </c>
      <c r="E7" s="526" t="s">
        <v>83</v>
      </c>
      <c r="F7" s="217" t="s">
        <v>26</v>
      </c>
      <c r="G7" s="526" t="s">
        <v>6</v>
      </c>
      <c r="H7" s="526" t="s">
        <v>6</v>
      </c>
      <c r="I7" s="526" t="s">
        <v>6</v>
      </c>
      <c r="J7" s="188" t="s">
        <v>70</v>
      </c>
    </row>
    <row r="8" spans="1:10" x14ac:dyDescent="0.25">
      <c r="A8" s="717" t="s">
        <v>25</v>
      </c>
      <c r="B8" s="717"/>
      <c r="C8" s="679" t="s">
        <v>7</v>
      </c>
      <c r="D8" s="668" t="s">
        <v>466</v>
      </c>
      <c r="E8" s="679" t="s">
        <v>201</v>
      </c>
      <c r="F8" s="191" t="s">
        <v>11</v>
      </c>
      <c r="G8" s="679" t="s">
        <v>199</v>
      </c>
      <c r="H8" s="679" t="s">
        <v>114</v>
      </c>
      <c r="I8" s="679" t="s">
        <v>71</v>
      </c>
      <c r="J8" s="150" t="s">
        <v>71</v>
      </c>
    </row>
    <row r="9" spans="1:10" x14ac:dyDescent="0.25">
      <c r="A9" s="185" t="s">
        <v>5</v>
      </c>
      <c r="C9" s="526" t="s">
        <v>24</v>
      </c>
      <c r="D9" s="669">
        <f>Rates!$E$10</f>
        <v>86971830.005645901</v>
      </c>
      <c r="E9" s="192">
        <v>5.4999999999999997E-3</v>
      </c>
      <c r="F9" s="215">
        <f>'Rates Summary'!$G$11</f>
        <v>8.5290000000000005E-2</v>
      </c>
      <c r="G9" s="190">
        <f>D9*(E9)</f>
        <v>478345.06503105245</v>
      </c>
      <c r="H9" s="190">
        <f>D9*(F9)</f>
        <v>7417827.381181539</v>
      </c>
      <c r="I9" s="193">
        <f>H9-G9</f>
        <v>6939482.3161504865</v>
      </c>
      <c r="J9" s="187">
        <f>IF(G9=0,0,I9/G9)</f>
        <v>14.507272727272728</v>
      </c>
    </row>
    <row r="10" spans="1:10" x14ac:dyDescent="0.25">
      <c r="C10" s="526"/>
      <c r="D10" s="669"/>
      <c r="E10" s="192"/>
      <c r="F10" s="215"/>
      <c r="G10" s="190"/>
      <c r="H10" s="190"/>
      <c r="I10" s="193"/>
    </row>
    <row r="11" spans="1:10" x14ac:dyDescent="0.25">
      <c r="A11" s="185" t="s">
        <v>23</v>
      </c>
      <c r="C11" s="526">
        <v>31</v>
      </c>
      <c r="D11" s="675">
        <f>SUM('Weather Adj. Volumes'!$H$182:$L$182)</f>
        <v>47645091.267523915</v>
      </c>
      <c r="E11" s="192">
        <v>4.7200000000000002E-3</v>
      </c>
      <c r="F11" s="215">
        <f>'Rates Summary'!$G$13</f>
        <v>5.6140000000000002E-2</v>
      </c>
      <c r="G11" s="190">
        <f>D11*(E11)</f>
        <v>224884.83078271287</v>
      </c>
      <c r="H11" s="190">
        <f>D11*(F11)</f>
        <v>2674795.4237587927</v>
      </c>
      <c r="I11" s="193">
        <f t="shared" ref="I11:I47" si="0">H11-G11</f>
        <v>2449910.5929760798</v>
      </c>
      <c r="J11" s="187">
        <f t="shared" ref="J11:J12" si="1">IF(G11=0,0,I11/G11)</f>
        <v>10.89406779661017</v>
      </c>
    </row>
    <row r="12" spans="1:10" x14ac:dyDescent="0.25">
      <c r="A12" s="185" t="s">
        <v>23</v>
      </c>
      <c r="C12" s="526" t="s">
        <v>190</v>
      </c>
      <c r="D12" s="675">
        <f>SUM('Weather Adj. Volumes'!$H$189:$L$189)</f>
        <v>0</v>
      </c>
      <c r="E12" s="192">
        <v>4.7200000000000002E-3</v>
      </c>
      <c r="F12" s="215">
        <f>'Rates Summary'!$G$13</f>
        <v>5.6140000000000002E-2</v>
      </c>
      <c r="G12" s="190">
        <f>D12*(E12)</f>
        <v>0</v>
      </c>
      <c r="H12" s="190">
        <f>D12*(F12)</f>
        <v>0</v>
      </c>
      <c r="I12" s="193">
        <f t="shared" si="0"/>
        <v>0</v>
      </c>
      <c r="J12" s="187">
        <f t="shared" si="1"/>
        <v>0</v>
      </c>
    </row>
    <row r="13" spans="1:10" x14ac:dyDescent="0.25">
      <c r="C13" s="526"/>
      <c r="D13" s="669"/>
      <c r="E13" s="192"/>
      <c r="F13" s="215"/>
      <c r="G13" s="190"/>
      <c r="H13" s="190"/>
      <c r="I13" s="193"/>
    </row>
    <row r="14" spans="1:10" x14ac:dyDescent="0.25">
      <c r="A14" s="185" t="s">
        <v>22</v>
      </c>
      <c r="C14" s="526">
        <v>41</v>
      </c>
      <c r="D14" s="675">
        <f>SUM('Weather Adj. Volumes'!$H$183:$L$183)</f>
        <v>17490515.190825112</v>
      </c>
      <c r="E14" s="192">
        <v>2.31E-3</v>
      </c>
      <c r="F14" s="215">
        <f>'Rates Summary'!$G$15</f>
        <v>2.145E-2</v>
      </c>
      <c r="G14" s="190">
        <f>D14*(E14)</f>
        <v>40403.090090806007</v>
      </c>
      <c r="H14" s="190">
        <f>D14*(F14)</f>
        <v>375171.55084319867</v>
      </c>
      <c r="I14" s="193">
        <f t="shared" si="0"/>
        <v>334768.46075239265</v>
      </c>
      <c r="J14" s="187">
        <f t="shared" ref="J14:J15" si="2">IF(G14=0,0,I14/G14)</f>
        <v>8.2857142857142865</v>
      </c>
    </row>
    <row r="15" spans="1:10" x14ac:dyDescent="0.25">
      <c r="A15" s="185" t="s">
        <v>22</v>
      </c>
      <c r="C15" s="526" t="s">
        <v>192</v>
      </c>
      <c r="D15" s="676">
        <f>SUM('Weather Adj. Volumes'!$H$190:$L$190)</f>
        <v>6439228.4032325</v>
      </c>
      <c r="E15" s="192">
        <v>2.31E-3</v>
      </c>
      <c r="F15" s="215">
        <f>'Rates Summary'!$G$15</f>
        <v>2.145E-2</v>
      </c>
      <c r="G15" s="190">
        <f>D15*(E15)</f>
        <v>14874.617611467074</v>
      </c>
      <c r="H15" s="190">
        <f>D15*(F15)</f>
        <v>138121.44924933714</v>
      </c>
      <c r="I15" s="193">
        <f t="shared" si="0"/>
        <v>123246.83163787005</v>
      </c>
      <c r="J15" s="187">
        <f t="shared" si="2"/>
        <v>8.2857142857142865</v>
      </c>
    </row>
    <row r="16" spans="1:10" x14ac:dyDescent="0.25">
      <c r="C16" s="526"/>
      <c r="D16" s="194"/>
      <c r="E16" s="192"/>
      <c r="F16" s="215"/>
      <c r="G16" s="190"/>
      <c r="H16" s="190"/>
      <c r="I16" s="193"/>
    </row>
    <row r="17" spans="1:10" x14ac:dyDescent="0.25">
      <c r="A17" s="185" t="s">
        <v>4</v>
      </c>
      <c r="C17" s="526">
        <v>85</v>
      </c>
      <c r="D17" s="677"/>
      <c r="E17" s="192"/>
      <c r="F17" s="215"/>
      <c r="G17" s="190"/>
      <c r="H17" s="190"/>
      <c r="I17" s="193"/>
    </row>
    <row r="18" spans="1:10" x14ac:dyDescent="0.25">
      <c r="B18" s="185" t="s">
        <v>18</v>
      </c>
      <c r="C18" s="526"/>
      <c r="D18" s="677">
        <f>Rates!E17</f>
        <v>3240035.1141590416</v>
      </c>
      <c r="E18" s="195">
        <v>1.66E-3</v>
      </c>
      <c r="F18" s="216">
        <f>'Rates Summary'!G18</f>
        <v>1.23E-2</v>
      </c>
      <c r="G18" s="190">
        <f t="shared" ref="G18:G47" si="3">D18*(E18)</f>
        <v>5378.4582895040094</v>
      </c>
      <c r="H18" s="190">
        <f t="shared" ref="H18:H47" si="4">D18*(F18)</f>
        <v>39852.431904156212</v>
      </c>
      <c r="I18" s="193">
        <f t="shared" si="0"/>
        <v>34473.973614652205</v>
      </c>
      <c r="J18" s="187">
        <f t="shared" ref="J18:J21" si="5">IF(G18=0,0,I18/G18)</f>
        <v>6.4096385542168672</v>
      </c>
    </row>
    <row r="19" spans="1:10" x14ac:dyDescent="0.25">
      <c r="B19" s="185" t="s">
        <v>17</v>
      </c>
      <c r="C19" s="526"/>
      <c r="D19" s="677">
        <f>Rates!E18</f>
        <v>1619927.5722365452</v>
      </c>
      <c r="E19" s="195">
        <v>1.01E-3</v>
      </c>
      <c r="F19" s="216">
        <f>'Rates Summary'!G19</f>
        <v>7.4999999999999997E-3</v>
      </c>
      <c r="G19" s="190">
        <f t="shared" si="3"/>
        <v>1636.1268479589107</v>
      </c>
      <c r="H19" s="190">
        <f t="shared" si="4"/>
        <v>12149.456791774088</v>
      </c>
      <c r="I19" s="193">
        <f t="shared" si="0"/>
        <v>10513.329943815177</v>
      </c>
      <c r="J19" s="187">
        <f t="shared" si="5"/>
        <v>6.4257425742574243</v>
      </c>
    </row>
    <row r="20" spans="1:10" x14ac:dyDescent="0.25">
      <c r="B20" s="185" t="s">
        <v>21</v>
      </c>
      <c r="C20" s="526"/>
      <c r="D20" s="677">
        <f>Rates!E19</f>
        <v>2051653.4470325604</v>
      </c>
      <c r="E20" s="195">
        <v>5.5000000000000003E-4</v>
      </c>
      <c r="F20" s="216">
        <f>'Rates Summary'!G20</f>
        <v>4.3400000000000001E-3</v>
      </c>
      <c r="G20" s="190">
        <f t="shared" si="3"/>
        <v>1128.4093958679082</v>
      </c>
      <c r="H20" s="190">
        <f t="shared" si="4"/>
        <v>8904.1759601213125</v>
      </c>
      <c r="I20" s="193">
        <f t="shared" si="0"/>
        <v>7775.7665642534048</v>
      </c>
      <c r="J20" s="666">
        <f t="shared" si="5"/>
        <v>6.8909090909090915</v>
      </c>
    </row>
    <row r="21" spans="1:10" x14ac:dyDescent="0.25">
      <c r="B21" s="185" t="s">
        <v>0</v>
      </c>
      <c r="C21" s="526"/>
      <c r="D21" s="196">
        <f>SUM(D18:D20)</f>
        <v>6911616.1334281471</v>
      </c>
      <c r="E21" s="192"/>
      <c r="F21" s="215"/>
      <c r="G21" s="197">
        <f>SUM(G18:G20)</f>
        <v>8142.9945333308278</v>
      </c>
      <c r="H21" s="197">
        <f t="shared" ref="H21:I21" si="6">SUM(H18:H20)</f>
        <v>60906.064656051611</v>
      </c>
      <c r="I21" s="197">
        <f t="shared" si="6"/>
        <v>52763.070122720783</v>
      </c>
      <c r="J21" s="187">
        <f t="shared" si="5"/>
        <v>6.4795659516596116</v>
      </c>
    </row>
    <row r="22" spans="1:10" x14ac:dyDescent="0.25">
      <c r="C22" s="526"/>
      <c r="D22" s="194"/>
      <c r="E22" s="192"/>
      <c r="F22" s="215"/>
      <c r="G22" s="190"/>
      <c r="H22" s="190"/>
      <c r="I22" s="193"/>
    </row>
    <row r="23" spans="1:10" x14ac:dyDescent="0.25">
      <c r="A23" s="185" t="s">
        <v>4</v>
      </c>
      <c r="C23" s="526">
        <v>86</v>
      </c>
      <c r="D23" s="675">
        <f>SUM('Weather Adj. Volumes'!$H$187:$L$187)</f>
        <v>1166062.0344567748</v>
      </c>
      <c r="E23" s="192">
        <v>1.7099999999999999E-3</v>
      </c>
      <c r="F23" s="215">
        <f>'Rates Summary'!$G$23</f>
        <v>1.7219999999999999E-2</v>
      </c>
      <c r="G23" s="190">
        <f t="shared" si="3"/>
        <v>1993.9660789210848</v>
      </c>
      <c r="H23" s="190">
        <f t="shared" si="4"/>
        <v>20079.588233345661</v>
      </c>
      <c r="I23" s="193">
        <f t="shared" si="0"/>
        <v>18085.622154424578</v>
      </c>
      <c r="J23" s="187">
        <f t="shared" ref="J23:J24" si="7">IF(G23=0,0,I23/G23)</f>
        <v>9.0701754385964932</v>
      </c>
    </row>
    <row r="24" spans="1:10" x14ac:dyDescent="0.25">
      <c r="A24" s="185" t="s">
        <v>4</v>
      </c>
      <c r="C24" s="526" t="s">
        <v>195</v>
      </c>
      <c r="D24" s="676">
        <f>SUM('Weather Adj. Volumes'!$H$192:$L$192)</f>
        <v>650472.57000000007</v>
      </c>
      <c r="E24" s="192">
        <v>1.7099999999999999E-3</v>
      </c>
      <c r="F24" s="215">
        <f>'Rates Summary'!$G$23</f>
        <v>1.7219999999999999E-2</v>
      </c>
      <c r="G24" s="190">
        <f t="shared" si="3"/>
        <v>1112.3080947000001</v>
      </c>
      <c r="H24" s="190">
        <f t="shared" si="4"/>
        <v>11201.1376554</v>
      </c>
      <c r="I24" s="193">
        <f t="shared" si="0"/>
        <v>10088.8295607</v>
      </c>
      <c r="J24" s="187">
        <f t="shared" si="7"/>
        <v>9.0701754385964897</v>
      </c>
    </row>
    <row r="25" spans="1:10" x14ac:dyDescent="0.25">
      <c r="C25" s="526"/>
      <c r="D25" s="194"/>
      <c r="E25" s="192"/>
      <c r="F25" s="215"/>
      <c r="G25" s="190"/>
      <c r="H25" s="190"/>
      <c r="I25" s="193"/>
    </row>
    <row r="26" spans="1:10" x14ac:dyDescent="0.25">
      <c r="A26" s="185" t="s">
        <v>4</v>
      </c>
      <c r="C26" s="526">
        <v>87</v>
      </c>
      <c r="D26" s="194"/>
      <c r="E26" s="192"/>
      <c r="F26" s="215"/>
      <c r="G26" s="190"/>
      <c r="H26" s="190"/>
      <c r="I26" s="193"/>
    </row>
    <row r="27" spans="1:10" x14ac:dyDescent="0.25">
      <c r="B27" s="185" t="s">
        <v>18</v>
      </c>
      <c r="C27" s="526"/>
      <c r="D27" s="677">
        <f>Rates!E25</f>
        <v>311656.14077232109</v>
      </c>
      <c r="E27" s="195">
        <v>1.66E-3</v>
      </c>
      <c r="F27" s="216">
        <f>'Rates Summary'!G26</f>
        <v>1.23E-2</v>
      </c>
      <c r="G27" s="190">
        <f t="shared" si="3"/>
        <v>517.34919368205306</v>
      </c>
      <c r="H27" s="190">
        <f t="shared" si="4"/>
        <v>3833.3705314995495</v>
      </c>
      <c r="I27" s="193">
        <f t="shared" si="0"/>
        <v>3316.0213378174967</v>
      </c>
      <c r="J27" s="187">
        <f t="shared" ref="J27:J33" si="8">IF(G27=0,0,I27/G27)</f>
        <v>6.4096385542168672</v>
      </c>
    </row>
    <row r="28" spans="1:10" x14ac:dyDescent="0.25">
      <c r="B28" s="185" t="s">
        <v>17</v>
      </c>
      <c r="C28" s="526"/>
      <c r="D28" s="677">
        <f>Rates!E26</f>
        <v>311656.14077232109</v>
      </c>
      <c r="E28" s="195">
        <v>1.01E-3</v>
      </c>
      <c r="F28" s="216">
        <f>'Rates Summary'!G27</f>
        <v>7.4999999999999997E-3</v>
      </c>
      <c r="G28" s="190">
        <f t="shared" si="3"/>
        <v>314.77270218004429</v>
      </c>
      <c r="H28" s="190">
        <f t="shared" si="4"/>
        <v>2337.421055792408</v>
      </c>
      <c r="I28" s="193">
        <f t="shared" si="0"/>
        <v>2022.6483536123637</v>
      </c>
      <c r="J28" s="187">
        <f t="shared" si="8"/>
        <v>6.4257425742574252</v>
      </c>
    </row>
    <row r="29" spans="1:10" x14ac:dyDescent="0.25">
      <c r="B29" s="185" t="s">
        <v>16</v>
      </c>
      <c r="C29" s="526"/>
      <c r="D29" s="677">
        <f>Rates!E27</f>
        <v>527807.75045409054</v>
      </c>
      <c r="E29" s="195">
        <v>6.6E-4</v>
      </c>
      <c r="F29" s="216">
        <f>'Rates Summary'!G28</f>
        <v>4.8500000000000001E-3</v>
      </c>
      <c r="G29" s="190">
        <f t="shared" si="3"/>
        <v>348.35311529969977</v>
      </c>
      <c r="H29" s="190">
        <f t="shared" si="4"/>
        <v>2559.867589702339</v>
      </c>
      <c r="I29" s="193">
        <f t="shared" si="0"/>
        <v>2211.5144744026393</v>
      </c>
      <c r="J29" s="187">
        <f t="shared" si="8"/>
        <v>6.3484848484848477</v>
      </c>
    </row>
    <row r="30" spans="1:10" x14ac:dyDescent="0.25">
      <c r="B30" s="185" t="s">
        <v>15</v>
      </c>
      <c r="C30" s="526"/>
      <c r="D30" s="677">
        <f>Rates!E28</f>
        <v>389707.92797962273</v>
      </c>
      <c r="E30" s="195">
        <v>4.2999999999999999E-4</v>
      </c>
      <c r="F30" s="216">
        <f>'Rates Summary'!G29</f>
        <v>3.1699999999999996E-3</v>
      </c>
      <c r="G30" s="190">
        <f t="shared" si="3"/>
        <v>167.57440903123776</v>
      </c>
      <c r="H30" s="190">
        <f t="shared" si="4"/>
        <v>1235.374131695404</v>
      </c>
      <c r="I30" s="193">
        <f t="shared" si="0"/>
        <v>1067.7997226641662</v>
      </c>
      <c r="J30" s="187">
        <f t="shared" si="8"/>
        <v>6.3720930232558137</v>
      </c>
    </row>
    <row r="31" spans="1:10" x14ac:dyDescent="0.25">
      <c r="B31" s="185" t="s">
        <v>14</v>
      </c>
      <c r="C31" s="526"/>
      <c r="D31" s="677">
        <f>Rates!E29</f>
        <v>934968.42231696332</v>
      </c>
      <c r="E31" s="195">
        <v>3.2000000000000003E-4</v>
      </c>
      <c r="F31" s="216">
        <f>'Rates Summary'!G30</f>
        <v>2.3400000000000001E-3</v>
      </c>
      <c r="G31" s="190">
        <f t="shared" si="3"/>
        <v>299.18989514142828</v>
      </c>
      <c r="H31" s="190">
        <f t="shared" si="4"/>
        <v>2187.8261082216941</v>
      </c>
      <c r="I31" s="193">
        <f t="shared" si="0"/>
        <v>1888.6362130802659</v>
      </c>
      <c r="J31" s="187">
        <f t="shared" si="8"/>
        <v>6.3124999999999991</v>
      </c>
    </row>
    <row r="32" spans="1:10" x14ac:dyDescent="0.25">
      <c r="B32" s="185" t="s">
        <v>19</v>
      </c>
      <c r="C32" s="526"/>
      <c r="D32" s="677">
        <f>Rates!E30</f>
        <v>862444.791734681</v>
      </c>
      <c r="E32" s="195">
        <v>2.1000000000000001E-4</v>
      </c>
      <c r="F32" s="216">
        <f>'Rates Summary'!G31</f>
        <v>1.48E-3</v>
      </c>
      <c r="G32" s="190">
        <f t="shared" si="3"/>
        <v>181.11340626428301</v>
      </c>
      <c r="H32" s="190">
        <f t="shared" si="4"/>
        <v>1276.4182917673279</v>
      </c>
      <c r="I32" s="193">
        <f t="shared" si="0"/>
        <v>1095.3048855030449</v>
      </c>
      <c r="J32" s="666">
        <f t="shared" si="8"/>
        <v>6.0476190476190474</v>
      </c>
    </row>
    <row r="33" spans="1:10" x14ac:dyDescent="0.25">
      <c r="B33" s="185" t="s">
        <v>0</v>
      </c>
      <c r="C33" s="526"/>
      <c r="D33" s="196">
        <f>SUM(D27:D32)</f>
        <v>3338241.1740299999</v>
      </c>
      <c r="E33" s="192"/>
      <c r="F33" s="215"/>
      <c r="G33" s="197">
        <f>SUM(G27:G32)</f>
        <v>1828.352721598746</v>
      </c>
      <c r="H33" s="197">
        <f t="shared" ref="H33:I33" si="9">SUM(H27:H32)</f>
        <v>13430.277708678723</v>
      </c>
      <c r="I33" s="197">
        <f t="shared" si="9"/>
        <v>11601.924987079978</v>
      </c>
      <c r="J33" s="187">
        <f t="shared" si="8"/>
        <v>6.345561690599304</v>
      </c>
    </row>
    <row r="34" spans="1:10" x14ac:dyDescent="0.25">
      <c r="C34" s="526"/>
      <c r="D34" s="198"/>
      <c r="E34" s="192"/>
      <c r="F34" s="215"/>
      <c r="G34" s="190"/>
      <c r="H34" s="190"/>
      <c r="I34" s="193"/>
      <c r="J34" s="199"/>
    </row>
    <row r="35" spans="1:10" x14ac:dyDescent="0.25">
      <c r="A35" s="185" t="s">
        <v>20</v>
      </c>
      <c r="C35" s="526" t="s">
        <v>3</v>
      </c>
      <c r="D35" s="198"/>
      <c r="E35" s="192"/>
      <c r="F35" s="215"/>
      <c r="G35" s="190"/>
      <c r="H35" s="190"/>
      <c r="I35" s="193"/>
      <c r="J35" s="199"/>
    </row>
    <row r="36" spans="1:10" x14ac:dyDescent="0.25">
      <c r="B36" s="185" t="s">
        <v>18</v>
      </c>
      <c r="C36" s="526"/>
      <c r="D36" s="678">
        <f>Rates!E34</f>
        <v>7953164.23415446</v>
      </c>
      <c r="E36" s="195">
        <v>1.66E-3</v>
      </c>
      <c r="F36" s="216">
        <f>'Rates Summary'!G35</f>
        <v>1.23E-2</v>
      </c>
      <c r="G36" s="190">
        <f t="shared" si="3"/>
        <v>13202.252628696404</v>
      </c>
      <c r="H36" s="190">
        <f t="shared" si="4"/>
        <v>97823.920080099866</v>
      </c>
      <c r="I36" s="193">
        <f t="shared" si="0"/>
        <v>84621.667451403468</v>
      </c>
      <c r="J36" s="187">
        <f t="shared" ref="J36:J39" si="10">IF(G36=0,0,I36/G36)</f>
        <v>6.4096385542168681</v>
      </c>
    </row>
    <row r="37" spans="1:10" x14ac:dyDescent="0.25">
      <c r="B37" s="185" t="s">
        <v>17</v>
      </c>
      <c r="C37" s="526"/>
      <c r="D37" s="678">
        <f>Rates!E35</f>
        <v>5090866.5379488673</v>
      </c>
      <c r="E37" s="195">
        <v>1.01E-3</v>
      </c>
      <c r="F37" s="216">
        <f>'Rates Summary'!G36</f>
        <v>7.4999999999999997E-3</v>
      </c>
      <c r="G37" s="190">
        <f t="shared" si="3"/>
        <v>5141.7752033283559</v>
      </c>
      <c r="H37" s="190">
        <f t="shared" si="4"/>
        <v>38181.499034616507</v>
      </c>
      <c r="I37" s="193">
        <f t="shared" si="0"/>
        <v>33039.723831288153</v>
      </c>
      <c r="J37" s="187">
        <f t="shared" si="10"/>
        <v>6.425742574257427</v>
      </c>
    </row>
    <row r="38" spans="1:10" x14ac:dyDescent="0.25">
      <c r="B38" s="185" t="s">
        <v>21</v>
      </c>
      <c r="C38" s="526"/>
      <c r="D38" s="678">
        <f>Rates!E36</f>
        <v>6309022.298892674</v>
      </c>
      <c r="E38" s="195">
        <v>5.5000000000000003E-4</v>
      </c>
      <c r="F38" s="216">
        <f>'Rates Summary'!G37</f>
        <v>4.3400000000000001E-3</v>
      </c>
      <c r="G38" s="190">
        <f t="shared" si="3"/>
        <v>3469.9622643909711</v>
      </c>
      <c r="H38" s="190">
        <f t="shared" si="4"/>
        <v>27381.156777194206</v>
      </c>
      <c r="I38" s="193">
        <f t="shared" si="0"/>
        <v>23911.194512803235</v>
      </c>
      <c r="J38" s="666">
        <f t="shared" si="10"/>
        <v>6.8909090909090907</v>
      </c>
    </row>
    <row r="39" spans="1:10" x14ac:dyDescent="0.25">
      <c r="B39" s="185" t="s">
        <v>0</v>
      </c>
      <c r="C39" s="526"/>
      <c r="D39" s="196">
        <f>SUM(D36:D38)</f>
        <v>19353053.070996001</v>
      </c>
      <c r="E39" s="192"/>
      <c r="F39" s="215"/>
      <c r="G39" s="197">
        <f>SUM(G36:G38)</f>
        <v>21813.990096415731</v>
      </c>
      <c r="H39" s="197">
        <f t="shared" ref="H39:I39" si="11">SUM(H36:H38)</f>
        <v>163386.57589191059</v>
      </c>
      <c r="I39" s="197">
        <f t="shared" si="11"/>
        <v>141572.58579549484</v>
      </c>
      <c r="J39" s="187">
        <f t="shared" si="10"/>
        <v>6.4899903763482829</v>
      </c>
    </row>
    <row r="40" spans="1:10" x14ac:dyDescent="0.25">
      <c r="C40" s="526"/>
      <c r="D40" s="198"/>
      <c r="E40" s="192"/>
      <c r="F40" s="215"/>
      <c r="G40" s="190"/>
      <c r="H40" s="190"/>
      <c r="I40" s="193"/>
      <c r="J40" s="199"/>
    </row>
    <row r="41" spans="1:10" x14ac:dyDescent="0.25">
      <c r="A41" s="185" t="s">
        <v>20</v>
      </c>
      <c r="C41" s="526" t="s">
        <v>2</v>
      </c>
      <c r="D41" s="198"/>
      <c r="E41" s="192"/>
      <c r="F41" s="215"/>
      <c r="G41" s="190"/>
      <c r="H41" s="190"/>
      <c r="I41" s="193"/>
    </row>
    <row r="42" spans="1:10" x14ac:dyDescent="0.25">
      <c r="B42" s="185" t="s">
        <v>18</v>
      </c>
      <c r="C42" s="526"/>
      <c r="D42" s="678">
        <f>Rates!E40</f>
        <v>1197539.0628928684</v>
      </c>
      <c r="E42" s="195">
        <v>1.66E-3</v>
      </c>
      <c r="F42" s="216">
        <f>'Rates Summary'!G41</f>
        <v>1.23E-2</v>
      </c>
      <c r="G42" s="190">
        <f t="shared" si="3"/>
        <v>1987.9148444021616</v>
      </c>
      <c r="H42" s="190">
        <f t="shared" si="4"/>
        <v>14729.730473582282</v>
      </c>
      <c r="I42" s="193">
        <f t="shared" si="0"/>
        <v>12741.815629180121</v>
      </c>
      <c r="J42" s="187">
        <f t="shared" ref="J42:J48" si="12">IF(G42=0,0,I42/G42)</f>
        <v>6.4096385542168672</v>
      </c>
    </row>
    <row r="43" spans="1:10" x14ac:dyDescent="0.25">
      <c r="B43" s="185" t="s">
        <v>17</v>
      </c>
      <c r="C43" s="526"/>
      <c r="D43" s="678">
        <f>Rates!E41</f>
        <v>1197539.0628928684</v>
      </c>
      <c r="E43" s="195">
        <v>1.01E-3</v>
      </c>
      <c r="F43" s="216">
        <f>'Rates Summary'!G42</f>
        <v>7.4999999999999997E-3</v>
      </c>
      <c r="G43" s="190">
        <f t="shared" si="3"/>
        <v>1209.5144535217971</v>
      </c>
      <c r="H43" s="190">
        <f t="shared" si="4"/>
        <v>8981.5429716965136</v>
      </c>
      <c r="I43" s="193">
        <f t="shared" si="0"/>
        <v>7772.0285181747167</v>
      </c>
      <c r="J43" s="187">
        <f t="shared" si="12"/>
        <v>6.4257425742574261</v>
      </c>
    </row>
    <row r="44" spans="1:10" x14ac:dyDescent="0.25">
      <c r="B44" s="185" t="s">
        <v>16</v>
      </c>
      <c r="C44" s="526"/>
      <c r="D44" s="678">
        <f>Rates!E42</f>
        <v>2395078.1257857368</v>
      </c>
      <c r="E44" s="195">
        <v>6.6E-4</v>
      </c>
      <c r="F44" s="216">
        <f>'Rates Summary'!G43</f>
        <v>4.8500000000000001E-3</v>
      </c>
      <c r="G44" s="190">
        <f t="shared" si="3"/>
        <v>1580.7515630185862</v>
      </c>
      <c r="H44" s="190">
        <f t="shared" si="4"/>
        <v>11616.128910060825</v>
      </c>
      <c r="I44" s="193">
        <f t="shared" si="0"/>
        <v>10035.377347042238</v>
      </c>
      <c r="J44" s="187">
        <f t="shared" si="12"/>
        <v>6.3484848484848495</v>
      </c>
    </row>
    <row r="45" spans="1:10" x14ac:dyDescent="0.25">
      <c r="B45" s="185" t="s">
        <v>15</v>
      </c>
      <c r="C45" s="526"/>
      <c r="D45" s="678">
        <f>Rates!E43</f>
        <v>4509318.9708543411</v>
      </c>
      <c r="E45" s="195">
        <v>4.2999999999999999E-4</v>
      </c>
      <c r="F45" s="216">
        <f>'Rates Summary'!G44</f>
        <v>3.1699999999999996E-3</v>
      </c>
      <c r="G45" s="190">
        <f t="shared" si="3"/>
        <v>1939.0071574673666</v>
      </c>
      <c r="H45" s="190">
        <f t="shared" si="4"/>
        <v>14294.541137608259</v>
      </c>
      <c r="I45" s="193">
        <f t="shared" si="0"/>
        <v>12355.533980140892</v>
      </c>
      <c r="J45" s="187">
        <f t="shared" si="12"/>
        <v>6.3720930232558128</v>
      </c>
    </row>
    <row r="46" spans="1:10" x14ac:dyDescent="0.25">
      <c r="B46" s="185" t="s">
        <v>14</v>
      </c>
      <c r="C46" s="526"/>
      <c r="D46" s="678">
        <f>Rates!E44</f>
        <v>9751263.5994490292</v>
      </c>
      <c r="E46" s="195">
        <v>3.2000000000000003E-4</v>
      </c>
      <c r="F46" s="216">
        <f>'Rates Summary'!G45</f>
        <v>2.3400000000000001E-3</v>
      </c>
      <c r="G46" s="190">
        <f t="shared" si="3"/>
        <v>3120.4043518236895</v>
      </c>
      <c r="H46" s="190">
        <f t="shared" si="4"/>
        <v>22817.95682271073</v>
      </c>
      <c r="I46" s="193">
        <f t="shared" si="0"/>
        <v>19697.55247088704</v>
      </c>
      <c r="J46" s="187">
        <f t="shared" si="12"/>
        <v>6.3125</v>
      </c>
    </row>
    <row r="47" spans="1:10" x14ac:dyDescent="0.25">
      <c r="B47" s="185" t="s">
        <v>19</v>
      </c>
      <c r="C47" s="526"/>
      <c r="D47" s="678">
        <f>Rates!E45</f>
        <v>14772775.775690151</v>
      </c>
      <c r="E47" s="195">
        <v>2.1000000000000001E-4</v>
      </c>
      <c r="F47" s="216">
        <f>'Rates Summary'!G46</f>
        <v>1.48E-3</v>
      </c>
      <c r="G47" s="190">
        <f t="shared" si="3"/>
        <v>3102.282912894932</v>
      </c>
      <c r="H47" s="190">
        <f t="shared" si="4"/>
        <v>21863.708148021422</v>
      </c>
      <c r="I47" s="193">
        <f t="shared" si="0"/>
        <v>18761.425235126491</v>
      </c>
      <c r="J47" s="666">
        <f t="shared" si="12"/>
        <v>6.0476190476190466</v>
      </c>
    </row>
    <row r="48" spans="1:10" x14ac:dyDescent="0.25">
      <c r="B48" s="185" t="s">
        <v>0</v>
      </c>
      <c r="C48" s="526"/>
      <c r="D48" s="196">
        <f>SUM(D42:D47)</f>
        <v>33823514.597564995</v>
      </c>
      <c r="E48" s="192"/>
      <c r="F48" s="200"/>
      <c r="G48" s="197">
        <f>SUM(G42:G47)</f>
        <v>12939.875283128533</v>
      </c>
      <c r="H48" s="197">
        <f t="shared" ref="H48:I48" si="13">SUM(H42:H47)</f>
        <v>94303.608463680022</v>
      </c>
      <c r="I48" s="197">
        <f t="shared" si="13"/>
        <v>81363.733180551499</v>
      </c>
      <c r="J48" s="187">
        <f t="shared" si="12"/>
        <v>6.2878297819946081</v>
      </c>
    </row>
    <row r="49" spans="2:12" x14ac:dyDescent="0.25">
      <c r="D49" s="201"/>
      <c r="E49" s="202"/>
      <c r="F49" s="202"/>
      <c r="G49" s="203"/>
      <c r="H49" s="189"/>
      <c r="I49" s="193"/>
      <c r="J49" s="667"/>
    </row>
    <row r="50" spans="2:12" x14ac:dyDescent="0.25">
      <c r="B50" s="185" t="s">
        <v>0</v>
      </c>
      <c r="D50" s="204">
        <f>D9+D11+D14+D21+D23+D33+D39+D48+D12+D15+D24</f>
        <v>223789624.44770336</v>
      </c>
      <c r="E50" s="192"/>
      <c r="F50" s="200"/>
      <c r="G50" s="163">
        <f>G9+G11+G14+G21+G23+G33+G39+G48+G12+G15+G24</f>
        <v>806339.09032413329</v>
      </c>
      <c r="H50" s="163">
        <f>H9+H11+H14+H21+H23+H33+H39+H48+H12+H15+H24</f>
        <v>10969223.057641933</v>
      </c>
      <c r="I50" s="163">
        <f>I9+I11+I14+I21+I23+I33+I39+I48+I12+I15+I24</f>
        <v>10162883.967317801</v>
      </c>
      <c r="J50" s="187">
        <f>IF(G50=0,0,I50/G50)</f>
        <v>12.6037346933441</v>
      </c>
    </row>
    <row r="51" spans="2:12" x14ac:dyDescent="0.25">
      <c r="D51" s="186"/>
      <c r="E51" s="186"/>
      <c r="F51" s="205"/>
      <c r="G51" s="186"/>
      <c r="H51" s="186"/>
      <c r="J51" s="199"/>
    </row>
    <row r="52" spans="2:12" x14ac:dyDescent="0.25">
      <c r="D52" s="186"/>
      <c r="E52" s="186"/>
      <c r="F52" s="205"/>
      <c r="G52" s="206"/>
      <c r="H52" s="206"/>
    </row>
    <row r="53" spans="2:12" x14ac:dyDescent="0.25">
      <c r="L53" s="199"/>
    </row>
    <row r="54" spans="2:12" x14ac:dyDescent="0.25">
      <c r="B54" s="208"/>
      <c r="D54" s="209"/>
      <c r="E54" s="209"/>
      <c r="F54" s="210"/>
      <c r="G54" s="193"/>
      <c r="H54" s="193"/>
    </row>
    <row r="55" spans="2:12" x14ac:dyDescent="0.25">
      <c r="C55" s="205"/>
      <c r="D55" s="211"/>
      <c r="E55" s="186"/>
      <c r="F55" s="205"/>
    </row>
    <row r="56" spans="2:12" x14ac:dyDescent="0.25">
      <c r="C56" s="205"/>
      <c r="D56" s="186"/>
      <c r="E56" s="205"/>
      <c r="F56" s="205"/>
    </row>
    <row r="57" spans="2:12" x14ac:dyDescent="0.25">
      <c r="C57" s="205"/>
      <c r="D57" s="186"/>
      <c r="E57" s="212"/>
      <c r="F57" s="213"/>
    </row>
    <row r="58" spans="2:12" x14ac:dyDescent="0.25">
      <c r="C58" s="209"/>
      <c r="D58" s="209"/>
      <c r="E58" s="212"/>
      <c r="F58" s="213"/>
    </row>
    <row r="59" spans="2:12" x14ac:dyDescent="0.25">
      <c r="E59" s="212"/>
      <c r="F59" s="213"/>
    </row>
    <row r="60" spans="2:12" x14ac:dyDescent="0.25">
      <c r="E60" s="186"/>
      <c r="F60" s="205"/>
    </row>
    <row r="61" spans="2:12" x14ac:dyDescent="0.25">
      <c r="E61" s="186"/>
      <c r="F61" s="205"/>
    </row>
    <row r="62" spans="2:12" x14ac:dyDescent="0.25">
      <c r="E62" s="186"/>
      <c r="F62" s="205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H32" sqref="H32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zoomScale="90" zoomScaleNormal="90" workbookViewId="0">
      <pane ySplit="8" topLeftCell="A9" activePane="bottomLeft" state="frozen"/>
      <selection activeCell="Q23" sqref="Q23"/>
      <selection pane="bottomLeft" activeCell="N30" sqref="N30"/>
    </sheetView>
  </sheetViews>
  <sheetFormatPr defaultColWidth="8.85546875" defaultRowHeight="12.75" x14ac:dyDescent="0.2"/>
  <cols>
    <col min="1" max="1" width="4.5703125" style="41" customWidth="1"/>
    <col min="2" max="2" width="3.140625" style="41" customWidth="1"/>
    <col min="3" max="3" width="25.7109375" style="41" customWidth="1"/>
    <col min="4" max="4" width="12.140625" style="41" customWidth="1"/>
    <col min="5" max="5" width="9" style="41" bestFit="1" customWidth="1"/>
    <col min="6" max="6" width="13.7109375" style="41" customWidth="1"/>
    <col min="7" max="7" width="13.28515625" style="41" customWidth="1"/>
    <col min="8" max="8" width="13.28515625" style="41" bestFit="1" customWidth="1"/>
    <col min="9" max="10" width="12.5703125" style="41" bestFit="1" customWidth="1"/>
    <col min="11" max="11" width="11.42578125" style="41" customWidth="1"/>
    <col min="12" max="12" width="10.85546875" style="41" customWidth="1"/>
    <col min="13" max="13" width="10.140625" style="41" bestFit="1" customWidth="1"/>
    <col min="14" max="14" width="10" style="41" bestFit="1" customWidth="1"/>
    <col min="15" max="15" width="19.5703125" style="41" customWidth="1"/>
    <col min="16" max="16" width="15.85546875" style="41" bestFit="1" customWidth="1"/>
    <col min="17" max="17" width="16" style="41" bestFit="1" customWidth="1"/>
    <col min="18" max="18" width="15.85546875" style="41" customWidth="1"/>
    <col min="19" max="19" width="15.85546875" style="41" bestFit="1" customWidth="1"/>
    <col min="20" max="20" width="14.85546875" style="41" customWidth="1"/>
    <col min="21" max="21" width="15.7109375" style="41" customWidth="1"/>
    <col min="22" max="16384" width="8.85546875" style="41"/>
  </cols>
  <sheetData>
    <row r="1" spans="1:20" x14ac:dyDescent="0.2">
      <c r="A1" s="142" t="s">
        <v>12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20" x14ac:dyDescent="0.2">
      <c r="A2" s="142" t="str">
        <f>Rates!$A$2</f>
        <v>2024 Gas Schedule 129 Low Income Program Rate Filing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20" x14ac:dyDescent="0.2">
      <c r="A3" s="58" t="s">
        <v>283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20" x14ac:dyDescent="0.2">
      <c r="A4" s="58" t="str">
        <f>Rates!A4</f>
        <v>Proposed Effective May 1, 2024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6" spans="1:20" x14ac:dyDescent="0.2">
      <c r="D6" s="218"/>
      <c r="E6" s="218"/>
      <c r="F6" s="218" t="s">
        <v>59</v>
      </c>
      <c r="G6" s="218"/>
      <c r="I6" s="218" t="s">
        <v>38</v>
      </c>
      <c r="J6" s="218" t="s">
        <v>58</v>
      </c>
      <c r="K6" s="218" t="s">
        <v>38</v>
      </c>
      <c r="L6" s="218"/>
      <c r="O6" s="41" t="s">
        <v>115</v>
      </c>
    </row>
    <row r="7" spans="1:20" ht="14.25" x14ac:dyDescent="0.2">
      <c r="A7" s="537" t="s">
        <v>36</v>
      </c>
      <c r="D7" s="218" t="s">
        <v>62</v>
      </c>
      <c r="E7" s="218"/>
      <c r="F7" s="218" t="s">
        <v>63</v>
      </c>
      <c r="G7" s="218"/>
      <c r="H7" s="218" t="s">
        <v>44</v>
      </c>
      <c r="I7" s="218" t="s">
        <v>6</v>
      </c>
      <c r="J7" s="218" t="s">
        <v>6</v>
      </c>
      <c r="K7" s="218" t="s">
        <v>57</v>
      </c>
      <c r="L7" s="218" t="s">
        <v>27</v>
      </c>
      <c r="P7" s="272" t="s">
        <v>276</v>
      </c>
      <c r="Q7" s="537" t="s">
        <v>326</v>
      </c>
      <c r="R7" s="272" t="s">
        <v>327</v>
      </c>
      <c r="S7" s="537" t="s">
        <v>327</v>
      </c>
    </row>
    <row r="8" spans="1:20" ht="14.25" x14ac:dyDescent="0.2">
      <c r="A8" s="43" t="s">
        <v>310</v>
      </c>
      <c r="B8" s="718" t="s">
        <v>56</v>
      </c>
      <c r="C8" s="718"/>
      <c r="D8" s="43" t="s">
        <v>54</v>
      </c>
      <c r="E8" s="43" t="s">
        <v>55</v>
      </c>
      <c r="F8" s="43" t="s">
        <v>54</v>
      </c>
      <c r="G8" s="43" t="s">
        <v>67</v>
      </c>
      <c r="H8" s="43" t="s">
        <v>53</v>
      </c>
      <c r="I8" s="43" t="s">
        <v>34</v>
      </c>
      <c r="J8" s="43" t="s">
        <v>34</v>
      </c>
      <c r="K8" s="43" t="s">
        <v>52</v>
      </c>
      <c r="L8" s="43" t="s">
        <v>6</v>
      </c>
      <c r="M8" s="41" t="s">
        <v>325</v>
      </c>
      <c r="P8" s="218" t="s">
        <v>80</v>
      </c>
      <c r="Q8" s="537" t="s">
        <v>81</v>
      </c>
      <c r="R8" s="218" t="s">
        <v>274</v>
      </c>
      <c r="S8" s="218" t="s">
        <v>275</v>
      </c>
      <c r="T8" s="218"/>
    </row>
    <row r="9" spans="1:20" x14ac:dyDescent="0.2">
      <c r="A9" s="244"/>
      <c r="B9" s="491"/>
      <c r="C9" s="491" t="s">
        <v>72</v>
      </c>
      <c r="D9" s="491" t="s">
        <v>73</v>
      </c>
      <c r="E9" s="491" t="s">
        <v>74</v>
      </c>
      <c r="F9" s="491" t="s">
        <v>75</v>
      </c>
      <c r="G9" s="491" t="s">
        <v>311</v>
      </c>
      <c r="H9" s="491" t="s">
        <v>312</v>
      </c>
      <c r="I9" s="491" t="s">
        <v>313</v>
      </c>
      <c r="J9" s="491" t="s">
        <v>76</v>
      </c>
      <c r="K9" s="491" t="s">
        <v>77</v>
      </c>
      <c r="L9" s="491" t="s">
        <v>78</v>
      </c>
      <c r="M9" s="491" t="s">
        <v>177</v>
      </c>
      <c r="P9" s="218" t="s">
        <v>68</v>
      </c>
      <c r="Q9" s="537" t="s">
        <v>318</v>
      </c>
      <c r="R9" s="218" t="s">
        <v>269</v>
      </c>
      <c r="S9" s="218" t="s">
        <v>269</v>
      </c>
      <c r="T9" s="218" t="s">
        <v>0</v>
      </c>
    </row>
    <row r="10" spans="1:20" x14ac:dyDescent="0.2">
      <c r="A10" s="218">
        <v>1</v>
      </c>
      <c r="B10" s="41" t="s">
        <v>51</v>
      </c>
      <c r="D10" s="34"/>
      <c r="E10" s="34"/>
      <c r="F10" s="34"/>
      <c r="O10" s="41" t="s">
        <v>18</v>
      </c>
      <c r="P10" s="57">
        <f>'Exh JDT-5 (JDT-INTRPL-RD)'!H128</f>
        <v>0.20754</v>
      </c>
      <c r="Q10" s="57">
        <f>'Margin Revenue'!$G$26</f>
        <v>3.7699999999999999E-3</v>
      </c>
      <c r="R10" s="57">
        <f>'Exh JDT-5 (JDT-MYRP)'!O203</f>
        <v>-2.6099999999999999E-3</v>
      </c>
      <c r="S10" s="57">
        <f>'Exh JDT-5 (JDT-MYRP)'!P203</f>
        <v>3.9230000000000001E-2</v>
      </c>
      <c r="T10" s="40">
        <f t="shared" ref="T10:T15" si="0">SUM(P10:S10)</f>
        <v>0.24792999999999998</v>
      </c>
    </row>
    <row r="11" spans="1:20" x14ac:dyDescent="0.2">
      <c r="A11" s="218">
        <v>2</v>
      </c>
      <c r="C11" s="41" t="s">
        <v>18</v>
      </c>
      <c r="D11" s="524">
        <v>3330597</v>
      </c>
      <c r="E11" s="31">
        <f>+D11/$D$18</f>
        <v>0.46878111451944754</v>
      </c>
      <c r="F11" s="24">
        <f t="shared" ref="F11:F16" si="1">+E11*$F$18</f>
        <v>3240035.1141590416</v>
      </c>
      <c r="G11" s="26">
        <f>G$40</f>
        <v>0.24792999999999998</v>
      </c>
      <c r="H11" s="23">
        <f>ROUND(F11*G11,0)</f>
        <v>803302</v>
      </c>
      <c r="J11" s="23">
        <f>H11*$I$49</f>
        <v>34467.90275432475</v>
      </c>
      <c r="K11" s="26">
        <f>K30</f>
        <v>1.0638130072302894E-2</v>
      </c>
      <c r="L11" s="23">
        <f>F11*K11</f>
        <v>34467.914983252638</v>
      </c>
      <c r="O11" s="41" t="s">
        <v>17</v>
      </c>
      <c r="P11" s="57">
        <f>'Exh JDT-5 (JDT-INTRPL-RD)'!H129</f>
        <v>0.12540999999999999</v>
      </c>
      <c r="Q11" s="57">
        <f>'Margin Revenue'!$G$26</f>
        <v>3.7699999999999999E-3</v>
      </c>
      <c r="R11" s="57">
        <f>'Exh JDT-5 (JDT-MYRP)'!O204</f>
        <v>-1.58E-3</v>
      </c>
      <c r="S11" s="57">
        <f>'Exh JDT-5 (JDT-MYRP)'!P204</f>
        <v>2.3709999999999998E-2</v>
      </c>
      <c r="T11" s="40">
        <f t="shared" si="0"/>
        <v>0.15131</v>
      </c>
    </row>
    <row r="12" spans="1:20" x14ac:dyDescent="0.2">
      <c r="A12" s="218">
        <v>3</v>
      </c>
      <c r="C12" s="41" t="s">
        <v>17</v>
      </c>
      <c r="D12" s="524">
        <v>1665206</v>
      </c>
      <c r="E12" s="31">
        <f t="shared" ref="E12:E16" si="2">+D12/$D$18</f>
        <v>0.23437753789620033</v>
      </c>
      <c r="F12" s="24">
        <f t="shared" si="1"/>
        <v>1619927.5722365452</v>
      </c>
      <c r="G12" s="26">
        <f>G$41</f>
        <v>0.15131</v>
      </c>
      <c r="H12" s="23">
        <f t="shared" ref="H12:H16" si="3">ROUND(F12*G12,0)</f>
        <v>245111</v>
      </c>
      <c r="J12" s="23">
        <f t="shared" ref="J12:J16" si="4">H12*$I$49</f>
        <v>10517.168028979504</v>
      </c>
      <c r="K12" s="26">
        <f>K31</f>
        <v>6.4923887328019111E-3</v>
      </c>
      <c r="L12" s="23">
        <f>F12*K12</f>
        <v>10517.1995179437</v>
      </c>
      <c r="O12" s="41" t="s">
        <v>16</v>
      </c>
      <c r="P12" s="57">
        <f>'Exh JDT-5 (JDT-INTRPL-RD)'!H130</f>
        <v>7.9810000000000006E-2</v>
      </c>
      <c r="Q12" s="57">
        <f>'Margin Revenue'!$G$26</f>
        <v>3.7699999999999999E-3</v>
      </c>
      <c r="R12" s="57">
        <f>'Exh JDT-5 (JDT-MYRP)'!O205</f>
        <v>-1E-3</v>
      </c>
      <c r="S12" s="57">
        <f>'Exh JDT-5 (JDT-MYRP)'!P205</f>
        <v>1.5089999999999999E-2</v>
      </c>
      <c r="T12" s="40">
        <f t="shared" si="0"/>
        <v>9.7670000000000007E-2</v>
      </c>
    </row>
    <row r="13" spans="1:20" x14ac:dyDescent="0.2">
      <c r="A13" s="218">
        <v>4</v>
      </c>
      <c r="C13" s="41" t="s">
        <v>16</v>
      </c>
      <c r="D13" s="524">
        <v>1353958</v>
      </c>
      <c r="E13" s="31">
        <f t="shared" si="2"/>
        <v>0.19056942051305581</v>
      </c>
      <c r="F13" s="24">
        <f t="shared" si="1"/>
        <v>1317142.6813560894</v>
      </c>
      <c r="G13" s="26">
        <f>G$42</f>
        <v>9.7670000000000007E-2</v>
      </c>
      <c r="H13" s="23">
        <f t="shared" si="3"/>
        <v>128645</v>
      </c>
      <c r="J13" s="23">
        <f t="shared" si="4"/>
        <v>5519.8709200650665</v>
      </c>
      <c r="K13" s="26"/>
      <c r="O13" s="41" t="s">
        <v>15</v>
      </c>
      <c r="P13" s="57">
        <f>'Exh JDT-5 (JDT-INTRPL-RD)'!H131</f>
        <v>5.117E-2</v>
      </c>
      <c r="Q13" s="57">
        <f>'Margin Revenue'!$G$26</f>
        <v>3.7699999999999999E-3</v>
      </c>
      <c r="R13" s="57">
        <f>'Exh JDT-5 (JDT-MYRP)'!O206</f>
        <v>-6.4000000000000005E-4</v>
      </c>
      <c r="S13" s="57">
        <f>'Exh JDT-5 (JDT-MYRP)'!P206</f>
        <v>9.6699999999999998E-3</v>
      </c>
      <c r="T13" s="40">
        <f t="shared" si="0"/>
        <v>6.3969999999999999E-2</v>
      </c>
    </row>
    <row r="14" spans="1:20" x14ac:dyDescent="0.2">
      <c r="A14" s="218">
        <v>5</v>
      </c>
      <c r="C14" s="41" t="s">
        <v>15</v>
      </c>
      <c r="D14" s="524">
        <v>755041</v>
      </c>
      <c r="E14" s="31">
        <f t="shared" si="2"/>
        <v>0.10627192707129629</v>
      </c>
      <c r="F14" s="24">
        <f t="shared" si="1"/>
        <v>734510.76567647094</v>
      </c>
      <c r="G14" s="26">
        <f>G$43</f>
        <v>6.3969999999999999E-2</v>
      </c>
      <c r="H14" s="23">
        <f t="shared" si="3"/>
        <v>46987</v>
      </c>
      <c r="J14" s="23">
        <f t="shared" si="4"/>
        <v>2016.1076988697366</v>
      </c>
      <c r="K14" s="26"/>
      <c r="O14" s="41" t="s">
        <v>14</v>
      </c>
      <c r="P14" s="57">
        <f>'Exh JDT-5 (JDT-INTRPL-RD)'!H132</f>
        <v>3.6830000000000002E-2</v>
      </c>
      <c r="Q14" s="57">
        <f>'Margin Revenue'!$G$26</f>
        <v>3.7699999999999999E-3</v>
      </c>
      <c r="R14" s="57">
        <f>'Exh JDT-5 (JDT-MYRP)'!O207</f>
        <v>-4.6000000000000001E-4</v>
      </c>
      <c r="S14" s="57">
        <f>'Exh JDT-5 (JDT-MYRP)'!P207</f>
        <v>6.96E-3</v>
      </c>
      <c r="T14" s="40">
        <f t="shared" si="0"/>
        <v>4.7100000000000003E-2</v>
      </c>
    </row>
    <row r="15" spans="1:20" x14ac:dyDescent="0.2">
      <c r="A15" s="218">
        <v>6</v>
      </c>
      <c r="C15" s="41" t="s">
        <v>14</v>
      </c>
      <c r="D15" s="524">
        <v>0</v>
      </c>
      <c r="E15" s="31">
        <f t="shared" si="2"/>
        <v>0</v>
      </c>
      <c r="F15" s="24">
        <f t="shared" si="1"/>
        <v>0</v>
      </c>
      <c r="G15" s="26">
        <f>G$44</f>
        <v>4.7100000000000003E-2</v>
      </c>
      <c r="H15" s="23">
        <f t="shared" si="3"/>
        <v>0</v>
      </c>
      <c r="J15" s="23">
        <f t="shared" si="4"/>
        <v>0</v>
      </c>
      <c r="K15" s="26"/>
      <c r="O15" s="41" t="s">
        <v>19</v>
      </c>
      <c r="P15" s="57">
        <f>'Exh JDT-5 (JDT-INTRPL-RD)'!H133</f>
        <v>2.4830000000000001E-2</v>
      </c>
      <c r="Q15" s="57">
        <f>'Margin Revenue'!$G$26</f>
        <v>3.7699999999999999E-3</v>
      </c>
      <c r="R15" s="57">
        <f>'Exh JDT-5 (JDT-MYRP)'!O208</f>
        <v>-6.9999999999999994E-5</v>
      </c>
      <c r="S15" s="57">
        <f>'Exh JDT-5 (JDT-MYRP)'!P208</f>
        <v>1.1299999999999999E-3</v>
      </c>
      <c r="T15" s="40">
        <f t="shared" si="0"/>
        <v>2.9659999999999999E-2</v>
      </c>
    </row>
    <row r="16" spans="1:20" x14ac:dyDescent="0.2">
      <c r="A16" s="218">
        <v>7</v>
      </c>
      <c r="C16" s="41" t="s">
        <v>19</v>
      </c>
      <c r="D16" s="524">
        <v>0</v>
      </c>
      <c r="E16" s="31">
        <f t="shared" si="2"/>
        <v>0</v>
      </c>
      <c r="F16" s="24">
        <f t="shared" si="1"/>
        <v>0</v>
      </c>
      <c r="G16" s="26">
        <f>G$45</f>
        <v>2.9659999999999999E-2</v>
      </c>
      <c r="H16" s="23">
        <f t="shared" si="3"/>
        <v>0</v>
      </c>
      <c r="J16" s="23">
        <f t="shared" si="4"/>
        <v>0</v>
      </c>
      <c r="K16" s="26"/>
    </row>
    <row r="17" spans="1:14" x14ac:dyDescent="0.2">
      <c r="A17" s="218">
        <v>8</v>
      </c>
      <c r="C17" s="41" t="s">
        <v>48</v>
      </c>
      <c r="D17" s="28">
        <f>SUM(D13:D16)</f>
        <v>2108999</v>
      </c>
      <c r="E17" s="244"/>
      <c r="F17" s="28">
        <f>SUM(F13:F16)</f>
        <v>2051653.4470325604</v>
      </c>
      <c r="G17" s="26"/>
      <c r="H17" s="27">
        <f>SUM(H13:H16)</f>
        <v>175632</v>
      </c>
      <c r="J17" s="27">
        <f>SUM(J13:J16)</f>
        <v>7535.9786189348033</v>
      </c>
      <c r="K17" s="26">
        <f>K36</f>
        <v>3.789872039790196E-3</v>
      </c>
      <c r="L17" s="25">
        <f>F17*K17</f>
        <v>7775.504034247876</v>
      </c>
      <c r="N17" s="26"/>
    </row>
    <row r="18" spans="1:14" x14ac:dyDescent="0.2">
      <c r="A18" s="218">
        <v>9</v>
      </c>
      <c r="C18" s="41" t="s">
        <v>0</v>
      </c>
      <c r="D18" s="245">
        <f>SUM(D11:D16)</f>
        <v>7104802</v>
      </c>
      <c r="E18" s="30">
        <f>SUM(E11:E16)</f>
        <v>1</v>
      </c>
      <c r="F18" s="54">
        <f>SUM('Weather Adj. Volumes'!H186:L186)</f>
        <v>6911616.1334281471</v>
      </c>
      <c r="G18" s="26"/>
      <c r="H18" s="27">
        <f>SUM(H11:H16)</f>
        <v>1224045</v>
      </c>
      <c r="I18" s="50">
        <f>Rates!H20</f>
        <v>51489.081425575954</v>
      </c>
      <c r="J18" s="27">
        <f>SUM(J11:J16)</f>
        <v>52521.049402239056</v>
      </c>
      <c r="L18" s="27">
        <f>SUM(L11:L17)</f>
        <v>52760.618535444213</v>
      </c>
      <c r="M18" s="23">
        <f>L18-I18</f>
        <v>1271.537109868259</v>
      </c>
    </row>
    <row r="19" spans="1:14" x14ac:dyDescent="0.2">
      <c r="A19" s="218"/>
      <c r="D19" s="55"/>
      <c r="E19" s="55"/>
      <c r="F19" s="34"/>
      <c r="G19" s="26"/>
    </row>
    <row r="20" spans="1:14" x14ac:dyDescent="0.2">
      <c r="A20" s="218">
        <v>10</v>
      </c>
      <c r="B20" s="41" t="s">
        <v>50</v>
      </c>
      <c r="D20" s="55"/>
      <c r="E20" s="55"/>
      <c r="F20" s="34"/>
      <c r="G20" s="26"/>
    </row>
    <row r="21" spans="1:14" x14ac:dyDescent="0.2">
      <c r="A21" s="218">
        <v>11</v>
      </c>
      <c r="C21" s="41" t="s">
        <v>18</v>
      </c>
      <c r="D21" s="524">
        <v>500000</v>
      </c>
      <c r="E21" s="31">
        <f t="shared" ref="E21:E26" si="5">+D21/$D$27</f>
        <v>9.3359384335938433E-2</v>
      </c>
      <c r="F21" s="24">
        <f t="shared" ref="F21:F26" si="6">+E21*$F$27</f>
        <v>311656.14077232109</v>
      </c>
      <c r="G21" s="26">
        <f>G$40</f>
        <v>0.24792999999999998</v>
      </c>
      <c r="H21" s="23">
        <f t="shared" ref="H21:H26" si="7">ROUND(F21*G21,0)</f>
        <v>77269</v>
      </c>
      <c r="J21" s="23">
        <f t="shared" ref="J21:J26" si="8">H21*$I$49</f>
        <v>3315.4409897198307</v>
      </c>
      <c r="K21" s="26">
        <f t="shared" ref="K21:K26" si="9">K40</f>
        <v>1.0638130072302894E-2</v>
      </c>
      <c r="L21" s="23">
        <f t="shared" ref="L21:L26" si="10">F21*K21</f>
        <v>3315.438563367893</v>
      </c>
    </row>
    <row r="22" spans="1:14" x14ac:dyDescent="0.2">
      <c r="A22" s="218">
        <v>12</v>
      </c>
      <c r="C22" s="41" t="s">
        <v>17</v>
      </c>
      <c r="D22" s="524">
        <v>500000</v>
      </c>
      <c r="E22" s="31">
        <f t="shared" si="5"/>
        <v>9.3359384335938433E-2</v>
      </c>
      <c r="F22" s="24">
        <f t="shared" si="6"/>
        <v>311656.14077232109</v>
      </c>
      <c r="G22" s="26">
        <f>G$41</f>
        <v>0.15131</v>
      </c>
      <c r="H22" s="23">
        <f t="shared" si="7"/>
        <v>47157</v>
      </c>
      <c r="J22" s="23">
        <f t="shared" si="8"/>
        <v>2023.4020208908883</v>
      </c>
      <c r="K22" s="26">
        <f t="shared" si="9"/>
        <v>6.4923887328019111E-3</v>
      </c>
      <c r="L22" s="23">
        <f t="shared" si="10"/>
        <v>2023.3928168587438</v>
      </c>
    </row>
    <row r="23" spans="1:14" x14ac:dyDescent="0.2">
      <c r="A23" s="218">
        <v>13</v>
      </c>
      <c r="C23" s="41" t="s">
        <v>16</v>
      </c>
      <c r="D23" s="524">
        <v>846779</v>
      </c>
      <c r="E23" s="31">
        <f t="shared" si="5"/>
        <v>0.15810953221720322</v>
      </c>
      <c r="F23" s="24">
        <f t="shared" si="6"/>
        <v>527807.75045409054</v>
      </c>
      <c r="G23" s="26">
        <f>G$42</f>
        <v>9.7670000000000007E-2</v>
      </c>
      <c r="H23" s="23">
        <f t="shared" si="7"/>
        <v>51551</v>
      </c>
      <c r="J23" s="23">
        <f t="shared" si="8"/>
        <v>2211.9387912493626</v>
      </c>
      <c r="K23" s="26">
        <f t="shared" si="9"/>
        <v>4.1907975140677506E-3</v>
      </c>
      <c r="L23" s="23">
        <f t="shared" si="10"/>
        <v>2211.9354085086943</v>
      </c>
    </row>
    <row r="24" spans="1:14" x14ac:dyDescent="0.2">
      <c r="A24" s="218">
        <v>14</v>
      </c>
      <c r="C24" s="41" t="s">
        <v>15</v>
      </c>
      <c r="D24" s="524">
        <v>625221</v>
      </c>
      <c r="E24" s="31">
        <f t="shared" si="5"/>
        <v>0.11674049526779953</v>
      </c>
      <c r="F24" s="24">
        <f t="shared" si="6"/>
        <v>389707.92797962273</v>
      </c>
      <c r="G24" s="26">
        <f>G$43</f>
        <v>6.3969999999999999E-2</v>
      </c>
      <c r="H24" s="23">
        <f t="shared" si="7"/>
        <v>24930</v>
      </c>
      <c r="J24" s="23">
        <f t="shared" si="8"/>
        <v>1069.6908705136002</v>
      </c>
      <c r="K24" s="26">
        <f t="shared" si="9"/>
        <v>2.7448091883436197E-3</v>
      </c>
      <c r="L24" s="23">
        <f t="shared" si="10"/>
        <v>1069.6739014888221</v>
      </c>
    </row>
    <row r="25" spans="1:14" x14ac:dyDescent="0.2">
      <c r="A25" s="218">
        <v>15</v>
      </c>
      <c r="C25" s="41" t="s">
        <v>14</v>
      </c>
      <c r="D25" s="524">
        <v>1500000</v>
      </c>
      <c r="E25" s="31">
        <f t="shared" si="5"/>
        <v>0.2800781530078153</v>
      </c>
      <c r="F25" s="24">
        <f t="shared" si="6"/>
        <v>934968.42231696332</v>
      </c>
      <c r="G25" s="26">
        <f>G$44</f>
        <v>4.7100000000000003E-2</v>
      </c>
      <c r="H25" s="23">
        <f t="shared" si="7"/>
        <v>44037</v>
      </c>
      <c r="J25" s="23">
        <f t="shared" si="8"/>
        <v>1889.5297579144569</v>
      </c>
      <c r="K25" s="26">
        <f t="shared" si="9"/>
        <v>2.0209584093852898E-3</v>
      </c>
      <c r="L25" s="23">
        <f t="shared" si="10"/>
        <v>1889.532295591164</v>
      </c>
    </row>
    <row r="26" spans="1:14" x14ac:dyDescent="0.2">
      <c r="A26" s="218">
        <v>16</v>
      </c>
      <c r="C26" s="41" t="s">
        <v>19</v>
      </c>
      <c r="D26" s="525">
        <v>1383648</v>
      </c>
      <c r="E26" s="32">
        <f t="shared" si="5"/>
        <v>0.25835305083530508</v>
      </c>
      <c r="F26" s="24">
        <f t="shared" si="6"/>
        <v>862444.791734681</v>
      </c>
      <c r="G26" s="26">
        <f>G$45</f>
        <v>2.9659999999999999E-2</v>
      </c>
      <c r="H26" s="23">
        <f t="shared" si="7"/>
        <v>25580</v>
      </c>
      <c r="J26" s="23">
        <f t="shared" si="8"/>
        <v>1097.5809253003567</v>
      </c>
      <c r="K26" s="26">
        <f t="shared" si="9"/>
        <v>1.2726460203629452E-3</v>
      </c>
      <c r="L26" s="23">
        <f t="shared" si="10"/>
        <v>1097.5869319838907</v>
      </c>
    </row>
    <row r="27" spans="1:14" x14ac:dyDescent="0.2">
      <c r="A27" s="218">
        <v>17</v>
      </c>
      <c r="C27" s="41" t="s">
        <v>0</v>
      </c>
      <c r="D27" s="55">
        <f>SUM(D21:D26)</f>
        <v>5355648</v>
      </c>
      <c r="E27" s="31">
        <f>SUM(E21:E26)</f>
        <v>1</v>
      </c>
      <c r="F27" s="54">
        <f>SUM('Weather Adj. Volumes'!H188:L188)</f>
        <v>3338241.1740299999</v>
      </c>
      <c r="G27" s="26"/>
      <c r="H27" s="27">
        <f>SUM(H21:H26)</f>
        <v>270524</v>
      </c>
      <c r="I27" s="50">
        <f>Rates!H31</f>
        <v>26592.820960510835</v>
      </c>
      <c r="J27" s="27">
        <f>SUM(J21:J26)</f>
        <v>11607.583355588496</v>
      </c>
      <c r="L27" s="27">
        <f>SUM(L21:L26)</f>
        <v>11607.559917799208</v>
      </c>
      <c r="M27" s="23">
        <f>L27-I27</f>
        <v>-14985.261042711627</v>
      </c>
    </row>
    <row r="28" spans="1:14" x14ac:dyDescent="0.2">
      <c r="A28" s="218"/>
      <c r="D28" s="55"/>
      <c r="E28" s="55"/>
      <c r="F28" s="3"/>
      <c r="G28" s="26"/>
      <c r="H28" s="6"/>
      <c r="I28" s="2"/>
      <c r="J28" s="6"/>
      <c r="L28" s="6"/>
    </row>
    <row r="29" spans="1:14" x14ac:dyDescent="0.2">
      <c r="A29" s="218">
        <f>A27+1</f>
        <v>18</v>
      </c>
      <c r="B29" s="41" t="s">
        <v>49</v>
      </c>
      <c r="D29" s="55"/>
      <c r="E29" s="55"/>
      <c r="F29" s="3"/>
      <c r="G29" s="26"/>
      <c r="H29" s="6"/>
      <c r="I29" s="2"/>
      <c r="J29" s="6"/>
      <c r="L29" s="6"/>
    </row>
    <row r="30" spans="1:14" x14ac:dyDescent="0.2">
      <c r="A30" s="218">
        <f t="shared" ref="A30:A37" si="11">A29+1</f>
        <v>19</v>
      </c>
      <c r="C30" s="41" t="s">
        <v>18</v>
      </c>
      <c r="D30" s="524">
        <v>9336291</v>
      </c>
      <c r="E30" s="31">
        <f t="shared" ref="E30:E35" si="12">+D30/$D$37</f>
        <v>0.41095139898488131</v>
      </c>
      <c r="F30" s="24">
        <f t="shared" ref="F30:F35" si="13">+E30*$F$37</f>
        <v>7953164.23415446</v>
      </c>
      <c r="G30" s="26">
        <f>G$40</f>
        <v>0.24792999999999998</v>
      </c>
      <c r="H30" s="23">
        <f t="shared" ref="H30:H35" si="14">ROUND(F30*G30,0)</f>
        <v>1971828</v>
      </c>
      <c r="I30" s="2"/>
      <c r="J30" s="23">
        <f t="shared" ref="J30:J35" si="15">H30*$I$49</f>
        <v>84606.755307785454</v>
      </c>
      <c r="K30" s="26">
        <f>K40</f>
        <v>1.0638130072302894E-2</v>
      </c>
      <c r="L30" s="23">
        <f>F30*K30</f>
        <v>84606.795609322377</v>
      </c>
    </row>
    <row r="31" spans="1:14" x14ac:dyDescent="0.2">
      <c r="A31" s="218">
        <f t="shared" si="11"/>
        <v>20</v>
      </c>
      <c r="C31" s="41" t="s">
        <v>17</v>
      </c>
      <c r="D31" s="524">
        <v>5976214</v>
      </c>
      <c r="E31" s="31">
        <f t="shared" si="12"/>
        <v>0.2630523731461491</v>
      </c>
      <c r="F31" s="24">
        <f t="shared" si="13"/>
        <v>5090866.5379488673</v>
      </c>
      <c r="G31" s="26">
        <f>G$41</f>
        <v>0.15131</v>
      </c>
      <c r="H31" s="23">
        <f t="shared" si="14"/>
        <v>770299</v>
      </c>
      <c r="I31" s="2"/>
      <c r="J31" s="23">
        <f t="shared" si="15"/>
        <v>33051.817403359637</v>
      </c>
      <c r="K31" s="26">
        <f>K41</f>
        <v>6.4923887328019111E-3</v>
      </c>
      <c r="L31" s="23">
        <f>F31*K31</f>
        <v>33051.8845511775</v>
      </c>
    </row>
    <row r="32" spans="1:14" x14ac:dyDescent="0.2">
      <c r="A32" s="218">
        <f t="shared" si="11"/>
        <v>21</v>
      </c>
      <c r="C32" s="41" t="s">
        <v>16</v>
      </c>
      <c r="D32" s="524">
        <v>5595934</v>
      </c>
      <c r="E32" s="31">
        <f t="shared" si="12"/>
        <v>0.24631375627934721</v>
      </c>
      <c r="F32" s="24">
        <f t="shared" si="13"/>
        <v>4766923.1973905815</v>
      </c>
      <c r="G32" s="26">
        <f>G$42</f>
        <v>9.7670000000000007E-2</v>
      </c>
      <c r="H32" s="23">
        <f t="shared" si="14"/>
        <v>465585</v>
      </c>
      <c r="I32" s="2"/>
      <c r="J32" s="23">
        <f t="shared" si="15"/>
        <v>19977.217165987746</v>
      </c>
      <c r="L32" s="6"/>
    </row>
    <row r="33" spans="1:16" x14ac:dyDescent="0.2">
      <c r="A33" s="218">
        <f t="shared" si="11"/>
        <v>22</v>
      </c>
      <c r="C33" s="41" t="s">
        <v>15</v>
      </c>
      <c r="D33" s="524">
        <v>1712840</v>
      </c>
      <c r="E33" s="31">
        <f t="shared" si="12"/>
        <v>7.5393322063040252E-2</v>
      </c>
      <c r="F33" s="24">
        <f t="shared" si="13"/>
        <v>1459090.9630847117</v>
      </c>
      <c r="G33" s="26">
        <f>G$43</f>
        <v>6.3969999999999999E-2</v>
      </c>
      <c r="H33" s="23">
        <f t="shared" si="14"/>
        <v>93338</v>
      </c>
      <c r="I33" s="2"/>
      <c r="J33" s="23">
        <f t="shared" si="15"/>
        <v>4004.9260518250467</v>
      </c>
      <c r="L33" s="6"/>
    </row>
    <row r="34" spans="1:16" x14ac:dyDescent="0.2">
      <c r="A34" s="218">
        <f t="shared" si="11"/>
        <v>23</v>
      </c>
      <c r="C34" s="41" t="s">
        <v>14</v>
      </c>
      <c r="D34" s="524">
        <v>97444</v>
      </c>
      <c r="E34" s="31">
        <f t="shared" si="12"/>
        <v>4.289149526582106E-3</v>
      </c>
      <c r="F34" s="24">
        <f t="shared" si="13"/>
        <v>83008.138417380876</v>
      </c>
      <c r="G34" s="26">
        <f>G$44</f>
        <v>4.7100000000000003E-2</v>
      </c>
      <c r="H34" s="23">
        <f t="shared" si="14"/>
        <v>3910</v>
      </c>
      <c r="I34" s="2"/>
      <c r="J34" s="23">
        <f t="shared" si="15"/>
        <v>167.76940648648923</v>
      </c>
      <c r="L34" s="6"/>
    </row>
    <row r="35" spans="1:16" x14ac:dyDescent="0.2">
      <c r="A35" s="218">
        <f t="shared" si="11"/>
        <v>24</v>
      </c>
      <c r="C35" s="41" t="s">
        <v>19</v>
      </c>
      <c r="D35" s="524">
        <v>0</v>
      </c>
      <c r="E35" s="31">
        <f t="shared" si="12"/>
        <v>0</v>
      </c>
      <c r="F35" s="24">
        <f t="shared" si="13"/>
        <v>0</v>
      </c>
      <c r="G35" s="26">
        <f>G$45</f>
        <v>2.9659999999999999E-2</v>
      </c>
      <c r="H35" s="23">
        <f t="shared" si="14"/>
        <v>0</v>
      </c>
      <c r="I35" s="2"/>
      <c r="J35" s="23">
        <f t="shared" si="15"/>
        <v>0</v>
      </c>
      <c r="L35" s="6"/>
    </row>
    <row r="36" spans="1:16" x14ac:dyDescent="0.2">
      <c r="A36" s="218">
        <f t="shared" si="11"/>
        <v>25</v>
      </c>
      <c r="C36" s="41" t="s">
        <v>48</v>
      </c>
      <c r="D36" s="56">
        <f>SUM(D32:D35)</f>
        <v>7406218</v>
      </c>
      <c r="E36" s="59"/>
      <c r="F36" s="56">
        <f>SUM(F32:F35)</f>
        <v>6309022.298892674</v>
      </c>
      <c r="G36" s="26"/>
      <c r="H36" s="25">
        <f>SUM(H32:H35)</f>
        <v>562833</v>
      </c>
      <c r="J36" s="25">
        <f>SUM(J32:J35)</f>
        <v>24149.912624299282</v>
      </c>
      <c r="K36" s="26">
        <f>(J36+J17)/(F36+F17)</f>
        <v>3.789872039790196E-3</v>
      </c>
      <c r="L36" s="25">
        <f>F36*K36</f>
        <v>23910.387208986209</v>
      </c>
    </row>
    <row r="37" spans="1:16" x14ac:dyDescent="0.2">
      <c r="A37" s="218">
        <f t="shared" si="11"/>
        <v>26</v>
      </c>
      <c r="C37" s="41" t="s">
        <v>0</v>
      </c>
      <c r="D37" s="55">
        <f>SUM(D30:D35)</f>
        <v>22718723</v>
      </c>
      <c r="E37" s="31">
        <f>SUM(E30:E35)</f>
        <v>0.99999999999999989</v>
      </c>
      <c r="F37" s="54">
        <f>SUM('Weather Adj. Volumes'!H191:L191)</f>
        <v>19353053.070996001</v>
      </c>
      <c r="G37" s="26"/>
      <c r="H37" s="6">
        <f>SUM(H30:H35)</f>
        <v>3304960</v>
      </c>
      <c r="I37" s="50">
        <f>Rates!H37</f>
        <v>123971.61507817589</v>
      </c>
      <c r="J37" s="6">
        <f>SUM(J30:J35)</f>
        <v>141808.48533544436</v>
      </c>
      <c r="L37" s="27">
        <f>SUM(L30:L36)</f>
        <v>141569.06736948609</v>
      </c>
      <c r="M37" s="23">
        <f>L37-I37</f>
        <v>17597.452291310197</v>
      </c>
    </row>
    <row r="38" spans="1:16" x14ac:dyDescent="0.2">
      <c r="A38" s="218"/>
      <c r="D38" s="55"/>
      <c r="E38" s="55"/>
      <c r="F38" s="3"/>
      <c r="G38" s="26"/>
      <c r="H38" s="6"/>
      <c r="I38" s="2"/>
      <c r="J38" s="6"/>
      <c r="L38" s="6"/>
    </row>
    <row r="39" spans="1:16" x14ac:dyDescent="0.2">
      <c r="A39" s="218">
        <f>A37+1</f>
        <v>27</v>
      </c>
      <c r="B39" s="41" t="s">
        <v>47</v>
      </c>
      <c r="D39" s="55"/>
      <c r="E39" s="55"/>
      <c r="F39" s="3"/>
      <c r="G39" s="26"/>
      <c r="H39" s="23"/>
      <c r="I39" s="2"/>
      <c r="J39" s="6"/>
      <c r="L39" s="6"/>
    </row>
    <row r="40" spans="1:16" x14ac:dyDescent="0.2">
      <c r="A40" s="218">
        <f t="shared" ref="A40:A49" si="16">A39+1</f>
        <v>28</v>
      </c>
      <c r="C40" s="41" t="s">
        <v>18</v>
      </c>
      <c r="D40" s="524">
        <v>1250000</v>
      </c>
      <c r="E40" s="31">
        <f t="shared" ref="E40:E45" si="17">+D40/$D$46</f>
        <v>3.5405518236093683E-2</v>
      </c>
      <c r="F40" s="24">
        <f t="shared" ref="F40:F45" si="18">+E40*$F$46</f>
        <v>1197539.0628928684</v>
      </c>
      <c r="G40" s="26">
        <f t="shared" ref="G40:G45" si="19">T10</f>
        <v>0.24792999999999998</v>
      </c>
      <c r="H40" s="23">
        <f t="shared" ref="H40:H45" si="20">ROUND(F40*G40,0)</f>
        <v>296906</v>
      </c>
      <c r="I40" s="2"/>
      <c r="J40" s="23">
        <f t="shared" ref="J40:J45" si="21">H40*$I$49</f>
        <v>12739.576317718051</v>
      </c>
      <c r="K40" s="26">
        <f>J40/F40</f>
        <v>1.0638130072302894E-2</v>
      </c>
      <c r="L40" s="23">
        <f t="shared" ref="L40:L45" si="22">F40*K40</f>
        <v>12739.576317718051</v>
      </c>
      <c r="O40" s="26"/>
      <c r="P40" s="26"/>
    </row>
    <row r="41" spans="1:16" x14ac:dyDescent="0.2">
      <c r="A41" s="218">
        <f t="shared" si="16"/>
        <v>29</v>
      </c>
      <c r="C41" s="41" t="s">
        <v>17</v>
      </c>
      <c r="D41" s="524">
        <v>1250000</v>
      </c>
      <c r="E41" s="31">
        <f t="shared" si="17"/>
        <v>3.5405518236093683E-2</v>
      </c>
      <c r="F41" s="24">
        <f t="shared" si="18"/>
        <v>1197539.0628928684</v>
      </c>
      <c r="G41" s="26">
        <f t="shared" si="19"/>
        <v>0.15131</v>
      </c>
      <c r="H41" s="23">
        <f t="shared" si="20"/>
        <v>181200</v>
      </c>
      <c r="I41" s="2"/>
      <c r="J41" s="23">
        <f t="shared" si="21"/>
        <v>7774.8891190158183</v>
      </c>
      <c r="K41" s="26">
        <f t="shared" ref="K41:K45" si="23">J41/F41</f>
        <v>6.4923887328019111E-3</v>
      </c>
      <c r="L41" s="23">
        <f t="shared" si="22"/>
        <v>7774.8891190158183</v>
      </c>
      <c r="O41" s="26"/>
      <c r="P41" s="26"/>
    </row>
    <row r="42" spans="1:16" x14ac:dyDescent="0.2">
      <c r="A42" s="218">
        <f t="shared" si="16"/>
        <v>30</v>
      </c>
      <c r="C42" s="41" t="s">
        <v>16</v>
      </c>
      <c r="D42" s="524">
        <v>2500000</v>
      </c>
      <c r="E42" s="31">
        <f t="shared" si="17"/>
        <v>7.0811036472187366E-2</v>
      </c>
      <c r="F42" s="24">
        <f t="shared" si="18"/>
        <v>2395078.1257857368</v>
      </c>
      <c r="G42" s="26">
        <f t="shared" si="19"/>
        <v>9.7670000000000007E-2</v>
      </c>
      <c r="H42" s="23">
        <f t="shared" si="20"/>
        <v>233927</v>
      </c>
      <c r="I42" s="2"/>
      <c r="J42" s="23">
        <f t="shared" si="21"/>
        <v>10037.287455540913</v>
      </c>
      <c r="K42" s="26">
        <f t="shared" si="23"/>
        <v>4.1907975140677506E-3</v>
      </c>
      <c r="L42" s="23">
        <f t="shared" si="22"/>
        <v>10037.287455540913</v>
      </c>
      <c r="O42" s="26"/>
      <c r="P42" s="26"/>
    </row>
    <row r="43" spans="1:16" x14ac:dyDescent="0.2">
      <c r="A43" s="218">
        <f t="shared" si="16"/>
        <v>31</v>
      </c>
      <c r="C43" s="41" t="s">
        <v>15</v>
      </c>
      <c r="D43" s="524">
        <v>4706860</v>
      </c>
      <c r="E43" s="31">
        <f t="shared" si="17"/>
        <v>0.13331905405179192</v>
      </c>
      <c r="F43" s="24">
        <f t="shared" si="18"/>
        <v>4509318.9708543411</v>
      </c>
      <c r="G43" s="26">
        <f t="shared" si="19"/>
        <v>6.3969999999999999E-2</v>
      </c>
      <c r="H43" s="23">
        <f t="shared" si="20"/>
        <v>288461</v>
      </c>
      <c r="I43" s="2"/>
      <c r="J43" s="23">
        <f t="shared" si="21"/>
        <v>12377.22014437319</v>
      </c>
      <c r="K43" s="26">
        <f t="shared" si="23"/>
        <v>2.7448091883436197E-3</v>
      </c>
      <c r="L43" s="23">
        <f t="shared" si="22"/>
        <v>12377.22014437319</v>
      </c>
      <c r="O43" s="26"/>
      <c r="P43" s="26"/>
    </row>
    <row r="44" spans="1:16" x14ac:dyDescent="0.2">
      <c r="A44" s="218">
        <f t="shared" si="16"/>
        <v>32</v>
      </c>
      <c r="C44" s="41" t="s">
        <v>14</v>
      </c>
      <c r="D44" s="524">
        <v>10178440</v>
      </c>
      <c r="E44" s="31">
        <f t="shared" si="17"/>
        <v>0.28829835442798829</v>
      </c>
      <c r="F44" s="24">
        <f t="shared" si="18"/>
        <v>9751263.5994490292</v>
      </c>
      <c r="G44" s="26">
        <f t="shared" si="19"/>
        <v>4.7100000000000003E-2</v>
      </c>
      <c r="H44" s="23">
        <f t="shared" si="20"/>
        <v>459285</v>
      </c>
      <c r="I44" s="2"/>
      <c r="J44" s="23">
        <f t="shared" si="21"/>
        <v>19706.898173439185</v>
      </c>
      <c r="K44" s="26">
        <f t="shared" si="23"/>
        <v>2.0209584093852898E-3</v>
      </c>
      <c r="L44" s="23">
        <f t="shared" si="22"/>
        <v>19706.898173439185</v>
      </c>
      <c r="O44" s="26"/>
      <c r="P44" s="26"/>
    </row>
    <row r="45" spans="1:16" x14ac:dyDescent="0.2">
      <c r="A45" s="218">
        <f t="shared" si="16"/>
        <v>33</v>
      </c>
      <c r="C45" s="41" t="s">
        <v>19</v>
      </c>
      <c r="D45" s="525">
        <v>15419931</v>
      </c>
      <c r="E45" s="32">
        <f t="shared" si="17"/>
        <v>0.43676051857584502</v>
      </c>
      <c r="F45" s="24">
        <f t="shared" si="18"/>
        <v>14772775.775690151</v>
      </c>
      <c r="G45" s="26">
        <f t="shared" si="19"/>
        <v>2.9659999999999999E-2</v>
      </c>
      <c r="H45" s="23">
        <f t="shared" si="20"/>
        <v>438161</v>
      </c>
      <c r="I45" s="2"/>
      <c r="J45" s="22">
        <f t="shared" si="21"/>
        <v>18800.514300646191</v>
      </c>
      <c r="K45" s="26">
        <f t="shared" si="23"/>
        <v>1.2726460203629452E-3</v>
      </c>
      <c r="L45" s="22">
        <f t="shared" si="22"/>
        <v>18800.514300646191</v>
      </c>
      <c r="O45" s="26"/>
      <c r="P45" s="26"/>
    </row>
    <row r="46" spans="1:16" x14ac:dyDescent="0.2">
      <c r="A46" s="218">
        <f t="shared" si="16"/>
        <v>34</v>
      </c>
      <c r="C46" s="41" t="s">
        <v>0</v>
      </c>
      <c r="D46" s="55">
        <f>SUM(D40:D45)</f>
        <v>35305231</v>
      </c>
      <c r="E46" s="31">
        <f>SUM(E40:E45)</f>
        <v>1</v>
      </c>
      <c r="F46" s="54">
        <f>SUM('Weather Adj. Volumes'!H193:L193)</f>
        <v>33823514.597564995</v>
      </c>
      <c r="G46" s="26"/>
      <c r="H46" s="27">
        <f>SUM(H40:H45)</f>
        <v>1897940</v>
      </c>
      <c r="I46" s="50">
        <f>Rates!H46</f>
        <v>85319.986139742614</v>
      </c>
      <c r="J46" s="27">
        <f>SUM(J40:J45)</f>
        <v>81436.385510733351</v>
      </c>
      <c r="L46" s="6">
        <f>SUM(L40:L45)</f>
        <v>81436.385510733351</v>
      </c>
      <c r="M46" s="23">
        <f>L46-I46</f>
        <v>-3883.6006290092628</v>
      </c>
    </row>
    <row r="47" spans="1:16" x14ac:dyDescent="0.2">
      <c r="A47" s="537"/>
      <c r="D47" s="55"/>
      <c r="E47" s="55"/>
      <c r="F47" s="3"/>
      <c r="H47" s="6"/>
      <c r="I47" s="51"/>
      <c r="J47" s="6"/>
      <c r="L47" s="6"/>
    </row>
    <row r="48" spans="1:16" x14ac:dyDescent="0.2">
      <c r="A48" s="537">
        <f>A46+1</f>
        <v>35</v>
      </c>
      <c r="B48" s="41" t="s">
        <v>0</v>
      </c>
      <c r="D48" s="55">
        <f>D18+D27+D37+D46</f>
        <v>70484404</v>
      </c>
      <c r="E48" s="55"/>
      <c r="F48" s="55">
        <f>F18+F27+F37+F46</f>
        <v>63426424.976019144</v>
      </c>
      <c r="H48" s="6">
        <f>H18+H27+H37+H46</f>
        <v>6697469</v>
      </c>
      <c r="I48" s="6">
        <f>I18+I27+I37+I46</f>
        <v>287373.50360400527</v>
      </c>
      <c r="J48" s="6">
        <f>J18+J27+J37+J46</f>
        <v>287373.50360400527</v>
      </c>
      <c r="L48" s="6">
        <f>L18+L27+L37+L46</f>
        <v>287373.63133346289</v>
      </c>
      <c r="M48" s="21">
        <f>L48-I48</f>
        <v>0.12772945762844756</v>
      </c>
    </row>
    <row r="49" spans="1:13" x14ac:dyDescent="0.2">
      <c r="A49" s="537">
        <f t="shared" si="16"/>
        <v>36</v>
      </c>
      <c r="B49" s="41" t="s">
        <v>46</v>
      </c>
      <c r="D49" s="227"/>
      <c r="E49" s="227"/>
      <c r="F49" s="3"/>
      <c r="H49" s="6"/>
      <c r="I49" s="52">
        <f>I48/H48</f>
        <v>4.2907776595010036E-2</v>
      </c>
      <c r="J49" s="6"/>
      <c r="L49" s="6"/>
      <c r="M49" s="48">
        <f>M48/J48</f>
        <v>4.444719364400975E-7</v>
      </c>
    </row>
    <row r="50" spans="1:13" x14ac:dyDescent="0.2">
      <c r="A50" s="218"/>
      <c r="D50" s="227"/>
      <c r="E50" s="227"/>
      <c r="F50" s="3"/>
      <c r="H50" s="6"/>
      <c r="I50" s="52"/>
      <c r="J50" s="6"/>
      <c r="L50" s="6"/>
      <c r="M50" s="48"/>
    </row>
    <row r="51" spans="1:13" x14ac:dyDescent="0.2">
      <c r="A51" s="218"/>
    </row>
    <row r="52" spans="1:13" ht="12.75" customHeight="1" x14ac:dyDescent="0.2">
      <c r="A52" s="246" t="s">
        <v>30</v>
      </c>
      <c r="B52" s="241" t="s">
        <v>415</v>
      </c>
    </row>
    <row r="53" spans="1:13" ht="12.75" customHeight="1" x14ac:dyDescent="0.2">
      <c r="A53" s="240" t="s">
        <v>29</v>
      </c>
      <c r="B53" s="241" t="s">
        <v>315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</row>
    <row r="54" spans="1:13" ht="12.6" customHeight="1" x14ac:dyDescent="0.2">
      <c r="A54" s="240" t="s">
        <v>28</v>
      </c>
      <c r="B54" s="10" t="s">
        <v>416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3.5" thickBot="1" x14ac:dyDescent="0.25"/>
    <row r="56" spans="1:13" x14ac:dyDescent="0.2">
      <c r="F56" s="20" t="s">
        <v>13</v>
      </c>
    </row>
    <row r="57" spans="1:13" x14ac:dyDescent="0.2">
      <c r="F57" s="19">
        <f>F18-SUM(F11:F16)</f>
        <v>0</v>
      </c>
    </row>
    <row r="58" spans="1:13" x14ac:dyDescent="0.2">
      <c r="F58" s="19">
        <f>F27-SUM(F21:F26)</f>
        <v>0</v>
      </c>
    </row>
    <row r="59" spans="1:13" x14ac:dyDescent="0.2">
      <c r="F59" s="19">
        <f>F37-SUM(F30:F35)</f>
        <v>0</v>
      </c>
    </row>
    <row r="60" spans="1:13" ht="13.5" thickBot="1" x14ac:dyDescent="0.25">
      <c r="F60" s="18">
        <f>F46-SUM(F40:F45)</f>
        <v>0</v>
      </c>
    </row>
    <row r="64" spans="1:13" x14ac:dyDescent="0.2">
      <c r="H64" s="53"/>
      <c r="I64" s="53"/>
    </row>
    <row r="65" spans="6:9" x14ac:dyDescent="0.2">
      <c r="F65" s="53"/>
    </row>
    <row r="69" spans="6:9" x14ac:dyDescent="0.2">
      <c r="F69" s="53"/>
    </row>
    <row r="71" spans="6:9" x14ac:dyDescent="0.2">
      <c r="I71" s="53"/>
    </row>
    <row r="73" spans="6:9" x14ac:dyDescent="0.2">
      <c r="I73" s="53"/>
    </row>
  </sheetData>
  <mergeCells count="1">
    <mergeCell ref="B8:C8"/>
  </mergeCells>
  <printOptions horizontalCentered="1"/>
  <pageMargins left="0.75" right="0.75" top="1" bottom="1" header="0.5" footer="0.5"/>
  <pageSetup scale="69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54" max="12" man="1"/>
  </rowBreaks>
  <colBreaks count="1" manualBreakCount="1">
    <brk id="12" max="1048575" man="1"/>
  </colBreaks>
  <customProperties>
    <customPr name="_pios_id" r:id="rId2"/>
  </customProperties>
  <ignoredErrors>
    <ignoredError sqref="D17 D36" formulaRange="1"/>
    <ignoredError sqref="I18 I27 I37 I4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"/>
  <sheetViews>
    <sheetView zoomScale="90" zoomScaleNormal="90" workbookViewId="0">
      <selection activeCell="K36" sqref="K36"/>
    </sheetView>
  </sheetViews>
  <sheetFormatPr defaultColWidth="8.85546875" defaultRowHeight="12.75" x14ac:dyDescent="0.2"/>
  <cols>
    <col min="1" max="1" width="4.85546875" style="41" bestFit="1" customWidth="1"/>
    <col min="2" max="2" width="24.140625" style="41" customWidth="1"/>
    <col min="3" max="3" width="9" style="41" bestFit="1" customWidth="1"/>
    <col min="4" max="4" width="13.85546875" style="41" customWidth="1"/>
    <col min="5" max="5" width="14.5703125" style="41" customWidth="1"/>
    <col min="6" max="7" width="13.5703125" style="41" customWidth="1"/>
    <col min="8" max="9" width="13.5703125" style="60" customWidth="1"/>
    <col min="10" max="11" width="13.5703125" style="41" customWidth="1"/>
    <col min="12" max="12" width="13.85546875" style="41" customWidth="1"/>
    <col min="13" max="13" width="15.42578125" style="41" bestFit="1" customWidth="1"/>
    <col min="14" max="21" width="9.140625" style="41" customWidth="1"/>
    <col min="22" max="16384" width="8.85546875" style="41"/>
  </cols>
  <sheetData>
    <row r="1" spans="1:18" ht="15" customHeight="1" x14ac:dyDescent="0.2">
      <c r="A1" s="142" t="s">
        <v>12</v>
      </c>
      <c r="B1" s="58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48"/>
      <c r="O1" s="58"/>
      <c r="P1" s="10"/>
      <c r="Q1" s="10"/>
      <c r="R1" s="10"/>
    </row>
    <row r="2" spans="1:18" ht="15" customHeight="1" x14ac:dyDescent="0.2">
      <c r="A2" s="142" t="str">
        <f>Rates!$A$2</f>
        <v>2024 Gas Schedule 129 Low Income Program Rate Filing</v>
      </c>
      <c r="B2" s="142"/>
      <c r="C2" s="142"/>
      <c r="D2" s="142"/>
      <c r="E2" s="142"/>
      <c r="F2" s="142"/>
      <c r="G2" s="142"/>
      <c r="H2" s="142"/>
      <c r="I2" s="142"/>
      <c r="J2" s="223"/>
      <c r="K2" s="223"/>
      <c r="L2" s="223"/>
      <c r="M2" s="223"/>
      <c r="N2" s="248"/>
      <c r="O2" s="58"/>
      <c r="P2" s="10"/>
      <c r="Q2" s="10"/>
      <c r="R2" s="10"/>
    </row>
    <row r="3" spans="1:18" ht="15" customHeight="1" x14ac:dyDescent="0.2">
      <c r="A3" s="58" t="s">
        <v>309</v>
      </c>
      <c r="B3" s="58"/>
      <c r="C3" s="58"/>
      <c r="D3" s="58"/>
      <c r="E3" s="58"/>
      <c r="F3" s="58"/>
      <c r="G3" s="58"/>
      <c r="H3" s="58"/>
      <c r="I3" s="58"/>
      <c r="J3" s="68"/>
      <c r="K3" s="68"/>
      <c r="L3" s="68"/>
      <c r="M3" s="68"/>
      <c r="N3" s="10"/>
      <c r="O3" s="58"/>
      <c r="P3" s="10"/>
      <c r="Q3" s="10"/>
      <c r="R3" s="10"/>
    </row>
    <row r="5" spans="1:18" x14ac:dyDescent="0.2">
      <c r="F5" s="218"/>
      <c r="G5" s="537"/>
      <c r="I5" s="249"/>
    </row>
    <row r="6" spans="1:18" x14ac:dyDescent="0.2">
      <c r="D6" s="224" t="s">
        <v>262</v>
      </c>
      <c r="E6" s="218" t="str">
        <f>$D$6</f>
        <v>UG-220067</v>
      </c>
      <c r="F6" s="218" t="str">
        <f>$D$6</f>
        <v>UG-220067</v>
      </c>
      <c r="G6" s="537" t="s">
        <v>317</v>
      </c>
      <c r="H6" s="218" t="s">
        <v>265</v>
      </c>
      <c r="I6" s="271" t="s">
        <v>266</v>
      </c>
      <c r="J6" s="271" t="s">
        <v>267</v>
      </c>
      <c r="K6" s="218" t="s">
        <v>0</v>
      </c>
      <c r="L6" s="523">
        <v>2023</v>
      </c>
      <c r="M6" s="43">
        <f>+L6</f>
        <v>2023</v>
      </c>
      <c r="N6" s="43"/>
    </row>
    <row r="7" spans="1:18" x14ac:dyDescent="0.2">
      <c r="A7" s="41" t="s">
        <v>36</v>
      </c>
      <c r="C7" s="218" t="s">
        <v>11</v>
      </c>
      <c r="D7" s="43" t="s">
        <v>10</v>
      </c>
      <c r="E7" s="43" t="s">
        <v>68</v>
      </c>
      <c r="F7" s="43" t="s">
        <v>270</v>
      </c>
      <c r="G7" s="43" t="s">
        <v>318</v>
      </c>
      <c r="H7" s="43" t="s">
        <v>268</v>
      </c>
      <c r="I7" s="43" t="s">
        <v>269</v>
      </c>
      <c r="J7" s="43" t="s">
        <v>269</v>
      </c>
      <c r="K7" s="43" t="s">
        <v>45</v>
      </c>
      <c r="L7" s="43" t="s">
        <v>10</v>
      </c>
      <c r="M7" s="43" t="s">
        <v>37</v>
      </c>
      <c r="N7" s="43"/>
    </row>
    <row r="8" spans="1:18" ht="14.25" x14ac:dyDescent="0.2">
      <c r="A8" s="17" t="s">
        <v>310</v>
      </c>
      <c r="B8" s="17" t="s">
        <v>8</v>
      </c>
      <c r="C8" s="17" t="s">
        <v>7</v>
      </c>
      <c r="D8" s="17" t="s">
        <v>66</v>
      </c>
      <c r="E8" s="17" t="s">
        <v>69</v>
      </c>
      <c r="F8" s="17" t="s">
        <v>172</v>
      </c>
      <c r="G8" s="536" t="s">
        <v>202</v>
      </c>
      <c r="H8" s="17" t="s">
        <v>203</v>
      </c>
      <c r="I8" s="17" t="s">
        <v>319</v>
      </c>
      <c r="J8" s="17" t="s">
        <v>320</v>
      </c>
      <c r="K8" s="17" t="s">
        <v>43</v>
      </c>
      <c r="L8" s="17" t="s">
        <v>321</v>
      </c>
      <c r="M8" s="17" t="s">
        <v>322</v>
      </c>
      <c r="N8" s="43"/>
    </row>
    <row r="9" spans="1:18" x14ac:dyDescent="0.2">
      <c r="A9" s="491"/>
      <c r="B9" s="491" t="s">
        <v>72</v>
      </c>
      <c r="C9" s="491" t="s">
        <v>73</v>
      </c>
      <c r="D9" s="491" t="s">
        <v>74</v>
      </c>
      <c r="E9" s="491" t="s">
        <v>75</v>
      </c>
      <c r="F9" s="491" t="s">
        <v>311</v>
      </c>
      <c r="G9" s="491" t="s">
        <v>312</v>
      </c>
      <c r="H9" s="491" t="s">
        <v>313</v>
      </c>
      <c r="I9" s="491" t="s">
        <v>76</v>
      </c>
      <c r="J9" s="491" t="s">
        <v>77</v>
      </c>
      <c r="K9" s="491" t="s">
        <v>78</v>
      </c>
      <c r="L9" s="491" t="s">
        <v>177</v>
      </c>
      <c r="M9" s="491" t="s">
        <v>178</v>
      </c>
      <c r="N9" s="43"/>
    </row>
    <row r="10" spans="1:18" x14ac:dyDescent="0.2">
      <c r="A10" s="218">
        <v>1</v>
      </c>
      <c r="B10" s="9" t="s">
        <v>5</v>
      </c>
      <c r="C10" s="218" t="s">
        <v>24</v>
      </c>
      <c r="D10" s="243">
        <f>'Exh JDT-5 (JDT-RES_RD)'!D13+'Exh JDT-5 (JDT-RES_RD)'!D21</f>
        <v>620836684.05687141</v>
      </c>
      <c r="E10" s="47">
        <f>'Exh JDT-5 (JDT-RES_RD)'!I16+'Exh JDT-5 (JDT-RES_RD)'!I24</f>
        <v>403613457.09474093</v>
      </c>
      <c r="F10" s="40">
        <f>E10/D10</f>
        <v>0.6501121268436002</v>
      </c>
      <c r="G10" s="562">
        <v>2.2849999999999999E-2</v>
      </c>
      <c r="H10" s="57">
        <f>'Exh JDT-5 (JDT-MYRP)'!Q11</f>
        <v>3.15E-3</v>
      </c>
      <c r="I10" s="57">
        <f>'Exh JDT-5 (JDT-MYRP)'!O11</f>
        <v>-4.7999999999999996E-3</v>
      </c>
      <c r="J10" s="57">
        <f>'Exh JDT-5 (JDT-MYRP)'!P11</f>
        <v>7.2679999999999995E-2</v>
      </c>
      <c r="K10" s="40">
        <f>SUM(F10:J10)</f>
        <v>0.74399212684360017</v>
      </c>
      <c r="L10" s="243">
        <f>'Weather Adj. Volumes'!P181</f>
        <v>566533285.41189575</v>
      </c>
      <c r="M10" s="250">
        <f>K10*L10</f>
        <v>421496303.94128865</v>
      </c>
      <c r="N10" s="7"/>
      <c r="Q10" s="251"/>
    </row>
    <row r="11" spans="1:18" x14ac:dyDescent="0.2">
      <c r="A11" s="218"/>
      <c r="B11" s="9"/>
      <c r="C11" s="218"/>
      <c r="D11" s="243"/>
      <c r="E11" s="47"/>
      <c r="G11" s="530"/>
      <c r="H11" s="57"/>
      <c r="I11" s="57"/>
      <c r="J11" s="57"/>
      <c r="L11" s="243"/>
      <c r="N11" s="44"/>
    </row>
    <row r="12" spans="1:18" x14ac:dyDescent="0.2">
      <c r="A12" s="218">
        <f>A10+1</f>
        <v>2</v>
      </c>
      <c r="B12" s="143" t="s">
        <v>23</v>
      </c>
      <c r="C12" s="218"/>
      <c r="D12" s="243"/>
      <c r="E12" s="47"/>
      <c r="G12" s="530"/>
      <c r="H12" s="57"/>
      <c r="I12" s="57"/>
      <c r="J12" s="57"/>
      <c r="L12" s="243"/>
      <c r="N12" s="44"/>
    </row>
    <row r="13" spans="1:18" x14ac:dyDescent="0.2">
      <c r="A13" s="218">
        <f t="shared" ref="A13:A28" si="0">A12+1</f>
        <v>3</v>
      </c>
      <c r="B13" s="16" t="s">
        <v>42</v>
      </c>
      <c r="C13" s="218" t="s">
        <v>33</v>
      </c>
      <c r="D13" s="243">
        <f>'Exh JDT-5 (JDT-C&amp;I-RD)'!D32</f>
        <v>222203870.67539161</v>
      </c>
      <c r="E13" s="47">
        <f>'Exh JDT-5 (JDT-C&amp;I-RD)'!I36</f>
        <v>122144982.04000001</v>
      </c>
      <c r="F13" s="40">
        <f>E13/D13</f>
        <v>0.54969781430331843</v>
      </c>
      <c r="G13" s="562">
        <v>2.513E-2</v>
      </c>
      <c r="H13" s="57">
        <f>'Exh JDT-5 (JDT-MYRP)'!Q40</f>
        <v>2.8900000000000002E-3</v>
      </c>
      <c r="I13" s="57">
        <f>'Exh JDT-5 (JDT-MYRP)'!O40</f>
        <v>-4.4000000000000003E-3</v>
      </c>
      <c r="J13" s="57">
        <f>'Exh JDT-5 (JDT-MYRP)'!P40</f>
        <v>6.6659999999999997E-2</v>
      </c>
      <c r="K13" s="40">
        <f>SUM(F13:J13)</f>
        <v>0.63997781430331835</v>
      </c>
      <c r="L13" s="243">
        <f>SUM('Weather Adj. Volumes'!P182,'Weather Adj. Volumes'!P189)</f>
        <v>232495960.94990245</v>
      </c>
      <c r="M13" s="250">
        <f>K13*L13</f>
        <v>148792256.92306823</v>
      </c>
      <c r="N13" s="7"/>
      <c r="Q13" s="251"/>
    </row>
    <row r="14" spans="1:18" x14ac:dyDescent="0.2">
      <c r="A14" s="218"/>
      <c r="B14" s="143"/>
      <c r="C14" s="43"/>
      <c r="D14" s="243"/>
      <c r="E14" s="47"/>
      <c r="G14" s="530"/>
      <c r="H14" s="57"/>
      <c r="I14" s="57"/>
      <c r="J14" s="57"/>
      <c r="L14" s="243"/>
      <c r="M14" s="250"/>
      <c r="N14" s="7"/>
    </row>
    <row r="15" spans="1:18" x14ac:dyDescent="0.2">
      <c r="A15" s="218">
        <f>A13+1</f>
        <v>4</v>
      </c>
      <c r="B15" s="9" t="s">
        <v>22</v>
      </c>
      <c r="C15" s="218" t="s">
        <v>32</v>
      </c>
      <c r="D15" s="243">
        <f>'Exh JDT-5 (JDT-C&amp;I-RD)'!D82</f>
        <v>82012496.764967203</v>
      </c>
      <c r="E15" s="47">
        <f>'Exh JDT-5 (JDT-C&amp;I-RD)'!I86</f>
        <v>22261797.053338237</v>
      </c>
      <c r="F15" s="40">
        <f>E15/D15</f>
        <v>0.27144396197492282</v>
      </c>
      <c r="G15" s="562">
        <v>1.004E-2</v>
      </c>
      <c r="H15" s="57">
        <f>'Exh JDT-5 (JDT-MYRP)'!Q64</f>
        <v>2.2000000000000001E-3</v>
      </c>
      <c r="I15" s="57">
        <f>'Exh JDT-5 (JDT-MYRP)'!O64</f>
        <v>-2.0999999999999999E-3</v>
      </c>
      <c r="J15" s="57">
        <f>'Exh JDT-5 (JDT-MYRP)'!P64</f>
        <v>3.1870000000000002E-2</v>
      </c>
      <c r="K15" s="40">
        <f>SUM(F15:J15)</f>
        <v>0.31345396197492281</v>
      </c>
      <c r="L15" s="243">
        <f>SUM('Weather Adj. Volumes'!P183,'Weather Adj. Volumes'!P190)</f>
        <v>88770516.480369329</v>
      </c>
      <c r="M15" s="250">
        <f>K15*L15</f>
        <v>27825470.097331945</v>
      </c>
      <c r="N15" s="7"/>
      <c r="Q15" s="251"/>
    </row>
    <row r="16" spans="1:18" x14ac:dyDescent="0.2">
      <c r="A16" s="218"/>
      <c r="B16" s="9"/>
      <c r="C16" s="218"/>
      <c r="D16" s="243"/>
      <c r="E16" s="47"/>
      <c r="F16" s="40"/>
      <c r="G16" s="562"/>
      <c r="H16" s="57"/>
      <c r="I16" s="57"/>
      <c r="J16" s="57"/>
      <c r="K16" s="40"/>
      <c r="L16" s="243"/>
      <c r="M16" s="250"/>
      <c r="N16" s="7"/>
    </row>
    <row r="17" spans="1:24" x14ac:dyDescent="0.2">
      <c r="A17" s="218">
        <f>A15+1</f>
        <v>5</v>
      </c>
      <c r="B17" s="9" t="s">
        <v>41</v>
      </c>
      <c r="C17" s="218" t="s">
        <v>31</v>
      </c>
      <c r="D17" s="243">
        <f>'Exh JDT-5 (JDT-INTRPL-RD)'!D96</f>
        <v>7491654.8276905464</v>
      </c>
      <c r="E17" s="47">
        <f>'Exh JDT-5 (JDT-INTRPL-RD)'!I98</f>
        <v>1560031.02</v>
      </c>
      <c r="F17" s="40">
        <f>E17/D17</f>
        <v>0.20823583785972571</v>
      </c>
      <c r="G17" s="562">
        <v>6.7299999999999999E-3</v>
      </c>
      <c r="H17" s="57">
        <f>'Exh JDT-5 (JDT-MYRP)'!Q139</f>
        <v>4.8999999999999998E-4</v>
      </c>
      <c r="I17" s="57">
        <f>'Exh JDT-5 (JDT-MYRP)'!O139</f>
        <v>-1.06E-3</v>
      </c>
      <c r="J17" s="57">
        <f>'Exh JDT-5 (JDT-MYRP)'!P139</f>
        <v>1.6049999999999998E-2</v>
      </c>
      <c r="K17" s="40">
        <f>SUM(F17:J17)</f>
        <v>0.23044583785972572</v>
      </c>
      <c r="L17" s="243">
        <f>SUM('Weather Adj. Volumes'!P187,'Weather Adj. Volumes'!P192)</f>
        <v>7426107.8850715421</v>
      </c>
      <c r="M17" s="250">
        <f>K17*L17</f>
        <v>1711315.6536120272</v>
      </c>
      <c r="N17" s="7"/>
      <c r="Q17" s="251"/>
    </row>
    <row r="18" spans="1:24" x14ac:dyDescent="0.2">
      <c r="A18" s="218"/>
      <c r="B18" s="9"/>
      <c r="C18" s="218"/>
      <c r="D18" s="243"/>
      <c r="E18" s="47"/>
      <c r="G18" s="530"/>
      <c r="H18" s="57"/>
      <c r="I18" s="57"/>
      <c r="J18" s="57"/>
      <c r="L18" s="243"/>
      <c r="M18" s="250"/>
      <c r="N18" s="7"/>
    </row>
    <row r="19" spans="1:24" x14ac:dyDescent="0.2">
      <c r="A19" s="218">
        <f>A17+1</f>
        <v>6</v>
      </c>
      <c r="B19" s="9" t="s">
        <v>4</v>
      </c>
      <c r="C19" s="218"/>
      <c r="D19" s="252"/>
      <c r="E19" s="252"/>
      <c r="G19" s="530"/>
      <c r="H19" s="57"/>
      <c r="I19" s="57"/>
      <c r="J19" s="57"/>
      <c r="L19" s="243"/>
      <c r="M19" s="250"/>
      <c r="N19" s="7"/>
    </row>
    <row r="20" spans="1:24" x14ac:dyDescent="0.2">
      <c r="A20" s="218">
        <f t="shared" si="0"/>
        <v>7</v>
      </c>
      <c r="B20" s="253" t="s">
        <v>4</v>
      </c>
      <c r="C20" s="218">
        <v>85</v>
      </c>
      <c r="D20" s="243">
        <f>'Exh JDT-5 (JDT-INTRPL-RD)'!D21</f>
        <v>19992939.502740219</v>
      </c>
      <c r="E20" s="47">
        <f>'Exh JDT-5 (JDT-INTRPL-RD)'!I23</f>
        <v>2272313.06</v>
      </c>
      <c r="F20" s="40">
        <f>E20/D20</f>
        <v>0.11365577631486147</v>
      </c>
      <c r="G20" s="562">
        <v>5.2900000000000004E-3</v>
      </c>
      <c r="H20" s="57">
        <f>'Exh JDT-5 (JDT-MYRP)'!Q102</f>
        <v>1.8500000000000001E-3</v>
      </c>
      <c r="I20" s="57">
        <f>'Exh JDT-5 (JDT-MYRP)'!O102</f>
        <v>-1.2800000000000001E-3</v>
      </c>
      <c r="J20" s="57">
        <f>'Exh JDT-5 (JDT-MYRP)'!P102</f>
        <v>1.9390000000000001E-2</v>
      </c>
      <c r="K20" s="40">
        <f>SUM(F20:J20)</f>
        <v>0.13890577631486148</v>
      </c>
      <c r="L20" s="243">
        <f>'Weather Adj. Volumes'!P186</f>
        <v>22514120.979060303</v>
      </c>
      <c r="M20" s="250">
        <f>K20*L20</f>
        <v>3127341.4526430806</v>
      </c>
      <c r="N20" s="7"/>
      <c r="Q20" s="251"/>
    </row>
    <row r="21" spans="1:24" x14ac:dyDescent="0.2">
      <c r="A21" s="218">
        <f t="shared" si="0"/>
        <v>8</v>
      </c>
      <c r="B21" s="16" t="s">
        <v>40</v>
      </c>
      <c r="C21" s="43">
        <v>87</v>
      </c>
      <c r="D21" s="243">
        <f>'Exh JDT-5 (JDT-INTRPL-RD)'!D116</f>
        <v>21819455.762355208</v>
      </c>
      <c r="E21" s="254">
        <f>'Exh JDT-5 (JDT-INTRPL-RD)'!I118</f>
        <v>1509849.77</v>
      </c>
      <c r="F21" s="40">
        <f>E21/D21</f>
        <v>6.9197407416775353E-2</v>
      </c>
      <c r="G21" s="562">
        <v>3.7699999999999999E-3</v>
      </c>
      <c r="H21" s="255">
        <f>'Exh JDT-5 (JDT-MYRP)'!Q173/'Exh JDT-5 (JDT-MYRP)'!L191</f>
        <v>7.7458708977973234E-4</v>
      </c>
      <c r="I21" s="255">
        <f>'Exh JDT-5 (JDT-MYRP)'!O173/'Exh JDT-5 (JDT-MYRP)'!$L$173</f>
        <v>-3.7331711467239833E-4</v>
      </c>
      <c r="J21" s="255">
        <f>'Exh JDT-5 (JDT-MYRP)'!P173/'Exh JDT-5 (JDT-MYRP)'!$L$173</f>
        <v>5.6545209270761907E-3</v>
      </c>
      <c r="K21" s="40">
        <f>SUM(F21:J21)</f>
        <v>7.9023198318958876E-2</v>
      </c>
      <c r="L21" s="243">
        <f>'Weather Adj. Volumes'!P188</f>
        <v>20439485.711026669</v>
      </c>
      <c r="M21" s="250">
        <f>K21*L21</f>
        <v>1615193.5328799866</v>
      </c>
      <c r="N21" s="7"/>
      <c r="Q21" s="251"/>
    </row>
    <row r="22" spans="1:24" x14ac:dyDescent="0.2">
      <c r="A22" s="218">
        <f t="shared" si="0"/>
        <v>9</v>
      </c>
      <c r="B22" s="16" t="s">
        <v>1</v>
      </c>
      <c r="C22" s="43"/>
      <c r="D22" s="15">
        <f t="shared" ref="D22" si="1">SUM(D20:D21)</f>
        <v>41812395.265095428</v>
      </c>
      <c r="E22" s="11">
        <f t="shared" ref="E22" si="2">SUM(E20:E21)</f>
        <v>3782162.83</v>
      </c>
      <c r="F22" s="40"/>
      <c r="G22" s="40"/>
      <c r="H22" s="256"/>
      <c r="I22" s="256"/>
      <c r="J22" s="256"/>
      <c r="K22" s="40"/>
      <c r="L22" s="15">
        <f>SUM(L20:L21)</f>
        <v>42953606.690086976</v>
      </c>
      <c r="M22" s="11">
        <f>SUM(M20:M21)</f>
        <v>4742534.9855230674</v>
      </c>
      <c r="N22" s="7"/>
      <c r="Q22" s="251"/>
    </row>
    <row r="23" spans="1:24" x14ac:dyDescent="0.2">
      <c r="A23" s="218"/>
      <c r="B23" s="16"/>
      <c r="C23" s="43"/>
      <c r="D23" s="38"/>
      <c r="E23" s="7"/>
      <c r="F23" s="40"/>
      <c r="G23" s="40"/>
      <c r="H23" s="256"/>
      <c r="I23" s="256"/>
      <c r="J23" s="256"/>
      <c r="K23" s="40"/>
      <c r="L23" s="38"/>
      <c r="M23" s="7"/>
      <c r="N23" s="7"/>
    </row>
    <row r="24" spans="1:24" x14ac:dyDescent="0.2">
      <c r="A24" s="218">
        <f>A22+1</f>
        <v>10</v>
      </c>
      <c r="B24" s="143" t="s">
        <v>20</v>
      </c>
      <c r="C24" s="43"/>
      <c r="D24" s="14"/>
      <c r="E24" s="8"/>
      <c r="H24" s="256"/>
      <c r="I24" s="256"/>
      <c r="J24" s="256"/>
      <c r="L24" s="34"/>
      <c r="M24" s="250"/>
      <c r="N24" s="7"/>
    </row>
    <row r="25" spans="1:24" x14ac:dyDescent="0.2">
      <c r="A25" s="218">
        <f t="shared" si="0"/>
        <v>11</v>
      </c>
      <c r="B25" s="253" t="s">
        <v>4</v>
      </c>
      <c r="C25" s="43" t="s">
        <v>3</v>
      </c>
      <c r="D25" s="243">
        <f>'Exh JDT-5 (JDT-INTRPL-RD)'!D36</f>
        <v>68886791.019958794</v>
      </c>
      <c r="E25" s="254">
        <f>'Exh JDT-5 (JDT-INTRPL-RD)'!I38</f>
        <v>7339677.3100000005</v>
      </c>
      <c r="F25" s="40">
        <f t="shared" ref="F25:F26" si="3">E25/D25</f>
        <v>0.1065469475544804</v>
      </c>
      <c r="G25" s="237">
        <f t="shared" ref="G25" si="4">G20</f>
        <v>5.2900000000000004E-3</v>
      </c>
      <c r="H25" s="237"/>
      <c r="I25" s="237">
        <f t="shared" ref="I25:J26" si="5">I20</f>
        <v>-1.2800000000000001E-3</v>
      </c>
      <c r="J25" s="237">
        <f t="shared" si="5"/>
        <v>1.9390000000000001E-2</v>
      </c>
      <c r="K25" s="40">
        <f>SUM(F25:J25)</f>
        <v>0.12994694755448039</v>
      </c>
      <c r="L25" s="243">
        <f>'Weather Adj. Volumes'!P191</f>
        <v>57945048.960469335</v>
      </c>
      <c r="M25" s="250">
        <f>K25*L25</f>
        <v>7529782.2383079072</v>
      </c>
      <c r="N25" s="7"/>
      <c r="Q25" s="251"/>
    </row>
    <row r="26" spans="1:24" x14ac:dyDescent="0.2">
      <c r="A26" s="218">
        <f t="shared" si="0"/>
        <v>12</v>
      </c>
      <c r="B26" s="16" t="s">
        <v>40</v>
      </c>
      <c r="C26" s="43" t="s">
        <v>2</v>
      </c>
      <c r="D26" s="243">
        <f>'Exh JDT-5 (JDT-INTRPL-RD)'!D134</f>
        <v>97500425.645479575</v>
      </c>
      <c r="E26" s="254">
        <f>'Exh JDT-5 (JDT-INTRPL-RD)'!I136</f>
        <v>4790056.76</v>
      </c>
      <c r="F26" s="40">
        <f t="shared" si="3"/>
        <v>4.9128572806616068E-2</v>
      </c>
      <c r="G26" s="237">
        <f t="shared" ref="G26" si="6">G21</f>
        <v>3.7699999999999999E-3</v>
      </c>
      <c r="H26" s="237"/>
      <c r="I26" s="237">
        <f t="shared" si="5"/>
        <v>-3.7331711467239833E-4</v>
      </c>
      <c r="J26" s="237">
        <f t="shared" si="5"/>
        <v>5.6545209270761907E-3</v>
      </c>
      <c r="K26" s="40">
        <f>SUM(F26:J26)</f>
        <v>5.8179776619019859E-2</v>
      </c>
      <c r="L26" s="243">
        <f>'Weather Adj. Volumes'!P193</f>
        <v>89071524.227799997</v>
      </c>
      <c r="M26" s="257">
        <f>K26*L26</f>
        <v>5182161.3826890187</v>
      </c>
      <c r="N26" s="7"/>
      <c r="Q26" s="251"/>
    </row>
    <row r="27" spans="1:24" x14ac:dyDescent="0.2">
      <c r="A27" s="218">
        <f t="shared" si="0"/>
        <v>13</v>
      </c>
      <c r="B27" s="143" t="s">
        <v>39</v>
      </c>
      <c r="C27" s="43"/>
      <c r="D27" s="13">
        <f t="shared" ref="D27" si="7">SUM(D25:D26)</f>
        <v>166387216.66543835</v>
      </c>
      <c r="E27" s="12">
        <f t="shared" ref="E27" si="8">SUM(E25:E26)</f>
        <v>12129734.07</v>
      </c>
      <c r="F27" s="40"/>
      <c r="G27" s="40"/>
      <c r="H27" s="214"/>
      <c r="I27" s="214"/>
      <c r="K27" s="40"/>
      <c r="L27" s="13">
        <f>SUM(L25:L26)</f>
        <v>147016573.18826932</v>
      </c>
      <c r="M27" s="258">
        <f>SUM(M25:M26)</f>
        <v>12711943.620996926</v>
      </c>
      <c r="N27" s="259"/>
      <c r="Q27" s="251"/>
    </row>
    <row r="28" spans="1:24" x14ac:dyDescent="0.2">
      <c r="A28" s="218">
        <f t="shared" si="0"/>
        <v>14</v>
      </c>
      <c r="B28" s="143" t="s">
        <v>0</v>
      </c>
      <c r="C28" s="143"/>
      <c r="D28" s="15">
        <f t="shared" ref="D28" si="9">D10+D13+D15+D17+D22+D27</f>
        <v>1140744318.2554548</v>
      </c>
      <c r="E28" s="11">
        <f t="shared" ref="E28" si="10">E10+E13+E15+E17+E22+E27</f>
        <v>565492164.10807931</v>
      </c>
      <c r="F28" s="40"/>
      <c r="G28" s="40"/>
      <c r="H28" s="62"/>
      <c r="I28" s="62"/>
      <c r="K28" s="40"/>
      <c r="L28" s="15">
        <f>L10+L13+L15+L17+L22+L27</f>
        <v>1085196050.6055954</v>
      </c>
      <c r="M28" s="11">
        <f>M10+M13+M15+M17+M22+M27</f>
        <v>617279825.22182095</v>
      </c>
      <c r="N28" s="7"/>
      <c r="Q28" s="251"/>
    </row>
    <row r="29" spans="1:24" x14ac:dyDescent="0.2">
      <c r="B29" s="9"/>
      <c r="C29" s="9"/>
      <c r="D29" s="38"/>
      <c r="E29" s="146"/>
      <c r="F29" s="146"/>
      <c r="G29" s="532"/>
      <c r="H29" s="63"/>
      <c r="I29" s="63"/>
      <c r="N29" s="44"/>
    </row>
    <row r="30" spans="1:24" x14ac:dyDescent="0.2">
      <c r="B30" s="9"/>
      <c r="C30" s="9"/>
      <c r="D30" s="38"/>
      <c r="E30" s="146"/>
      <c r="F30" s="146"/>
      <c r="G30" s="532"/>
      <c r="H30" s="63"/>
      <c r="I30" s="63"/>
      <c r="J30" s="146"/>
      <c r="N30" s="44"/>
    </row>
    <row r="31" spans="1:24" ht="14.25" x14ac:dyDescent="0.2">
      <c r="A31" s="240" t="s">
        <v>30</v>
      </c>
      <c r="B31" s="10" t="s">
        <v>263</v>
      </c>
      <c r="C31" s="10"/>
      <c r="D31" s="10"/>
      <c r="E31" s="10"/>
      <c r="F31" s="10"/>
      <c r="G31" s="10"/>
      <c r="H31" s="147"/>
      <c r="I31" s="147"/>
      <c r="J31" s="10"/>
      <c r="K31" s="10"/>
      <c r="L31" s="10"/>
      <c r="M31" s="10"/>
      <c r="N31" s="10"/>
      <c r="O31" s="10"/>
      <c r="S31" s="44"/>
      <c r="T31" s="44"/>
      <c r="U31" s="44"/>
      <c r="V31" s="44"/>
      <c r="W31" s="44"/>
      <c r="X31" s="44"/>
    </row>
    <row r="32" spans="1:24" ht="14.25" x14ac:dyDescent="0.2">
      <c r="A32" s="240" t="s">
        <v>29</v>
      </c>
      <c r="B32" s="10" t="s">
        <v>264</v>
      </c>
      <c r="C32" s="247"/>
      <c r="D32" s="247"/>
      <c r="E32" s="247"/>
      <c r="F32" s="247"/>
      <c r="G32" s="247"/>
      <c r="H32" s="61"/>
      <c r="I32" s="61"/>
      <c r="J32" s="247"/>
      <c r="K32" s="247"/>
      <c r="L32" s="247"/>
      <c r="M32" s="247"/>
      <c r="N32" s="247"/>
      <c r="O32" s="247"/>
      <c r="S32" s="44"/>
      <c r="T32" s="44"/>
      <c r="U32" s="44"/>
      <c r="V32" s="44"/>
      <c r="W32" s="44"/>
      <c r="X32" s="44"/>
    </row>
    <row r="33" spans="1:24" ht="14.25" x14ac:dyDescent="0.2">
      <c r="A33" s="240" t="s">
        <v>28</v>
      </c>
      <c r="B33" s="41" t="s">
        <v>323</v>
      </c>
      <c r="C33" s="247"/>
      <c r="D33" s="247"/>
      <c r="E33" s="247"/>
      <c r="F33" s="247"/>
      <c r="G33" s="247"/>
      <c r="H33" s="61"/>
      <c r="I33" s="61"/>
      <c r="J33" s="247"/>
      <c r="K33" s="247"/>
      <c r="L33" s="247"/>
      <c r="M33" s="247"/>
      <c r="N33" s="247"/>
      <c r="O33" s="247"/>
      <c r="S33" s="44"/>
      <c r="T33" s="44"/>
      <c r="U33" s="44"/>
      <c r="V33" s="44"/>
      <c r="W33" s="44"/>
      <c r="X33" s="44"/>
    </row>
    <row r="34" spans="1:24" s="60" customFormat="1" ht="14.25" x14ac:dyDescent="0.2">
      <c r="A34" s="240" t="s">
        <v>164</v>
      </c>
      <c r="B34" s="41" t="s">
        <v>314</v>
      </c>
      <c r="C34" s="260"/>
      <c r="D34" s="260"/>
      <c r="E34" s="260"/>
      <c r="F34" s="260"/>
      <c r="G34" s="260"/>
      <c r="H34" s="61"/>
      <c r="I34" s="61"/>
      <c r="J34" s="260"/>
      <c r="K34" s="260"/>
      <c r="L34" s="247"/>
      <c r="M34" s="260"/>
      <c r="N34" s="260"/>
      <c r="O34" s="260"/>
      <c r="S34" s="145"/>
      <c r="T34" s="145"/>
      <c r="U34" s="145"/>
      <c r="V34" s="145"/>
      <c r="W34" s="145"/>
      <c r="X34" s="145"/>
    </row>
    <row r="35" spans="1:24" ht="14.25" x14ac:dyDescent="0.2">
      <c r="A35" s="240" t="s">
        <v>163</v>
      </c>
      <c r="B35" s="41" t="s">
        <v>423</v>
      </c>
      <c r="C35" s="247"/>
      <c r="D35" s="247"/>
      <c r="E35" s="247"/>
      <c r="F35" s="247"/>
      <c r="G35" s="247"/>
      <c r="H35" s="5"/>
      <c r="I35" s="5"/>
      <c r="J35" s="247"/>
      <c r="K35" s="247"/>
      <c r="L35" s="247"/>
      <c r="M35" s="247"/>
      <c r="N35" s="247"/>
      <c r="O35" s="247"/>
      <c r="S35" s="44"/>
      <c r="T35" s="44"/>
      <c r="U35" s="44"/>
      <c r="V35" s="44"/>
      <c r="W35" s="44"/>
      <c r="X35" s="44"/>
    </row>
    <row r="36" spans="1:24" ht="14.25" x14ac:dyDescent="0.2">
      <c r="A36" s="240" t="s">
        <v>165</v>
      </c>
      <c r="B36" s="41" t="s">
        <v>424</v>
      </c>
      <c r="C36" s="247"/>
      <c r="D36" s="247"/>
      <c r="E36" s="247"/>
      <c r="F36" s="247"/>
      <c r="G36" s="247"/>
      <c r="H36" s="61"/>
      <c r="I36" s="61"/>
      <c r="J36" s="247"/>
      <c r="K36" s="247"/>
      <c r="L36" s="247"/>
      <c r="M36" s="247"/>
      <c r="N36" s="247"/>
      <c r="O36" s="247"/>
      <c r="S36" s="44"/>
      <c r="T36" s="44"/>
      <c r="U36" s="44"/>
      <c r="V36" s="44"/>
      <c r="W36" s="44"/>
      <c r="X36" s="44"/>
    </row>
    <row r="37" spans="1:24" ht="14.25" x14ac:dyDescent="0.2">
      <c r="A37" s="240" t="s">
        <v>166</v>
      </c>
      <c r="B37" s="41" t="s">
        <v>422</v>
      </c>
      <c r="C37" s="9"/>
      <c r="D37" s="9"/>
      <c r="E37" s="9"/>
      <c r="F37" s="9"/>
      <c r="G37" s="9"/>
      <c r="H37" s="61"/>
      <c r="I37" s="61"/>
      <c r="J37" s="9"/>
      <c r="K37" s="9"/>
      <c r="L37" s="9"/>
      <c r="M37" s="9"/>
      <c r="N37" s="9"/>
      <c r="O37" s="9"/>
      <c r="S37" s="44"/>
      <c r="T37" s="44"/>
      <c r="U37" s="44"/>
      <c r="V37" s="44"/>
      <c r="W37" s="44"/>
      <c r="X37" s="44"/>
    </row>
    <row r="38" spans="1:24" ht="14.25" x14ac:dyDescent="0.2">
      <c r="A38" s="240" t="s">
        <v>324</v>
      </c>
      <c r="B38" s="41" t="s">
        <v>421</v>
      </c>
      <c r="C38" s="9"/>
      <c r="D38" s="9"/>
      <c r="E38" s="9"/>
      <c r="F38" s="9"/>
      <c r="G38" s="9"/>
      <c r="H38" s="61"/>
      <c r="I38" s="61"/>
      <c r="J38" s="9"/>
      <c r="K38" s="9"/>
      <c r="L38" s="9"/>
      <c r="M38" s="9"/>
      <c r="N38" s="9"/>
      <c r="O38" s="9"/>
      <c r="S38" s="44"/>
      <c r="T38" s="44"/>
      <c r="U38" s="44"/>
      <c r="V38" s="44"/>
      <c r="W38" s="44"/>
      <c r="X38" s="44"/>
    </row>
    <row r="39" spans="1:24" x14ac:dyDescent="0.2">
      <c r="B39" s="9"/>
      <c r="C39" s="9"/>
      <c r="D39" s="9"/>
      <c r="E39" s="9"/>
      <c r="F39" s="9"/>
      <c r="G39" s="9"/>
      <c r="H39" s="61"/>
      <c r="I39" s="61"/>
      <c r="J39" s="9"/>
      <c r="K39" s="9"/>
      <c r="L39" s="9"/>
      <c r="M39" s="9"/>
      <c r="N39" s="9"/>
      <c r="O39" s="9"/>
      <c r="S39" s="44"/>
      <c r="T39" s="44"/>
      <c r="U39" s="44"/>
      <c r="V39" s="44"/>
      <c r="W39" s="44"/>
      <c r="X39" s="44"/>
    </row>
    <row r="40" spans="1:24" x14ac:dyDescent="0.2">
      <c r="B40" s="9"/>
      <c r="C40" s="9"/>
      <c r="D40" s="9"/>
      <c r="E40" s="9"/>
      <c r="F40" s="9"/>
      <c r="G40" s="9"/>
      <c r="H40" s="61"/>
      <c r="I40" s="61"/>
      <c r="J40" s="9"/>
      <c r="K40" s="9"/>
      <c r="L40" s="9"/>
      <c r="M40" s="9"/>
      <c r="N40" s="9"/>
      <c r="O40" s="9"/>
      <c r="S40" s="44"/>
      <c r="T40" s="44"/>
      <c r="U40" s="44"/>
      <c r="V40" s="44"/>
      <c r="W40" s="44"/>
      <c r="X40" s="44"/>
    </row>
    <row r="41" spans="1:24" x14ac:dyDescent="0.2">
      <c r="D41" s="5"/>
      <c r="E41" s="5"/>
      <c r="F41" s="5"/>
      <c r="G41" s="5"/>
      <c r="H41" s="61"/>
      <c r="I41" s="61"/>
      <c r="J41" s="5"/>
      <c r="K41" s="5"/>
      <c r="L41" s="5"/>
      <c r="M41" s="5"/>
      <c r="N41" s="5"/>
      <c r="O41" s="5"/>
      <c r="P41" s="44"/>
      <c r="Q41" s="44"/>
      <c r="R41" s="44"/>
      <c r="S41" s="5"/>
      <c r="T41" s="44"/>
      <c r="U41" s="44"/>
      <c r="V41" s="44"/>
      <c r="W41" s="44"/>
      <c r="X41" s="44"/>
    </row>
    <row r="42" spans="1:24" x14ac:dyDescent="0.2">
      <c r="D42" s="5"/>
      <c r="E42" s="5"/>
      <c r="F42" s="5"/>
      <c r="G42" s="5"/>
      <c r="H42" s="61"/>
      <c r="I42" s="61"/>
      <c r="J42" s="5"/>
      <c r="K42" s="5"/>
      <c r="L42" s="5"/>
      <c r="M42" s="5"/>
      <c r="N42" s="5"/>
      <c r="O42" s="5"/>
      <c r="P42" s="44"/>
      <c r="Q42" s="44"/>
      <c r="R42" s="5"/>
      <c r="S42" s="5"/>
      <c r="T42" s="44"/>
      <c r="U42" s="44"/>
      <c r="V42" s="44"/>
      <c r="W42" s="44"/>
      <c r="X42" s="44"/>
    </row>
    <row r="43" spans="1:24" x14ac:dyDescent="0.2">
      <c r="D43" s="5"/>
      <c r="E43" s="5"/>
      <c r="F43" s="5"/>
      <c r="G43" s="5"/>
      <c r="H43" s="61"/>
      <c r="I43" s="61"/>
      <c r="J43" s="5"/>
      <c r="K43" s="5"/>
      <c r="L43" s="5"/>
      <c r="M43" s="5"/>
      <c r="N43" s="5"/>
      <c r="O43" s="5"/>
      <c r="P43" s="44"/>
      <c r="Q43" s="44"/>
      <c r="R43" s="38"/>
      <c r="S43" s="5"/>
      <c r="T43" s="44"/>
      <c r="U43" s="44"/>
      <c r="V43" s="44"/>
      <c r="W43" s="44"/>
      <c r="X43" s="44"/>
    </row>
    <row r="44" spans="1:24" x14ac:dyDescent="0.2">
      <c r="D44" s="5"/>
      <c r="E44" s="5"/>
      <c r="F44" s="5"/>
      <c r="G44" s="5"/>
      <c r="H44" s="61"/>
      <c r="I44" s="61"/>
      <c r="J44" s="5"/>
      <c r="K44" s="5"/>
      <c r="L44" s="5"/>
      <c r="M44" s="5"/>
      <c r="N44" s="5"/>
      <c r="O44" s="5"/>
      <c r="P44" s="44"/>
      <c r="Q44" s="44"/>
      <c r="R44" s="5"/>
      <c r="S44" s="5"/>
      <c r="T44" s="44"/>
      <c r="U44" s="44"/>
      <c r="V44" s="44"/>
      <c r="W44" s="44"/>
      <c r="X44" s="44"/>
    </row>
    <row r="45" spans="1:24" x14ac:dyDescent="0.2">
      <c r="D45" s="5"/>
      <c r="E45" s="5"/>
      <c r="F45" s="5"/>
      <c r="G45" s="5"/>
      <c r="H45" s="61"/>
      <c r="I45" s="61"/>
      <c r="J45" s="5"/>
      <c r="K45" s="5"/>
      <c r="L45" s="5"/>
      <c r="M45" s="5"/>
      <c r="N45" s="5"/>
      <c r="O45" s="5"/>
      <c r="P45" s="44"/>
      <c r="Q45" s="44"/>
      <c r="R45" s="5"/>
      <c r="S45" s="5"/>
      <c r="T45" s="44"/>
      <c r="U45" s="44"/>
      <c r="V45" s="44"/>
      <c r="W45" s="44"/>
      <c r="X45" s="44"/>
    </row>
    <row r="46" spans="1:24" x14ac:dyDescent="0.2">
      <c r="D46" s="5"/>
      <c r="E46" s="5"/>
      <c r="F46" s="5"/>
      <c r="G46" s="5"/>
      <c r="H46" s="61"/>
      <c r="I46" s="61"/>
      <c r="J46" s="5"/>
      <c r="K46" s="5"/>
      <c r="L46" s="5"/>
      <c r="M46" s="5"/>
      <c r="N46" s="5"/>
      <c r="O46" s="5"/>
      <c r="P46" s="44"/>
      <c r="Q46" s="44"/>
      <c r="R46" s="38"/>
      <c r="S46" s="5"/>
      <c r="T46" s="44"/>
      <c r="U46" s="44"/>
      <c r="V46" s="44"/>
      <c r="W46" s="44"/>
      <c r="X46" s="44"/>
    </row>
    <row r="47" spans="1:24" x14ac:dyDescent="0.2">
      <c r="D47" s="5"/>
      <c r="E47" s="5"/>
      <c r="F47" s="5"/>
      <c r="G47" s="5"/>
      <c r="H47" s="61"/>
      <c r="I47" s="61"/>
      <c r="J47" s="5"/>
      <c r="K47" s="5"/>
      <c r="L47" s="5"/>
      <c r="M47" s="5"/>
      <c r="N47" s="5"/>
      <c r="O47" s="5"/>
      <c r="P47" s="44"/>
      <c r="Q47" s="44"/>
      <c r="R47" s="44"/>
      <c r="S47" s="5"/>
    </row>
    <row r="48" spans="1:24" x14ac:dyDescent="0.2">
      <c r="D48" s="5"/>
      <c r="E48" s="5"/>
      <c r="F48" s="5"/>
      <c r="G48" s="5"/>
      <c r="H48" s="61"/>
      <c r="I48" s="61"/>
      <c r="J48" s="5"/>
      <c r="K48" s="5"/>
      <c r="L48" s="5"/>
      <c r="M48" s="5"/>
      <c r="N48" s="5"/>
      <c r="O48" s="5"/>
      <c r="P48" s="44"/>
      <c r="Q48" s="44"/>
      <c r="R48" s="44"/>
      <c r="S48" s="5"/>
    </row>
    <row r="49" spans="4:19" x14ac:dyDescent="0.2">
      <c r="D49" s="5"/>
      <c r="E49" s="5"/>
      <c r="F49" s="5"/>
      <c r="G49" s="5"/>
      <c r="H49" s="61"/>
      <c r="I49" s="61"/>
      <c r="J49" s="5"/>
      <c r="K49" s="5"/>
      <c r="L49" s="5"/>
      <c r="M49" s="5"/>
      <c r="N49" s="5"/>
      <c r="O49" s="5"/>
      <c r="P49" s="44"/>
      <c r="Q49" s="44"/>
      <c r="R49" s="44"/>
      <c r="S49" s="5"/>
    </row>
    <row r="50" spans="4:19" x14ac:dyDescent="0.2">
      <c r="D50" s="5"/>
      <c r="E50" s="5"/>
      <c r="F50" s="5"/>
      <c r="G50" s="5"/>
      <c r="H50" s="61"/>
      <c r="I50" s="61"/>
      <c r="J50" s="5"/>
      <c r="K50" s="5"/>
      <c r="L50" s="5"/>
      <c r="M50" s="5"/>
      <c r="N50" s="5"/>
      <c r="O50" s="5"/>
      <c r="P50" s="44"/>
      <c r="Q50" s="44"/>
      <c r="R50" s="44"/>
      <c r="S50" s="5"/>
    </row>
    <row r="51" spans="4:19" x14ac:dyDescent="0.2">
      <c r="D51" s="5"/>
      <c r="E51" s="5"/>
      <c r="F51" s="5"/>
      <c r="G51" s="5"/>
      <c r="H51" s="61"/>
      <c r="I51" s="61"/>
      <c r="J51" s="5"/>
      <c r="K51" s="5"/>
      <c r="L51" s="5"/>
      <c r="M51" s="5"/>
      <c r="N51" s="5"/>
      <c r="O51" s="5"/>
      <c r="P51" s="44"/>
      <c r="Q51" s="44"/>
      <c r="R51" s="44"/>
      <c r="S51" s="5"/>
    </row>
    <row r="52" spans="4:19" x14ac:dyDescent="0.2">
      <c r="D52" s="5"/>
      <c r="E52" s="5"/>
      <c r="F52" s="5"/>
      <c r="G52" s="5"/>
      <c r="H52" s="61"/>
      <c r="I52" s="61"/>
      <c r="J52" s="5"/>
      <c r="K52" s="5"/>
      <c r="L52" s="5"/>
      <c r="M52" s="5"/>
      <c r="N52" s="5"/>
      <c r="O52" s="5"/>
      <c r="P52" s="44"/>
      <c r="Q52" s="44"/>
      <c r="R52" s="44"/>
      <c r="S52" s="5"/>
    </row>
    <row r="53" spans="4:19" x14ac:dyDescent="0.2">
      <c r="D53" s="5"/>
      <c r="E53" s="5"/>
      <c r="F53" s="5"/>
      <c r="G53" s="5"/>
      <c r="H53" s="61"/>
      <c r="I53" s="61"/>
      <c r="J53" s="5"/>
      <c r="K53" s="5"/>
      <c r="L53" s="5"/>
      <c r="M53" s="5"/>
      <c r="N53" s="5"/>
      <c r="O53" s="5"/>
      <c r="P53" s="44"/>
      <c r="Q53" s="44"/>
      <c r="R53" s="44"/>
      <c r="S53" s="5"/>
    </row>
    <row r="54" spans="4:19" x14ac:dyDescent="0.2">
      <c r="D54" s="44"/>
      <c r="E54" s="8"/>
      <c r="F54" s="8"/>
      <c r="G54" s="8"/>
      <c r="H54" s="64"/>
      <c r="I54" s="64"/>
      <c r="J54" s="8"/>
      <c r="K54" s="44"/>
      <c r="L54" s="44"/>
      <c r="M54" s="44"/>
      <c r="N54" s="44"/>
      <c r="O54" s="44"/>
      <c r="P54" s="44"/>
      <c r="Q54" s="44"/>
      <c r="R54" s="44"/>
      <c r="S54" s="5"/>
    </row>
    <row r="55" spans="4:19" x14ac:dyDescent="0.2">
      <c r="D55" s="44"/>
      <c r="E55" s="7"/>
      <c r="F55" s="7"/>
      <c r="G55" s="7"/>
      <c r="H55" s="65"/>
      <c r="I55" s="65"/>
      <c r="J55" s="7"/>
      <c r="K55" s="44"/>
      <c r="L55" s="44"/>
      <c r="M55" s="44"/>
      <c r="N55" s="44"/>
      <c r="O55" s="44"/>
      <c r="P55" s="44"/>
      <c r="Q55" s="44"/>
      <c r="R55" s="44"/>
      <c r="S55" s="5"/>
    </row>
    <row r="56" spans="4:19" x14ac:dyDescent="0.2">
      <c r="D56" s="44"/>
      <c r="E56" s="44"/>
      <c r="F56" s="44"/>
      <c r="G56" s="44"/>
      <c r="H56" s="145"/>
      <c r="I56" s="145"/>
      <c r="J56" s="44"/>
      <c r="K56" s="44"/>
      <c r="L56" s="44"/>
      <c r="M56" s="44"/>
      <c r="N56" s="5"/>
      <c r="O56" s="5"/>
      <c r="P56" s="44"/>
      <c r="Q56" s="44"/>
      <c r="R56" s="44"/>
      <c r="S56" s="5"/>
    </row>
    <row r="57" spans="4:19" x14ac:dyDescent="0.2">
      <c r="D57" s="44"/>
      <c r="E57" s="6"/>
      <c r="F57" s="6"/>
      <c r="G57" s="6"/>
      <c r="H57" s="145"/>
      <c r="I57" s="145"/>
      <c r="J57" s="6"/>
      <c r="K57" s="44"/>
      <c r="L57" s="6"/>
      <c r="M57" s="44"/>
      <c r="N57" s="5"/>
      <c r="O57" s="6"/>
      <c r="P57" s="44"/>
      <c r="Q57" s="44"/>
      <c r="R57" s="44"/>
      <c r="S57" s="44"/>
    </row>
    <row r="58" spans="4:19" x14ac:dyDescent="0.2">
      <c r="D58" s="44"/>
      <c r="E58" s="6"/>
      <c r="F58" s="6"/>
      <c r="G58" s="6"/>
      <c r="H58" s="145"/>
      <c r="I58" s="145"/>
      <c r="J58" s="6"/>
      <c r="K58" s="5"/>
      <c r="L58" s="6"/>
      <c r="M58" s="5"/>
      <c r="N58" s="5"/>
      <c r="O58" s="6"/>
      <c r="P58" s="44"/>
      <c r="Q58" s="44"/>
      <c r="R58" s="44"/>
      <c r="S58" s="44"/>
    </row>
    <row r="59" spans="4:19" x14ac:dyDescent="0.2">
      <c r="D59" s="44"/>
      <c r="E59" s="6"/>
      <c r="F59" s="6"/>
      <c r="G59" s="6"/>
      <c r="H59" s="145"/>
      <c r="I59" s="145"/>
      <c r="J59" s="6"/>
      <c r="K59" s="5"/>
      <c r="L59" s="6"/>
      <c r="M59" s="5"/>
      <c r="N59" s="5"/>
      <c r="O59" s="5"/>
      <c r="P59" s="44"/>
      <c r="Q59" s="44"/>
      <c r="R59" s="44"/>
      <c r="S59" s="44"/>
    </row>
    <row r="60" spans="4:19" x14ac:dyDescent="0.2">
      <c r="D60" s="7"/>
      <c r="E60" s="44"/>
      <c r="F60" s="44"/>
      <c r="G60" s="44"/>
      <c r="H60" s="145"/>
      <c r="I60" s="145"/>
      <c r="J60" s="44"/>
      <c r="K60" s="5"/>
      <c r="L60" s="6"/>
      <c r="M60" s="5"/>
      <c r="N60" s="5"/>
      <c r="O60" s="5"/>
      <c r="P60" s="44"/>
      <c r="Q60" s="44"/>
      <c r="R60" s="44"/>
      <c r="S60" s="44"/>
    </row>
    <row r="61" spans="4:19" x14ac:dyDescent="0.2">
      <c r="D61" s="44"/>
      <c r="E61" s="44"/>
      <c r="F61" s="44"/>
      <c r="G61" s="44"/>
      <c r="H61" s="145"/>
      <c r="I61" s="145"/>
      <c r="J61" s="44"/>
      <c r="K61" s="5"/>
      <c r="L61" s="6"/>
      <c r="M61" s="5"/>
      <c r="N61" s="5"/>
      <c r="O61" s="5"/>
      <c r="P61" s="44"/>
      <c r="Q61" s="44"/>
      <c r="R61" s="44"/>
      <c r="S61" s="44"/>
    </row>
    <row r="62" spans="4:19" x14ac:dyDescent="0.2">
      <c r="D62" s="44"/>
      <c r="E62" s="44"/>
      <c r="F62" s="44"/>
      <c r="G62" s="44"/>
      <c r="H62" s="145"/>
      <c r="I62" s="145"/>
      <c r="J62" s="44"/>
      <c r="K62" s="44"/>
      <c r="L62" s="6"/>
      <c r="M62" s="5"/>
      <c r="N62" s="5"/>
      <c r="O62" s="5"/>
      <c r="P62" s="44"/>
      <c r="Q62" s="44"/>
      <c r="R62" s="44"/>
      <c r="S62" s="44"/>
    </row>
    <row r="63" spans="4:19" x14ac:dyDescent="0.2">
      <c r="D63" s="44"/>
      <c r="E63" s="44"/>
      <c r="F63" s="44"/>
      <c r="G63" s="44"/>
      <c r="H63" s="145"/>
      <c r="I63" s="145"/>
      <c r="J63" s="44"/>
      <c r="K63" s="44"/>
      <c r="L63" s="44"/>
      <c r="M63" s="5"/>
      <c r="N63" s="5"/>
      <c r="O63" s="5"/>
      <c r="P63" s="44"/>
      <c r="Q63" s="44"/>
      <c r="R63" s="44"/>
      <c r="S63" s="44"/>
    </row>
    <row r="64" spans="4:19" x14ac:dyDescent="0.2">
      <c r="D64" s="44"/>
      <c r="E64" s="44"/>
      <c r="F64" s="44"/>
      <c r="G64" s="44"/>
      <c r="H64" s="145"/>
      <c r="I64" s="145"/>
      <c r="J64" s="44"/>
      <c r="K64" s="5"/>
      <c r="L64" s="5"/>
      <c r="M64" s="5"/>
      <c r="N64" s="5"/>
      <c r="O64" s="5"/>
      <c r="P64" s="44"/>
      <c r="Q64" s="44"/>
      <c r="R64" s="6"/>
      <c r="S64" s="44"/>
    </row>
    <row r="65" spans="4:19" x14ac:dyDescent="0.2">
      <c r="D65" s="44"/>
      <c r="E65" s="6"/>
      <c r="F65" s="6"/>
      <c r="G65" s="6"/>
      <c r="H65" s="66"/>
      <c r="I65" s="66"/>
      <c r="J65" s="6"/>
      <c r="K65" s="6"/>
      <c r="L65" s="6"/>
      <c r="M65" s="6"/>
      <c r="N65" s="6"/>
      <c r="O65" s="6"/>
      <c r="P65" s="6"/>
      <c r="Q65" s="6"/>
      <c r="R65" s="261"/>
      <c r="S65" s="44"/>
    </row>
    <row r="66" spans="4:19" x14ac:dyDescent="0.2">
      <c r="D66" s="44"/>
      <c r="E66" s="6"/>
      <c r="F66" s="6"/>
      <c r="G66" s="6"/>
      <c r="H66" s="66"/>
      <c r="I66" s="66"/>
      <c r="J66" s="6"/>
      <c r="K66" s="6"/>
      <c r="L66" s="6"/>
      <c r="M66" s="6"/>
      <c r="N66" s="6"/>
      <c r="O66" s="6"/>
      <c r="P66" s="6"/>
      <c r="Q66" s="6"/>
      <c r="R66" s="6"/>
      <c r="S66" s="44"/>
    </row>
    <row r="67" spans="4:19" x14ac:dyDescent="0.2">
      <c r="D67" s="44"/>
      <c r="E67" s="6"/>
      <c r="F67" s="6"/>
      <c r="G67" s="6"/>
      <c r="H67" s="66"/>
      <c r="I67" s="66"/>
      <c r="J67" s="6"/>
      <c r="K67" s="6"/>
      <c r="L67" s="5"/>
      <c r="M67" s="6"/>
      <c r="N67" s="6"/>
      <c r="O67" s="6"/>
      <c r="P67" s="6"/>
      <c r="Q67" s="6"/>
      <c r="R67" s="6"/>
      <c r="S67" s="44"/>
    </row>
    <row r="68" spans="4:19" x14ac:dyDescent="0.2">
      <c r="D68" s="44"/>
      <c r="E68" s="6"/>
      <c r="F68" s="6"/>
      <c r="G68" s="6"/>
      <c r="H68" s="67"/>
      <c r="I68" s="67"/>
      <c r="J68" s="6"/>
      <c r="K68" s="6"/>
      <c r="L68" s="6"/>
      <c r="M68" s="6"/>
      <c r="N68" s="6"/>
      <c r="O68" s="6"/>
      <c r="P68" s="6"/>
      <c r="Q68" s="6"/>
      <c r="R68" s="6"/>
      <c r="S68" s="44"/>
    </row>
    <row r="69" spans="4:19" x14ac:dyDescent="0.2">
      <c r="D69" s="44"/>
      <c r="E69" s="6"/>
      <c r="F69" s="6"/>
      <c r="G69" s="6"/>
      <c r="H69" s="67"/>
      <c r="I69" s="67"/>
      <c r="J69" s="6"/>
      <c r="K69" s="6"/>
      <c r="L69" s="6"/>
      <c r="M69" s="6"/>
      <c r="N69" s="6"/>
      <c r="O69" s="6"/>
      <c r="P69" s="6"/>
      <c r="Q69" s="6"/>
      <c r="R69" s="44"/>
      <c r="S69" s="44"/>
    </row>
    <row r="70" spans="4:19" x14ac:dyDescent="0.2">
      <c r="D70" s="44"/>
      <c r="E70" s="44"/>
      <c r="F70" s="44"/>
      <c r="G70" s="44"/>
      <c r="H70" s="144"/>
      <c r="I70" s="144"/>
      <c r="J70" s="44"/>
      <c r="K70" s="5"/>
      <c r="L70" s="5"/>
      <c r="M70" s="5"/>
      <c r="N70" s="5"/>
      <c r="O70" s="5"/>
      <c r="P70" s="44"/>
      <c r="Q70" s="44"/>
      <c r="R70" s="44"/>
      <c r="S70" s="44"/>
    </row>
    <row r="71" spans="4:19" x14ac:dyDescent="0.2">
      <c r="D71" s="44"/>
      <c r="E71" s="44"/>
      <c r="F71" s="44"/>
      <c r="G71" s="44"/>
      <c r="H71" s="144"/>
      <c r="I71" s="144"/>
      <c r="J71" s="44"/>
      <c r="K71" s="5"/>
      <c r="L71" s="5"/>
      <c r="M71" s="5"/>
      <c r="N71" s="5"/>
      <c r="O71" s="5"/>
      <c r="P71" s="5"/>
      <c r="Q71" s="44"/>
      <c r="R71" s="44"/>
      <c r="S71" s="44"/>
    </row>
    <row r="72" spans="4:19" x14ac:dyDescent="0.2">
      <c r="K72" s="4"/>
      <c r="L72" s="4"/>
      <c r="M72" s="4"/>
      <c r="N72" s="4"/>
      <c r="O72" s="4"/>
      <c r="P72" s="4"/>
    </row>
    <row r="73" spans="4:19" x14ac:dyDescent="0.2">
      <c r="K73" s="4"/>
      <c r="L73" s="4"/>
      <c r="M73" s="4"/>
      <c r="N73" s="4"/>
      <c r="O73" s="4"/>
      <c r="P73" s="4"/>
    </row>
    <row r="74" spans="4:19" x14ac:dyDescent="0.2">
      <c r="K74" s="4"/>
      <c r="L74" s="4"/>
      <c r="M74" s="4"/>
      <c r="N74" s="4"/>
      <c r="O74" s="4"/>
      <c r="P74" s="4"/>
    </row>
    <row r="75" spans="4:19" x14ac:dyDescent="0.2">
      <c r="E75" s="4"/>
      <c r="F75" s="4"/>
      <c r="G75" s="4"/>
      <c r="J75" s="4"/>
      <c r="K75" s="4"/>
      <c r="L75" s="4"/>
      <c r="M75" s="4"/>
      <c r="N75" s="4"/>
      <c r="O75" s="4"/>
      <c r="P75" s="4"/>
    </row>
    <row r="76" spans="4:19" x14ac:dyDescent="0.2">
      <c r="E76" s="46"/>
      <c r="F76" s="46"/>
      <c r="G76" s="46"/>
      <c r="J76" s="46"/>
      <c r="K76" s="4"/>
      <c r="L76" s="4"/>
      <c r="M76" s="4"/>
      <c r="N76" s="4"/>
      <c r="O76" s="4"/>
      <c r="P76" s="4"/>
    </row>
    <row r="77" spans="4:19" x14ac:dyDescent="0.2">
      <c r="E77" s="46"/>
      <c r="F77" s="46"/>
      <c r="G77" s="46"/>
      <c r="J77" s="46"/>
      <c r="K77" s="4"/>
      <c r="L77" s="4"/>
      <c r="M77" s="4"/>
      <c r="N77" s="4"/>
      <c r="O77" s="4"/>
      <c r="P77" s="4"/>
    </row>
    <row r="78" spans="4:19" x14ac:dyDescent="0.2">
      <c r="E78" s="46"/>
      <c r="F78" s="46"/>
      <c r="G78" s="46"/>
      <c r="J78" s="46"/>
      <c r="K78" s="4"/>
      <c r="L78" s="4"/>
      <c r="M78" s="4"/>
      <c r="N78" s="4"/>
      <c r="O78" s="4"/>
      <c r="P78" s="4"/>
    </row>
    <row r="79" spans="4:19" x14ac:dyDescent="0.2">
      <c r="K79" s="4"/>
      <c r="L79" s="4"/>
      <c r="M79" s="4"/>
      <c r="N79" s="4"/>
      <c r="O79" s="4"/>
      <c r="P79" s="4"/>
    </row>
    <row r="80" spans="4:19" x14ac:dyDescent="0.2">
      <c r="K80" s="4"/>
      <c r="L80" s="4"/>
      <c r="M80" s="4"/>
      <c r="N80" s="4"/>
      <c r="O80" s="4"/>
      <c r="P80" s="4"/>
    </row>
    <row r="81" spans="11:16" x14ac:dyDescent="0.2">
      <c r="K81" s="4"/>
      <c r="L81" s="4"/>
      <c r="M81" s="4"/>
      <c r="N81" s="4"/>
      <c r="O81" s="4"/>
      <c r="P81" s="4"/>
    </row>
    <row r="82" spans="11:16" x14ac:dyDescent="0.2">
      <c r="K82" s="4"/>
      <c r="L82" s="4"/>
      <c r="M82" s="4"/>
      <c r="N82" s="4"/>
    </row>
  </sheetData>
  <printOptions horizontalCentered="1"/>
  <pageMargins left="0.5" right="0.5" top="1" bottom="1" header="0.5" footer="0.5"/>
  <pageSetup scale="73"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A0384ACF30524E9C4AAA7569B1811E" ma:contentTypeVersion="16" ma:contentTypeDescription="" ma:contentTypeScope="" ma:versionID="129f793087ba0e921a34770eb702ef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2024-03-22T07:00:00+00:00</OpenedDate>
    <SignificantOrder xmlns="dc463f71-b30c-4ab2-9473-d307f9d35888">false</SignificantOrder>
    <Date1 xmlns="dc463f71-b30c-4ab2-9473-d307f9d35888">2024-03-22T07:00:00+00:00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93F45E-CDE8-437B-BD14-8140C8E4D918}"/>
</file>

<file path=customXml/itemProps2.xml><?xml version="1.0" encoding="utf-8"?>
<ds:datastoreItem xmlns:ds="http://schemas.openxmlformats.org/officeDocument/2006/customXml" ds:itemID="{3EFA3C05-0EA2-42B8-9164-E1331E731476}"/>
</file>

<file path=customXml/itemProps3.xml><?xml version="1.0" encoding="utf-8"?>
<ds:datastoreItem xmlns:ds="http://schemas.openxmlformats.org/officeDocument/2006/customXml" ds:itemID="{8B2EE9D3-549F-4B4D-ACDD-41D09E2F2295}"/>
</file>

<file path=customXml/itemProps4.xml><?xml version="1.0" encoding="utf-8"?>
<ds:datastoreItem xmlns:ds="http://schemas.openxmlformats.org/officeDocument/2006/customXml" ds:itemID="{4A79667E-0FCA-4E4F-B648-4080738487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Rates Summary</vt:lpstr>
      <vt:lpstr>Rates</vt:lpstr>
      <vt:lpstr>Rate Impacts--&gt;</vt:lpstr>
      <vt:lpstr>Rate Impacts Sch 129</vt:lpstr>
      <vt:lpstr>Typical Res Bill Sch 129</vt:lpstr>
      <vt:lpstr>Sch. 129</vt:lpstr>
      <vt:lpstr>Work Papers--&gt;</vt:lpstr>
      <vt:lpstr>Sch 85 87 Rate Calc</vt:lpstr>
      <vt:lpstr>Margin Revenue</vt:lpstr>
      <vt:lpstr>Revenue Requirement</vt:lpstr>
      <vt:lpstr>Weather Adj. Volumes</vt:lpstr>
      <vt:lpstr>2022 GRC Rates--&gt;</vt:lpstr>
      <vt:lpstr>Exh JDT-5 (JDT-RES_RD)</vt:lpstr>
      <vt:lpstr>Exh JDT-5 (JDT-C&amp;I-RD)</vt:lpstr>
      <vt:lpstr>Exh JDT-5 (JDT-INTRPL-RD)</vt:lpstr>
      <vt:lpstr>Exh JDT-5 (JDT-MYRP)</vt:lpstr>
      <vt:lpstr>'Exh JDT-5 (JDT-MYRP)'!Print_Area</vt:lpstr>
      <vt:lpstr>'Margin Revenue'!Print_Area</vt:lpstr>
      <vt:lpstr>'Rate Impacts Sch 129'!Print_Area</vt:lpstr>
      <vt:lpstr>Rates!Print_Area</vt:lpstr>
      <vt:lpstr>'Rates Summary'!Print_Area</vt:lpstr>
      <vt:lpstr>'Sch 85 87 Rate Calc'!Print_Area</vt:lpstr>
      <vt:lpstr>'Sch. 129'!Print_Area</vt:lpstr>
      <vt:lpstr>'Typical Res Bill Sch 129'!Print_Area</vt:lpstr>
      <vt:lpstr>'Weather Adj. Volumes'!Print_Area</vt:lpstr>
      <vt:lpstr>'Exh JDT-5 (JDT-C&amp;I-RD)'!Print_Titles</vt:lpstr>
      <vt:lpstr>'Exh JDT-5 (JDT-INTRPL-RD)'!Print_Titles</vt:lpstr>
      <vt:lpstr>'Exh JDT-5 (JDT-MYRP)'!Print_Titles</vt:lpstr>
      <vt:lpstr>'Weather Adj. Volumes'!Print_Titles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Schmidt, Paul</cp:lastModifiedBy>
  <cp:lastPrinted>2024-03-21T20:29:35Z</cp:lastPrinted>
  <dcterms:created xsi:type="dcterms:W3CDTF">2016-08-18T16:48:49Z</dcterms:created>
  <dcterms:modified xsi:type="dcterms:W3CDTF">2024-03-21T20:43:44Z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0x0101006E56B4D1795A2E4DB2F0B01679ED314A007EA0384ACF30524E9C4AAA7569B1811E</vt:lpwstr>
  </property>
  <property fmtid="{D5CDD505-2E9C-101B-9397-08002B2CF9AE}" pid="3" name="_docset_NoMedatataSyncRequired">
    <vt:lpwstr>False</vt:lpwstr>
  </property>
</Properties>
</file>