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29 - Low Income\2024 Filing - May 1, 2024\Filed on 3-18-24 (UE-)\"/>
    </mc:Choice>
  </mc:AlternateContent>
  <xr:revisionPtr revIDLastSave="0" documentId="13_ncr:1_{4138EAFD-5F72-4425-B929-8F4A6B12D884}" xr6:coauthVersionLast="47" xr6:coauthVersionMax="47" xr10:uidLastSave="{00000000-0000-0000-0000-000000000000}"/>
  <bookViews>
    <workbookView xWindow="150" yWindow="1245" windowWidth="21090" windowHeight="14145" tabRatio="929" xr2:uid="{00000000-000D-0000-FFFF-FFFF00000000}"/>
  </bookViews>
  <sheets>
    <sheet name="Sch 129 Rates" sheetId="68" r:id="rId1"/>
    <sheet name="Lighting Rates" sheetId="69" r:id="rId2"/>
    <sheet name="Rate Impacts" sheetId="70" r:id="rId3"/>
    <sheet name="Workpapers -&gt;" sheetId="61" r:id="rId4"/>
    <sheet name="Rate Spread &amp; Design" sheetId="73" r:id="rId5"/>
    <sheet name="Lighting RD" sheetId="72" r:id="rId6"/>
    <sheet name="RevReq" sheetId="62" r:id="rId7"/>
    <sheet name="Inputs" sheetId="7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70" l="1"/>
  <c r="B25" i="70" l="1"/>
  <c r="B19" i="70"/>
  <c r="B12" i="70"/>
  <c r="B12" i="73" s="1"/>
  <c r="B165" i="69" l="1"/>
  <c r="D7" i="73" l="1"/>
  <c r="C14" i="73"/>
  <c r="E150" i="69" l="1"/>
  <c r="E151" i="69"/>
  <c r="E152" i="69"/>
  <c r="E153" i="69"/>
  <c r="E154" i="69"/>
  <c r="E155" i="69"/>
  <c r="E156" i="69"/>
  <c r="E157" i="69"/>
  <c r="E158" i="69"/>
  <c r="E159" i="69"/>
  <c r="E160" i="69"/>
  <c r="E161" i="69"/>
  <c r="E162" i="69"/>
  <c r="E163" i="69"/>
  <c r="E149" i="69"/>
  <c r="E146" i="69"/>
  <c r="E145" i="69"/>
  <c r="E143" i="69"/>
  <c r="E142" i="69"/>
  <c r="E141" i="69"/>
  <c r="E140" i="69"/>
  <c r="E138" i="69"/>
  <c r="E137" i="69"/>
  <c r="E136" i="69"/>
  <c r="E135" i="69"/>
  <c r="E134" i="69"/>
  <c r="E129" i="69"/>
  <c r="E130" i="69"/>
  <c r="E131" i="69"/>
  <c r="E132" i="69"/>
  <c r="E128" i="69"/>
  <c r="E124" i="69"/>
  <c r="E121" i="69"/>
  <c r="E120" i="69"/>
  <c r="E119" i="69"/>
  <c r="E118" i="69"/>
  <c r="E117" i="69"/>
  <c r="E116" i="69"/>
  <c r="E115" i="69"/>
  <c r="E114" i="69"/>
  <c r="E113" i="69"/>
  <c r="E112" i="69"/>
  <c r="E110" i="69"/>
  <c r="E105" i="69"/>
  <c r="E106" i="69"/>
  <c r="E107" i="69"/>
  <c r="E108" i="69"/>
  <c r="E104" i="69"/>
  <c r="E89" i="69"/>
  <c r="E88" i="69"/>
  <c r="E87" i="69"/>
  <c r="E86" i="69"/>
  <c r="E85" i="69"/>
  <c r="E84" i="69"/>
  <c r="E83" i="69"/>
  <c r="E82" i="69"/>
  <c r="E81" i="69"/>
  <c r="E62" i="69"/>
  <c r="E63" i="69"/>
  <c r="E64" i="69"/>
  <c r="E65" i="69"/>
  <c r="E61" i="69"/>
  <c r="E58" i="69"/>
  <c r="E57" i="69"/>
  <c r="E56" i="69"/>
  <c r="E55" i="69"/>
  <c r="E54" i="69"/>
  <c r="E53" i="69"/>
  <c r="E52" i="69"/>
  <c r="E51" i="69"/>
  <c r="E50" i="69"/>
  <c r="E47" i="69"/>
  <c r="E46" i="69"/>
  <c r="E45" i="69"/>
  <c r="E44" i="69"/>
  <c r="E43" i="69"/>
  <c r="E42" i="69"/>
  <c r="E41" i="69"/>
  <c r="E34" i="69"/>
  <c r="E35" i="69"/>
  <c r="E36" i="69"/>
  <c r="E37" i="69"/>
  <c r="E38" i="69"/>
  <c r="E39" i="69"/>
  <c r="E33" i="69"/>
  <c r="E100" i="69"/>
  <c r="E99" i="69"/>
  <c r="E98" i="69"/>
  <c r="E97" i="69"/>
  <c r="E96" i="69"/>
  <c r="E95" i="69"/>
  <c r="E94" i="69"/>
  <c r="E93" i="69"/>
  <c r="E92" i="69"/>
  <c r="E91" i="69"/>
  <c r="E78" i="69"/>
  <c r="E76" i="69"/>
  <c r="E75" i="69"/>
  <c r="E74" i="69"/>
  <c r="E73" i="69"/>
  <c r="E72" i="69"/>
  <c r="E71" i="69"/>
  <c r="E70" i="69"/>
  <c r="E69" i="69"/>
  <c r="E68" i="69"/>
  <c r="E67" i="69"/>
  <c r="E29" i="69"/>
  <c r="E20" i="69"/>
  <c r="E21" i="69"/>
  <c r="E22" i="69"/>
  <c r="E23" i="69"/>
  <c r="E24" i="69"/>
  <c r="E25" i="69"/>
  <c r="E26" i="69"/>
  <c r="E27" i="69"/>
  <c r="E19" i="69"/>
  <c r="E13" i="69"/>
  <c r="E14" i="69"/>
  <c r="E15" i="69"/>
  <c r="E12" i="69"/>
  <c r="G32" i="68"/>
  <c r="G31" i="68"/>
  <c r="G28" i="68"/>
  <c r="G23" i="68" l="1"/>
  <c r="G22" i="68"/>
  <c r="G21" i="68"/>
  <c r="G15" i="68"/>
  <c r="G16" i="68"/>
  <c r="G17" i="68"/>
  <c r="G14" i="68"/>
  <c r="A22" i="62" l="1"/>
  <c r="A21" i="62"/>
  <c r="A20" i="62"/>
  <c r="A19" i="62"/>
  <c r="A18" i="62"/>
  <c r="A17" i="62"/>
  <c r="A16" i="62"/>
  <c r="A15" i="62"/>
  <c r="A14" i="62"/>
  <c r="F13" i="62"/>
  <c r="A13" i="62"/>
  <c r="A12" i="62"/>
  <c r="G13" i="62"/>
  <c r="A11" i="62"/>
  <c r="A4" i="70"/>
  <c r="A2" i="70"/>
  <c r="A2" i="73" s="1"/>
  <c r="A3" i="70"/>
  <c r="A1" i="70"/>
  <c r="A1" i="73" s="1"/>
  <c r="A2" i="69"/>
  <c r="A3" i="69"/>
  <c r="A4" i="69"/>
  <c r="A1" i="69"/>
  <c r="A3" i="72"/>
  <c r="A2" i="72"/>
  <c r="A1" i="72"/>
  <c r="A3" i="73"/>
  <c r="A4" i="73"/>
  <c r="A9" i="73"/>
  <c r="A10" i="73" s="1"/>
  <c r="A11" i="73" s="1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4" i="72"/>
  <c r="A10" i="72"/>
  <c r="A11" i="72"/>
  <c r="A12" i="72" s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A47" i="72" s="1"/>
  <c r="A48" i="72" s="1"/>
  <c r="A49" i="72" s="1"/>
  <c r="A50" i="72" s="1"/>
  <c r="A51" i="72" s="1"/>
  <c r="A52" i="72" s="1"/>
  <c r="A53" i="72" s="1"/>
  <c r="A54" i="72" s="1"/>
  <c r="A55" i="72" s="1"/>
  <c r="A56" i="72" s="1"/>
  <c r="A57" i="72" s="1"/>
  <c r="A58" i="72" s="1"/>
  <c r="A59" i="72" s="1"/>
  <c r="A60" i="72" s="1"/>
  <c r="A61" i="72" s="1"/>
  <c r="A62" i="72" s="1"/>
  <c r="A63" i="72" s="1"/>
  <c r="A64" i="72" s="1"/>
  <c r="A65" i="72" s="1"/>
  <c r="A66" i="72" s="1"/>
  <c r="A67" i="72" s="1"/>
  <c r="A68" i="72" s="1"/>
  <c r="A69" i="72" s="1"/>
  <c r="A70" i="72" s="1"/>
  <c r="A71" i="72" s="1"/>
  <c r="A72" i="72" s="1"/>
  <c r="A73" i="72" s="1"/>
  <c r="A74" i="72" s="1"/>
  <c r="A75" i="72" s="1"/>
  <c r="A76" i="72" s="1"/>
  <c r="A77" i="72" s="1"/>
  <c r="A78" i="72" s="1"/>
  <c r="A79" i="72" s="1"/>
  <c r="A80" i="72" s="1"/>
  <c r="A81" i="72" s="1"/>
  <c r="A82" i="72" s="1"/>
  <c r="A83" i="72" s="1"/>
  <c r="A84" i="72" s="1"/>
  <c r="A85" i="72" s="1"/>
  <c r="A86" i="72" s="1"/>
  <c r="A87" i="72" s="1"/>
  <c r="A88" i="72" s="1"/>
  <c r="A89" i="72" s="1"/>
  <c r="A90" i="72" s="1"/>
  <c r="A91" i="72" s="1"/>
  <c r="A92" i="72" s="1"/>
  <c r="A93" i="72" s="1"/>
  <c r="A94" i="72" s="1"/>
  <c r="A95" i="72" s="1"/>
  <c r="A96" i="72" s="1"/>
  <c r="A97" i="72" s="1"/>
  <c r="A98" i="72" s="1"/>
  <c r="A99" i="72" s="1"/>
  <c r="A100" i="72" s="1"/>
  <c r="A101" i="72" s="1"/>
  <c r="A102" i="72" s="1"/>
  <c r="A103" i="72" s="1"/>
  <c r="A104" i="72" s="1"/>
  <c r="A105" i="72" s="1"/>
  <c r="A106" i="72" s="1"/>
  <c r="A107" i="72" s="1"/>
  <c r="A108" i="72" s="1"/>
  <c r="A109" i="72" s="1"/>
  <c r="A110" i="72" s="1"/>
  <c r="A111" i="72" s="1"/>
  <c r="A112" i="72" s="1"/>
  <c r="A113" i="72" s="1"/>
  <c r="A114" i="72" s="1"/>
  <c r="A115" i="72" s="1"/>
  <c r="A116" i="72" s="1"/>
  <c r="A117" i="72" s="1"/>
  <c r="A118" i="72" s="1"/>
  <c r="A119" i="72" s="1"/>
  <c r="A120" i="72" s="1"/>
  <c r="A121" i="72" s="1"/>
  <c r="A122" i="72" s="1"/>
  <c r="A123" i="72" s="1"/>
  <c r="A124" i="72" s="1"/>
  <c r="A125" i="72" s="1"/>
  <c r="A126" i="72" s="1"/>
  <c r="A127" i="72" s="1"/>
  <c r="A128" i="72" s="1"/>
  <c r="A129" i="72" s="1"/>
  <c r="A130" i="72" s="1"/>
  <c r="A131" i="72" s="1"/>
  <c r="A132" i="72" s="1"/>
  <c r="A133" i="72" s="1"/>
  <c r="A134" i="72" s="1"/>
  <c r="A135" i="72" s="1"/>
  <c r="A136" i="72" s="1"/>
  <c r="A137" i="72" s="1"/>
  <c r="A138" i="72" s="1"/>
  <c r="A139" i="72" s="1"/>
  <c r="A140" i="72" s="1"/>
  <c r="A141" i="72" s="1"/>
  <c r="A142" i="72" s="1"/>
  <c r="A143" i="72" s="1"/>
  <c r="A144" i="72" s="1"/>
  <c r="A145" i="72" s="1"/>
  <c r="A146" i="72" s="1"/>
  <c r="A147" i="72" s="1"/>
  <c r="A148" i="72" s="1"/>
  <c r="A149" i="72" s="1"/>
  <c r="A150" i="72" s="1"/>
  <c r="A151" i="72" s="1"/>
  <c r="A152" i="72" s="1"/>
  <c r="A153" i="72" s="1"/>
  <c r="A154" i="72" s="1"/>
  <c r="A155" i="72" s="1"/>
  <c r="A156" i="72" s="1"/>
  <c r="A157" i="72" s="1"/>
  <c r="A158" i="72" s="1"/>
  <c r="A159" i="72" s="1"/>
  <c r="A160" i="72" s="1"/>
  <c r="A161" i="72" s="1"/>
  <c r="A162" i="72" s="1"/>
  <c r="A163" i="72" s="1"/>
  <c r="A164" i="72" s="1"/>
  <c r="A165" i="72" s="1"/>
  <c r="A166" i="72" s="1"/>
  <c r="A167" i="72" s="1"/>
  <c r="A168" i="72" s="1"/>
  <c r="A169" i="72" s="1"/>
  <c r="A170" i="72" s="1"/>
  <c r="A171" i="72" s="1"/>
  <c r="F11" i="72"/>
  <c r="K11" i="72" s="1"/>
  <c r="D10" i="69" s="1"/>
  <c r="F13" i="72"/>
  <c r="K13" i="72" s="1"/>
  <c r="D12" i="69" s="1"/>
  <c r="B14" i="72"/>
  <c r="B15" i="72" s="1"/>
  <c r="B16" i="72" s="1"/>
  <c r="F14" i="72"/>
  <c r="F15" i="72"/>
  <c r="K15" i="72" s="1"/>
  <c r="D14" i="69" s="1"/>
  <c r="F16" i="72"/>
  <c r="K16" i="72" s="1"/>
  <c r="D15" i="69" s="1"/>
  <c r="F19" i="72"/>
  <c r="K19" i="72" s="1"/>
  <c r="D18" i="69" s="1"/>
  <c r="F20" i="72"/>
  <c r="K20" i="72" s="1"/>
  <c r="D19" i="69" s="1"/>
  <c r="F21" i="72"/>
  <c r="K21" i="72" s="1"/>
  <c r="D20" i="69" s="1"/>
  <c r="F22" i="72"/>
  <c r="F23" i="72"/>
  <c r="F24" i="72"/>
  <c r="K24" i="72" s="1"/>
  <c r="D23" i="69" s="1"/>
  <c r="F25" i="72"/>
  <c r="F26" i="72"/>
  <c r="F27" i="72"/>
  <c r="F28" i="72"/>
  <c r="K28" i="72" s="1"/>
  <c r="D27" i="69" s="1"/>
  <c r="F29" i="72"/>
  <c r="K29" i="72" s="1"/>
  <c r="D29" i="69" s="1"/>
  <c r="F32" i="72"/>
  <c r="B33" i="72"/>
  <c r="F33" i="72"/>
  <c r="K33" i="72" s="1"/>
  <c r="D33" i="69" s="1"/>
  <c r="B34" i="72"/>
  <c r="B35" i="72" s="1"/>
  <c r="B36" i="72" s="1"/>
  <c r="F34" i="72"/>
  <c r="K34" i="72" s="1"/>
  <c r="D34" i="69" s="1"/>
  <c r="F35" i="72"/>
  <c r="K35" i="72" s="1"/>
  <c r="D35" i="69" s="1"/>
  <c r="F36" i="72"/>
  <c r="K36" i="72" s="1"/>
  <c r="D36" i="69" s="1"/>
  <c r="F37" i="72"/>
  <c r="F38" i="72"/>
  <c r="K38" i="72" s="1"/>
  <c r="D38" i="69" s="1"/>
  <c r="F39" i="72"/>
  <c r="F41" i="72"/>
  <c r="K41" i="72" s="1"/>
  <c r="D41" i="69" s="1"/>
  <c r="F42" i="72"/>
  <c r="K42" i="72" s="1"/>
  <c r="D42" i="69" s="1"/>
  <c r="F43" i="72"/>
  <c r="K43" i="72" s="1"/>
  <c r="D43" i="69" s="1"/>
  <c r="F44" i="72"/>
  <c r="K44" i="72" s="1"/>
  <c r="D44" i="69" s="1"/>
  <c r="C45" i="72"/>
  <c r="C46" i="72" s="1"/>
  <c r="C47" i="72" s="1"/>
  <c r="F45" i="72"/>
  <c r="F46" i="72"/>
  <c r="K46" i="72" s="1"/>
  <c r="D46" i="69" s="1"/>
  <c r="F47" i="72"/>
  <c r="K47" i="72" s="1"/>
  <c r="D47" i="69" s="1"/>
  <c r="F50" i="72"/>
  <c r="K50" i="72" s="1"/>
  <c r="D50" i="69" s="1"/>
  <c r="B51" i="72"/>
  <c r="F51" i="72"/>
  <c r="B52" i="72"/>
  <c r="B53" i="72" s="1"/>
  <c r="B54" i="72" s="1"/>
  <c r="B55" i="72" s="1"/>
  <c r="B56" i="72" s="1"/>
  <c r="B57" i="72" s="1"/>
  <c r="B58" i="72" s="1"/>
  <c r="B60" i="72" s="1"/>
  <c r="B61" i="72" s="1"/>
  <c r="B62" i="72" s="1"/>
  <c r="B63" i="72" s="1"/>
  <c r="B64" i="72" s="1"/>
  <c r="F52" i="72"/>
  <c r="K52" i="72" s="1"/>
  <c r="D52" i="69" s="1"/>
  <c r="F53" i="72"/>
  <c r="K53" i="72" s="1"/>
  <c r="D53" i="69" s="1"/>
  <c r="F54" i="72"/>
  <c r="K54" i="72" s="1"/>
  <c r="D54" i="69" s="1"/>
  <c r="F55" i="72"/>
  <c r="K55" i="72" s="1"/>
  <c r="D55" i="69" s="1"/>
  <c r="F56" i="72"/>
  <c r="K56" i="72" s="1"/>
  <c r="D56" i="69" s="1"/>
  <c r="F57" i="72"/>
  <c r="K57" i="72" s="1"/>
  <c r="D57" i="69" s="1"/>
  <c r="F58" i="72"/>
  <c r="F60" i="72"/>
  <c r="K60" i="72" s="1"/>
  <c r="D60" i="69" s="1"/>
  <c r="F61" i="72"/>
  <c r="K61" i="72" s="1"/>
  <c r="D61" i="69" s="1"/>
  <c r="F62" i="72"/>
  <c r="F63" i="72"/>
  <c r="K63" i="72" s="1"/>
  <c r="D63" i="69" s="1"/>
  <c r="F64" i="72"/>
  <c r="K64" i="72" s="1"/>
  <c r="D64" i="69" s="1"/>
  <c r="F65" i="72"/>
  <c r="F67" i="72"/>
  <c r="K67" i="72" s="1"/>
  <c r="D67" i="69" s="1"/>
  <c r="F68" i="72"/>
  <c r="K68" i="72" s="1"/>
  <c r="D68" i="69" s="1"/>
  <c r="F69" i="72"/>
  <c r="K69" i="72" s="1"/>
  <c r="D69" i="69" s="1"/>
  <c r="F70" i="72"/>
  <c r="K70" i="72" s="1"/>
  <c r="D70" i="69" s="1"/>
  <c r="F71" i="72"/>
  <c r="K71" i="72" s="1"/>
  <c r="D71" i="69" s="1"/>
  <c r="F72" i="72"/>
  <c r="K72" i="72" s="1"/>
  <c r="D72" i="69" s="1"/>
  <c r="F73" i="72"/>
  <c r="K73" i="72" s="1"/>
  <c r="D73" i="69" s="1"/>
  <c r="F74" i="72"/>
  <c r="F75" i="72"/>
  <c r="K75" i="72" s="1"/>
  <c r="D75" i="69" s="1"/>
  <c r="F76" i="72"/>
  <c r="K76" i="72" s="1"/>
  <c r="D76" i="69" s="1"/>
  <c r="F77" i="72"/>
  <c r="K77" i="72" s="1"/>
  <c r="D78" i="69" s="1"/>
  <c r="F80" i="72"/>
  <c r="K80" i="72" s="1"/>
  <c r="D81" i="69" s="1"/>
  <c r="B81" i="72"/>
  <c r="B82" i="72" s="1"/>
  <c r="B83" i="72" s="1"/>
  <c r="B84" i="72" s="1"/>
  <c r="B85" i="72" s="1"/>
  <c r="B86" i="72" s="1"/>
  <c r="B87" i="72" s="1"/>
  <c r="F81" i="72"/>
  <c r="K81" i="72" s="1"/>
  <c r="D82" i="69" s="1"/>
  <c r="F82" i="72"/>
  <c r="F83" i="72"/>
  <c r="F84" i="72"/>
  <c r="K84" i="72" s="1"/>
  <c r="D85" i="69" s="1"/>
  <c r="F85" i="72"/>
  <c r="F86" i="72"/>
  <c r="K86" i="72" s="1"/>
  <c r="D87" i="69" s="1"/>
  <c r="F87" i="72"/>
  <c r="K87" i="72" s="1"/>
  <c r="D88" i="69" s="1"/>
  <c r="F88" i="72"/>
  <c r="F90" i="72"/>
  <c r="K90" i="72" s="1"/>
  <c r="D91" i="69" s="1"/>
  <c r="F91" i="72"/>
  <c r="K91" i="72" s="1"/>
  <c r="D92" i="69" s="1"/>
  <c r="F92" i="72"/>
  <c r="K92" i="72" s="1"/>
  <c r="D93" i="69" s="1"/>
  <c r="F93" i="72"/>
  <c r="K93" i="72" s="1"/>
  <c r="D94" i="69" s="1"/>
  <c r="F94" i="72"/>
  <c r="K94" i="72" s="1"/>
  <c r="D95" i="69" s="1"/>
  <c r="F95" i="72"/>
  <c r="K95" i="72" s="1"/>
  <c r="D96" i="69" s="1"/>
  <c r="F96" i="72"/>
  <c r="K96" i="72" s="1"/>
  <c r="D97" i="69" s="1"/>
  <c r="F97" i="72"/>
  <c r="K97" i="72" s="1"/>
  <c r="D98" i="69" s="1"/>
  <c r="F98" i="72"/>
  <c r="K98" i="72" s="1"/>
  <c r="D99" i="69" s="1"/>
  <c r="F99" i="72"/>
  <c r="F102" i="72"/>
  <c r="K102" i="72" s="1"/>
  <c r="D103" i="69" s="1"/>
  <c r="B103" i="72"/>
  <c r="B104" i="72" s="1"/>
  <c r="B105" i="72" s="1"/>
  <c r="B106" i="72" s="1"/>
  <c r="B107" i="72" s="1"/>
  <c r="B109" i="72" s="1"/>
  <c r="F103" i="72"/>
  <c r="K103" i="72" s="1"/>
  <c r="D104" i="69" s="1"/>
  <c r="F104" i="72"/>
  <c r="K104" i="72" s="1"/>
  <c r="D105" i="69" s="1"/>
  <c r="F105" i="72"/>
  <c r="K105" i="72" s="1"/>
  <c r="D106" i="69" s="1"/>
  <c r="F106" i="72"/>
  <c r="K106" i="72" s="1"/>
  <c r="D107" i="69" s="1"/>
  <c r="F107" i="72"/>
  <c r="K107" i="72" s="1"/>
  <c r="D108" i="69" s="1"/>
  <c r="F109" i="72"/>
  <c r="K109" i="72" s="1"/>
  <c r="D110" i="69" s="1"/>
  <c r="F111" i="72"/>
  <c r="K111" i="72" s="1"/>
  <c r="D112" i="69" s="1"/>
  <c r="F112" i="72"/>
  <c r="K112" i="72" s="1"/>
  <c r="D113" i="69" s="1"/>
  <c r="F113" i="72"/>
  <c r="K113" i="72" s="1"/>
  <c r="D114" i="69" s="1"/>
  <c r="F114" i="72"/>
  <c r="K114" i="72" s="1"/>
  <c r="D115" i="69" s="1"/>
  <c r="F115" i="72"/>
  <c r="F116" i="72"/>
  <c r="F117" i="72"/>
  <c r="F118" i="72"/>
  <c r="K118" i="72" s="1"/>
  <c r="D119" i="69" s="1"/>
  <c r="F119" i="72"/>
  <c r="F120" i="72"/>
  <c r="K120" i="72" s="1"/>
  <c r="D121" i="69" s="1"/>
  <c r="F123" i="72"/>
  <c r="K123" i="72" s="1"/>
  <c r="D124" i="69" s="1"/>
  <c r="F126" i="72"/>
  <c r="K126" i="72" s="1"/>
  <c r="D127" i="69" s="1"/>
  <c r="B127" i="72"/>
  <c r="B128" i="72" s="1"/>
  <c r="B129" i="72" s="1"/>
  <c r="B130" i="72" s="1"/>
  <c r="B131" i="72" s="1"/>
  <c r="F127" i="72"/>
  <c r="K127" i="72" s="1"/>
  <c r="D128" i="69" s="1"/>
  <c r="F128" i="72"/>
  <c r="K128" i="72" s="1"/>
  <c r="D129" i="69" s="1"/>
  <c r="F129" i="72"/>
  <c r="K129" i="72" s="1"/>
  <c r="D130" i="69" s="1"/>
  <c r="F130" i="72"/>
  <c r="K130" i="72" s="1"/>
  <c r="D131" i="69" s="1"/>
  <c r="F131" i="72"/>
  <c r="K131" i="72" s="1"/>
  <c r="D132" i="69" s="1"/>
  <c r="F133" i="72"/>
  <c r="K133" i="72" s="1"/>
  <c r="D134" i="69" s="1"/>
  <c r="B134" i="72"/>
  <c r="B135" i="72" s="1"/>
  <c r="B136" i="72" s="1"/>
  <c r="B137" i="72" s="1"/>
  <c r="F134" i="72"/>
  <c r="K134" i="72" s="1"/>
  <c r="D135" i="69" s="1"/>
  <c r="F135" i="72"/>
  <c r="K135" i="72" s="1"/>
  <c r="D136" i="69" s="1"/>
  <c r="F136" i="72"/>
  <c r="K136" i="72" s="1"/>
  <c r="D137" i="69" s="1"/>
  <c r="F137" i="72"/>
  <c r="K137" i="72" s="1"/>
  <c r="D138" i="69" s="1"/>
  <c r="F139" i="72"/>
  <c r="F140" i="72"/>
  <c r="K140" i="72" s="1"/>
  <c r="D141" i="69" s="1"/>
  <c r="F141" i="72"/>
  <c r="K141" i="72" s="1"/>
  <c r="D142" i="69" s="1"/>
  <c r="F142" i="72"/>
  <c r="K142" i="72" s="1"/>
  <c r="D143" i="69" s="1"/>
  <c r="B144" i="72"/>
  <c r="B145" i="72" s="1"/>
  <c r="F144" i="72"/>
  <c r="K144" i="72" s="1"/>
  <c r="D145" i="69" s="1"/>
  <c r="F145" i="72"/>
  <c r="K145" i="72" s="1"/>
  <c r="D146" i="69" s="1"/>
  <c r="F147" i="72"/>
  <c r="K147" i="72" s="1"/>
  <c r="D148" i="69" s="1"/>
  <c r="F148" i="72"/>
  <c r="K148" i="72" s="1"/>
  <c r="D149" i="69" s="1"/>
  <c r="B149" i="72"/>
  <c r="F149" i="72"/>
  <c r="K149" i="72" s="1"/>
  <c r="D150" i="69" s="1"/>
  <c r="B150" i="72"/>
  <c r="B151" i="72" s="1"/>
  <c r="B152" i="72" s="1"/>
  <c r="B153" i="72" s="1"/>
  <c r="B154" i="72" s="1"/>
  <c r="B155" i="72" s="1"/>
  <c r="B156" i="72" s="1"/>
  <c r="B157" i="72" s="1"/>
  <c r="B158" i="72" s="1"/>
  <c r="B159" i="72" s="1"/>
  <c r="B160" i="72" s="1"/>
  <c r="B161" i="72" s="1"/>
  <c r="B162" i="72" s="1"/>
  <c r="F150" i="72"/>
  <c r="K150" i="72" s="1"/>
  <c r="D151" i="69" s="1"/>
  <c r="F151" i="72"/>
  <c r="K151" i="72" s="1"/>
  <c r="D152" i="69" s="1"/>
  <c r="F152" i="72"/>
  <c r="K152" i="72" s="1"/>
  <c r="D153" i="69" s="1"/>
  <c r="F153" i="72"/>
  <c r="F154" i="72"/>
  <c r="K154" i="72" s="1"/>
  <c r="D155" i="69" s="1"/>
  <c r="F155" i="72"/>
  <c r="K155" i="72" s="1"/>
  <c r="D156" i="69" s="1"/>
  <c r="F156" i="72"/>
  <c r="F157" i="72"/>
  <c r="F158" i="72"/>
  <c r="K158" i="72" s="1"/>
  <c r="D159" i="69" s="1"/>
  <c r="F159" i="72"/>
  <c r="K159" i="72" s="1"/>
  <c r="D160" i="69" s="1"/>
  <c r="F160" i="72"/>
  <c r="F161" i="72"/>
  <c r="F162" i="72"/>
  <c r="K162" i="72" s="1"/>
  <c r="D163" i="69" s="1"/>
  <c r="A10" i="70"/>
  <c r="A11" i="70"/>
  <c r="A12" i="70" s="1"/>
  <c r="A13" i="70" s="1"/>
  <c r="A14" i="70" s="1"/>
  <c r="A15" i="70" s="1"/>
  <c r="A16" i="70" s="1"/>
  <c r="A17" i="70" s="1"/>
  <c r="A18" i="70" s="1"/>
  <c r="A19" i="70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9" i="69"/>
  <c r="A10" i="69" s="1"/>
  <c r="A11" i="69" s="1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A41" i="69" s="1"/>
  <c r="A42" i="69" s="1"/>
  <c r="A43" i="69" s="1"/>
  <c r="A44" i="69" s="1"/>
  <c r="A45" i="69" s="1"/>
  <c r="A46" i="69" s="1"/>
  <c r="A47" i="69" s="1"/>
  <c r="A48" i="69" s="1"/>
  <c r="A49" i="69" s="1"/>
  <c r="A50" i="69" s="1"/>
  <c r="A51" i="69" s="1"/>
  <c r="A52" i="69" s="1"/>
  <c r="A53" i="69" s="1"/>
  <c r="A54" i="69" s="1"/>
  <c r="A55" i="69" s="1"/>
  <c r="A56" i="69" s="1"/>
  <c r="A57" i="69" s="1"/>
  <c r="A58" i="69" s="1"/>
  <c r="A59" i="69" s="1"/>
  <c r="A60" i="69" s="1"/>
  <c r="A61" i="69" s="1"/>
  <c r="A62" i="69" s="1"/>
  <c r="A63" i="69" s="1"/>
  <c r="A64" i="69" s="1"/>
  <c r="A65" i="69" s="1"/>
  <c r="A66" i="69" s="1"/>
  <c r="A67" i="69" s="1"/>
  <c r="A68" i="69" s="1"/>
  <c r="A69" i="69" s="1"/>
  <c r="A70" i="69" s="1"/>
  <c r="A71" i="69" s="1"/>
  <c r="A72" i="69" s="1"/>
  <c r="A73" i="69" s="1"/>
  <c r="A74" i="69" s="1"/>
  <c r="A75" i="69" s="1"/>
  <c r="A76" i="69" s="1"/>
  <c r="A77" i="69" s="1"/>
  <c r="A78" i="69" s="1"/>
  <c r="A79" i="69" s="1"/>
  <c r="A80" i="69" s="1"/>
  <c r="A81" i="69" s="1"/>
  <c r="A82" i="69" s="1"/>
  <c r="A83" i="69" s="1"/>
  <c r="A84" i="69" s="1"/>
  <c r="A85" i="69" s="1"/>
  <c r="A86" i="69" s="1"/>
  <c r="A87" i="69" s="1"/>
  <c r="A88" i="69" s="1"/>
  <c r="A89" i="69" s="1"/>
  <c r="A90" i="69" s="1"/>
  <c r="A91" i="69" s="1"/>
  <c r="A92" i="69" s="1"/>
  <c r="A93" i="69" s="1"/>
  <c r="A94" i="69" s="1"/>
  <c r="A95" i="69" s="1"/>
  <c r="A96" i="69" s="1"/>
  <c r="A97" i="69" s="1"/>
  <c r="A98" i="69" s="1"/>
  <c r="A99" i="69" s="1"/>
  <c r="A100" i="69" s="1"/>
  <c r="A101" i="69" s="1"/>
  <c r="A102" i="69" s="1"/>
  <c r="A103" i="69" s="1"/>
  <c r="A104" i="69" s="1"/>
  <c r="A105" i="69" s="1"/>
  <c r="A106" i="69" s="1"/>
  <c r="A107" i="69" s="1"/>
  <c r="A108" i="69" s="1"/>
  <c r="A109" i="69" s="1"/>
  <c r="A110" i="69" s="1"/>
  <c r="A111" i="69" s="1"/>
  <c r="A112" i="69" s="1"/>
  <c r="A113" i="69" s="1"/>
  <c r="A114" i="69" s="1"/>
  <c r="A115" i="69" s="1"/>
  <c r="A116" i="69" s="1"/>
  <c r="A117" i="69" s="1"/>
  <c r="A118" i="69" s="1"/>
  <c r="A119" i="69" s="1"/>
  <c r="A120" i="69" s="1"/>
  <c r="A121" i="69" s="1"/>
  <c r="A122" i="69" s="1"/>
  <c r="A123" i="69" s="1"/>
  <c r="A124" i="69" s="1"/>
  <c r="A125" i="69" s="1"/>
  <c r="A126" i="69" s="1"/>
  <c r="A127" i="69" s="1"/>
  <c r="A128" i="69" s="1"/>
  <c r="A129" i="69" s="1"/>
  <c r="A130" i="69" s="1"/>
  <c r="A131" i="69" s="1"/>
  <c r="A132" i="69" s="1"/>
  <c r="A133" i="69" s="1"/>
  <c r="A134" i="69" s="1"/>
  <c r="A135" i="69" s="1"/>
  <c r="A136" i="69" s="1"/>
  <c r="A137" i="69" s="1"/>
  <c r="A138" i="69" s="1"/>
  <c r="A139" i="69" s="1"/>
  <c r="A140" i="69" s="1"/>
  <c r="A141" i="69" s="1"/>
  <c r="A142" i="69" s="1"/>
  <c r="A143" i="69" s="1"/>
  <c r="A144" i="69" s="1"/>
  <c r="A145" i="69" s="1"/>
  <c r="A146" i="69" s="1"/>
  <c r="A147" i="69" s="1"/>
  <c r="A148" i="69" s="1"/>
  <c r="A149" i="69" s="1"/>
  <c r="A150" i="69" s="1"/>
  <c r="A151" i="69" s="1"/>
  <c r="A152" i="69" s="1"/>
  <c r="A153" i="69" s="1"/>
  <c r="A154" i="69" s="1"/>
  <c r="A155" i="69" s="1"/>
  <c r="A156" i="69" s="1"/>
  <c r="A157" i="69" s="1"/>
  <c r="A158" i="69" s="1"/>
  <c r="A159" i="69" s="1"/>
  <c r="A160" i="69" s="1"/>
  <c r="A161" i="69" s="1"/>
  <c r="A162" i="69" s="1"/>
  <c r="A163" i="69" s="1"/>
  <c r="A164" i="69" s="1"/>
  <c r="A165" i="69" s="1"/>
  <c r="A11" i="68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F43" i="68"/>
  <c r="B45" i="68"/>
  <c r="F46" i="68"/>
  <c r="F47" i="68"/>
  <c r="F48" i="68"/>
  <c r="F49" i="68"/>
  <c r="B50" i="68"/>
  <c r="B52" i="68"/>
  <c r="F53" i="68"/>
  <c r="F54" i="68"/>
  <c r="F55" i="68"/>
  <c r="B56" i="68"/>
  <c r="B58" i="68"/>
  <c r="F59" i="68"/>
  <c r="F60" i="68"/>
  <c r="B61" i="68"/>
  <c r="F63" i="68"/>
  <c r="F64" i="68"/>
  <c r="F65" i="68"/>
  <c r="B67" i="68"/>
  <c r="F69" i="68"/>
  <c r="B71" i="68"/>
  <c r="B139" i="72" l="1"/>
  <c r="B140" i="72" s="1"/>
  <c r="B141" i="72" s="1"/>
  <c r="B142" i="72" s="1"/>
  <c r="A28" i="68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H25" i="72"/>
  <c r="K25" i="72"/>
  <c r="D24" i="69" s="1"/>
  <c r="H153" i="72"/>
  <c r="K153" i="72"/>
  <c r="D154" i="69" s="1"/>
  <c r="H14" i="72"/>
  <c r="K14" i="72"/>
  <c r="D13" i="69" s="1"/>
  <c r="H161" i="72"/>
  <c r="K161" i="72"/>
  <c r="D162" i="69" s="1"/>
  <c r="H115" i="72"/>
  <c r="K115" i="72"/>
  <c r="D116" i="69" s="1"/>
  <c r="H62" i="72"/>
  <c r="K62" i="72"/>
  <c r="D62" i="69" s="1"/>
  <c r="H88" i="72"/>
  <c r="K88" i="72"/>
  <c r="D89" i="69" s="1"/>
  <c r="H51" i="72"/>
  <c r="K51" i="72"/>
  <c r="D51" i="69" s="1"/>
  <c r="H37" i="72"/>
  <c r="K37" i="72"/>
  <c r="D37" i="69" s="1"/>
  <c r="H99" i="72"/>
  <c r="K99" i="72"/>
  <c r="D100" i="69" s="1"/>
  <c r="H160" i="72"/>
  <c r="K160" i="72"/>
  <c r="D161" i="69" s="1"/>
  <c r="H85" i="72"/>
  <c r="K85" i="72"/>
  <c r="D86" i="69" s="1"/>
  <c r="H119" i="72"/>
  <c r="K119" i="72"/>
  <c r="D120" i="69" s="1"/>
  <c r="H58" i="72"/>
  <c r="K58" i="72"/>
  <c r="D58" i="69" s="1"/>
  <c r="H45" i="72"/>
  <c r="K45" i="72"/>
  <c r="D45" i="69" s="1"/>
  <c r="H27" i="72"/>
  <c r="K27" i="72"/>
  <c r="D26" i="69" s="1"/>
  <c r="H23" i="72"/>
  <c r="K23" i="72"/>
  <c r="D22" i="69" s="1"/>
  <c r="H157" i="72"/>
  <c r="K157" i="72"/>
  <c r="D158" i="69" s="1"/>
  <c r="H156" i="72"/>
  <c r="K156" i="72"/>
  <c r="D157" i="69" s="1"/>
  <c r="H139" i="72"/>
  <c r="K139" i="72"/>
  <c r="D140" i="69" s="1"/>
  <c r="H65" i="72"/>
  <c r="K65" i="72"/>
  <c r="D65" i="69" s="1"/>
  <c r="H117" i="72"/>
  <c r="K117" i="72"/>
  <c r="D118" i="69" s="1"/>
  <c r="H83" i="72"/>
  <c r="K83" i="72"/>
  <c r="D84" i="69" s="1"/>
  <c r="H74" i="72"/>
  <c r="K74" i="72"/>
  <c r="D74" i="69" s="1"/>
  <c r="H32" i="72"/>
  <c r="K32" i="72"/>
  <c r="D32" i="69" s="1"/>
  <c r="H26" i="72"/>
  <c r="K26" i="72"/>
  <c r="D25" i="69" s="1"/>
  <c r="H22" i="72"/>
  <c r="K22" i="72"/>
  <c r="D21" i="69" s="1"/>
  <c r="H82" i="72"/>
  <c r="K82" i="72"/>
  <c r="D83" i="69" s="1"/>
  <c r="H116" i="72"/>
  <c r="K116" i="72"/>
  <c r="D117" i="69" s="1"/>
  <c r="H39" i="72"/>
  <c r="K39" i="72"/>
  <c r="D39" i="69" s="1"/>
  <c r="H75" i="72"/>
  <c r="H71" i="72"/>
  <c r="H67" i="72"/>
  <c r="H54" i="72"/>
  <c r="H70" i="72"/>
  <c r="H57" i="72"/>
  <c r="H50" i="72"/>
  <c r="H33" i="72"/>
  <c r="H105" i="72"/>
  <c r="H95" i="72"/>
  <c r="H91" i="72"/>
  <c r="H56" i="72"/>
  <c r="H52" i="72"/>
  <c r="H131" i="72"/>
  <c r="H76" i="72"/>
  <c r="H55" i="72"/>
  <c r="H43" i="72"/>
  <c r="H21" i="72"/>
  <c r="H128" i="72"/>
  <c r="H19" i="72"/>
  <c r="H154" i="72"/>
  <c r="H141" i="72"/>
  <c r="H129" i="72"/>
  <c r="H113" i="72"/>
  <c r="H107" i="72"/>
  <c r="H103" i="72"/>
  <c r="H97" i="72"/>
  <c r="H93" i="72"/>
  <c r="H84" i="72"/>
  <c r="H81" i="72"/>
  <c r="H72" i="72"/>
  <c r="H68" i="72"/>
  <c r="H126" i="72"/>
  <c r="H44" i="72"/>
  <c r="H136" i="72"/>
  <c r="H123" i="72"/>
  <c r="H86" i="72"/>
  <c r="H80" i="72"/>
  <c r="H142" i="72"/>
  <c r="H130" i="72"/>
  <c r="H127" i="72"/>
  <c r="H114" i="72"/>
  <c r="H109" i="72"/>
  <c r="H104" i="72"/>
  <c r="H98" i="72"/>
  <c r="H94" i="72"/>
  <c r="H69" i="72"/>
  <c r="H42" i="72"/>
  <c r="H15" i="72"/>
  <c r="H87" i="72"/>
  <c r="H150" i="72"/>
  <c r="H46" i="72"/>
  <c r="H64" i="72"/>
  <c r="H35" i="72"/>
  <c r="H118" i="72"/>
  <c r="H102" i="72"/>
  <c r="H92" i="72"/>
  <c r="H16" i="72"/>
  <c r="H158" i="72"/>
  <c r="H120" i="72"/>
  <c r="H112" i="72"/>
  <c r="H61" i="72"/>
  <c r="H41" i="72"/>
  <c r="H28" i="72"/>
  <c r="H53" i="72"/>
  <c r="H13" i="72"/>
  <c r="H134" i="72"/>
  <c r="H90" i="72"/>
  <c r="H60" i="72"/>
  <c r="H47" i="72"/>
  <c r="H36" i="72"/>
  <c r="H24" i="72"/>
  <c r="H11" i="72"/>
  <c r="H73" i="72"/>
  <c r="H29" i="72"/>
  <c r="H133" i="72"/>
  <c r="H162" i="72"/>
  <c r="H147" i="72"/>
  <c r="H77" i="72"/>
  <c r="H20" i="72"/>
  <c r="H38" i="72"/>
  <c r="H63" i="72"/>
  <c r="H152" i="72"/>
  <c r="H135" i="72"/>
  <c r="H34" i="72"/>
  <c r="H137" i="72"/>
  <c r="H148" i="72"/>
  <c r="H144" i="72"/>
  <c r="H111" i="72"/>
  <c r="A34" i="73"/>
  <c r="A35" i="73" s="1"/>
  <c r="A36" i="73" s="1"/>
  <c r="A37" i="73" s="1"/>
  <c r="A38" i="73" s="1"/>
  <c r="F22" i="62"/>
  <c r="E39" i="73" s="1"/>
  <c r="G22" i="62"/>
  <c r="H13" i="62"/>
  <c r="H149" i="72"/>
  <c r="H159" i="72"/>
  <c r="H145" i="72"/>
  <c r="H151" i="72"/>
  <c r="B37" i="72"/>
  <c r="B41" i="72"/>
  <c r="H96" i="72"/>
  <c r="H106" i="72"/>
  <c r="B90" i="72"/>
  <c r="B88" i="72"/>
  <c r="B91" i="72" s="1"/>
  <c r="B92" i="72" s="1"/>
  <c r="B93" i="72" s="1"/>
  <c r="B94" i="72" s="1"/>
  <c r="B95" i="72" s="1"/>
  <c r="B96" i="72" s="1"/>
  <c r="B97" i="72" s="1"/>
  <c r="B98" i="72" s="1"/>
  <c r="B99" i="72" s="1"/>
  <c r="H140" i="72"/>
  <c r="B67" i="72"/>
  <c r="B65" i="72"/>
  <c r="B68" i="72" s="1"/>
  <c r="B69" i="72" s="1"/>
  <c r="B70" i="72" s="1"/>
  <c r="B71" i="72" s="1"/>
  <c r="B72" i="72" s="1"/>
  <c r="B73" i="72" s="1"/>
  <c r="B74" i="72" s="1"/>
  <c r="B75" i="72" s="1"/>
  <c r="B76" i="72" s="1"/>
  <c r="H155" i="72"/>
  <c r="A47" i="68" l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72" i="68" s="1"/>
  <c r="A73" i="68" s="1"/>
  <c r="H165" i="72"/>
  <c r="A39" i="73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H22" i="62"/>
  <c r="B38" i="72"/>
  <c r="B42" i="72"/>
  <c r="B39" i="72" l="1"/>
  <c r="B44" i="72" s="1"/>
  <c r="B45" i="72" s="1"/>
  <c r="B46" i="72" s="1"/>
  <c r="B47" i="72" s="1"/>
  <c r="B43" i="72"/>
  <c r="C47" i="68" l="1"/>
  <c r="C69" i="68" l="1"/>
  <c r="B69" i="68"/>
  <c r="B65" i="68"/>
  <c r="B64" i="68"/>
  <c r="B63" i="68"/>
  <c r="C26" i="70" l="1"/>
  <c r="C24" i="73" s="1"/>
  <c r="C59" i="68"/>
  <c r="C34" i="70"/>
  <c r="C31" i="73" s="1"/>
  <c r="C65" i="68"/>
  <c r="C27" i="70"/>
  <c r="C25" i="73" s="1"/>
  <c r="C60" i="68"/>
  <c r="C48" i="68"/>
  <c r="C15" i="70"/>
  <c r="C15" i="73" s="1"/>
  <c r="B13" i="70"/>
  <c r="B13" i="73" s="1"/>
  <c r="B46" i="68"/>
  <c r="C20" i="70"/>
  <c r="C19" i="73" s="1"/>
  <c r="C53" i="68"/>
  <c r="B60" i="68"/>
  <c r="B27" i="70"/>
  <c r="C54" i="68"/>
  <c r="C21" i="70"/>
  <c r="C20" i="73" s="1"/>
  <c r="B49" i="68"/>
  <c r="B16" i="70"/>
  <c r="C46" i="68"/>
  <c r="C13" i="70"/>
  <c r="C13" i="73" s="1"/>
  <c r="C49" i="68"/>
  <c r="C16" i="70"/>
  <c r="C16" i="73" s="1"/>
  <c r="C22" i="70"/>
  <c r="C21" i="73" s="1"/>
  <c r="C55" i="68"/>
  <c r="B15" i="70"/>
  <c r="B48" i="68"/>
  <c r="B22" i="70"/>
  <c r="B55" i="68"/>
  <c r="B14" i="70"/>
  <c r="B47" i="68"/>
  <c r="C63" i="68"/>
  <c r="C30" i="70"/>
  <c r="C27" i="73" s="1"/>
  <c r="B10" i="70"/>
  <c r="B43" i="68"/>
  <c r="B21" i="70"/>
  <c r="B54" i="68"/>
  <c r="B53" i="68"/>
  <c r="B20" i="70"/>
  <c r="B59" i="68"/>
  <c r="B26" i="70"/>
  <c r="C32" i="70"/>
  <c r="C29" i="73" s="1"/>
  <c r="C64" i="68"/>
  <c r="C10" i="70" l="1"/>
  <c r="C10" i="73" s="1"/>
  <c r="C43" i="68"/>
  <c r="D31" i="73" l="1"/>
  <c r="G23" i="70"/>
  <c r="D19" i="73"/>
  <c r="D15" i="73"/>
  <c r="D29" i="73"/>
  <c r="G29" i="73" s="1"/>
  <c r="E40" i="73" s="1"/>
  <c r="E41" i="73" s="1"/>
  <c r="D14" i="73"/>
  <c r="D16" i="73"/>
  <c r="D20" i="73"/>
  <c r="D10" i="73"/>
  <c r="G28" i="70"/>
  <c r="D24" i="73"/>
  <c r="G17" i="70"/>
  <c r="G36" i="70" s="1"/>
  <c r="D13" i="73"/>
  <c r="D25" i="73"/>
  <c r="D21" i="73"/>
  <c r="D27" i="73"/>
  <c r="D33" i="73" l="1"/>
  <c r="D37" i="73" s="1"/>
  <c r="D34" i="73"/>
  <c r="E43" i="70" l="1"/>
  <c r="D43" i="70"/>
  <c r="D23" i="68" l="1"/>
  <c r="J32" i="70"/>
  <c r="D32" i="68"/>
  <c r="D11" i="68"/>
  <c r="D22" i="68"/>
  <c r="D15" i="68"/>
  <c r="D27" i="68"/>
  <c r="D16" i="68"/>
  <c r="D31" i="68"/>
  <c r="D33" i="68"/>
  <c r="D28" i="68"/>
  <c r="D17" i="68"/>
  <c r="D14" i="68"/>
  <c r="D21" i="68"/>
  <c r="P32" i="70" l="1"/>
  <c r="E32" i="68"/>
  <c r="C43" i="70" l="1"/>
  <c r="F32" i="68"/>
  <c r="E33" i="73" l="1"/>
  <c r="E37" i="73" l="1"/>
  <c r="E43" i="73"/>
  <c r="E45" i="73" s="1"/>
  <c r="F19" i="73" l="1"/>
  <c r="F31" i="73"/>
  <c r="F21" i="73"/>
  <c r="F27" i="73"/>
  <c r="F20" i="73"/>
  <c r="F16" i="73"/>
  <c r="F15" i="73"/>
  <c r="F25" i="73"/>
  <c r="F13" i="73"/>
  <c r="F24" i="73"/>
  <c r="F14" i="73"/>
  <c r="F10" i="73"/>
  <c r="G10" i="73" l="1"/>
  <c r="J10" i="70"/>
  <c r="G14" i="73"/>
  <c r="J14" i="70"/>
  <c r="G24" i="73"/>
  <c r="J26" i="70"/>
  <c r="G13" i="73"/>
  <c r="J13" i="70"/>
  <c r="G25" i="73"/>
  <c r="J27" i="70"/>
  <c r="G15" i="73"/>
  <c r="J15" i="70"/>
  <c r="G16" i="73"/>
  <c r="J16" i="70"/>
  <c r="G20" i="73"/>
  <c r="J21" i="70"/>
  <c r="G27" i="73"/>
  <c r="J30" i="70"/>
  <c r="G21" i="73"/>
  <c r="J22" i="70"/>
  <c r="G31" i="73"/>
  <c r="J34" i="70"/>
  <c r="G19" i="73"/>
  <c r="J20" i="70"/>
  <c r="P20" i="70" l="1"/>
  <c r="E21" i="68"/>
  <c r="P30" i="70"/>
  <c r="E31" i="68"/>
  <c r="P34" i="70"/>
  <c r="E33" i="68"/>
  <c r="E23" i="68"/>
  <c r="P22" i="70"/>
  <c r="E15" i="68"/>
  <c r="P14" i="70"/>
  <c r="M10" i="70"/>
  <c r="P10" i="70"/>
  <c r="E11" i="68"/>
  <c r="P15" i="70"/>
  <c r="E16" i="68"/>
  <c r="P27" i="70"/>
  <c r="E28" i="68"/>
  <c r="H166" i="72"/>
  <c r="H167" i="72" s="1"/>
  <c r="E14" i="68"/>
  <c r="P13" i="70"/>
  <c r="E27" i="68"/>
  <c r="P26" i="70"/>
  <c r="P21" i="70"/>
  <c r="E22" i="68"/>
  <c r="E17" i="68"/>
  <c r="P16" i="70"/>
  <c r="G33" i="73"/>
  <c r="G34" i="73" s="1"/>
  <c r="F33" i="68" l="1"/>
  <c r="F27" i="68"/>
  <c r="F14" i="68"/>
  <c r="F28" i="68"/>
  <c r="F31" i="68"/>
  <c r="F21" i="68"/>
  <c r="F15" i="68"/>
  <c r="F23" i="68"/>
  <c r="F16" i="68"/>
  <c r="F17" i="68"/>
  <c r="F22" i="68"/>
  <c r="F11" i="68"/>
  <c r="M32" i="70" l="1"/>
  <c r="N32" i="70" s="1"/>
  <c r="O32" i="70" s="1"/>
  <c r="G42" i="70" l="1"/>
  <c r="F43" i="70"/>
  <c r="G43" i="70" s="1"/>
  <c r="M16" i="70" l="1"/>
  <c r="N16" i="70" s="1"/>
  <c r="O16" i="70" s="1"/>
  <c r="M15" i="70"/>
  <c r="N15" i="70" s="1"/>
  <c r="O15" i="70" s="1"/>
  <c r="M21" i="70"/>
  <c r="N21" i="70" s="1"/>
  <c r="O21" i="70" s="1"/>
  <c r="M30" i="70"/>
  <c r="N30" i="70" s="1"/>
  <c r="O30" i="70" s="1"/>
  <c r="M27" i="70"/>
  <c r="N27" i="70" s="1"/>
  <c r="O27" i="70" s="1"/>
  <c r="M34" i="70"/>
  <c r="N34" i="70" s="1"/>
  <c r="O34" i="70" s="1"/>
  <c r="M22" i="70"/>
  <c r="N22" i="70" s="1"/>
  <c r="O22" i="70" s="1"/>
  <c r="M13" i="70" l="1"/>
  <c r="K28" i="70"/>
  <c r="M26" i="70"/>
  <c r="K23" i="70"/>
  <c r="M20" i="70"/>
  <c r="N20" i="70" l="1"/>
  <c r="M23" i="70"/>
  <c r="N13" i="70"/>
  <c r="N26" i="70"/>
  <c r="M28" i="70"/>
  <c r="N10" i="70"/>
  <c r="O10" i="70" s="1"/>
  <c r="G44" i="70" l="1"/>
  <c r="G45" i="70" s="1"/>
  <c r="N28" i="70"/>
  <c r="O28" i="70" s="1"/>
  <c r="O26" i="70"/>
  <c r="O13" i="70"/>
  <c r="N23" i="70"/>
  <c r="O23" i="70" s="1"/>
  <c r="O20" i="70"/>
  <c r="M14" i="70" l="1"/>
  <c r="K17" i="70"/>
  <c r="K36" i="70" s="1"/>
  <c r="N14" i="70" l="1"/>
  <c r="M17" i="70"/>
  <c r="M36" i="70" s="1"/>
  <c r="O14" i="70" l="1"/>
  <c r="N17" i="70"/>
  <c r="O17" i="70" l="1"/>
  <c r="N36" i="70"/>
  <c r="O36" i="70" s="1"/>
</calcChain>
</file>

<file path=xl/sharedStrings.xml><?xml version="1.0" encoding="utf-8"?>
<sst xmlns="http://schemas.openxmlformats.org/spreadsheetml/2006/main" count="658" uniqueCount="233">
  <si>
    <t>Schedule</t>
  </si>
  <si>
    <t>Residential</t>
  </si>
  <si>
    <t>PUGET SOUND ENERGY</t>
  </si>
  <si>
    <t>ELECTRIC</t>
  </si>
  <si>
    <t>GAS</t>
  </si>
  <si>
    <t>TOTAL</t>
  </si>
  <si>
    <t>Line No.</t>
  </si>
  <si>
    <t>Lamp Type</t>
  </si>
  <si>
    <t>Mercury Vapor</t>
  </si>
  <si>
    <t>Sodium Vapor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</si>
  <si>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</si>
  <si>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</si>
  <si>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</si>
  <si>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</si>
  <si>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</si>
  <si>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</si>
  <si>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HV Interruptible Svc</t>
  </si>
  <si>
    <t>HV Gen Svc</t>
  </si>
  <si>
    <t>Lights</t>
  </si>
  <si>
    <t>Total</t>
  </si>
  <si>
    <t>Firm Resale</t>
  </si>
  <si>
    <t>Total Sales</t>
  </si>
  <si>
    <t>Customer Class</t>
  </si>
  <si>
    <t>aa</t>
  </si>
  <si>
    <t xml:space="preserve"> </t>
  </si>
  <si>
    <t>Voltage Level</t>
  </si>
  <si>
    <t>(a)</t>
  </si>
  <si>
    <t>(b)</t>
  </si>
  <si>
    <t>(d)</t>
  </si>
  <si>
    <t>(f)</t>
  </si>
  <si>
    <t>Total Secondary Voltage</t>
  </si>
  <si>
    <t>Total Primary Voltage</t>
  </si>
  <si>
    <t>Total High Voltage</t>
  </si>
  <si>
    <t>LINE 
NO.</t>
  </si>
  <si>
    <t>Electric</t>
  </si>
  <si>
    <t>Gas</t>
  </si>
  <si>
    <t xml:space="preserve">(c) </t>
  </si>
  <si>
    <t>(e)</t>
  </si>
  <si>
    <t>(g)</t>
  </si>
  <si>
    <t>(h)</t>
  </si>
  <si>
    <t>Per W charge</t>
  </si>
  <si>
    <t>57E</t>
  </si>
  <si>
    <t>Sch 57</t>
  </si>
  <si>
    <t>800.01 - 900</t>
  </si>
  <si>
    <t>Light Emitting Diode</t>
  </si>
  <si>
    <t>700.01 - 800</t>
  </si>
  <si>
    <t>600.01 - 700</t>
  </si>
  <si>
    <t>500.01 - 600</t>
  </si>
  <si>
    <t>400.01 - 500</t>
  </si>
  <si>
    <t>300.01 - 400</t>
  </si>
  <si>
    <t>270.01 - 300</t>
  </si>
  <si>
    <t>240.01 - 270</t>
  </si>
  <si>
    <t>210.01 - 240</t>
  </si>
  <si>
    <t>180.01 - 210</t>
  </si>
  <si>
    <t>150.01 - 180</t>
  </si>
  <si>
    <t>120.01 - 150</t>
  </si>
  <si>
    <t>90.01 - 120</t>
  </si>
  <si>
    <t>60.01 - 90</t>
  </si>
  <si>
    <t>30.01 - 60</t>
  </si>
  <si>
    <t>58E &amp; 59E</t>
  </si>
  <si>
    <t>Metal Halide</t>
  </si>
  <si>
    <t>58E &amp; 59E - Horizontal</t>
  </si>
  <si>
    <t>58E &amp; 59E - Directional</t>
  </si>
  <si>
    <t>Sch 58 &amp; 59</t>
  </si>
  <si>
    <t>55E &amp; 56E</t>
  </si>
  <si>
    <t>Sch 55 &amp; 56</t>
  </si>
  <si>
    <t>54E</t>
  </si>
  <si>
    <t xml:space="preserve">52E </t>
  </si>
  <si>
    <t>51E</t>
  </si>
  <si>
    <t>Sch 51E</t>
  </si>
  <si>
    <t>Compact Flourescent</t>
  </si>
  <si>
    <t>003</t>
  </si>
  <si>
    <t>Wattage (W)</t>
  </si>
  <si>
    <t>Special Contract</t>
  </si>
  <si>
    <t>Sales less Special Contract &amp; Firm Resale</t>
  </si>
  <si>
    <t>Low Income Revenue Requirement, excluding Special Contract</t>
  </si>
  <si>
    <t>Low Income Revenue Requirement as % of Total Revenue Adj for Special Contact &amp; Firm Resale</t>
  </si>
  <si>
    <t>Total Retail Sales</t>
  </si>
  <si>
    <t>Proposed Rider Rate Effective Start Date</t>
  </si>
  <si>
    <t>Budget Forecast</t>
  </si>
  <si>
    <t>Basic Charge</t>
  </si>
  <si>
    <t>First 600 kWh</t>
  </si>
  <si>
    <t>Over 600 kWh</t>
  </si>
  <si>
    <t>Smart LED</t>
  </si>
  <si>
    <t>Per kWh - All Lamps</t>
  </si>
  <si>
    <t>F2023</t>
  </si>
  <si>
    <t>30 - 60</t>
  </si>
  <si>
    <t>0-30</t>
  </si>
  <si>
    <t>0 - 30</t>
  </si>
  <si>
    <t>53E</t>
  </si>
  <si>
    <t>50E</t>
  </si>
  <si>
    <t>Remove Special Contract Low Income Revenue Requirement</t>
  </si>
  <si>
    <t>Demand</t>
  </si>
  <si>
    <t>na</t>
  </si>
  <si>
    <t>See Lighting Rates tab</t>
  </si>
  <si>
    <t>Energy</t>
  </si>
  <si>
    <t>f</t>
  </si>
  <si>
    <t>e</t>
  </si>
  <si>
    <t>d</t>
  </si>
  <si>
    <t>c</t>
  </si>
  <si>
    <t>b</t>
  </si>
  <si>
    <t>a</t>
  </si>
  <si>
    <t>% Change</t>
  </si>
  <si>
    <t>Current Rates</t>
  </si>
  <si>
    <t>Rate Schedule</t>
  </si>
  <si>
    <t>58E &amp; 59E - LED</t>
  </si>
  <si>
    <t>58E &amp; 59E - Horizontal Metal Halide</t>
  </si>
  <si>
    <t>58E &amp; 59E - Directional Metal Halide</t>
  </si>
  <si>
    <t>58E &amp; 59E - Horizontal Sodium Vapor</t>
  </si>
  <si>
    <t>58E &amp; 59E - Directional Sodium Vapor</t>
  </si>
  <si>
    <t>per W charge</t>
  </si>
  <si>
    <t>55E &amp; 56E - LED</t>
  </si>
  <si>
    <t>55E &amp; 56E - Metal Halide</t>
  </si>
  <si>
    <t>55E &amp; 56E - Sodium Vapor</t>
  </si>
  <si>
    <t>Sch 55 &amp; Sch 56</t>
  </si>
  <si>
    <t>54E - LED</t>
  </si>
  <si>
    <t>54E - Sodium Vapor</t>
  </si>
  <si>
    <t>Sch 54</t>
  </si>
  <si>
    <t>per kWh</t>
  </si>
  <si>
    <t>53S - Smart LED</t>
  </si>
  <si>
    <t>53E - LED</t>
  </si>
  <si>
    <t>53E - Metal Halide</t>
  </si>
  <si>
    <t>53E - Sodium Vapor</t>
  </si>
  <si>
    <t>Sch 53</t>
  </si>
  <si>
    <t>52E  - Metal Halide</t>
  </si>
  <si>
    <t>52E  - Sodium Vapor</t>
  </si>
  <si>
    <t>Sch 52</t>
  </si>
  <si>
    <t>51S - Smart LED</t>
  </si>
  <si>
    <t>51E - LED</t>
  </si>
  <si>
    <t>Sch 51</t>
  </si>
  <si>
    <t>50E - Mercury Vapor</t>
  </si>
  <si>
    <t>003 - Compact Flourescent</t>
  </si>
  <si>
    <t>Sch 50</t>
  </si>
  <si>
    <t>Wattage</t>
  </si>
  <si>
    <t>Schedule &amp; Charge Type</t>
  </si>
  <si>
    <t>Lighting Rates</t>
  </si>
  <si>
    <t>Typical Residential Bill at 800 kWh</t>
  </si>
  <si>
    <t>Pass-Thru Trackers</t>
  </si>
  <si>
    <t>Current Bill</t>
  </si>
  <si>
    <t>Residential Bill Impacts</t>
  </si>
  <si>
    <t>Total Choice / Retail Wheeling</t>
  </si>
  <si>
    <t>g = f / d</t>
  </si>
  <si>
    <t>f = e - d</t>
  </si>
  <si>
    <t>Projected Rate-Year
Revenue Impacts
from Proposed Rate Changes</t>
  </si>
  <si>
    <t>Projected Schedule Revenue Impacts of Rate Change by Forecasted Energy</t>
  </si>
  <si>
    <t>Scaling Factor [SF]</t>
  </si>
  <si>
    <t>Variance</t>
  </si>
  <si>
    <t>Lighting Allocation of Revenue Requirement</t>
  </si>
  <si>
    <t>Proposed Lighting Revenue</t>
  </si>
  <si>
    <t>53S</t>
  </si>
  <si>
    <t>51S</t>
  </si>
  <si>
    <t>g = e * f</t>
  </si>
  <si>
    <t>Lamp Level Rate Design</t>
  </si>
  <si>
    <t>Forecasted Rate Year End Date</t>
  </si>
  <si>
    <t>Forecasted Rate Year Start Date</t>
  </si>
  <si>
    <t>Sch 129 Tariff Reference</t>
  </si>
  <si>
    <t xml:space="preserve">Schedule 129 - Low Income Program </t>
  </si>
  <si>
    <t>Effective May 1, 2024 - September 30, 2024</t>
  </si>
  <si>
    <t>7A (11) (25)</t>
  </si>
  <si>
    <t>Current Rate</t>
  </si>
  <si>
    <t>Sheet No. 129-B</t>
  </si>
  <si>
    <t>Sheet No. 129-C</t>
  </si>
  <si>
    <t>Tariff Reference</t>
  </si>
  <si>
    <t>Sheet No. 129-D</t>
  </si>
  <si>
    <t>Sheet No. 129-E</t>
  </si>
  <si>
    <t>Sheet No. 129-F</t>
  </si>
  <si>
    <t>Sheet No. 129-G</t>
  </si>
  <si>
    <t>Sheet No. 129-H</t>
  </si>
  <si>
    <t>Sheet No. 129-I</t>
  </si>
  <si>
    <t>cross check</t>
  </si>
  <si>
    <t>F2023 Forecast Energy (kWh) 5/01/24 - 09/30/24</t>
  </si>
  <si>
    <t xml:space="preserve">c = (aa * b) / a </t>
  </si>
  <si>
    <t>d = a * c</t>
  </si>
  <si>
    <t>Proposed Lamp Charge</t>
  </si>
  <si>
    <t>Proposed Lamp Revenue</t>
  </si>
  <si>
    <t xml:space="preserve"> Equal % Allocation (Ex. Special Contract)</t>
  </si>
  <si>
    <t>Proposed Low Income $</t>
  </si>
  <si>
    <t xml:space="preserve">Rate Spread &amp; Design with Equal % Allocation based on Forecasted Base related Revenues </t>
  </si>
  <si>
    <t>e = a * (c - b) + d</t>
  </si>
  <si>
    <t>Proposed Rates (1)</t>
  </si>
  <si>
    <t>Low Income Electric Revenue Requirement Cap (Additional to currently approved in Docket UE-230694)</t>
  </si>
  <si>
    <t>Proposed Rate (1)</t>
  </si>
  <si>
    <t>Lighting (2)</t>
  </si>
  <si>
    <t xml:space="preserve">Note (2): displayed energy determinates (kWh) and rates for Lighting (Sch. 50-59) are illustrative for rate impact noticing requirements. Lighting charges are detailed on the "Lighting Rates" tab.
</t>
  </si>
  <si>
    <t>Note (1): Proposed rate includes current SCH 129 rate set under Docket UE-230694</t>
  </si>
  <si>
    <t>Special Contract (2)</t>
  </si>
  <si>
    <t>Note (1):  Excludes Rider Schedules 95A, 120, 129, 129D, 137, 139, 141A, 142 and 194. Includes Rider Schedules 95, 140, 141CEI, 141COL, 141PFG, 141TEP, 141N, 141R, and 141Z Revenue.</t>
  </si>
  <si>
    <t>Note (2): Special Contract - Sch 129 rate set at $0.000614 per kWh per Contract in Docket UE-230694, therefore there is no additional rate increase proposed in SCH 129 Out-of-Cycle filing</t>
  </si>
  <si>
    <t>Current Lamp Charge</t>
  </si>
  <si>
    <t>h</t>
  </si>
  <si>
    <t>Note (2): Proposed rate includes current SCH 129 rate set under Docket UE-230694</t>
  </si>
  <si>
    <t>Combined Energy &amp; Demand Allocation (1)</t>
  </si>
  <si>
    <t>Forecast Delivered Applicable Base Revenue 5/1/24 - 4/30/25 (1)</t>
  </si>
  <si>
    <t>Secondary Voltage:</t>
  </si>
  <si>
    <t>Primary Voltage:</t>
  </si>
  <si>
    <t>High Voltage:</t>
  </si>
  <si>
    <t>Current</t>
  </si>
  <si>
    <t>Proposed</t>
  </si>
  <si>
    <t>Note (1): Utilizes the allocation factor as approved in the Lighting COS Model from the 2022 GRC (Docket No. UE-220066).</t>
  </si>
  <si>
    <t>Total Proposed Lamp Charge (2)</t>
  </si>
  <si>
    <t>i = e + h</t>
  </si>
  <si>
    <t>Lamp Inventory (5 months Adjusted Average)</t>
  </si>
  <si>
    <t xml:space="preserve">Proposed Out-of-Cycle Filing </t>
  </si>
  <si>
    <t>Total Projected Revenue
 @ Current Rates</t>
  </si>
  <si>
    <t>Total Projected Revenue
@ Proposed Rates</t>
  </si>
  <si>
    <t>LOW INCOME PROGRAM</t>
  </si>
  <si>
    <t xml:space="preserve">REVENUE REQUIREMENTS </t>
  </si>
  <si>
    <t>MAY 2024 THROUGH SEPTEMBER 2024</t>
  </si>
  <si>
    <t>Additional Funding requested for period 05/24 - 09/24</t>
  </si>
  <si>
    <t>Amount to be recovered May 2024 through September 2024</t>
  </si>
  <si>
    <t>Revenue Sensitive Items:</t>
  </si>
  <si>
    <t>Bad Debts Conversion Factor used in 2022 GRC UE-220066, et al</t>
  </si>
  <si>
    <t>Current Annual Filing Fee</t>
  </si>
  <si>
    <t xml:space="preserve">Current State Utility Tax </t>
  </si>
  <si>
    <t>Conversion Factor</t>
  </si>
  <si>
    <t>Low income revenue requirement to be recovered in rates May 2024 through September 2024</t>
  </si>
  <si>
    <t>7 (307) (317) (327)</t>
  </si>
  <si>
    <t>General Service: Demand &lt;= 50 kW</t>
  </si>
  <si>
    <t>08 (24) (324)</t>
  </si>
  <si>
    <t>Small General Service: Demand &gt; 50 kW but &lt;= 350 kW</t>
  </si>
  <si>
    <t>Large General Service: Demand &gt; 350 kW</t>
  </si>
  <si>
    <t>12 (26) (26P)</t>
  </si>
  <si>
    <t>Irrigation &amp; Pumping Service: Demand &gt; 50 kW but &lt;= 350 kW</t>
  </si>
  <si>
    <t>General Service</t>
  </si>
  <si>
    <t>10 (31)</t>
  </si>
  <si>
    <t>Irrigation &amp; Pumping Service</t>
  </si>
  <si>
    <t>All Electric Schools</t>
  </si>
  <si>
    <t>Interruptible Service</t>
  </si>
  <si>
    <t>Choice / Retail Wheeling</t>
  </si>
  <si>
    <t>448 - 459</t>
  </si>
  <si>
    <t>Special Contracts</t>
  </si>
  <si>
    <t>Lighting</t>
  </si>
  <si>
    <t>50 - 59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</si>
</sst>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0_);_(&quot;$&quot;* \(#,##0.000000\);_(&quot;$&quot;* &quot;-&quot;??_);_(@_)"/>
    <numFmt numFmtId="167" formatCode="_(* #,##0_);_(* \(#,##0\);_(* &quot;-&quot;??_);_(@_)"/>
    <numFmt numFmtId="168" formatCode="_(* #,##0.0000000_);_(* \(#,##0.0000000\);_(* &quot;-&quot;??_);_(@_)"/>
    <numFmt numFmtId="169" formatCode="0.000%"/>
    <numFmt numFmtId="170" formatCode="0.0000000"/>
    <numFmt numFmtId="171" formatCode="#,##0.000000_);\(#,##0.000000\)"/>
    <numFmt numFmtId="172" formatCode="0.0000%"/>
    <numFmt numFmtId="173" formatCode="_(* #,##0.000000_);_(* \(#,##0.000000\);_(* &quot;-&quot;??_);_(@_)"/>
    <numFmt numFmtId="174" formatCode="0.0%"/>
    <numFmt numFmtId="175" formatCode="0.00000\ \¢"/>
    <numFmt numFmtId="176" formatCode="m/d/yy;@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u val="singleAccounting"/>
      <sz val="8"/>
      <name val="Arial"/>
      <family val="2"/>
    </font>
    <font>
      <u val="singleAccounting"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0" xfId="0" applyFont="1" applyAlignment="1">
      <alignment horizontal="centerContinuous"/>
    </xf>
    <xf numFmtId="0" fontId="1" fillId="0" borderId="0" xfId="0" applyFont="1"/>
    <xf numFmtId="0" fontId="1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10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166" fontId="1" fillId="0" borderId="0" xfId="0" applyNumberFormat="1" applyFont="1"/>
    <xf numFmtId="0" fontId="2" fillId="0" borderId="0" xfId="0" applyFont="1"/>
    <xf numFmtId="0" fontId="1" fillId="0" borderId="0" xfId="0" quotePrefix="1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7" xfId="0" quotePrefix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quotePrefix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0" xfId="0" quotePrefix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67" fontId="1" fillId="0" borderId="0" xfId="0" quotePrefix="1" applyNumberFormat="1" applyFont="1" applyAlignment="1">
      <alignment horizontal="center"/>
    </xf>
    <xf numFmtId="167" fontId="1" fillId="0" borderId="0" xfId="0" applyNumberFormat="1" applyFont="1" applyAlignment="1">
      <alignment horizontal="left"/>
    </xf>
    <xf numFmtId="44" fontId="4" fillId="0" borderId="0" xfId="0" applyNumberFormat="1" applyFont="1"/>
    <xf numFmtId="167" fontId="1" fillId="0" borderId="0" xfId="0" applyNumberFormat="1" applyFont="1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Continuous" wrapText="1"/>
    </xf>
    <xf numFmtId="0" fontId="2" fillId="0" borderId="7" xfId="0" applyFont="1" applyBorder="1" applyAlignment="1">
      <alignment horizontal="center"/>
    </xf>
    <xf numFmtId="0" fontId="1" fillId="0" borderId="0" xfId="0" quotePrefix="1" applyFont="1"/>
    <xf numFmtId="10" fontId="1" fillId="0" borderId="0" xfId="0" applyNumberFormat="1" applyFont="1"/>
    <xf numFmtId="43" fontId="1" fillId="0" borderId="0" xfId="0" quotePrefix="1" applyNumberFormat="1" applyFont="1"/>
    <xf numFmtId="44" fontId="1" fillId="0" borderId="0" xfId="0" applyNumberFormat="1" applyFont="1"/>
    <xf numFmtId="0" fontId="1" fillId="0" borderId="0" xfId="0" applyFont="1" applyAlignment="1">
      <alignment horizontal="right" vertical="center"/>
    </xf>
    <xf numFmtId="44" fontId="4" fillId="0" borderId="0" xfId="0" quotePrefix="1" applyNumberFormat="1" applyFont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167" fontId="1" fillId="0" borderId="7" xfId="0" applyNumberFormat="1" applyFont="1" applyBorder="1" applyAlignment="1">
      <alignment horizontal="centerContinuous" vertical="center"/>
    </xf>
    <xf numFmtId="44" fontId="4" fillId="0" borderId="7" xfId="0" quotePrefix="1" applyNumberFormat="1" applyFont="1" applyBorder="1" applyAlignment="1">
      <alignment horizontal="centerContinuous" vertical="center"/>
    </xf>
    <xf numFmtId="167" fontId="1" fillId="0" borderId="0" xfId="0" applyNumberFormat="1" applyFont="1" applyAlignment="1">
      <alignment horizontal="centerContinuous"/>
    </xf>
    <xf numFmtId="175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10" fontId="1" fillId="0" borderId="6" xfId="0" applyNumberFormat="1" applyFont="1" applyBorder="1" applyAlignment="1">
      <alignment horizontal="right"/>
    </xf>
    <xf numFmtId="164" fontId="1" fillId="0" borderId="6" xfId="0" applyNumberFormat="1" applyFont="1" applyBorder="1"/>
    <xf numFmtId="164" fontId="1" fillId="0" borderId="6" xfId="0" applyNumberFormat="1" applyFont="1" applyBorder="1" applyAlignment="1">
      <alignment horizontal="centerContinuous"/>
    </xf>
    <xf numFmtId="166" fontId="1" fillId="0" borderId="6" xfId="0" applyNumberFormat="1" applyFont="1" applyBorder="1"/>
    <xf numFmtId="166" fontId="1" fillId="0" borderId="6" xfId="0" applyNumberFormat="1" applyFont="1" applyBorder="1" applyAlignment="1">
      <alignment horizontal="centerContinuous" wrapText="1"/>
    </xf>
    <xf numFmtId="167" fontId="1" fillId="0" borderId="6" xfId="0" applyNumberFormat="1" applyFont="1" applyBorder="1"/>
    <xf numFmtId="0" fontId="1" fillId="0" borderId="6" xfId="0" applyFont="1" applyBorder="1" applyAlignment="1">
      <alignment horizontal="centerContinuous" vertical="center"/>
    </xf>
    <xf numFmtId="0" fontId="1" fillId="0" borderId="6" xfId="0" quotePrefix="1" applyFont="1" applyBorder="1" applyAlignment="1">
      <alignment horizontal="centerContinuous" vertical="center" wrapText="1"/>
    </xf>
    <xf numFmtId="0" fontId="2" fillId="0" borderId="6" xfId="0" applyFont="1" applyBorder="1" applyAlignment="1">
      <alignment horizontal="left"/>
    </xf>
    <xf numFmtId="164" fontId="1" fillId="0" borderId="0" xfId="0" applyNumberFormat="1" applyFont="1"/>
    <xf numFmtId="166" fontId="1" fillId="0" borderId="0" xfId="0" applyNumberFormat="1" applyFont="1" applyAlignment="1">
      <alignment horizontal="centerContinuous"/>
    </xf>
    <xf numFmtId="0" fontId="1" fillId="0" borderId="0" xfId="0" quotePrefix="1" applyFont="1" applyAlignment="1">
      <alignment horizontal="centerContinuous" vertical="center" wrapText="1"/>
    </xf>
    <xf numFmtId="164" fontId="1" fillId="0" borderId="2" xfId="0" applyNumberFormat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167" fontId="1" fillId="0" borderId="2" xfId="0" applyNumberFormat="1" applyFont="1" applyBorder="1"/>
    <xf numFmtId="166" fontId="1" fillId="0" borderId="2" xfId="0" applyNumberFormat="1" applyFont="1" applyBorder="1"/>
    <xf numFmtId="166" fontId="1" fillId="0" borderId="2" xfId="0" applyNumberFormat="1" applyFont="1" applyBorder="1" applyAlignment="1">
      <alignment horizontal="centerContinuous"/>
    </xf>
    <xf numFmtId="166" fontId="1" fillId="0" borderId="2" xfId="0" applyNumberFormat="1" applyFont="1" applyBorder="1" applyAlignment="1">
      <alignment horizontal="centerContinuous" wrapText="1"/>
    </xf>
    <xf numFmtId="0" fontId="1" fillId="0" borderId="0" xfId="0" quotePrefix="1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67" fontId="1" fillId="0" borderId="2" xfId="0" quotePrefix="1" applyNumberFormat="1" applyFont="1" applyBorder="1" applyAlignment="1">
      <alignment horizontal="centerContinuous" wrapText="1"/>
    </xf>
    <xf numFmtId="0" fontId="1" fillId="0" borderId="2" xfId="0" applyFont="1" applyBorder="1" applyAlignment="1">
      <alignment horizontal="centerContinuous" wrapText="1"/>
    </xf>
    <xf numFmtId="0" fontId="2" fillId="0" borderId="0" xfId="0" applyFont="1" applyAlignment="1">
      <alignment horizontal="center" wrapText="1"/>
    </xf>
    <xf numFmtId="0" fontId="2" fillId="0" borderId="7" xfId="0" quotePrefix="1" applyFont="1" applyBorder="1" applyAlignment="1">
      <alignment horizontal="centerContinuous" wrapText="1"/>
    </xf>
    <xf numFmtId="167" fontId="2" fillId="0" borderId="7" xfId="0" quotePrefix="1" applyNumberFormat="1" applyFont="1" applyBorder="1" applyAlignment="1">
      <alignment horizontal="center" wrapText="1"/>
    </xf>
    <xf numFmtId="167" fontId="2" fillId="0" borderId="7" xfId="0" quotePrefix="1" applyNumberFormat="1" applyFont="1" applyBorder="1" applyAlignment="1">
      <alignment horizontal="centerContinuous" wrapText="1"/>
    </xf>
    <xf numFmtId="0" fontId="2" fillId="0" borderId="7" xfId="0" quotePrefix="1" applyFont="1" applyBorder="1" applyAlignment="1">
      <alignment horizontal="center" wrapText="1"/>
    </xf>
    <xf numFmtId="0" fontId="2" fillId="0" borderId="0" xfId="0" applyFont="1" applyAlignment="1">
      <alignment horizontal="centerContinuous" wrapText="1"/>
    </xf>
    <xf numFmtId="44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 vertical="center"/>
    </xf>
    <xf numFmtId="167" fontId="1" fillId="0" borderId="0" xfId="0" quotePrefix="1" applyNumberFormat="1" applyFont="1" applyAlignment="1">
      <alignment horizontal="right" vertical="center"/>
    </xf>
    <xf numFmtId="165" fontId="1" fillId="0" borderId="0" xfId="0" applyNumberFormat="1" applyFont="1"/>
    <xf numFmtId="167" fontId="1" fillId="0" borderId="0" xfId="0" applyNumberFormat="1" applyFont="1" applyAlignment="1">
      <alignment vertical="center"/>
    </xf>
    <xf numFmtId="0" fontId="1" fillId="0" borderId="0" xfId="0" quotePrefix="1" applyFont="1" applyAlignment="1">
      <alignment horizontal="right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67" fontId="1" fillId="0" borderId="20" xfId="0" applyNumberFormat="1" applyFont="1" applyBorder="1"/>
    <xf numFmtId="0" fontId="1" fillId="0" borderId="20" xfId="0" quotePrefix="1" applyFont="1" applyBorder="1" applyAlignment="1">
      <alignment horizontal="right"/>
    </xf>
    <xf numFmtId="0" fontId="1" fillId="0" borderId="20" xfId="0" quotePrefix="1" applyFont="1" applyBorder="1" applyAlignment="1">
      <alignment horizontal="center"/>
    </xf>
    <xf numFmtId="0" fontId="1" fillId="0" borderId="20" xfId="0" applyFont="1" applyBorder="1"/>
    <xf numFmtId="0" fontId="1" fillId="0" borderId="0" xfId="0" quotePrefix="1" applyFont="1" applyAlignment="1">
      <alignment vertical="center" wrapText="1"/>
    </xf>
    <xf numFmtId="10" fontId="1" fillId="0" borderId="0" xfId="0" applyNumberFormat="1" applyFont="1" applyAlignment="1">
      <alignment horizontal="center" vertical="center"/>
    </xf>
    <xf numFmtId="44" fontId="5" fillId="0" borderId="0" xfId="0" applyNumberFormat="1" applyFont="1"/>
    <xf numFmtId="44" fontId="5" fillId="0" borderId="0" xfId="0" quotePrefix="1" applyNumberFormat="1" applyFont="1" applyAlignment="1">
      <alignment horizontal="left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13" xfId="0" applyFont="1" applyBorder="1" applyAlignment="1">
      <alignment horizontal="centerContinuous"/>
    </xf>
    <xf numFmtId="0" fontId="1" fillId="0" borderId="13" xfId="0" applyFont="1" applyBorder="1"/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2" fontId="1" fillId="0" borderId="12" xfId="0" applyNumberFormat="1" applyFont="1" applyBorder="1"/>
    <xf numFmtId="0" fontId="1" fillId="0" borderId="10" xfId="0" applyFont="1" applyBorder="1" applyAlignment="1">
      <alignment horizontal="left"/>
    </xf>
    <xf numFmtId="9" fontId="1" fillId="0" borderId="0" xfId="0" applyNumberFormat="1" applyFont="1"/>
    <xf numFmtId="164" fontId="1" fillId="0" borderId="12" xfId="0" applyNumberFormat="1" applyFont="1" applyBorder="1"/>
    <xf numFmtId="172" fontId="1" fillId="0" borderId="0" xfId="0" applyNumberFormat="1" applyFont="1"/>
    <xf numFmtId="172" fontId="1" fillId="0" borderId="4" xfId="0" applyNumberFormat="1" applyFont="1" applyBorder="1"/>
    <xf numFmtId="164" fontId="1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41" fontId="1" fillId="0" borderId="14" xfId="0" applyNumberFormat="1" applyFont="1" applyBorder="1"/>
    <xf numFmtId="42" fontId="1" fillId="0" borderId="19" xfId="0" applyNumberFormat="1" applyFont="1" applyBorder="1"/>
    <xf numFmtId="0" fontId="1" fillId="0" borderId="4" xfId="0" applyFont="1" applyBorder="1"/>
    <xf numFmtId="170" fontId="1" fillId="0" borderId="12" xfId="0" applyNumberFormat="1" applyFont="1" applyBorder="1"/>
    <xf numFmtId="168" fontId="1" fillId="0" borderId="14" xfId="0" applyNumberFormat="1" applyFont="1" applyBorder="1"/>
    <xf numFmtId="9" fontId="1" fillId="0" borderId="12" xfId="0" applyNumberFormat="1" applyFont="1" applyBorder="1" applyAlignment="1">
      <alignment horizontal="center"/>
    </xf>
    <xf numFmtId="42" fontId="1" fillId="0" borderId="0" xfId="0" applyNumberFormat="1" applyFont="1"/>
    <xf numFmtId="42" fontId="2" fillId="0" borderId="0" xfId="0" applyNumberFormat="1" applyFont="1"/>
    <xf numFmtId="43" fontId="1" fillId="0" borderId="0" xfId="0" applyNumberFormat="1" applyFont="1"/>
    <xf numFmtId="43" fontId="2" fillId="0" borderId="0" xfId="0" applyNumberFormat="1" applyFont="1" applyAlignment="1">
      <alignment horizontal="center"/>
    </xf>
    <xf numFmtId="171" fontId="1" fillId="0" borderId="0" xfId="0" applyNumberFormat="1" applyFont="1"/>
    <xf numFmtId="41" fontId="1" fillId="0" borderId="0" xfId="0" applyNumberFormat="1" applyFont="1"/>
    <xf numFmtId="41" fontId="1" fillId="0" borderId="0" xfId="0" applyNumberFormat="1" applyFont="1" applyAlignment="1">
      <alignment vertical="top"/>
    </xf>
    <xf numFmtId="164" fontId="1" fillId="0" borderId="7" xfId="0" applyNumberFormat="1" applyFont="1" applyBorder="1" applyAlignment="1">
      <alignment horizontal="centerContinuous"/>
    </xf>
    <xf numFmtId="0" fontId="2" fillId="0" borderId="5" xfId="0" applyFont="1" applyBorder="1" applyAlignment="1">
      <alignment horizontal="center" wrapText="1"/>
    </xf>
    <xf numFmtId="164" fontId="1" fillId="0" borderId="0" xfId="0" applyNumberFormat="1" applyFont="1" applyFill="1" applyBorder="1"/>
    <xf numFmtId="164" fontId="1" fillId="0" borderId="8" xfId="0" applyNumberFormat="1" applyFont="1" applyBorder="1"/>
    <xf numFmtId="0" fontId="2" fillId="0" borderId="1" xfId="0" quotePrefix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7" fontId="2" fillId="0" borderId="1" xfId="0" applyNumberFormat="1" applyFont="1" applyBorder="1"/>
    <xf numFmtId="169" fontId="2" fillId="0" borderId="1" xfId="0" applyNumberFormat="1" applyFont="1" applyFill="1" applyBorder="1"/>
    <xf numFmtId="167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7" xfId="0" quotePrefix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7" fontId="1" fillId="0" borderId="9" xfId="0" applyNumberFormat="1" applyFont="1" applyBorder="1" applyAlignment="1">
      <alignment horizontal="center" wrapText="1"/>
    </xf>
    <xf numFmtId="0" fontId="1" fillId="0" borderId="9" xfId="0" quotePrefix="1" applyFont="1" applyBorder="1" applyAlignment="1">
      <alignment horizontal="center" wrapText="1"/>
    </xf>
    <xf numFmtId="167" fontId="1" fillId="0" borderId="0" xfId="0" applyNumberFormat="1" applyFont="1" applyBorder="1"/>
    <xf numFmtId="166" fontId="1" fillId="0" borderId="0" xfId="0" applyNumberFormat="1" applyFont="1" applyBorder="1"/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left" vertical="center"/>
    </xf>
    <xf numFmtId="44" fontId="4" fillId="0" borderId="0" xfId="0" quotePrefix="1" applyNumberFormat="1" applyFont="1" applyAlignment="1">
      <alignment horizontal="center" vertical="center"/>
    </xf>
    <xf numFmtId="44" fontId="4" fillId="0" borderId="0" xfId="0" quotePrefix="1" applyNumberFormat="1" applyFont="1" applyAlignment="1">
      <alignment horizontal="centerContinuous"/>
    </xf>
    <xf numFmtId="44" fontId="4" fillId="0" borderId="0" xfId="0" applyNumberFormat="1" applyFont="1" applyAlignment="1">
      <alignment horizontal="centerContinuous"/>
    </xf>
    <xf numFmtId="44" fontId="4" fillId="0" borderId="0" xfId="0" applyNumberFormat="1" applyFont="1" applyAlignment="1">
      <alignment horizontal="center" wrapText="1"/>
    </xf>
    <xf numFmtId="44" fontId="4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"/>
    </xf>
    <xf numFmtId="167" fontId="1" fillId="0" borderId="9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7" xfId="0" quotePrefix="1" applyFont="1" applyFill="1" applyBorder="1" applyAlignment="1">
      <alignment horizontal="center" wrapText="1"/>
    </xf>
    <xf numFmtId="0" fontId="2" fillId="0" borderId="0" xfId="0" quotePrefix="1" applyFont="1" applyFill="1" applyAlignment="1">
      <alignment horizontal="center" vertical="center" wrapText="1"/>
    </xf>
    <xf numFmtId="0" fontId="2" fillId="0" borderId="0" xfId="0" applyFont="1" applyFill="1"/>
    <xf numFmtId="44" fontId="2" fillId="0" borderId="0" xfId="0" applyNumberFormat="1" applyFont="1" applyFill="1"/>
    <xf numFmtId="165" fontId="2" fillId="0" borderId="0" xfId="0" applyNumberFormat="1" applyFont="1" applyFill="1"/>
    <xf numFmtId="166" fontId="2" fillId="0" borderId="0" xfId="0" applyNumberFormat="1" applyFont="1" applyFill="1"/>
    <xf numFmtId="10" fontId="1" fillId="0" borderId="0" xfId="0" quotePrefix="1" applyNumberFormat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quotePrefix="1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176" fontId="2" fillId="0" borderId="0" xfId="0" quotePrefix="1" applyNumberFormat="1" applyFont="1" applyAlignment="1">
      <alignment horizontal="center"/>
    </xf>
    <xf numFmtId="0" fontId="6" fillId="0" borderId="0" xfId="0" applyFont="1"/>
    <xf numFmtId="176" fontId="2" fillId="0" borderId="0" xfId="0" applyNumberFormat="1" applyFont="1" applyAlignment="1">
      <alignment horizontal="center"/>
    </xf>
    <xf numFmtId="174" fontId="1" fillId="0" borderId="12" xfId="0" applyNumberFormat="1" applyFont="1" applyFill="1" applyBorder="1" applyAlignment="1"/>
    <xf numFmtId="41" fontId="1" fillId="0" borderId="12" xfId="0" applyNumberFormat="1" applyFont="1" applyBorder="1"/>
    <xf numFmtId="0" fontId="1" fillId="0" borderId="10" xfId="0" applyFont="1" applyBorder="1"/>
    <xf numFmtId="0" fontId="3" fillId="0" borderId="10" xfId="0" applyFont="1" applyBorder="1"/>
    <xf numFmtId="171" fontId="1" fillId="0" borderId="12" xfId="0" applyNumberFormat="1" applyFont="1" applyBorder="1"/>
    <xf numFmtId="171" fontId="1" fillId="0" borderId="14" xfId="0" applyNumberFormat="1" applyFont="1" applyBorder="1"/>
    <xf numFmtId="37" fontId="1" fillId="0" borderId="0" xfId="0" applyNumberFormat="1" applyFont="1"/>
    <xf numFmtId="41" fontId="5" fillId="0" borderId="0" xfId="0" applyNumberFormat="1" applyFont="1"/>
    <xf numFmtId="17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2" fillId="0" borderId="5" xfId="0" applyFont="1" applyFill="1" applyBorder="1" applyAlignment="1">
      <alignment horizontal="center" wrapText="1"/>
    </xf>
    <xf numFmtId="167" fontId="2" fillId="0" borderId="5" xfId="0" quotePrefix="1" applyNumberFormat="1" applyFont="1" applyBorder="1" applyAlignment="1">
      <alignment horizontal="center" wrapText="1"/>
    </xf>
    <xf numFmtId="16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7" fontId="1" fillId="0" borderId="0" xfId="0" applyNumberFormat="1" applyFont="1" applyBorder="1" applyAlignment="1">
      <alignment horizontal="center" vertical="center"/>
    </xf>
    <xf numFmtId="167" fontId="1" fillId="0" borderId="0" xfId="0" applyNumberFormat="1" applyFont="1" applyBorder="1" applyAlignment="1">
      <alignment vertical="center"/>
    </xf>
    <xf numFmtId="167" fontId="1" fillId="0" borderId="7" xfId="0" applyNumberFormat="1" applyFont="1" applyBorder="1" applyAlignment="1">
      <alignment vertical="center"/>
    </xf>
    <xf numFmtId="167" fontId="1" fillId="0" borderId="7" xfId="0" applyNumberFormat="1" applyFont="1" applyBorder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Continuous" vertical="center"/>
    </xf>
    <xf numFmtId="166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Continuous" vertical="center"/>
    </xf>
    <xf numFmtId="164" fontId="1" fillId="0" borderId="7" xfId="0" applyNumberFormat="1" applyFont="1" applyBorder="1" applyAlignment="1">
      <alignment horizontal="centerContinuous" vertical="center"/>
    </xf>
    <xf numFmtId="167" fontId="1" fillId="0" borderId="0" xfId="0" applyNumberFormat="1" applyFont="1" applyAlignment="1">
      <alignment horizontal="right"/>
    </xf>
    <xf numFmtId="44" fontId="2" fillId="0" borderId="7" xfId="0" quotePrefix="1" applyNumberFormat="1" applyFont="1" applyBorder="1" applyAlignment="1">
      <alignment horizontal="centerContinuous" vertical="center"/>
    </xf>
    <xf numFmtId="44" fontId="1" fillId="0" borderId="0" xfId="0" applyNumberFormat="1" applyFont="1" applyAlignment="1">
      <alignment horizontal="center" vertical="center"/>
    </xf>
    <xf numFmtId="14" fontId="1" fillId="0" borderId="2" xfId="0" quotePrefix="1" applyNumberFormat="1" applyFont="1" applyBorder="1" applyAlignment="1">
      <alignment horizontal="center" wrapText="1"/>
    </xf>
    <xf numFmtId="4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80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50</xdr:row>
      <xdr:rowOff>76200</xdr:rowOff>
    </xdr:from>
    <xdr:to>
      <xdr:col>5</xdr:col>
      <xdr:colOff>190077</xdr:colOff>
      <xdr:row>63</xdr:row>
      <xdr:rowOff>142029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7A74A2-A0C9-48C2-A416-461549640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7591425"/>
          <a:ext cx="6247977" cy="1923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M73"/>
  <sheetViews>
    <sheetView tabSelected="1" zoomScaleNormal="100" workbookViewId="0">
      <pane ySplit="7" topLeftCell="A8" activePane="bottomLeft" state="frozen"/>
      <selection activeCell="E12" sqref="E12"/>
      <selection pane="bottomLeft" activeCell="D21" sqref="D21"/>
    </sheetView>
  </sheetViews>
  <sheetFormatPr defaultColWidth="6.42578125" defaultRowHeight="11.25" x14ac:dyDescent="0.2"/>
  <cols>
    <col min="1" max="1" width="6.140625" style="2" bestFit="1" customWidth="1"/>
    <col min="2" max="2" width="45.7109375" style="2" bestFit="1" customWidth="1"/>
    <col min="3" max="3" width="14.42578125" style="2" bestFit="1" customWidth="1"/>
    <col min="4" max="4" width="13.5703125" style="2" customWidth="1"/>
    <col min="5" max="5" width="14.5703125" style="2" customWidth="1"/>
    <col min="6" max="6" width="10.42578125" style="2" customWidth="1"/>
    <col min="7" max="7" width="16.5703125" style="2" bestFit="1" customWidth="1"/>
    <col min="8" max="16384" width="6.42578125" style="2"/>
  </cols>
  <sheetData>
    <row r="1" spans="1:7" x14ac:dyDescent="0.2">
      <c r="A1" s="1" t="s">
        <v>2</v>
      </c>
      <c r="B1" s="1"/>
      <c r="C1" s="1"/>
      <c r="D1" s="1"/>
      <c r="E1" s="1"/>
      <c r="F1" s="1"/>
    </row>
    <row r="2" spans="1:7" x14ac:dyDescent="0.2">
      <c r="A2" s="1" t="s">
        <v>156</v>
      </c>
      <c r="B2" s="1"/>
      <c r="C2" s="1"/>
      <c r="D2" s="1"/>
      <c r="E2" s="1"/>
      <c r="F2" s="1"/>
    </row>
    <row r="3" spans="1:7" x14ac:dyDescent="0.2">
      <c r="A3" s="1" t="s">
        <v>202</v>
      </c>
      <c r="B3" s="1"/>
      <c r="C3" s="1"/>
      <c r="D3" s="1"/>
      <c r="E3" s="1"/>
      <c r="F3" s="1"/>
    </row>
    <row r="4" spans="1:7" x14ac:dyDescent="0.2">
      <c r="A4" s="1" t="s">
        <v>157</v>
      </c>
      <c r="B4" s="1"/>
      <c r="C4" s="1"/>
      <c r="D4" s="1"/>
      <c r="E4" s="1"/>
      <c r="F4" s="1"/>
    </row>
    <row r="5" spans="1:7" x14ac:dyDescent="0.2">
      <c r="A5" s="22"/>
      <c r="B5" s="22"/>
      <c r="C5" s="12"/>
      <c r="D5" s="12"/>
      <c r="E5" s="12"/>
      <c r="F5" s="12"/>
    </row>
    <row r="6" spans="1:7" ht="13.5" customHeight="1" x14ac:dyDescent="0.2">
      <c r="A6" s="22"/>
      <c r="B6" s="22"/>
      <c r="C6" s="12"/>
      <c r="D6" s="12"/>
      <c r="E6" s="12"/>
      <c r="F6" s="12"/>
    </row>
    <row r="7" spans="1:7" s="14" customFormat="1" ht="22.5" x14ac:dyDescent="0.2">
      <c r="A7" s="31" t="s">
        <v>6</v>
      </c>
      <c r="B7" s="31" t="s">
        <v>25</v>
      </c>
      <c r="C7" s="31" t="s">
        <v>104</v>
      </c>
      <c r="D7" s="75" t="s">
        <v>103</v>
      </c>
      <c r="E7" s="75" t="s">
        <v>179</v>
      </c>
      <c r="F7" s="75" t="s">
        <v>102</v>
      </c>
      <c r="G7" s="31" t="s">
        <v>155</v>
      </c>
    </row>
    <row r="8" spans="1:7" s="14" customFormat="1" x14ac:dyDescent="0.2">
      <c r="A8" s="21"/>
      <c r="B8" s="21"/>
      <c r="C8" s="21"/>
      <c r="D8" s="208">
        <v>45200</v>
      </c>
      <c r="E8" s="208">
        <v>45413</v>
      </c>
      <c r="F8" s="20"/>
      <c r="G8" s="20"/>
    </row>
    <row r="9" spans="1:7" s="14" customFormat="1" x14ac:dyDescent="0.2">
      <c r="A9" s="19"/>
      <c r="B9" s="18" t="s">
        <v>101</v>
      </c>
      <c r="C9" s="17" t="s">
        <v>100</v>
      </c>
      <c r="D9" s="17" t="s">
        <v>99</v>
      </c>
      <c r="E9" s="17" t="s">
        <v>98</v>
      </c>
      <c r="F9" s="17" t="s">
        <v>97</v>
      </c>
      <c r="G9" s="17" t="s">
        <v>96</v>
      </c>
    </row>
    <row r="10" spans="1:7" s="14" customFormat="1" x14ac:dyDescent="0.2">
      <c r="A10" s="12">
        <v>1</v>
      </c>
      <c r="B10" s="16" t="s">
        <v>95</v>
      </c>
      <c r="C10" s="16"/>
      <c r="D10" s="15"/>
      <c r="E10" s="15"/>
      <c r="F10" s="15"/>
    </row>
    <row r="11" spans="1:7" x14ac:dyDescent="0.2">
      <c r="A11" s="6">
        <f t="shared" ref="A11:A41" si="0">+A10+1</f>
        <v>2</v>
      </c>
      <c r="B11" s="8" t="s">
        <v>1</v>
      </c>
      <c r="C11" s="12" t="s">
        <v>216</v>
      </c>
      <c r="D11" s="62">
        <f>'Rate Impacts'!H10</f>
        <v>1.428E-3</v>
      </c>
      <c r="E11" s="62">
        <f>'Rate Impacts'!J10</f>
        <v>5.7409999999999996E-3</v>
      </c>
      <c r="F11" s="9">
        <f>IFERROR(E11/D11-1, "na")</f>
        <v>3.0203081232492996</v>
      </c>
      <c r="G11" s="12" t="s">
        <v>160</v>
      </c>
    </row>
    <row r="12" spans="1:7" x14ac:dyDescent="0.2">
      <c r="A12" s="6">
        <f t="shared" si="0"/>
        <v>3</v>
      </c>
      <c r="B12" s="8"/>
      <c r="C12" s="12"/>
      <c r="D12" s="13"/>
      <c r="E12" s="13"/>
      <c r="F12" s="7"/>
    </row>
    <row r="13" spans="1:7" x14ac:dyDescent="0.2">
      <c r="A13" s="6">
        <f t="shared" si="0"/>
        <v>4</v>
      </c>
      <c r="B13" s="8" t="s">
        <v>193</v>
      </c>
      <c r="C13" s="12"/>
      <c r="D13" s="13"/>
      <c r="E13" s="13"/>
      <c r="F13" s="7"/>
    </row>
    <row r="14" spans="1:7" x14ac:dyDescent="0.2">
      <c r="A14" s="6">
        <f t="shared" si="0"/>
        <v>5</v>
      </c>
      <c r="B14" s="8" t="s">
        <v>217</v>
      </c>
      <c r="C14" s="12" t="s">
        <v>218</v>
      </c>
      <c r="D14" s="13">
        <f>'Rate Impacts'!H13</f>
        <v>1.315E-3</v>
      </c>
      <c r="E14" s="13">
        <f>'Rate Impacts'!J13</f>
        <v>4.7959999999999999E-3</v>
      </c>
      <c r="F14" s="7">
        <f>IFERROR(E14/D14-1, "na")</f>
        <v>2.6471482889733839</v>
      </c>
      <c r="G14" s="12" t="str">
        <f>$G$11</f>
        <v>Sheet No. 129-B</v>
      </c>
    </row>
    <row r="15" spans="1:7" x14ac:dyDescent="0.2">
      <c r="A15" s="6">
        <f t="shared" si="0"/>
        <v>6</v>
      </c>
      <c r="B15" s="8" t="s">
        <v>219</v>
      </c>
      <c r="C15" s="29" t="s">
        <v>158</v>
      </c>
      <c r="D15" s="13">
        <f>'Rate Impacts'!H14</f>
        <v>1.222E-3</v>
      </c>
      <c r="E15" s="13">
        <f>'Rate Impacts'!J14</f>
        <v>4.359E-3</v>
      </c>
      <c r="F15" s="7">
        <f>IFERROR(E15/D15-1, "na")</f>
        <v>2.5671031096563013</v>
      </c>
      <c r="G15" s="12" t="str">
        <f t="shared" ref="G15:G17" si="1">$G$11</f>
        <v>Sheet No. 129-B</v>
      </c>
    </row>
    <row r="16" spans="1:7" x14ac:dyDescent="0.2">
      <c r="A16" s="6">
        <f t="shared" si="0"/>
        <v>7</v>
      </c>
      <c r="B16" s="8" t="s">
        <v>220</v>
      </c>
      <c r="C16" s="12" t="s">
        <v>221</v>
      </c>
      <c r="D16" s="13">
        <f>'Rate Impacts'!H15</f>
        <v>1.1230000000000001E-3</v>
      </c>
      <c r="E16" s="13">
        <f>'Rate Impacts'!J15</f>
        <v>3.908E-3</v>
      </c>
      <c r="F16" s="7">
        <f>IFERROR(E16/D16-1, "na")</f>
        <v>2.4799643811219942</v>
      </c>
      <c r="G16" s="12" t="str">
        <f t="shared" si="1"/>
        <v>Sheet No. 129-B</v>
      </c>
    </row>
    <row r="17" spans="1:7" x14ac:dyDescent="0.2">
      <c r="A17" s="6">
        <f t="shared" si="0"/>
        <v>8</v>
      </c>
      <c r="B17" s="8" t="s">
        <v>222</v>
      </c>
      <c r="C17" s="12">
        <v>29</v>
      </c>
      <c r="D17" s="13">
        <f>'Rate Impacts'!H16</f>
        <v>1.1540000000000001E-3</v>
      </c>
      <c r="E17" s="13">
        <f>'Rate Impacts'!J16</f>
        <v>2.696E-3</v>
      </c>
      <c r="F17" s="7">
        <f>IFERROR(E17/D17-1, "na")</f>
        <v>1.336221837088388</v>
      </c>
      <c r="G17" s="12" t="str">
        <f t="shared" si="1"/>
        <v>Sheet No. 129-B</v>
      </c>
    </row>
    <row r="18" spans="1:7" x14ac:dyDescent="0.2">
      <c r="A18" s="6">
        <f t="shared" si="0"/>
        <v>9</v>
      </c>
      <c r="B18" s="3" t="s">
        <v>30</v>
      </c>
      <c r="C18" s="22"/>
      <c r="D18" s="62"/>
      <c r="E18" s="62"/>
      <c r="F18" s="9"/>
    </row>
    <row r="19" spans="1:7" x14ac:dyDescent="0.2">
      <c r="A19" s="6">
        <f t="shared" si="0"/>
        <v>10</v>
      </c>
      <c r="B19" s="3"/>
      <c r="C19" s="22"/>
      <c r="D19" s="13"/>
      <c r="E19" s="13"/>
      <c r="F19" s="7"/>
    </row>
    <row r="20" spans="1:7" x14ac:dyDescent="0.2">
      <c r="A20" s="6">
        <f t="shared" si="0"/>
        <v>11</v>
      </c>
      <c r="B20" s="8" t="s">
        <v>194</v>
      </c>
      <c r="C20" s="12"/>
      <c r="D20" s="13"/>
      <c r="E20" s="13"/>
      <c r="F20" s="7"/>
    </row>
    <row r="21" spans="1:7" x14ac:dyDescent="0.2">
      <c r="A21" s="6">
        <f t="shared" si="0"/>
        <v>12</v>
      </c>
      <c r="B21" s="8" t="s">
        <v>223</v>
      </c>
      <c r="C21" s="12" t="s">
        <v>224</v>
      </c>
      <c r="D21" s="13">
        <f>'Rate Impacts'!H20</f>
        <v>1.101E-3</v>
      </c>
      <c r="E21" s="13">
        <f>'Rate Impacts'!J20</f>
        <v>3.8570000000000002E-3</v>
      </c>
      <c r="F21" s="7">
        <f>IFERROR(E21/D21-1, "na")</f>
        <v>2.5031789282470482</v>
      </c>
      <c r="G21" s="12" t="str">
        <f t="shared" ref="G21:G23" si="2">$G$11</f>
        <v>Sheet No. 129-B</v>
      </c>
    </row>
    <row r="22" spans="1:7" x14ac:dyDescent="0.2">
      <c r="A22" s="6">
        <f t="shared" si="0"/>
        <v>13</v>
      </c>
      <c r="B22" s="8" t="s">
        <v>225</v>
      </c>
      <c r="C22" s="12">
        <v>35</v>
      </c>
      <c r="D22" s="13">
        <f>'Rate Impacts'!H21</f>
        <v>9.1200000000000005E-4</v>
      </c>
      <c r="E22" s="13">
        <f>'Rate Impacts'!J21</f>
        <v>2.232E-3</v>
      </c>
      <c r="F22" s="7">
        <f>IFERROR(E22/D22-1, "na")</f>
        <v>1.4473684210526314</v>
      </c>
      <c r="G22" s="12" t="str">
        <f t="shared" si="2"/>
        <v>Sheet No. 129-B</v>
      </c>
    </row>
    <row r="23" spans="1:7" x14ac:dyDescent="0.2">
      <c r="A23" s="6">
        <f t="shared" si="0"/>
        <v>14</v>
      </c>
      <c r="B23" s="8" t="s">
        <v>226</v>
      </c>
      <c r="C23" s="12">
        <v>43</v>
      </c>
      <c r="D23" s="13">
        <f>'Rate Impacts'!H22</f>
        <v>1.127E-3</v>
      </c>
      <c r="E23" s="13">
        <f>'Rate Impacts'!J22</f>
        <v>5.2209999999999999E-3</v>
      </c>
      <c r="F23" s="7">
        <f>IFERROR(E23/D23-1, "na")</f>
        <v>3.6326530612244898</v>
      </c>
      <c r="G23" s="12" t="str">
        <f t="shared" si="2"/>
        <v>Sheet No. 129-B</v>
      </c>
    </row>
    <row r="24" spans="1:7" x14ac:dyDescent="0.2">
      <c r="A24" s="6">
        <f t="shared" si="0"/>
        <v>15</v>
      </c>
      <c r="B24" s="3" t="s">
        <v>31</v>
      </c>
      <c r="C24" s="22"/>
      <c r="D24" s="62"/>
      <c r="E24" s="62"/>
      <c r="F24" s="9"/>
    </row>
    <row r="25" spans="1:7" x14ac:dyDescent="0.2">
      <c r="A25" s="6">
        <f t="shared" si="0"/>
        <v>16</v>
      </c>
      <c r="B25" s="3"/>
      <c r="C25" s="22"/>
      <c r="D25" s="13"/>
      <c r="E25" s="13"/>
      <c r="F25" s="7"/>
    </row>
    <row r="26" spans="1:7" x14ac:dyDescent="0.2">
      <c r="A26" s="6">
        <f t="shared" si="0"/>
        <v>17</v>
      </c>
      <c r="B26" s="8" t="s">
        <v>195</v>
      </c>
      <c r="C26" s="12"/>
      <c r="D26" s="13"/>
      <c r="E26" s="13"/>
      <c r="F26" s="7"/>
    </row>
    <row r="27" spans="1:7" x14ac:dyDescent="0.2">
      <c r="A27" s="6">
        <f t="shared" si="0"/>
        <v>18</v>
      </c>
      <c r="B27" s="8" t="s">
        <v>227</v>
      </c>
      <c r="C27" s="12">
        <v>46</v>
      </c>
      <c r="D27" s="13">
        <f>'Rate Impacts'!H26</f>
        <v>8.12E-4</v>
      </c>
      <c r="E27" s="13">
        <f>'Rate Impacts'!J26</f>
        <v>2.7109999999999999E-3</v>
      </c>
      <c r="F27" s="7">
        <f>IFERROR(E27/D27-1, "na")</f>
        <v>2.3386699507389159</v>
      </c>
      <c r="G27" s="12" t="s">
        <v>161</v>
      </c>
    </row>
    <row r="28" spans="1:7" x14ac:dyDescent="0.2">
      <c r="A28" s="6">
        <f t="shared" si="0"/>
        <v>19</v>
      </c>
      <c r="B28" s="8" t="s">
        <v>223</v>
      </c>
      <c r="C28" s="12">
        <v>49</v>
      </c>
      <c r="D28" s="13">
        <f>'Rate Impacts'!H27</f>
        <v>8.3699999999999996E-4</v>
      </c>
      <c r="E28" s="13">
        <f>'Rate Impacts'!J27</f>
        <v>2.9940000000000001E-3</v>
      </c>
      <c r="F28" s="7">
        <f>IFERROR(E28/D28-1, "na")</f>
        <v>2.5770609318996418</v>
      </c>
      <c r="G28" s="12" t="str">
        <f>$G$27</f>
        <v>Sheet No. 129-C</v>
      </c>
    </row>
    <row r="29" spans="1:7" x14ac:dyDescent="0.2">
      <c r="A29" s="6">
        <f t="shared" si="0"/>
        <v>20</v>
      </c>
      <c r="B29" s="10" t="s">
        <v>32</v>
      </c>
      <c r="C29" s="22"/>
      <c r="D29" s="62"/>
      <c r="E29" s="62"/>
      <c r="F29" s="9"/>
    </row>
    <row r="30" spans="1:7" x14ac:dyDescent="0.2">
      <c r="A30" s="6">
        <f t="shared" si="0"/>
        <v>21</v>
      </c>
      <c r="B30" s="8"/>
      <c r="C30" s="12"/>
      <c r="D30" s="13"/>
      <c r="E30" s="13"/>
      <c r="F30" s="7"/>
    </row>
    <row r="31" spans="1:7" x14ac:dyDescent="0.2">
      <c r="A31" s="6">
        <f t="shared" si="0"/>
        <v>22</v>
      </c>
      <c r="B31" s="8" t="s">
        <v>228</v>
      </c>
      <c r="C31" s="12" t="s">
        <v>229</v>
      </c>
      <c r="D31" s="13">
        <f>'Rate Impacts'!$H$30</f>
        <v>5.5000000000000002E-5</v>
      </c>
      <c r="E31" s="13">
        <f>'Rate Impacts'!$J$30</f>
        <v>1.7900000000000001E-4</v>
      </c>
      <c r="F31" s="7">
        <f>IFERROR(E31/D31-1, "na")</f>
        <v>2.2545454545454549</v>
      </c>
      <c r="G31" s="12" t="str">
        <f t="shared" ref="G31:G32" si="3">$G$27</f>
        <v>Sheet No. 129-C</v>
      </c>
    </row>
    <row r="32" spans="1:7" x14ac:dyDescent="0.2">
      <c r="A32" s="6">
        <f t="shared" si="0"/>
        <v>23</v>
      </c>
      <c r="B32" s="8" t="s">
        <v>230</v>
      </c>
      <c r="C32" s="12" t="s">
        <v>73</v>
      </c>
      <c r="D32" s="13">
        <f>'Rate Impacts'!$H$32</f>
        <v>6.1399999999999996E-4</v>
      </c>
      <c r="E32" s="13">
        <f>'Rate Impacts'!$J$32</f>
        <v>6.1399999999999996E-4</v>
      </c>
      <c r="F32" s="7">
        <f>IFERROR(E32/D32-1, "na")</f>
        <v>0</v>
      </c>
      <c r="G32" s="12" t="str">
        <f t="shared" si="3"/>
        <v>Sheet No. 129-C</v>
      </c>
    </row>
    <row r="33" spans="1:7" x14ac:dyDescent="0.2">
      <c r="A33" s="6">
        <f t="shared" si="0"/>
        <v>24</v>
      </c>
      <c r="B33" s="8" t="s">
        <v>231</v>
      </c>
      <c r="C33" s="12" t="s">
        <v>232</v>
      </c>
      <c r="D33" s="13">
        <f>'Rate Impacts'!$H$34</f>
        <v>3.4740000000000001E-3</v>
      </c>
      <c r="E33" s="13">
        <f>'Rate Impacts'!$J$34</f>
        <v>1.2081999999999999E-2</v>
      </c>
      <c r="F33" s="7">
        <f>IFERROR(E33/D33-1, "na")</f>
        <v>2.4778353483016691</v>
      </c>
      <c r="G33" s="12" t="s">
        <v>94</v>
      </c>
    </row>
    <row r="34" spans="1:7" x14ac:dyDescent="0.2">
      <c r="A34" s="6">
        <f t="shared" si="0"/>
        <v>25</v>
      </c>
      <c r="B34" s="8"/>
      <c r="C34" s="12"/>
      <c r="D34" s="13"/>
      <c r="E34" s="13"/>
      <c r="F34" s="7"/>
    </row>
    <row r="35" spans="1:7" x14ac:dyDescent="0.2">
      <c r="A35" s="6">
        <f t="shared" si="0"/>
        <v>26</v>
      </c>
      <c r="B35" s="10" t="s">
        <v>77</v>
      </c>
      <c r="C35" s="22"/>
      <c r="D35" s="62"/>
      <c r="E35" s="62"/>
      <c r="F35" s="9"/>
    </row>
    <row r="36" spans="1:7" x14ac:dyDescent="0.2">
      <c r="A36" s="6">
        <f t="shared" si="0"/>
        <v>27</v>
      </c>
      <c r="B36" s="8"/>
      <c r="C36" s="12"/>
      <c r="D36" s="13"/>
      <c r="E36" s="13"/>
      <c r="F36" s="7"/>
    </row>
    <row r="37" spans="1:7" x14ac:dyDescent="0.2">
      <c r="A37" s="6">
        <f t="shared" si="0"/>
        <v>28</v>
      </c>
      <c r="B37" s="8" t="s">
        <v>20</v>
      </c>
      <c r="C37" s="12">
        <v>5</v>
      </c>
      <c r="D37" s="13" t="s">
        <v>93</v>
      </c>
      <c r="E37" s="13" t="s">
        <v>93</v>
      </c>
      <c r="F37" s="7" t="s">
        <v>93</v>
      </c>
    </row>
    <row r="38" spans="1:7" x14ac:dyDescent="0.2">
      <c r="A38" s="6">
        <f t="shared" si="0"/>
        <v>29</v>
      </c>
      <c r="B38" s="8"/>
      <c r="C38" s="10"/>
      <c r="D38" s="13"/>
      <c r="E38" s="13"/>
      <c r="F38" s="7"/>
    </row>
    <row r="39" spans="1:7" ht="12" thickBot="1" x14ac:dyDescent="0.25">
      <c r="A39" s="6">
        <f t="shared" si="0"/>
        <v>30</v>
      </c>
      <c r="B39" s="10" t="s">
        <v>21</v>
      </c>
      <c r="C39" s="3"/>
      <c r="D39" s="49"/>
      <c r="E39" s="49"/>
      <c r="F39" s="51"/>
    </row>
    <row r="40" spans="1:7" ht="12" thickTop="1" x14ac:dyDescent="0.2">
      <c r="A40" s="6">
        <f t="shared" si="0"/>
        <v>31</v>
      </c>
      <c r="B40" s="12"/>
      <c r="C40" s="10"/>
      <c r="D40" s="13"/>
      <c r="E40" s="13"/>
      <c r="F40" s="28"/>
    </row>
    <row r="41" spans="1:7" x14ac:dyDescent="0.2">
      <c r="A41" s="6">
        <f t="shared" si="0"/>
        <v>32</v>
      </c>
      <c r="B41" s="12"/>
      <c r="C41" s="10"/>
      <c r="D41" s="13"/>
      <c r="E41" s="13"/>
      <c r="F41" s="28"/>
    </row>
    <row r="42" spans="1:7" x14ac:dyDescent="0.2">
      <c r="A42" s="6">
        <f t="shared" ref="A42:A73" si="4">+A41+1</f>
        <v>33</v>
      </c>
      <c r="B42" s="16" t="s">
        <v>92</v>
      </c>
      <c r="C42" s="16"/>
    </row>
    <row r="43" spans="1:7" x14ac:dyDescent="0.2">
      <c r="A43" s="6">
        <f t="shared" si="4"/>
        <v>34</v>
      </c>
      <c r="B43" s="8" t="str">
        <f>B11</f>
        <v>Residential</v>
      </c>
      <c r="C43" s="12" t="str">
        <f>C11</f>
        <v>7 (307) (317) (327)</v>
      </c>
      <c r="D43" s="209"/>
      <c r="E43" s="209"/>
      <c r="F43" s="9" t="str">
        <f>IFERROR(E43/D43-1, "na")</f>
        <v>na</v>
      </c>
    </row>
    <row r="44" spans="1:7" x14ac:dyDescent="0.2">
      <c r="A44" s="6">
        <f t="shared" si="4"/>
        <v>35</v>
      </c>
      <c r="B44" s="8"/>
      <c r="C44" s="12"/>
      <c r="D44" s="37"/>
      <c r="E44" s="37"/>
      <c r="F44" s="7"/>
    </row>
    <row r="45" spans="1:7" x14ac:dyDescent="0.2">
      <c r="A45" s="6">
        <f t="shared" si="4"/>
        <v>36</v>
      </c>
      <c r="B45" s="8" t="str">
        <f>B13</f>
        <v>Secondary Voltage:</v>
      </c>
      <c r="C45" s="12"/>
      <c r="D45" s="37"/>
      <c r="E45" s="37"/>
      <c r="F45" s="7"/>
    </row>
    <row r="46" spans="1:7" x14ac:dyDescent="0.2">
      <c r="A46" s="6">
        <f t="shared" si="4"/>
        <v>37</v>
      </c>
      <c r="B46" s="11" t="str">
        <f>B14</f>
        <v>General Service: Demand &lt;= 50 kW</v>
      </c>
      <c r="C46" s="12" t="str">
        <f>C14</f>
        <v>08 (24) (324)</v>
      </c>
      <c r="D46" s="37"/>
      <c r="E46" s="37"/>
      <c r="F46" s="7" t="str">
        <f>IFERROR(E46/D46-1, "na")</f>
        <v>na</v>
      </c>
    </row>
    <row r="47" spans="1:7" x14ac:dyDescent="0.2">
      <c r="A47" s="6">
        <f t="shared" si="4"/>
        <v>38</v>
      </c>
      <c r="B47" s="11" t="str">
        <f>B15</f>
        <v>Small General Service: Demand &gt; 50 kW but &lt;= 350 kW</v>
      </c>
      <c r="C47" s="12" t="str">
        <f>C15</f>
        <v>7A (11) (25)</v>
      </c>
      <c r="D47" s="37"/>
      <c r="E47" s="37"/>
      <c r="F47" s="7" t="str">
        <f>IFERROR(E47/D47-1, "na")</f>
        <v>na</v>
      </c>
    </row>
    <row r="48" spans="1:7" x14ac:dyDescent="0.2">
      <c r="A48" s="6">
        <f t="shared" si="4"/>
        <v>39</v>
      </c>
      <c r="B48" s="11" t="str">
        <f t="shared" ref="B48:B50" si="5">B16</f>
        <v>Large General Service: Demand &gt; 350 kW</v>
      </c>
      <c r="C48" s="12" t="str">
        <f>C16</f>
        <v>12 (26) (26P)</v>
      </c>
      <c r="D48" s="37"/>
      <c r="E48" s="37"/>
      <c r="F48" s="7" t="str">
        <f>IFERROR(E48/D48-1, "na")</f>
        <v>na</v>
      </c>
    </row>
    <row r="49" spans="1:6" x14ac:dyDescent="0.2">
      <c r="A49" s="6">
        <f t="shared" si="4"/>
        <v>40</v>
      </c>
      <c r="B49" s="11" t="str">
        <f t="shared" si="5"/>
        <v>Irrigation &amp; Pumping Service: Demand &gt; 50 kW but &lt;= 350 kW</v>
      </c>
      <c r="C49" s="12">
        <f>C17</f>
        <v>29</v>
      </c>
      <c r="D49" s="37"/>
      <c r="E49" s="37"/>
      <c r="F49" s="7" t="str">
        <f>IFERROR(E49/D49-1, "na")</f>
        <v>na</v>
      </c>
    </row>
    <row r="50" spans="1:6" x14ac:dyDescent="0.2">
      <c r="A50" s="6">
        <f t="shared" si="4"/>
        <v>41</v>
      </c>
      <c r="B50" s="3" t="str">
        <f t="shared" si="5"/>
        <v>Total Secondary Voltage</v>
      </c>
      <c r="C50" s="22"/>
      <c r="D50" s="209"/>
      <c r="E50" s="209"/>
      <c r="F50" s="9"/>
    </row>
    <row r="51" spans="1:6" x14ac:dyDescent="0.2">
      <c r="A51" s="6">
        <f t="shared" si="4"/>
        <v>42</v>
      </c>
      <c r="B51" s="3"/>
      <c r="C51" s="22"/>
      <c r="D51" s="37"/>
      <c r="E51" s="37"/>
      <c r="F51" s="7"/>
    </row>
    <row r="52" spans="1:6" x14ac:dyDescent="0.2">
      <c r="A52" s="6">
        <f t="shared" si="4"/>
        <v>43</v>
      </c>
      <c r="B52" s="8" t="str">
        <f>B20</f>
        <v>Primary Voltage:</v>
      </c>
      <c r="C52" s="12"/>
      <c r="D52" s="37"/>
      <c r="E52" s="37"/>
      <c r="F52" s="7"/>
    </row>
    <row r="53" spans="1:6" x14ac:dyDescent="0.2">
      <c r="A53" s="6">
        <f t="shared" si="4"/>
        <v>44</v>
      </c>
      <c r="B53" s="11" t="str">
        <f>B21</f>
        <v>General Service</v>
      </c>
      <c r="C53" s="12" t="str">
        <f>C21</f>
        <v>10 (31)</v>
      </c>
      <c r="D53" s="37"/>
      <c r="E53" s="37"/>
      <c r="F53" s="7" t="str">
        <f>IFERROR(E53/D53-1, "na")</f>
        <v>na</v>
      </c>
    </row>
    <row r="54" spans="1:6" x14ac:dyDescent="0.2">
      <c r="A54" s="6">
        <f t="shared" si="4"/>
        <v>45</v>
      </c>
      <c r="B54" s="11" t="str">
        <f>B22</f>
        <v>Irrigation &amp; Pumping Service</v>
      </c>
      <c r="C54" s="12">
        <f>C22</f>
        <v>35</v>
      </c>
      <c r="D54" s="37"/>
      <c r="E54" s="37"/>
      <c r="F54" s="7" t="str">
        <f>IFERROR(E54/D54-1, "na")</f>
        <v>na</v>
      </c>
    </row>
    <row r="55" spans="1:6" x14ac:dyDescent="0.2">
      <c r="A55" s="6">
        <f t="shared" si="4"/>
        <v>46</v>
      </c>
      <c r="B55" s="11" t="str">
        <f>B23</f>
        <v>All Electric Schools</v>
      </c>
      <c r="C55" s="12">
        <f>C23</f>
        <v>43</v>
      </c>
      <c r="D55" s="37"/>
      <c r="E55" s="37"/>
      <c r="F55" s="7" t="str">
        <f>IFERROR(E55/D55-1, "na")</f>
        <v>na</v>
      </c>
    </row>
    <row r="56" spans="1:6" x14ac:dyDescent="0.2">
      <c r="A56" s="6">
        <f t="shared" si="4"/>
        <v>47</v>
      </c>
      <c r="B56" s="3" t="str">
        <f>B24</f>
        <v>Total Primary Voltage</v>
      </c>
      <c r="C56" s="22"/>
      <c r="D56" s="209"/>
      <c r="E56" s="209"/>
      <c r="F56" s="9"/>
    </row>
    <row r="57" spans="1:6" x14ac:dyDescent="0.2">
      <c r="A57" s="6">
        <f t="shared" si="4"/>
        <v>48</v>
      </c>
      <c r="B57" s="3"/>
      <c r="C57" s="22"/>
      <c r="D57" s="37"/>
      <c r="E57" s="37"/>
      <c r="F57" s="7"/>
    </row>
    <row r="58" spans="1:6" x14ac:dyDescent="0.2">
      <c r="A58" s="6">
        <f t="shared" si="4"/>
        <v>49</v>
      </c>
      <c r="B58" s="8" t="str">
        <f>B26</f>
        <v>High Voltage:</v>
      </c>
      <c r="C58" s="12"/>
      <c r="D58" s="37"/>
      <c r="E58" s="37"/>
      <c r="F58" s="7"/>
    </row>
    <row r="59" spans="1:6" x14ac:dyDescent="0.2">
      <c r="A59" s="6">
        <f t="shared" si="4"/>
        <v>50</v>
      </c>
      <c r="B59" s="11" t="str">
        <f>B27</f>
        <v>Interruptible Service</v>
      </c>
      <c r="C59" s="12">
        <f>C27</f>
        <v>46</v>
      </c>
      <c r="D59" s="37"/>
      <c r="E59" s="37"/>
      <c r="F59" s="7" t="str">
        <f>IFERROR(E59/D59-1, "na")</f>
        <v>na</v>
      </c>
    </row>
    <row r="60" spans="1:6" x14ac:dyDescent="0.2">
      <c r="A60" s="6">
        <f t="shared" si="4"/>
        <v>51</v>
      </c>
      <c r="B60" s="11" t="str">
        <f>B28</f>
        <v>General Service</v>
      </c>
      <c r="C60" s="12">
        <f>C28</f>
        <v>49</v>
      </c>
      <c r="D60" s="37"/>
      <c r="E60" s="37"/>
      <c r="F60" s="7" t="str">
        <f>IFERROR(E60/D60-1, "na")</f>
        <v>na</v>
      </c>
    </row>
    <row r="61" spans="1:6" x14ac:dyDescent="0.2">
      <c r="A61" s="6">
        <f t="shared" si="4"/>
        <v>52</v>
      </c>
      <c r="B61" s="10" t="str">
        <f>B29</f>
        <v>Total High Voltage</v>
      </c>
      <c r="C61" s="22"/>
      <c r="D61" s="209"/>
      <c r="E61" s="209"/>
      <c r="F61" s="9"/>
    </row>
    <row r="62" spans="1:6" x14ac:dyDescent="0.2">
      <c r="A62" s="6">
        <f t="shared" si="4"/>
        <v>53</v>
      </c>
      <c r="B62" s="8"/>
      <c r="C62" s="12"/>
      <c r="D62" s="37"/>
      <c r="E62" s="37"/>
      <c r="F62" s="7"/>
    </row>
    <row r="63" spans="1:6" x14ac:dyDescent="0.2">
      <c r="A63" s="6">
        <f t="shared" si="4"/>
        <v>54</v>
      </c>
      <c r="B63" s="3" t="str">
        <f t="shared" ref="B63:C65" si="6">B31</f>
        <v>Choice / Retail Wheeling</v>
      </c>
      <c r="C63" s="12" t="str">
        <f t="shared" si="6"/>
        <v>448 - 459</v>
      </c>
      <c r="D63" s="37"/>
      <c r="E63" s="37"/>
      <c r="F63" s="7" t="str">
        <f>IFERROR(E63/D63-1, "na")</f>
        <v>na</v>
      </c>
    </row>
    <row r="64" spans="1:6" x14ac:dyDescent="0.2">
      <c r="A64" s="6">
        <f t="shared" si="4"/>
        <v>55</v>
      </c>
      <c r="B64" s="8" t="str">
        <f t="shared" si="6"/>
        <v>Special Contracts</v>
      </c>
      <c r="C64" s="12" t="str">
        <f t="shared" si="6"/>
        <v>Special Contract</v>
      </c>
      <c r="D64" s="37"/>
      <c r="E64" s="37"/>
      <c r="F64" s="7" t="str">
        <f>IFERROR(E64/D64-1, "na")</f>
        <v>na</v>
      </c>
    </row>
    <row r="65" spans="1:13" x14ac:dyDescent="0.2">
      <c r="A65" s="6">
        <f t="shared" si="4"/>
        <v>56</v>
      </c>
      <c r="B65" s="8" t="str">
        <f t="shared" si="6"/>
        <v>Lighting</v>
      </c>
      <c r="C65" s="12" t="str">
        <f t="shared" si="6"/>
        <v>50 - 59</v>
      </c>
      <c r="D65" s="37"/>
      <c r="E65" s="37"/>
      <c r="F65" s="7" t="str">
        <f>IFERROR(E65/D65-1, "na")</f>
        <v>na</v>
      </c>
    </row>
    <row r="66" spans="1:13" x14ac:dyDescent="0.2">
      <c r="A66" s="6">
        <f t="shared" si="4"/>
        <v>57</v>
      </c>
      <c r="B66" s="8"/>
      <c r="C66" s="12"/>
      <c r="D66" s="37"/>
      <c r="E66" s="37"/>
      <c r="F66" s="7"/>
    </row>
    <row r="67" spans="1:13" x14ac:dyDescent="0.2">
      <c r="A67" s="6">
        <f t="shared" si="4"/>
        <v>58</v>
      </c>
      <c r="B67" s="10" t="str">
        <f>B35</f>
        <v>Total Retail Sales</v>
      </c>
      <c r="C67" s="22"/>
      <c r="D67" s="209"/>
      <c r="E67" s="209"/>
      <c r="F67" s="9"/>
    </row>
    <row r="68" spans="1:13" x14ac:dyDescent="0.2">
      <c r="A68" s="6">
        <f t="shared" si="4"/>
        <v>59</v>
      </c>
      <c r="B68" s="8"/>
      <c r="C68" s="12"/>
      <c r="D68" s="37"/>
      <c r="E68" s="37"/>
      <c r="F68" s="7"/>
    </row>
    <row r="69" spans="1:13" x14ac:dyDescent="0.2">
      <c r="A69" s="6">
        <f t="shared" si="4"/>
        <v>60</v>
      </c>
      <c r="B69" s="8" t="str">
        <f>B37</f>
        <v>Firm Resale</v>
      </c>
      <c r="C69" s="12">
        <f>C37</f>
        <v>5</v>
      </c>
      <c r="D69" s="37"/>
      <c r="E69" s="37"/>
      <c r="F69" s="7" t="str">
        <f>IFERROR(E69/D69-1, "na")</f>
        <v>na</v>
      </c>
    </row>
    <row r="70" spans="1:13" x14ac:dyDescent="0.2">
      <c r="A70" s="6">
        <f t="shared" si="4"/>
        <v>61</v>
      </c>
      <c r="B70" s="8"/>
      <c r="C70" s="10"/>
      <c r="D70" s="13"/>
      <c r="E70" s="13"/>
      <c r="F70" s="7"/>
    </row>
    <row r="71" spans="1:13" ht="12" thickBot="1" x14ac:dyDescent="0.25">
      <c r="A71" s="6">
        <f t="shared" si="4"/>
        <v>62</v>
      </c>
      <c r="B71" s="10" t="str">
        <f>B39</f>
        <v>Total Sales</v>
      </c>
      <c r="C71" s="3"/>
      <c r="D71" s="49"/>
      <c r="E71" s="49"/>
      <c r="F71" s="51"/>
    </row>
    <row r="72" spans="1:13" ht="12" thickTop="1" x14ac:dyDescent="0.2">
      <c r="A72" s="6">
        <f t="shared" si="4"/>
        <v>63</v>
      </c>
    </row>
    <row r="73" spans="1:13" x14ac:dyDescent="0.2">
      <c r="A73" s="6">
        <f t="shared" si="4"/>
        <v>64</v>
      </c>
      <c r="B73" s="174" t="s">
        <v>184</v>
      </c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</sheetData>
  <mergeCells count="1">
    <mergeCell ref="B73:M73"/>
  </mergeCells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</sheetPr>
  <dimension ref="A1:M165"/>
  <sheetViews>
    <sheetView workbookViewId="0">
      <pane ySplit="7" topLeftCell="A8" activePane="bottomLeft" state="frozen"/>
      <selection activeCell="E12" sqref="E12"/>
      <selection pane="bottomLeft" activeCell="E12" sqref="E12"/>
    </sheetView>
  </sheetViews>
  <sheetFormatPr defaultColWidth="8.85546875" defaultRowHeight="11.25" x14ac:dyDescent="0.2"/>
  <cols>
    <col min="1" max="1" width="6.7109375" style="2" bestFit="1" customWidth="1"/>
    <col min="2" max="2" width="30.5703125" style="2" customWidth="1"/>
    <col min="3" max="3" width="11.5703125" style="2" bestFit="1" customWidth="1"/>
    <col min="4" max="4" width="12.140625" style="2" customWidth="1"/>
    <col min="5" max="5" width="18.28515625" style="2" bestFit="1" customWidth="1"/>
    <col min="6" max="16384" width="8.85546875" style="2"/>
  </cols>
  <sheetData>
    <row r="1" spans="1:5" x14ac:dyDescent="0.2">
      <c r="A1" s="30" t="str">
        <f>'Sch 129 Rates'!A1</f>
        <v>PUGET SOUND ENERGY</v>
      </c>
      <c r="B1" s="30"/>
      <c r="C1" s="30"/>
      <c r="D1" s="29"/>
      <c r="E1" s="30"/>
    </row>
    <row r="2" spans="1:5" x14ac:dyDescent="0.2">
      <c r="A2" s="30" t="str">
        <f>'Sch 129 Rates'!A2</f>
        <v xml:space="preserve">Schedule 129 - Low Income Program </v>
      </c>
      <c r="B2" s="30"/>
      <c r="C2" s="30"/>
      <c r="D2" s="29"/>
      <c r="E2" s="30"/>
    </row>
    <row r="3" spans="1:5" x14ac:dyDescent="0.2">
      <c r="A3" s="30" t="str">
        <f>'Sch 129 Rates'!A3</f>
        <v xml:space="preserve">Proposed Out-of-Cycle Filing </v>
      </c>
      <c r="B3" s="30"/>
      <c r="C3" s="30"/>
      <c r="D3" s="29"/>
      <c r="E3" s="30"/>
    </row>
    <row r="4" spans="1:5" x14ac:dyDescent="0.2">
      <c r="A4" s="30" t="str">
        <f>'Sch 129 Rates'!A4</f>
        <v>Effective May 1, 2024 - September 30, 2024</v>
      </c>
      <c r="B4" s="30"/>
      <c r="C4" s="30"/>
      <c r="D4" s="29"/>
      <c r="E4" s="30"/>
    </row>
    <row r="5" spans="1:5" x14ac:dyDescent="0.2">
      <c r="A5" s="30" t="s">
        <v>135</v>
      </c>
      <c r="B5" s="30"/>
      <c r="C5" s="30"/>
      <c r="D5" s="29"/>
      <c r="E5" s="30"/>
    </row>
    <row r="6" spans="1:5" x14ac:dyDescent="0.2">
      <c r="A6" s="30" t="s">
        <v>24</v>
      </c>
      <c r="B6" s="30"/>
      <c r="C6" s="30"/>
      <c r="D6" s="29"/>
      <c r="E6" s="30"/>
    </row>
    <row r="7" spans="1:5" ht="22.5" x14ac:dyDescent="0.2">
      <c r="A7" s="31" t="s">
        <v>6</v>
      </c>
      <c r="B7" s="33" t="s">
        <v>134</v>
      </c>
      <c r="C7" s="32" t="s">
        <v>133</v>
      </c>
      <c r="D7" s="75" t="s">
        <v>179</v>
      </c>
      <c r="E7" s="31" t="s">
        <v>162</v>
      </c>
    </row>
    <row r="8" spans="1:5" x14ac:dyDescent="0.2">
      <c r="A8" s="24">
        <v>1</v>
      </c>
      <c r="B8" s="30" t="s">
        <v>24</v>
      </c>
      <c r="C8" s="29"/>
      <c r="D8" s="13"/>
      <c r="E8" s="12"/>
    </row>
    <row r="9" spans="1:5" ht="13.5" x14ac:dyDescent="0.35">
      <c r="A9" s="24">
        <f t="shared" ref="A9:A40" si="0">A8+1</f>
        <v>2</v>
      </c>
      <c r="B9" s="27" t="s">
        <v>132</v>
      </c>
      <c r="C9" s="28"/>
      <c r="E9" s="12"/>
    </row>
    <row r="10" spans="1:5" x14ac:dyDescent="0.2">
      <c r="A10" s="24">
        <f t="shared" si="0"/>
        <v>3</v>
      </c>
      <c r="B10" s="3" t="s">
        <v>131</v>
      </c>
      <c r="C10" s="23">
        <v>22</v>
      </c>
      <c r="D10" s="37">
        <f>ROUND('Lighting RD'!K11,2)</f>
        <v>0.1</v>
      </c>
      <c r="E10" s="22" t="s">
        <v>161</v>
      </c>
    </row>
    <row r="11" spans="1:5" x14ac:dyDescent="0.2">
      <c r="A11" s="24">
        <f t="shared" si="0"/>
        <v>4</v>
      </c>
      <c r="B11" s="3"/>
      <c r="C11" s="15"/>
      <c r="D11" s="37"/>
      <c r="E11" s="12"/>
    </row>
    <row r="12" spans="1:5" x14ac:dyDescent="0.2">
      <c r="A12" s="24">
        <f t="shared" si="0"/>
        <v>5</v>
      </c>
      <c r="B12" s="3" t="s">
        <v>130</v>
      </c>
      <c r="C12" s="23">
        <v>100</v>
      </c>
      <c r="D12" s="37">
        <f>ROUND('Lighting RD'!K13,2)</f>
        <v>0.46</v>
      </c>
      <c r="E12" s="22" t="str">
        <f>$E$10</f>
        <v>Sheet No. 129-C</v>
      </c>
    </row>
    <row r="13" spans="1:5" x14ac:dyDescent="0.2">
      <c r="A13" s="24">
        <f t="shared" si="0"/>
        <v>6</v>
      </c>
      <c r="B13" s="3" t="s">
        <v>130</v>
      </c>
      <c r="C13" s="23">
        <v>175</v>
      </c>
      <c r="D13" s="37">
        <f>ROUND('Lighting RD'!K14,2)</f>
        <v>0.82</v>
      </c>
      <c r="E13" s="22" t="str">
        <f t="shared" ref="E13:E15" si="1">$E$10</f>
        <v>Sheet No. 129-C</v>
      </c>
    </row>
    <row r="14" spans="1:5" x14ac:dyDescent="0.2">
      <c r="A14" s="24">
        <f t="shared" si="0"/>
        <v>7</v>
      </c>
      <c r="B14" s="3" t="s">
        <v>130</v>
      </c>
      <c r="C14" s="23">
        <v>400</v>
      </c>
      <c r="D14" s="37">
        <f>ROUND('Lighting RD'!K15,2)</f>
        <v>1.88</v>
      </c>
      <c r="E14" s="22" t="str">
        <f t="shared" si="1"/>
        <v>Sheet No. 129-C</v>
      </c>
    </row>
    <row r="15" spans="1:5" x14ac:dyDescent="0.2">
      <c r="A15" s="24">
        <f t="shared" si="0"/>
        <v>8</v>
      </c>
      <c r="B15" s="3" t="s">
        <v>130</v>
      </c>
      <c r="C15" s="23">
        <v>700</v>
      </c>
      <c r="D15" s="37">
        <f>ROUND('Lighting RD'!K16,2)</f>
        <v>3.28</v>
      </c>
      <c r="E15" s="22" t="str">
        <f t="shared" si="1"/>
        <v>Sheet No. 129-C</v>
      </c>
    </row>
    <row r="16" spans="1:5" x14ac:dyDescent="0.2">
      <c r="A16" s="24">
        <f t="shared" si="0"/>
        <v>9</v>
      </c>
      <c r="B16" s="10"/>
      <c r="C16" s="12"/>
      <c r="D16" s="37"/>
      <c r="E16" s="12"/>
    </row>
    <row r="17" spans="1:5" ht="13.5" x14ac:dyDescent="0.35">
      <c r="A17" s="24">
        <f t="shared" si="0"/>
        <v>10</v>
      </c>
      <c r="B17" s="27" t="s">
        <v>129</v>
      </c>
      <c r="C17" s="12"/>
      <c r="D17" s="37"/>
      <c r="E17" s="12"/>
    </row>
    <row r="18" spans="1:5" x14ac:dyDescent="0.2">
      <c r="A18" s="24">
        <f t="shared" si="0"/>
        <v>11</v>
      </c>
      <c r="B18" s="3" t="s">
        <v>128</v>
      </c>
      <c r="C18" s="12" t="s">
        <v>87</v>
      </c>
      <c r="D18" s="37">
        <f>ROUND('Lighting RD'!K19,2)</f>
        <v>7.0000000000000007E-2</v>
      </c>
      <c r="E18" s="22" t="s">
        <v>163</v>
      </c>
    </row>
    <row r="19" spans="1:5" x14ac:dyDescent="0.2">
      <c r="A19" s="24">
        <f t="shared" si="0"/>
        <v>12</v>
      </c>
      <c r="B19" s="3" t="s">
        <v>128</v>
      </c>
      <c r="C19" s="25" t="s">
        <v>86</v>
      </c>
      <c r="D19" s="37">
        <f>ROUND('Lighting RD'!K20,2)</f>
        <v>0.21</v>
      </c>
      <c r="E19" s="22" t="str">
        <f>$E$18</f>
        <v>Sheet No. 129-D</v>
      </c>
    </row>
    <row r="20" spans="1:5" x14ac:dyDescent="0.2">
      <c r="A20" s="24">
        <f t="shared" si="0"/>
        <v>13</v>
      </c>
      <c r="B20" s="3" t="s">
        <v>128</v>
      </c>
      <c r="C20" s="23" t="s">
        <v>57</v>
      </c>
      <c r="D20" s="37">
        <f>ROUND('Lighting RD'!K21,2)</f>
        <v>0.35</v>
      </c>
      <c r="E20" s="22" t="str">
        <f t="shared" ref="E20:E29" si="2">$E$18</f>
        <v>Sheet No. 129-D</v>
      </c>
    </row>
    <row r="21" spans="1:5" x14ac:dyDescent="0.2">
      <c r="A21" s="24">
        <f t="shared" si="0"/>
        <v>14</v>
      </c>
      <c r="B21" s="3" t="s">
        <v>128</v>
      </c>
      <c r="C21" s="23" t="s">
        <v>56</v>
      </c>
      <c r="D21" s="37">
        <f>ROUND('Lighting RD'!K22,2)</f>
        <v>0.49</v>
      </c>
      <c r="E21" s="22" t="str">
        <f t="shared" si="2"/>
        <v>Sheet No. 129-D</v>
      </c>
    </row>
    <row r="22" spans="1:5" x14ac:dyDescent="0.2">
      <c r="A22" s="24">
        <f t="shared" si="0"/>
        <v>15</v>
      </c>
      <c r="B22" s="3" t="s">
        <v>128</v>
      </c>
      <c r="C22" s="23" t="s">
        <v>55</v>
      </c>
      <c r="D22" s="37">
        <f>ROUND('Lighting RD'!K23,2)</f>
        <v>0.63</v>
      </c>
      <c r="E22" s="22" t="str">
        <f t="shared" si="2"/>
        <v>Sheet No. 129-D</v>
      </c>
    </row>
    <row r="23" spans="1:5" x14ac:dyDescent="0.2">
      <c r="A23" s="24">
        <f t="shared" si="0"/>
        <v>16</v>
      </c>
      <c r="B23" s="3" t="s">
        <v>128</v>
      </c>
      <c r="C23" s="23" t="s">
        <v>54</v>
      </c>
      <c r="D23" s="37">
        <f>ROUND('Lighting RD'!K24,2)</f>
        <v>0.77</v>
      </c>
      <c r="E23" s="22" t="str">
        <f t="shared" si="2"/>
        <v>Sheet No. 129-D</v>
      </c>
    </row>
    <row r="24" spans="1:5" x14ac:dyDescent="0.2">
      <c r="A24" s="24">
        <f t="shared" si="0"/>
        <v>17</v>
      </c>
      <c r="B24" s="3" t="s">
        <v>128</v>
      </c>
      <c r="C24" s="23" t="s">
        <v>53</v>
      </c>
      <c r="D24" s="37">
        <f>ROUND('Lighting RD'!K25,2)</f>
        <v>0.91</v>
      </c>
      <c r="E24" s="22" t="str">
        <f t="shared" si="2"/>
        <v>Sheet No. 129-D</v>
      </c>
    </row>
    <row r="25" spans="1:5" x14ac:dyDescent="0.2">
      <c r="A25" s="24">
        <f t="shared" si="0"/>
        <v>18</v>
      </c>
      <c r="B25" s="3" t="s">
        <v>128</v>
      </c>
      <c r="C25" s="23" t="s">
        <v>52</v>
      </c>
      <c r="D25" s="37">
        <f>ROUND('Lighting RD'!K26,2)</f>
        <v>1.05</v>
      </c>
      <c r="E25" s="22" t="str">
        <f t="shared" si="2"/>
        <v>Sheet No. 129-D</v>
      </c>
    </row>
    <row r="26" spans="1:5" x14ac:dyDescent="0.2">
      <c r="A26" s="24">
        <f t="shared" si="0"/>
        <v>19</v>
      </c>
      <c r="B26" s="3" t="s">
        <v>128</v>
      </c>
      <c r="C26" s="23" t="s">
        <v>51</v>
      </c>
      <c r="D26" s="37">
        <f>ROUND('Lighting RD'!K27,2)</f>
        <v>1.19</v>
      </c>
      <c r="E26" s="22" t="str">
        <f t="shared" si="2"/>
        <v>Sheet No. 129-D</v>
      </c>
    </row>
    <row r="27" spans="1:5" x14ac:dyDescent="0.2">
      <c r="A27" s="24">
        <f t="shared" si="0"/>
        <v>20</v>
      </c>
      <c r="B27" s="3" t="s">
        <v>128</v>
      </c>
      <c r="C27" s="23" t="s">
        <v>50</v>
      </c>
      <c r="D27" s="37">
        <f>ROUND('Lighting RD'!K28,2)</f>
        <v>1.33</v>
      </c>
      <c r="E27" s="22" t="str">
        <f t="shared" si="2"/>
        <v>Sheet No. 129-D</v>
      </c>
    </row>
    <row r="28" spans="1:5" x14ac:dyDescent="0.2">
      <c r="A28" s="24">
        <f t="shared" si="0"/>
        <v>21</v>
      </c>
      <c r="B28" s="3"/>
      <c r="C28" s="23"/>
      <c r="D28" s="37"/>
      <c r="E28" s="22"/>
    </row>
    <row r="29" spans="1:5" x14ac:dyDescent="0.2">
      <c r="A29" s="24">
        <f t="shared" si="0"/>
        <v>22</v>
      </c>
      <c r="B29" s="3" t="s">
        <v>127</v>
      </c>
      <c r="C29" s="23" t="s">
        <v>118</v>
      </c>
      <c r="D29" s="13">
        <f>ROUND('Lighting RD'!K29,6)</f>
        <v>1.3014E-2</v>
      </c>
      <c r="E29" s="22" t="str">
        <f t="shared" si="2"/>
        <v>Sheet No. 129-D</v>
      </c>
    </row>
    <row r="30" spans="1:5" x14ac:dyDescent="0.2">
      <c r="A30" s="24">
        <f t="shared" si="0"/>
        <v>23</v>
      </c>
      <c r="B30" s="10"/>
      <c r="C30" s="12"/>
      <c r="D30" s="37"/>
      <c r="E30" s="12"/>
    </row>
    <row r="31" spans="1:5" ht="13.5" x14ac:dyDescent="0.35">
      <c r="A31" s="24">
        <f t="shared" si="0"/>
        <v>24</v>
      </c>
      <c r="B31" s="27" t="s">
        <v>126</v>
      </c>
      <c r="C31" s="12"/>
      <c r="D31" s="37"/>
      <c r="E31" s="12"/>
    </row>
    <row r="32" spans="1:5" x14ac:dyDescent="0.2">
      <c r="A32" s="24">
        <f t="shared" si="0"/>
        <v>25</v>
      </c>
      <c r="B32" s="3" t="s">
        <v>125</v>
      </c>
      <c r="C32" s="23">
        <v>50</v>
      </c>
      <c r="D32" s="37">
        <f>ROUND('Lighting RD'!K32,2)</f>
        <v>0.24</v>
      </c>
      <c r="E32" s="22" t="s">
        <v>164</v>
      </c>
    </row>
    <row r="33" spans="1:5" x14ac:dyDescent="0.2">
      <c r="A33" s="24">
        <f t="shared" si="0"/>
        <v>26</v>
      </c>
      <c r="B33" s="3" t="s">
        <v>125</v>
      </c>
      <c r="C33" s="23">
        <v>70</v>
      </c>
      <c r="D33" s="37">
        <f>ROUND('Lighting RD'!K33,2)</f>
        <v>0.32</v>
      </c>
      <c r="E33" s="22" t="str">
        <f>$E$32</f>
        <v>Sheet No. 129-E</v>
      </c>
    </row>
    <row r="34" spans="1:5" x14ac:dyDescent="0.2">
      <c r="A34" s="24">
        <f t="shared" si="0"/>
        <v>27</v>
      </c>
      <c r="B34" s="3" t="s">
        <v>125</v>
      </c>
      <c r="C34" s="23">
        <v>100</v>
      </c>
      <c r="D34" s="37">
        <f>ROUND('Lighting RD'!K34,2)</f>
        <v>0.46</v>
      </c>
      <c r="E34" s="22" t="str">
        <f t="shared" ref="E34:E47" si="3">$E$32</f>
        <v>Sheet No. 129-E</v>
      </c>
    </row>
    <row r="35" spans="1:5" x14ac:dyDescent="0.2">
      <c r="A35" s="24">
        <f t="shared" si="0"/>
        <v>28</v>
      </c>
      <c r="B35" s="3" t="s">
        <v>125</v>
      </c>
      <c r="C35" s="23">
        <v>150</v>
      </c>
      <c r="D35" s="37">
        <f>ROUND('Lighting RD'!K35,2)</f>
        <v>0.7</v>
      </c>
      <c r="E35" s="22" t="str">
        <f t="shared" si="3"/>
        <v>Sheet No. 129-E</v>
      </c>
    </row>
    <row r="36" spans="1:5" x14ac:dyDescent="0.2">
      <c r="A36" s="24">
        <f t="shared" si="0"/>
        <v>29</v>
      </c>
      <c r="B36" s="3" t="s">
        <v>125</v>
      </c>
      <c r="C36" s="23">
        <v>200</v>
      </c>
      <c r="D36" s="37">
        <f>ROUND('Lighting RD'!K36,2)</f>
        <v>0.94</v>
      </c>
      <c r="E36" s="22" t="str">
        <f t="shared" si="3"/>
        <v>Sheet No. 129-E</v>
      </c>
    </row>
    <row r="37" spans="1:5" x14ac:dyDescent="0.2">
      <c r="A37" s="24">
        <f t="shared" si="0"/>
        <v>30</v>
      </c>
      <c r="B37" s="3" t="s">
        <v>125</v>
      </c>
      <c r="C37" s="23">
        <v>250</v>
      </c>
      <c r="D37" s="37">
        <f>ROUND('Lighting RD'!K37,2)</f>
        <v>1.17</v>
      </c>
      <c r="E37" s="22" t="str">
        <f t="shared" si="3"/>
        <v>Sheet No. 129-E</v>
      </c>
    </row>
    <row r="38" spans="1:5" x14ac:dyDescent="0.2">
      <c r="A38" s="24">
        <f t="shared" si="0"/>
        <v>31</v>
      </c>
      <c r="B38" s="3" t="s">
        <v>125</v>
      </c>
      <c r="C38" s="23">
        <v>310</v>
      </c>
      <c r="D38" s="37">
        <f>ROUND('Lighting RD'!K38,2)</f>
        <v>1.45</v>
      </c>
      <c r="E38" s="22" t="str">
        <f t="shared" si="3"/>
        <v>Sheet No. 129-E</v>
      </c>
    </row>
    <row r="39" spans="1:5" x14ac:dyDescent="0.2">
      <c r="A39" s="24">
        <f t="shared" si="0"/>
        <v>32</v>
      </c>
      <c r="B39" s="3" t="s">
        <v>125</v>
      </c>
      <c r="C39" s="23">
        <v>400</v>
      </c>
      <c r="D39" s="37">
        <f>ROUND('Lighting RD'!K39,2)</f>
        <v>1.88</v>
      </c>
      <c r="E39" s="22" t="str">
        <f t="shared" si="3"/>
        <v>Sheet No. 129-E</v>
      </c>
    </row>
    <row r="40" spans="1:5" x14ac:dyDescent="0.2">
      <c r="A40" s="24">
        <f t="shared" si="0"/>
        <v>33</v>
      </c>
      <c r="B40" s="26"/>
      <c r="C40" s="23"/>
      <c r="D40" s="37"/>
      <c r="E40" s="12"/>
    </row>
    <row r="41" spans="1:5" x14ac:dyDescent="0.2">
      <c r="A41" s="24">
        <f t="shared" ref="A41:A72" si="4">A40+1</f>
        <v>34</v>
      </c>
      <c r="B41" s="3" t="s">
        <v>124</v>
      </c>
      <c r="C41" s="23">
        <v>70</v>
      </c>
      <c r="D41" s="37">
        <f>ROUND('Lighting RD'!K41,2)</f>
        <v>0.32</v>
      </c>
      <c r="E41" s="22" t="str">
        <f t="shared" si="3"/>
        <v>Sheet No. 129-E</v>
      </c>
    </row>
    <row r="42" spans="1:5" x14ac:dyDescent="0.2">
      <c r="A42" s="24">
        <f t="shared" si="4"/>
        <v>35</v>
      </c>
      <c r="B42" s="3" t="s">
        <v>124</v>
      </c>
      <c r="C42" s="23">
        <v>100</v>
      </c>
      <c r="D42" s="37">
        <f>ROUND('Lighting RD'!K42,2)</f>
        <v>0.46</v>
      </c>
      <c r="E42" s="22" t="str">
        <f t="shared" si="3"/>
        <v>Sheet No. 129-E</v>
      </c>
    </row>
    <row r="43" spans="1:5" x14ac:dyDescent="0.2">
      <c r="A43" s="24">
        <f t="shared" si="4"/>
        <v>36</v>
      </c>
      <c r="B43" s="3" t="s">
        <v>124</v>
      </c>
      <c r="C43" s="23">
        <v>150</v>
      </c>
      <c r="D43" s="37">
        <f>ROUND('Lighting RD'!K43,2)</f>
        <v>0.7</v>
      </c>
      <c r="E43" s="22" t="str">
        <f t="shared" si="3"/>
        <v>Sheet No. 129-E</v>
      </c>
    </row>
    <row r="44" spans="1:5" x14ac:dyDescent="0.2">
      <c r="A44" s="24">
        <f t="shared" si="4"/>
        <v>37</v>
      </c>
      <c r="B44" s="3" t="s">
        <v>124</v>
      </c>
      <c r="C44" s="23">
        <v>175</v>
      </c>
      <c r="D44" s="37">
        <f>ROUND('Lighting RD'!K44,2)</f>
        <v>0.82</v>
      </c>
      <c r="E44" s="22" t="str">
        <f t="shared" si="3"/>
        <v>Sheet No. 129-E</v>
      </c>
    </row>
    <row r="45" spans="1:5" x14ac:dyDescent="0.2">
      <c r="A45" s="24">
        <f t="shared" si="4"/>
        <v>38</v>
      </c>
      <c r="B45" s="3" t="s">
        <v>124</v>
      </c>
      <c r="C45" s="23">
        <v>250</v>
      </c>
      <c r="D45" s="37">
        <f>ROUND('Lighting RD'!K45,2)</f>
        <v>1.17</v>
      </c>
      <c r="E45" s="22" t="str">
        <f t="shared" si="3"/>
        <v>Sheet No. 129-E</v>
      </c>
    </row>
    <row r="46" spans="1:5" x14ac:dyDescent="0.2">
      <c r="A46" s="24">
        <f t="shared" si="4"/>
        <v>39</v>
      </c>
      <c r="B46" s="3" t="s">
        <v>124</v>
      </c>
      <c r="C46" s="23">
        <v>400</v>
      </c>
      <c r="D46" s="37">
        <f>ROUND('Lighting RD'!K46,2)</f>
        <v>1.88</v>
      </c>
      <c r="E46" s="22" t="str">
        <f t="shared" si="3"/>
        <v>Sheet No. 129-E</v>
      </c>
    </row>
    <row r="47" spans="1:5" x14ac:dyDescent="0.2">
      <c r="A47" s="24">
        <f t="shared" si="4"/>
        <v>40</v>
      </c>
      <c r="B47" s="3" t="s">
        <v>124</v>
      </c>
      <c r="C47" s="23">
        <v>1000</v>
      </c>
      <c r="D47" s="37">
        <f>ROUND('Lighting RD'!K47,2)</f>
        <v>4.6900000000000004</v>
      </c>
      <c r="E47" s="22" t="str">
        <f t="shared" si="3"/>
        <v>Sheet No. 129-E</v>
      </c>
    </row>
    <row r="48" spans="1:5" x14ac:dyDescent="0.2">
      <c r="A48" s="24">
        <f t="shared" si="4"/>
        <v>41</v>
      </c>
      <c r="B48" s="10"/>
      <c r="C48" s="12"/>
      <c r="D48" s="37"/>
      <c r="E48" s="12"/>
    </row>
    <row r="49" spans="1:5" ht="13.5" x14ac:dyDescent="0.35">
      <c r="A49" s="24">
        <f t="shared" si="4"/>
        <v>42</v>
      </c>
      <c r="B49" s="27" t="s">
        <v>123</v>
      </c>
      <c r="C49" s="12"/>
      <c r="D49" s="37"/>
      <c r="E49" s="12"/>
    </row>
    <row r="50" spans="1:5" x14ac:dyDescent="0.2">
      <c r="A50" s="24">
        <f t="shared" si="4"/>
        <v>43</v>
      </c>
      <c r="B50" s="3" t="s">
        <v>122</v>
      </c>
      <c r="C50" s="23">
        <v>50</v>
      </c>
      <c r="D50" s="37">
        <f>ROUND('Lighting RD'!K50,2)</f>
        <v>0.24</v>
      </c>
      <c r="E50" s="22" t="str">
        <f t="shared" ref="E50:E58" si="5">$E$32</f>
        <v>Sheet No. 129-E</v>
      </c>
    </row>
    <row r="51" spans="1:5" x14ac:dyDescent="0.2">
      <c r="A51" s="24">
        <f t="shared" si="4"/>
        <v>44</v>
      </c>
      <c r="B51" s="3" t="s">
        <v>122</v>
      </c>
      <c r="C51" s="23">
        <v>70</v>
      </c>
      <c r="D51" s="37">
        <f>ROUND('Lighting RD'!K51,2)</f>
        <v>0.32</v>
      </c>
      <c r="E51" s="22" t="str">
        <f t="shared" si="5"/>
        <v>Sheet No. 129-E</v>
      </c>
    </row>
    <row r="52" spans="1:5" x14ac:dyDescent="0.2">
      <c r="A52" s="24">
        <f t="shared" si="4"/>
        <v>45</v>
      </c>
      <c r="B52" s="3" t="s">
        <v>122</v>
      </c>
      <c r="C52" s="23">
        <v>100</v>
      </c>
      <c r="D52" s="37">
        <f>ROUND('Lighting RD'!K52,2)</f>
        <v>0.46</v>
      </c>
      <c r="E52" s="22" t="str">
        <f t="shared" si="5"/>
        <v>Sheet No. 129-E</v>
      </c>
    </row>
    <row r="53" spans="1:5" x14ac:dyDescent="0.2">
      <c r="A53" s="24">
        <f t="shared" si="4"/>
        <v>46</v>
      </c>
      <c r="B53" s="3" t="s">
        <v>122</v>
      </c>
      <c r="C53" s="23">
        <v>150</v>
      </c>
      <c r="D53" s="37">
        <f>ROUND('Lighting RD'!K53,2)</f>
        <v>0.7</v>
      </c>
      <c r="E53" s="22" t="str">
        <f t="shared" si="5"/>
        <v>Sheet No. 129-E</v>
      </c>
    </row>
    <row r="54" spans="1:5" x14ac:dyDescent="0.2">
      <c r="A54" s="24">
        <f t="shared" si="4"/>
        <v>47</v>
      </c>
      <c r="B54" s="3" t="s">
        <v>122</v>
      </c>
      <c r="C54" s="23">
        <v>200</v>
      </c>
      <c r="D54" s="37">
        <f>ROUND('Lighting RD'!K54,2)</f>
        <v>0.94</v>
      </c>
      <c r="E54" s="22" t="str">
        <f t="shared" si="5"/>
        <v>Sheet No. 129-E</v>
      </c>
    </row>
    <row r="55" spans="1:5" x14ac:dyDescent="0.2">
      <c r="A55" s="24">
        <f t="shared" si="4"/>
        <v>48</v>
      </c>
      <c r="B55" s="3" t="s">
        <v>122</v>
      </c>
      <c r="C55" s="23">
        <v>250</v>
      </c>
      <c r="D55" s="37">
        <f>ROUND('Lighting RD'!K55,2)</f>
        <v>1.17</v>
      </c>
      <c r="E55" s="22" t="str">
        <f t="shared" si="5"/>
        <v>Sheet No. 129-E</v>
      </c>
    </row>
    <row r="56" spans="1:5" x14ac:dyDescent="0.2">
      <c r="A56" s="24">
        <f t="shared" si="4"/>
        <v>49</v>
      </c>
      <c r="B56" s="3" t="s">
        <v>122</v>
      </c>
      <c r="C56" s="23">
        <v>310</v>
      </c>
      <c r="D56" s="37">
        <f>ROUND('Lighting RD'!K56,2)</f>
        <v>1.45</v>
      </c>
      <c r="E56" s="22" t="str">
        <f t="shared" si="5"/>
        <v>Sheet No. 129-E</v>
      </c>
    </row>
    <row r="57" spans="1:5" x14ac:dyDescent="0.2">
      <c r="A57" s="24">
        <f t="shared" si="4"/>
        <v>50</v>
      </c>
      <c r="B57" s="3" t="s">
        <v>122</v>
      </c>
      <c r="C57" s="23">
        <v>400</v>
      </c>
      <c r="D57" s="37">
        <f>ROUND('Lighting RD'!K57,2)</f>
        <v>1.88</v>
      </c>
      <c r="E57" s="22" t="str">
        <f t="shared" si="5"/>
        <v>Sheet No. 129-E</v>
      </c>
    </row>
    <row r="58" spans="1:5" x14ac:dyDescent="0.2">
      <c r="A58" s="24">
        <f t="shared" si="4"/>
        <v>51</v>
      </c>
      <c r="B58" s="3" t="s">
        <v>122</v>
      </c>
      <c r="C58" s="23">
        <v>1000</v>
      </c>
      <c r="D58" s="37">
        <f>ROUND('Lighting RD'!K58,2)</f>
        <v>4.6900000000000004</v>
      </c>
      <c r="E58" s="22" t="str">
        <f t="shared" si="5"/>
        <v>Sheet No. 129-E</v>
      </c>
    </row>
    <row r="59" spans="1:5" x14ac:dyDescent="0.2">
      <c r="A59" s="24">
        <f t="shared" si="4"/>
        <v>52</v>
      </c>
      <c r="B59" s="26"/>
      <c r="C59" s="23"/>
      <c r="D59" s="37"/>
      <c r="E59" s="12"/>
    </row>
    <row r="60" spans="1:5" x14ac:dyDescent="0.2">
      <c r="A60" s="24">
        <f t="shared" si="4"/>
        <v>53</v>
      </c>
      <c r="B60" s="3" t="s">
        <v>121</v>
      </c>
      <c r="C60" s="23">
        <v>70</v>
      </c>
      <c r="D60" s="37">
        <f>ROUND('Lighting RD'!K60,2)</f>
        <v>0.32</v>
      </c>
      <c r="E60" s="22" t="s">
        <v>165</v>
      </c>
    </row>
    <row r="61" spans="1:5" x14ac:dyDescent="0.2">
      <c r="A61" s="24">
        <f t="shared" si="4"/>
        <v>54</v>
      </c>
      <c r="B61" s="3" t="s">
        <v>121</v>
      </c>
      <c r="C61" s="23">
        <v>100</v>
      </c>
      <c r="D61" s="37">
        <f>ROUND('Lighting RD'!K61,2)</f>
        <v>0.46</v>
      </c>
      <c r="E61" s="22" t="str">
        <f>$E$60</f>
        <v>Sheet No. 129-F</v>
      </c>
    </row>
    <row r="62" spans="1:5" x14ac:dyDescent="0.2">
      <c r="A62" s="24">
        <f t="shared" si="4"/>
        <v>55</v>
      </c>
      <c r="B62" s="3" t="s">
        <v>121</v>
      </c>
      <c r="C62" s="23">
        <v>150</v>
      </c>
      <c r="D62" s="37">
        <f>ROUND('Lighting RD'!K62,2)</f>
        <v>0.7</v>
      </c>
      <c r="E62" s="22" t="str">
        <f t="shared" ref="E62:E65" si="6">$E$60</f>
        <v>Sheet No. 129-F</v>
      </c>
    </row>
    <row r="63" spans="1:5" x14ac:dyDescent="0.2">
      <c r="A63" s="24">
        <f t="shared" si="4"/>
        <v>56</v>
      </c>
      <c r="B63" s="3" t="s">
        <v>121</v>
      </c>
      <c r="C63" s="23">
        <v>175</v>
      </c>
      <c r="D63" s="37">
        <f>ROUND('Lighting RD'!K63,2)</f>
        <v>0.82</v>
      </c>
      <c r="E63" s="22" t="str">
        <f t="shared" si="6"/>
        <v>Sheet No. 129-F</v>
      </c>
    </row>
    <row r="64" spans="1:5" x14ac:dyDescent="0.2">
      <c r="A64" s="24">
        <f t="shared" si="4"/>
        <v>57</v>
      </c>
      <c r="B64" s="3" t="s">
        <v>121</v>
      </c>
      <c r="C64" s="23">
        <v>250</v>
      </c>
      <c r="D64" s="37">
        <f>ROUND('Lighting RD'!K64,2)</f>
        <v>1.17</v>
      </c>
      <c r="E64" s="22" t="str">
        <f t="shared" si="6"/>
        <v>Sheet No. 129-F</v>
      </c>
    </row>
    <row r="65" spans="1:5" x14ac:dyDescent="0.2">
      <c r="A65" s="24">
        <f t="shared" si="4"/>
        <v>58</v>
      </c>
      <c r="B65" s="3" t="s">
        <v>121</v>
      </c>
      <c r="C65" s="23">
        <v>400</v>
      </c>
      <c r="D65" s="37">
        <f>ROUND('Lighting RD'!K65,2)</f>
        <v>1.88</v>
      </c>
      <c r="E65" s="22" t="str">
        <f t="shared" si="6"/>
        <v>Sheet No. 129-F</v>
      </c>
    </row>
    <row r="66" spans="1:5" x14ac:dyDescent="0.2">
      <c r="A66" s="24">
        <f t="shared" si="4"/>
        <v>59</v>
      </c>
      <c r="B66" s="26"/>
      <c r="C66" s="23"/>
      <c r="D66" s="37"/>
      <c r="E66" s="12"/>
    </row>
    <row r="67" spans="1:5" x14ac:dyDescent="0.2">
      <c r="A67" s="24">
        <f t="shared" si="4"/>
        <v>60</v>
      </c>
      <c r="B67" s="3" t="s">
        <v>120</v>
      </c>
      <c r="C67" s="12" t="s">
        <v>87</v>
      </c>
      <c r="D67" s="37">
        <f>ROUND('Lighting RD'!K67,2)</f>
        <v>7.0000000000000007E-2</v>
      </c>
      <c r="E67" s="22" t="str">
        <f t="shared" ref="E67:E76" si="7">$E$18</f>
        <v>Sheet No. 129-D</v>
      </c>
    </row>
    <row r="68" spans="1:5" x14ac:dyDescent="0.2">
      <c r="A68" s="24">
        <f t="shared" si="4"/>
        <v>61</v>
      </c>
      <c r="B68" s="3" t="s">
        <v>120</v>
      </c>
      <c r="C68" s="25" t="s">
        <v>86</v>
      </c>
      <c r="D68" s="37">
        <f>ROUND('Lighting RD'!K68,2)</f>
        <v>0.21</v>
      </c>
      <c r="E68" s="22" t="str">
        <f t="shared" si="7"/>
        <v>Sheet No. 129-D</v>
      </c>
    </row>
    <row r="69" spans="1:5" x14ac:dyDescent="0.2">
      <c r="A69" s="24">
        <f t="shared" si="4"/>
        <v>62</v>
      </c>
      <c r="B69" s="3" t="s">
        <v>120</v>
      </c>
      <c r="C69" s="23" t="s">
        <v>57</v>
      </c>
      <c r="D69" s="37">
        <f>ROUND('Lighting RD'!K69,2)</f>
        <v>0.35</v>
      </c>
      <c r="E69" s="22" t="str">
        <f t="shared" si="7"/>
        <v>Sheet No. 129-D</v>
      </c>
    </row>
    <row r="70" spans="1:5" x14ac:dyDescent="0.2">
      <c r="A70" s="24">
        <f t="shared" si="4"/>
        <v>63</v>
      </c>
      <c r="B70" s="3" t="s">
        <v>120</v>
      </c>
      <c r="C70" s="23" t="s">
        <v>56</v>
      </c>
      <c r="D70" s="37">
        <f>ROUND('Lighting RD'!K70,2)</f>
        <v>0.49</v>
      </c>
      <c r="E70" s="22" t="str">
        <f t="shared" si="7"/>
        <v>Sheet No. 129-D</v>
      </c>
    </row>
    <row r="71" spans="1:5" x14ac:dyDescent="0.2">
      <c r="A71" s="24">
        <f t="shared" si="4"/>
        <v>64</v>
      </c>
      <c r="B71" s="3" t="s">
        <v>120</v>
      </c>
      <c r="C71" s="23" t="s">
        <v>55</v>
      </c>
      <c r="D71" s="37">
        <f>ROUND('Lighting RD'!K71,2)</f>
        <v>0.63</v>
      </c>
      <c r="E71" s="22" t="str">
        <f t="shared" si="7"/>
        <v>Sheet No. 129-D</v>
      </c>
    </row>
    <row r="72" spans="1:5" x14ac:dyDescent="0.2">
      <c r="A72" s="24">
        <f t="shared" si="4"/>
        <v>65</v>
      </c>
      <c r="B72" s="3" t="s">
        <v>120</v>
      </c>
      <c r="C72" s="23" t="s">
        <v>54</v>
      </c>
      <c r="D72" s="37">
        <f>ROUND('Lighting RD'!K72,2)</f>
        <v>0.77</v>
      </c>
      <c r="E72" s="22" t="str">
        <f t="shared" si="7"/>
        <v>Sheet No. 129-D</v>
      </c>
    </row>
    <row r="73" spans="1:5" x14ac:dyDescent="0.2">
      <c r="A73" s="24">
        <f t="shared" ref="A73:A104" si="8">A72+1</f>
        <v>66</v>
      </c>
      <c r="B73" s="3" t="s">
        <v>120</v>
      </c>
      <c r="C73" s="23" t="s">
        <v>53</v>
      </c>
      <c r="D73" s="37">
        <f>ROUND('Lighting RD'!K73,2)</f>
        <v>0.91</v>
      </c>
      <c r="E73" s="22" t="str">
        <f t="shared" si="7"/>
        <v>Sheet No. 129-D</v>
      </c>
    </row>
    <row r="74" spans="1:5" x14ac:dyDescent="0.2">
      <c r="A74" s="24">
        <f t="shared" si="8"/>
        <v>67</v>
      </c>
      <c r="B74" s="3" t="s">
        <v>120</v>
      </c>
      <c r="C74" s="23" t="s">
        <v>52</v>
      </c>
      <c r="D74" s="37">
        <f>ROUND('Lighting RD'!K74,2)</f>
        <v>1.05</v>
      </c>
      <c r="E74" s="22" t="str">
        <f t="shared" si="7"/>
        <v>Sheet No. 129-D</v>
      </c>
    </row>
    <row r="75" spans="1:5" x14ac:dyDescent="0.2">
      <c r="A75" s="24">
        <f t="shared" si="8"/>
        <v>68</v>
      </c>
      <c r="B75" s="3" t="s">
        <v>120</v>
      </c>
      <c r="C75" s="23" t="s">
        <v>51</v>
      </c>
      <c r="D75" s="37">
        <f>ROUND('Lighting RD'!K75,2)</f>
        <v>1.19</v>
      </c>
      <c r="E75" s="22" t="str">
        <f t="shared" si="7"/>
        <v>Sheet No. 129-D</v>
      </c>
    </row>
    <row r="76" spans="1:5" x14ac:dyDescent="0.2">
      <c r="A76" s="24">
        <f t="shared" si="8"/>
        <v>69</v>
      </c>
      <c r="B76" s="3" t="s">
        <v>120</v>
      </c>
      <c r="C76" s="23" t="s">
        <v>50</v>
      </c>
      <c r="D76" s="37">
        <f>ROUND('Lighting RD'!K76,2)</f>
        <v>1.33</v>
      </c>
      <c r="E76" s="22" t="str">
        <f t="shared" si="7"/>
        <v>Sheet No. 129-D</v>
      </c>
    </row>
    <row r="77" spans="1:5" x14ac:dyDescent="0.2">
      <c r="A77" s="24">
        <f t="shared" si="8"/>
        <v>70</v>
      </c>
      <c r="B77" s="3"/>
      <c r="C77" s="23"/>
      <c r="D77" s="37"/>
      <c r="E77" s="22"/>
    </row>
    <row r="78" spans="1:5" x14ac:dyDescent="0.2">
      <c r="A78" s="24">
        <f t="shared" si="8"/>
        <v>71</v>
      </c>
      <c r="B78" s="3" t="s">
        <v>119</v>
      </c>
      <c r="C78" s="23" t="s">
        <v>118</v>
      </c>
      <c r="D78" s="13">
        <f>ROUND('Lighting RD'!K77,6)</f>
        <v>1.3014E-2</v>
      </c>
      <c r="E78" s="22" t="str">
        <f>$E$18</f>
        <v>Sheet No. 129-D</v>
      </c>
    </row>
    <row r="79" spans="1:5" x14ac:dyDescent="0.2">
      <c r="A79" s="24">
        <f t="shared" si="8"/>
        <v>72</v>
      </c>
      <c r="C79" s="23"/>
      <c r="D79" s="37"/>
      <c r="E79" s="12"/>
    </row>
    <row r="80" spans="1:5" ht="13.5" x14ac:dyDescent="0.35">
      <c r="A80" s="24">
        <f t="shared" si="8"/>
        <v>73</v>
      </c>
      <c r="B80" s="27" t="s">
        <v>117</v>
      </c>
      <c r="C80" s="12"/>
      <c r="D80" s="37"/>
      <c r="E80" s="12"/>
    </row>
    <row r="81" spans="1:5" x14ac:dyDescent="0.2">
      <c r="A81" s="24">
        <f t="shared" si="8"/>
        <v>74</v>
      </c>
      <c r="B81" s="3" t="s">
        <v>116</v>
      </c>
      <c r="C81" s="23">
        <v>50</v>
      </c>
      <c r="D81" s="37">
        <f>ROUND('Lighting RD'!K80,2)</f>
        <v>0.24</v>
      </c>
      <c r="E81" s="22" t="str">
        <f t="shared" ref="E81:E89" si="9">$E$60</f>
        <v>Sheet No. 129-F</v>
      </c>
    </row>
    <row r="82" spans="1:5" x14ac:dyDescent="0.2">
      <c r="A82" s="24">
        <f t="shared" si="8"/>
        <v>75</v>
      </c>
      <c r="B82" s="3" t="s">
        <v>116</v>
      </c>
      <c r="C82" s="23">
        <v>70</v>
      </c>
      <c r="D82" s="37">
        <f>ROUND('Lighting RD'!K81,2)</f>
        <v>0.32</v>
      </c>
      <c r="E82" s="22" t="str">
        <f t="shared" si="9"/>
        <v>Sheet No. 129-F</v>
      </c>
    </row>
    <row r="83" spans="1:5" x14ac:dyDescent="0.2">
      <c r="A83" s="24">
        <f t="shared" si="8"/>
        <v>76</v>
      </c>
      <c r="B83" s="3" t="s">
        <v>116</v>
      </c>
      <c r="C83" s="23">
        <v>100</v>
      </c>
      <c r="D83" s="37">
        <f>ROUND('Lighting RD'!K82,2)</f>
        <v>0.46</v>
      </c>
      <c r="E83" s="22" t="str">
        <f t="shared" si="9"/>
        <v>Sheet No. 129-F</v>
      </c>
    </row>
    <row r="84" spans="1:5" x14ac:dyDescent="0.2">
      <c r="A84" s="24">
        <f t="shared" si="8"/>
        <v>77</v>
      </c>
      <c r="B84" s="3" t="s">
        <v>116</v>
      </c>
      <c r="C84" s="23">
        <v>150</v>
      </c>
      <c r="D84" s="37">
        <f>ROUND('Lighting RD'!K83,2)</f>
        <v>0.7</v>
      </c>
      <c r="E84" s="22" t="str">
        <f t="shared" si="9"/>
        <v>Sheet No. 129-F</v>
      </c>
    </row>
    <row r="85" spans="1:5" x14ac:dyDescent="0.2">
      <c r="A85" s="24">
        <f t="shared" si="8"/>
        <v>78</v>
      </c>
      <c r="B85" s="3" t="s">
        <v>116</v>
      </c>
      <c r="C85" s="23">
        <v>200</v>
      </c>
      <c r="D85" s="37">
        <f>ROUND('Lighting RD'!K84,2)</f>
        <v>0.94</v>
      </c>
      <c r="E85" s="22" t="str">
        <f t="shared" si="9"/>
        <v>Sheet No. 129-F</v>
      </c>
    </row>
    <row r="86" spans="1:5" x14ac:dyDescent="0.2">
      <c r="A86" s="24">
        <f t="shared" si="8"/>
        <v>79</v>
      </c>
      <c r="B86" s="3" t="s">
        <v>116</v>
      </c>
      <c r="C86" s="23">
        <v>250</v>
      </c>
      <c r="D86" s="37">
        <f>ROUND('Lighting RD'!K85,2)</f>
        <v>1.17</v>
      </c>
      <c r="E86" s="22" t="str">
        <f t="shared" si="9"/>
        <v>Sheet No. 129-F</v>
      </c>
    </row>
    <row r="87" spans="1:5" x14ac:dyDescent="0.2">
      <c r="A87" s="24">
        <f t="shared" si="8"/>
        <v>80</v>
      </c>
      <c r="B87" s="3" t="s">
        <v>116</v>
      </c>
      <c r="C87" s="23">
        <v>310</v>
      </c>
      <c r="D87" s="37">
        <f>ROUND('Lighting RD'!K86,2)</f>
        <v>1.45</v>
      </c>
      <c r="E87" s="22" t="str">
        <f t="shared" si="9"/>
        <v>Sheet No. 129-F</v>
      </c>
    </row>
    <row r="88" spans="1:5" x14ac:dyDescent="0.2">
      <c r="A88" s="24">
        <f t="shared" si="8"/>
        <v>81</v>
      </c>
      <c r="B88" s="3" t="s">
        <v>116</v>
      </c>
      <c r="C88" s="23">
        <v>400</v>
      </c>
      <c r="D88" s="37">
        <f>ROUND('Lighting RD'!K87,2)</f>
        <v>1.88</v>
      </c>
      <c r="E88" s="22" t="str">
        <f t="shared" si="9"/>
        <v>Sheet No. 129-F</v>
      </c>
    </row>
    <row r="89" spans="1:5" x14ac:dyDescent="0.2">
      <c r="A89" s="24">
        <f t="shared" si="8"/>
        <v>82</v>
      </c>
      <c r="B89" s="3" t="s">
        <v>116</v>
      </c>
      <c r="C89" s="23">
        <v>1000</v>
      </c>
      <c r="D89" s="37">
        <f>ROUND('Lighting RD'!K88,2)</f>
        <v>4.6900000000000004</v>
      </c>
      <c r="E89" s="22" t="str">
        <f t="shared" si="9"/>
        <v>Sheet No. 129-F</v>
      </c>
    </row>
    <row r="90" spans="1:5" x14ac:dyDescent="0.2">
      <c r="A90" s="24">
        <f t="shared" si="8"/>
        <v>83</v>
      </c>
      <c r="B90" s="26"/>
      <c r="C90" s="23"/>
      <c r="D90" s="37"/>
      <c r="E90" s="12"/>
    </row>
    <row r="91" spans="1:5" x14ac:dyDescent="0.2">
      <c r="A91" s="24">
        <f t="shared" si="8"/>
        <v>84</v>
      </c>
      <c r="B91" s="3" t="s">
        <v>115</v>
      </c>
      <c r="C91" s="25" t="s">
        <v>88</v>
      </c>
      <c r="D91" s="37">
        <f>ROUND('Lighting RD'!K90,2)</f>
        <v>7.0000000000000007E-2</v>
      </c>
      <c r="E91" s="22" t="str">
        <f t="shared" ref="E91:E100" si="10">$E$18</f>
        <v>Sheet No. 129-D</v>
      </c>
    </row>
    <row r="92" spans="1:5" x14ac:dyDescent="0.2">
      <c r="A92" s="24">
        <f t="shared" si="8"/>
        <v>85</v>
      </c>
      <c r="B92" s="3" t="s">
        <v>115</v>
      </c>
      <c r="C92" s="25" t="s">
        <v>58</v>
      </c>
      <c r="D92" s="37">
        <f>ROUND('Lighting RD'!K91,2)</f>
        <v>0.21</v>
      </c>
      <c r="E92" s="22" t="str">
        <f t="shared" si="10"/>
        <v>Sheet No. 129-D</v>
      </c>
    </row>
    <row r="93" spans="1:5" x14ac:dyDescent="0.2">
      <c r="A93" s="24">
        <f t="shared" si="8"/>
        <v>86</v>
      </c>
      <c r="B93" s="3" t="s">
        <v>115</v>
      </c>
      <c r="C93" s="23" t="s">
        <v>57</v>
      </c>
      <c r="D93" s="37">
        <f>ROUND('Lighting RD'!K92,2)</f>
        <v>0.35</v>
      </c>
      <c r="E93" s="22" t="str">
        <f t="shared" si="10"/>
        <v>Sheet No. 129-D</v>
      </c>
    </row>
    <row r="94" spans="1:5" x14ac:dyDescent="0.2">
      <c r="A94" s="24">
        <f t="shared" si="8"/>
        <v>87</v>
      </c>
      <c r="B94" s="3" t="s">
        <v>115</v>
      </c>
      <c r="C94" s="23" t="s">
        <v>56</v>
      </c>
      <c r="D94" s="37">
        <f>ROUND('Lighting RD'!K93,2)</f>
        <v>0.49</v>
      </c>
      <c r="E94" s="22" t="str">
        <f t="shared" si="10"/>
        <v>Sheet No. 129-D</v>
      </c>
    </row>
    <row r="95" spans="1:5" x14ac:dyDescent="0.2">
      <c r="A95" s="24">
        <f t="shared" si="8"/>
        <v>88</v>
      </c>
      <c r="B95" s="3" t="s">
        <v>115</v>
      </c>
      <c r="C95" s="23" t="s">
        <v>55</v>
      </c>
      <c r="D95" s="37">
        <f>ROUND('Lighting RD'!K94,2)</f>
        <v>0.63</v>
      </c>
      <c r="E95" s="22" t="str">
        <f t="shared" si="10"/>
        <v>Sheet No. 129-D</v>
      </c>
    </row>
    <row r="96" spans="1:5" x14ac:dyDescent="0.2">
      <c r="A96" s="24">
        <f t="shared" si="8"/>
        <v>89</v>
      </c>
      <c r="B96" s="3" t="s">
        <v>115</v>
      </c>
      <c r="C96" s="23" t="s">
        <v>54</v>
      </c>
      <c r="D96" s="37">
        <f>ROUND('Lighting RD'!K95,2)</f>
        <v>0.77</v>
      </c>
      <c r="E96" s="22" t="str">
        <f t="shared" si="10"/>
        <v>Sheet No. 129-D</v>
      </c>
    </row>
    <row r="97" spans="1:5" x14ac:dyDescent="0.2">
      <c r="A97" s="24">
        <f t="shared" si="8"/>
        <v>90</v>
      </c>
      <c r="B97" s="3" t="s">
        <v>115</v>
      </c>
      <c r="C97" s="23" t="s">
        <v>53</v>
      </c>
      <c r="D97" s="37">
        <f>ROUND('Lighting RD'!K96,2)</f>
        <v>0.91</v>
      </c>
      <c r="E97" s="22" t="str">
        <f t="shared" si="10"/>
        <v>Sheet No. 129-D</v>
      </c>
    </row>
    <row r="98" spans="1:5" x14ac:dyDescent="0.2">
      <c r="A98" s="24">
        <f t="shared" si="8"/>
        <v>91</v>
      </c>
      <c r="B98" s="3" t="s">
        <v>115</v>
      </c>
      <c r="C98" s="23" t="s">
        <v>52</v>
      </c>
      <c r="D98" s="37">
        <f>ROUND('Lighting RD'!K97,2)</f>
        <v>1.05</v>
      </c>
      <c r="E98" s="22" t="str">
        <f t="shared" si="10"/>
        <v>Sheet No. 129-D</v>
      </c>
    </row>
    <row r="99" spans="1:5" x14ac:dyDescent="0.2">
      <c r="A99" s="24">
        <f t="shared" si="8"/>
        <v>92</v>
      </c>
      <c r="B99" s="3" t="s">
        <v>115</v>
      </c>
      <c r="C99" s="23" t="s">
        <v>51</v>
      </c>
      <c r="D99" s="37">
        <f>ROUND('Lighting RD'!K98,2)</f>
        <v>1.19</v>
      </c>
      <c r="E99" s="22" t="str">
        <f t="shared" si="10"/>
        <v>Sheet No. 129-D</v>
      </c>
    </row>
    <row r="100" spans="1:5" x14ac:dyDescent="0.2">
      <c r="A100" s="24">
        <f t="shared" si="8"/>
        <v>93</v>
      </c>
      <c r="B100" s="3" t="s">
        <v>115</v>
      </c>
      <c r="C100" s="23" t="s">
        <v>50</v>
      </c>
      <c r="D100" s="37">
        <f>ROUND('Lighting RD'!K99,2)</f>
        <v>1.33</v>
      </c>
      <c r="E100" s="22" t="str">
        <f t="shared" si="10"/>
        <v>Sheet No. 129-D</v>
      </c>
    </row>
    <row r="101" spans="1:5" x14ac:dyDescent="0.2">
      <c r="A101" s="24">
        <f t="shared" si="8"/>
        <v>94</v>
      </c>
      <c r="B101" s="26"/>
      <c r="C101" s="23"/>
      <c r="D101" s="37"/>
      <c r="E101" s="12"/>
    </row>
    <row r="102" spans="1:5" ht="13.5" x14ac:dyDescent="0.35">
      <c r="A102" s="24">
        <f t="shared" si="8"/>
        <v>95</v>
      </c>
      <c r="B102" s="27" t="s">
        <v>114</v>
      </c>
      <c r="C102" s="23"/>
      <c r="D102" s="37"/>
      <c r="E102" s="12"/>
    </row>
    <row r="103" spans="1:5" x14ac:dyDescent="0.2">
      <c r="A103" s="24">
        <f t="shared" si="8"/>
        <v>96</v>
      </c>
      <c r="B103" s="3" t="s">
        <v>113</v>
      </c>
      <c r="C103" s="23">
        <v>70</v>
      </c>
      <c r="D103" s="37">
        <f>ROUND('Lighting RD'!K102,2)</f>
        <v>0.32</v>
      </c>
      <c r="E103" s="22" t="s">
        <v>166</v>
      </c>
    </row>
    <row r="104" spans="1:5" x14ac:dyDescent="0.2">
      <c r="A104" s="24">
        <f t="shared" si="8"/>
        <v>97</v>
      </c>
      <c r="B104" s="3" t="s">
        <v>113</v>
      </c>
      <c r="C104" s="23">
        <v>100</v>
      </c>
      <c r="D104" s="37">
        <f>ROUND('Lighting RD'!K103,2)</f>
        <v>0.46</v>
      </c>
      <c r="E104" s="22" t="str">
        <f>$E$103</f>
        <v>Sheet No. 129-G</v>
      </c>
    </row>
    <row r="105" spans="1:5" x14ac:dyDescent="0.2">
      <c r="A105" s="24">
        <f t="shared" ref="A105:A136" si="11">A104+1</f>
        <v>98</v>
      </c>
      <c r="B105" s="3" t="s">
        <v>113</v>
      </c>
      <c r="C105" s="23">
        <v>150</v>
      </c>
      <c r="D105" s="37">
        <f>ROUND('Lighting RD'!K104,2)</f>
        <v>0.7</v>
      </c>
      <c r="E105" s="22" t="str">
        <f t="shared" ref="E105:E121" si="12">$E$103</f>
        <v>Sheet No. 129-G</v>
      </c>
    </row>
    <row r="106" spans="1:5" x14ac:dyDescent="0.2">
      <c r="A106" s="24">
        <f t="shared" si="11"/>
        <v>99</v>
      </c>
      <c r="B106" s="3" t="s">
        <v>113</v>
      </c>
      <c r="C106" s="23">
        <v>200</v>
      </c>
      <c r="D106" s="37">
        <f>ROUND('Lighting RD'!K105,2)</f>
        <v>0.94</v>
      </c>
      <c r="E106" s="22" t="str">
        <f t="shared" si="12"/>
        <v>Sheet No. 129-G</v>
      </c>
    </row>
    <row r="107" spans="1:5" x14ac:dyDescent="0.2">
      <c r="A107" s="24">
        <f t="shared" si="11"/>
        <v>100</v>
      </c>
      <c r="B107" s="3" t="s">
        <v>113</v>
      </c>
      <c r="C107" s="23">
        <v>250</v>
      </c>
      <c r="D107" s="37">
        <f>ROUND('Lighting RD'!K106,2)</f>
        <v>1.18</v>
      </c>
      <c r="E107" s="22" t="str">
        <f t="shared" si="12"/>
        <v>Sheet No. 129-G</v>
      </c>
    </row>
    <row r="108" spans="1:5" x14ac:dyDescent="0.2">
      <c r="A108" s="24">
        <f t="shared" si="11"/>
        <v>101</v>
      </c>
      <c r="B108" s="3" t="s">
        <v>113</v>
      </c>
      <c r="C108" s="23">
        <v>400</v>
      </c>
      <c r="D108" s="37">
        <f>ROUND('Lighting RD'!K107,2)</f>
        <v>1.88</v>
      </c>
      <c r="E108" s="22" t="str">
        <f t="shared" si="12"/>
        <v>Sheet No. 129-G</v>
      </c>
    </row>
    <row r="109" spans="1:5" x14ac:dyDescent="0.2">
      <c r="A109" s="24">
        <f t="shared" si="11"/>
        <v>102</v>
      </c>
      <c r="B109" s="26"/>
      <c r="C109" s="23"/>
      <c r="D109" s="37"/>
      <c r="E109" s="12"/>
    </row>
    <row r="110" spans="1:5" x14ac:dyDescent="0.2">
      <c r="A110" s="24">
        <f t="shared" si="11"/>
        <v>103</v>
      </c>
      <c r="B110" s="3" t="s">
        <v>112</v>
      </c>
      <c r="C110" s="23">
        <v>250</v>
      </c>
      <c r="D110" s="37">
        <f>ROUND('Lighting RD'!K109,2)</f>
        <v>1.18</v>
      </c>
      <c r="E110" s="22" t="str">
        <f t="shared" si="12"/>
        <v>Sheet No. 129-G</v>
      </c>
    </row>
    <row r="111" spans="1:5" x14ac:dyDescent="0.2">
      <c r="A111" s="24">
        <f t="shared" si="11"/>
        <v>104</v>
      </c>
      <c r="B111" s="26"/>
      <c r="C111" s="23"/>
      <c r="D111" s="37"/>
      <c r="E111" s="12"/>
    </row>
    <row r="112" spans="1:5" x14ac:dyDescent="0.2">
      <c r="A112" s="24">
        <f t="shared" si="11"/>
        <v>105</v>
      </c>
      <c r="B112" s="3" t="s">
        <v>111</v>
      </c>
      <c r="C112" s="12" t="s">
        <v>87</v>
      </c>
      <c r="D112" s="37">
        <f>ROUND('Lighting RD'!K111,2)</f>
        <v>7.0000000000000007E-2</v>
      </c>
      <c r="E112" s="22" t="str">
        <f t="shared" si="12"/>
        <v>Sheet No. 129-G</v>
      </c>
    </row>
    <row r="113" spans="1:5" x14ac:dyDescent="0.2">
      <c r="A113" s="24">
        <f t="shared" si="11"/>
        <v>106</v>
      </c>
      <c r="B113" s="3" t="s">
        <v>111</v>
      </c>
      <c r="C113" s="25" t="s">
        <v>58</v>
      </c>
      <c r="D113" s="37">
        <f>ROUND('Lighting RD'!K112,2)</f>
        <v>0.21</v>
      </c>
      <c r="E113" s="22" t="str">
        <f t="shared" si="12"/>
        <v>Sheet No. 129-G</v>
      </c>
    </row>
    <row r="114" spans="1:5" x14ac:dyDescent="0.2">
      <c r="A114" s="24">
        <f t="shared" si="11"/>
        <v>107</v>
      </c>
      <c r="B114" s="3" t="s">
        <v>111</v>
      </c>
      <c r="C114" s="23" t="s">
        <v>57</v>
      </c>
      <c r="D114" s="37">
        <f>ROUND('Lighting RD'!K113,2)</f>
        <v>0.35</v>
      </c>
      <c r="E114" s="22" t="str">
        <f t="shared" si="12"/>
        <v>Sheet No. 129-G</v>
      </c>
    </row>
    <row r="115" spans="1:5" x14ac:dyDescent="0.2">
      <c r="A115" s="24">
        <f t="shared" si="11"/>
        <v>108</v>
      </c>
      <c r="B115" s="3" t="s">
        <v>111</v>
      </c>
      <c r="C115" s="23" t="s">
        <v>56</v>
      </c>
      <c r="D115" s="37">
        <f>ROUND('Lighting RD'!K114,2)</f>
        <v>0.49</v>
      </c>
      <c r="E115" s="22" t="str">
        <f t="shared" si="12"/>
        <v>Sheet No. 129-G</v>
      </c>
    </row>
    <row r="116" spans="1:5" x14ac:dyDescent="0.2">
      <c r="A116" s="24">
        <f t="shared" si="11"/>
        <v>109</v>
      </c>
      <c r="B116" s="3" t="s">
        <v>111</v>
      </c>
      <c r="C116" s="23" t="s">
        <v>55</v>
      </c>
      <c r="D116" s="37">
        <f>ROUND('Lighting RD'!K115,2)</f>
        <v>0.63</v>
      </c>
      <c r="E116" s="22" t="str">
        <f t="shared" si="12"/>
        <v>Sheet No. 129-G</v>
      </c>
    </row>
    <row r="117" spans="1:5" x14ac:dyDescent="0.2">
      <c r="A117" s="24">
        <f t="shared" si="11"/>
        <v>110</v>
      </c>
      <c r="B117" s="3" t="s">
        <v>111</v>
      </c>
      <c r="C117" s="23" t="s">
        <v>54</v>
      </c>
      <c r="D117" s="37">
        <f>ROUND('Lighting RD'!K116,2)</f>
        <v>0.77</v>
      </c>
      <c r="E117" s="22" t="str">
        <f t="shared" si="12"/>
        <v>Sheet No. 129-G</v>
      </c>
    </row>
    <row r="118" spans="1:5" x14ac:dyDescent="0.2">
      <c r="A118" s="24">
        <f t="shared" si="11"/>
        <v>111</v>
      </c>
      <c r="B118" s="3" t="s">
        <v>111</v>
      </c>
      <c r="C118" s="23" t="s">
        <v>53</v>
      </c>
      <c r="D118" s="37">
        <f>ROUND('Lighting RD'!K117,2)</f>
        <v>0.91</v>
      </c>
      <c r="E118" s="22" t="str">
        <f t="shared" si="12"/>
        <v>Sheet No. 129-G</v>
      </c>
    </row>
    <row r="119" spans="1:5" x14ac:dyDescent="0.2">
      <c r="A119" s="24">
        <f t="shared" si="11"/>
        <v>112</v>
      </c>
      <c r="B119" s="3" t="s">
        <v>111</v>
      </c>
      <c r="C119" s="23" t="s">
        <v>52</v>
      </c>
      <c r="D119" s="37">
        <f>ROUND('Lighting RD'!K118,2)</f>
        <v>1.05</v>
      </c>
      <c r="E119" s="22" t="str">
        <f t="shared" si="12"/>
        <v>Sheet No. 129-G</v>
      </c>
    </row>
    <row r="120" spans="1:5" x14ac:dyDescent="0.2">
      <c r="A120" s="24">
        <f t="shared" si="11"/>
        <v>113</v>
      </c>
      <c r="B120" s="3" t="s">
        <v>111</v>
      </c>
      <c r="C120" s="23" t="s">
        <v>51</v>
      </c>
      <c r="D120" s="37">
        <f>ROUND('Lighting RD'!K119,2)</f>
        <v>1.19</v>
      </c>
      <c r="E120" s="22" t="str">
        <f t="shared" si="12"/>
        <v>Sheet No. 129-G</v>
      </c>
    </row>
    <row r="121" spans="1:5" x14ac:dyDescent="0.2">
      <c r="A121" s="24">
        <f t="shared" si="11"/>
        <v>114</v>
      </c>
      <c r="B121" s="3" t="s">
        <v>111</v>
      </c>
      <c r="C121" s="23" t="s">
        <v>50</v>
      </c>
      <c r="D121" s="37">
        <f>ROUND('Lighting RD'!K120,2)</f>
        <v>1.33</v>
      </c>
      <c r="E121" s="22" t="str">
        <f t="shared" si="12"/>
        <v>Sheet No. 129-G</v>
      </c>
    </row>
    <row r="122" spans="1:5" x14ac:dyDescent="0.2">
      <c r="A122" s="24">
        <f t="shared" si="11"/>
        <v>115</v>
      </c>
      <c r="B122" s="26"/>
      <c r="C122" s="23"/>
      <c r="D122" s="37"/>
      <c r="E122" s="12"/>
    </row>
    <row r="123" spans="1:5" ht="13.5" x14ac:dyDescent="0.35">
      <c r="A123" s="24">
        <f t="shared" si="11"/>
        <v>116</v>
      </c>
      <c r="B123" s="27" t="s">
        <v>42</v>
      </c>
      <c r="C123" s="23"/>
      <c r="D123" s="37"/>
      <c r="E123" s="12"/>
    </row>
    <row r="124" spans="1:5" x14ac:dyDescent="0.2">
      <c r="A124" s="24">
        <f t="shared" si="11"/>
        <v>117</v>
      </c>
      <c r="B124" s="3" t="s">
        <v>41</v>
      </c>
      <c r="C124" s="23" t="s">
        <v>110</v>
      </c>
      <c r="D124" s="82">
        <f>ROUND('Lighting RD'!K123,5)</f>
        <v>8.8000000000000005E-3</v>
      </c>
      <c r="E124" s="22" t="str">
        <f t="shared" ref="E124" si="13">$E$103</f>
        <v>Sheet No. 129-G</v>
      </c>
    </row>
    <row r="125" spans="1:5" x14ac:dyDescent="0.2">
      <c r="A125" s="24">
        <f t="shared" si="11"/>
        <v>118</v>
      </c>
      <c r="B125" s="26"/>
      <c r="C125" s="23"/>
      <c r="D125" s="37"/>
      <c r="E125" s="12"/>
    </row>
    <row r="126" spans="1:5" ht="13.5" x14ac:dyDescent="0.35">
      <c r="A126" s="24">
        <f t="shared" si="11"/>
        <v>119</v>
      </c>
      <c r="B126" s="27" t="s">
        <v>63</v>
      </c>
      <c r="C126" s="23"/>
      <c r="D126" s="37"/>
      <c r="E126" s="12"/>
    </row>
    <row r="127" spans="1:5" x14ac:dyDescent="0.2">
      <c r="A127" s="24">
        <f t="shared" si="11"/>
        <v>120</v>
      </c>
      <c r="B127" s="3" t="s">
        <v>109</v>
      </c>
      <c r="C127" s="23">
        <v>70</v>
      </c>
      <c r="D127" s="37">
        <f>ROUND('Lighting RD'!K126,2)</f>
        <v>0.32</v>
      </c>
      <c r="E127" s="22" t="s">
        <v>167</v>
      </c>
    </row>
    <row r="128" spans="1:5" x14ac:dyDescent="0.2">
      <c r="A128" s="24">
        <f t="shared" si="11"/>
        <v>121</v>
      </c>
      <c r="B128" s="3" t="s">
        <v>109</v>
      </c>
      <c r="C128" s="23">
        <v>100</v>
      </c>
      <c r="D128" s="37">
        <f>ROUND('Lighting RD'!K127,2)</f>
        <v>0.46</v>
      </c>
      <c r="E128" s="22" t="str">
        <f>$E$127</f>
        <v>Sheet No. 129-H</v>
      </c>
    </row>
    <row r="129" spans="1:5" x14ac:dyDescent="0.2">
      <c r="A129" s="24">
        <f t="shared" si="11"/>
        <v>122</v>
      </c>
      <c r="B129" s="3" t="s">
        <v>109</v>
      </c>
      <c r="C129" s="23">
        <v>150</v>
      </c>
      <c r="D129" s="37">
        <f>ROUND('Lighting RD'!K128,2)</f>
        <v>0.7</v>
      </c>
      <c r="E129" s="22" t="str">
        <f t="shared" ref="E129:E146" si="14">$E$127</f>
        <v>Sheet No. 129-H</v>
      </c>
    </row>
    <row r="130" spans="1:5" x14ac:dyDescent="0.2">
      <c r="A130" s="24">
        <f t="shared" si="11"/>
        <v>123</v>
      </c>
      <c r="B130" s="3" t="s">
        <v>109</v>
      </c>
      <c r="C130" s="23">
        <v>200</v>
      </c>
      <c r="D130" s="37">
        <f>ROUND('Lighting RD'!K129,2)</f>
        <v>0.94</v>
      </c>
      <c r="E130" s="22" t="str">
        <f t="shared" si="14"/>
        <v>Sheet No. 129-H</v>
      </c>
    </row>
    <row r="131" spans="1:5" x14ac:dyDescent="0.2">
      <c r="A131" s="24">
        <f t="shared" si="11"/>
        <v>124</v>
      </c>
      <c r="B131" s="3" t="s">
        <v>109</v>
      </c>
      <c r="C131" s="23">
        <v>250</v>
      </c>
      <c r="D131" s="37">
        <f>ROUND('Lighting RD'!K130,2)</f>
        <v>1.18</v>
      </c>
      <c r="E131" s="22" t="str">
        <f t="shared" si="14"/>
        <v>Sheet No. 129-H</v>
      </c>
    </row>
    <row r="132" spans="1:5" x14ac:dyDescent="0.2">
      <c r="A132" s="24">
        <f t="shared" si="11"/>
        <v>125</v>
      </c>
      <c r="B132" s="3" t="s">
        <v>109</v>
      </c>
      <c r="C132" s="23">
        <v>400</v>
      </c>
      <c r="D132" s="37">
        <f>ROUND('Lighting RD'!K131,2)</f>
        <v>1.88</v>
      </c>
      <c r="E132" s="22" t="str">
        <f t="shared" si="14"/>
        <v>Sheet No. 129-H</v>
      </c>
    </row>
    <row r="133" spans="1:5" x14ac:dyDescent="0.2">
      <c r="A133" s="24">
        <f t="shared" si="11"/>
        <v>126</v>
      </c>
      <c r="B133" s="26"/>
      <c r="C133" s="23"/>
      <c r="D133" s="37"/>
      <c r="E133" s="12"/>
    </row>
    <row r="134" spans="1:5" x14ac:dyDescent="0.2">
      <c r="A134" s="24">
        <f t="shared" si="11"/>
        <v>127</v>
      </c>
      <c r="B134" s="3" t="s">
        <v>108</v>
      </c>
      <c r="C134" s="23">
        <v>100</v>
      </c>
      <c r="D134" s="37">
        <f>ROUND('Lighting RD'!K133,2)</f>
        <v>0.46</v>
      </c>
      <c r="E134" s="22" t="str">
        <f t="shared" si="14"/>
        <v>Sheet No. 129-H</v>
      </c>
    </row>
    <row r="135" spans="1:5" x14ac:dyDescent="0.2">
      <c r="A135" s="24">
        <f t="shared" si="11"/>
        <v>128</v>
      </c>
      <c r="B135" s="3" t="s">
        <v>108</v>
      </c>
      <c r="C135" s="23">
        <v>150</v>
      </c>
      <c r="D135" s="37">
        <f>ROUND('Lighting RD'!K134,2)</f>
        <v>0.7</v>
      </c>
      <c r="E135" s="22" t="str">
        <f t="shared" si="14"/>
        <v>Sheet No. 129-H</v>
      </c>
    </row>
    <row r="136" spans="1:5" x14ac:dyDescent="0.2">
      <c r="A136" s="24">
        <f t="shared" si="11"/>
        <v>129</v>
      </c>
      <c r="B136" s="3" t="s">
        <v>108</v>
      </c>
      <c r="C136" s="23">
        <v>200</v>
      </c>
      <c r="D136" s="37">
        <f>ROUND('Lighting RD'!K135,2)</f>
        <v>0.94</v>
      </c>
      <c r="E136" s="22" t="str">
        <f t="shared" si="14"/>
        <v>Sheet No. 129-H</v>
      </c>
    </row>
    <row r="137" spans="1:5" x14ac:dyDescent="0.2">
      <c r="A137" s="24">
        <f t="shared" ref="A137:A165" si="15">A136+1</f>
        <v>130</v>
      </c>
      <c r="B137" s="3" t="s">
        <v>108</v>
      </c>
      <c r="C137" s="23">
        <v>250</v>
      </c>
      <c r="D137" s="37">
        <f>ROUND('Lighting RD'!K136,2)</f>
        <v>1.18</v>
      </c>
      <c r="E137" s="22" t="str">
        <f t="shared" si="14"/>
        <v>Sheet No. 129-H</v>
      </c>
    </row>
    <row r="138" spans="1:5" x14ac:dyDescent="0.2">
      <c r="A138" s="24">
        <f t="shared" si="15"/>
        <v>131</v>
      </c>
      <c r="B138" s="3" t="s">
        <v>108</v>
      </c>
      <c r="C138" s="23">
        <v>400</v>
      </c>
      <c r="D138" s="37">
        <f>ROUND('Lighting RD'!K137,2)</f>
        <v>1.88</v>
      </c>
      <c r="E138" s="22" t="str">
        <f t="shared" si="14"/>
        <v>Sheet No. 129-H</v>
      </c>
    </row>
    <row r="139" spans="1:5" x14ac:dyDescent="0.2">
      <c r="A139" s="24">
        <f t="shared" si="15"/>
        <v>132</v>
      </c>
      <c r="B139" s="26"/>
      <c r="C139" s="23"/>
      <c r="D139" s="37"/>
      <c r="E139" s="12"/>
    </row>
    <row r="140" spans="1:5" x14ac:dyDescent="0.2">
      <c r="A140" s="24">
        <f t="shared" si="15"/>
        <v>133</v>
      </c>
      <c r="B140" s="3" t="s">
        <v>107</v>
      </c>
      <c r="C140" s="23">
        <v>175</v>
      </c>
      <c r="D140" s="37">
        <f>ROUND('Lighting RD'!K139,2)</f>
        <v>0.83</v>
      </c>
      <c r="E140" s="22" t="str">
        <f t="shared" si="14"/>
        <v>Sheet No. 129-H</v>
      </c>
    </row>
    <row r="141" spans="1:5" x14ac:dyDescent="0.2">
      <c r="A141" s="24">
        <f t="shared" si="15"/>
        <v>134</v>
      </c>
      <c r="B141" s="3" t="s">
        <v>107</v>
      </c>
      <c r="C141" s="23">
        <v>250</v>
      </c>
      <c r="D141" s="37">
        <f>ROUND('Lighting RD'!K140,2)</f>
        <v>1.18</v>
      </c>
      <c r="E141" s="22" t="str">
        <f t="shared" si="14"/>
        <v>Sheet No. 129-H</v>
      </c>
    </row>
    <row r="142" spans="1:5" x14ac:dyDescent="0.2">
      <c r="A142" s="24">
        <f t="shared" si="15"/>
        <v>135</v>
      </c>
      <c r="B142" s="3" t="s">
        <v>107</v>
      </c>
      <c r="C142" s="23">
        <v>400</v>
      </c>
      <c r="D142" s="37">
        <f>ROUND('Lighting RD'!K141,2)</f>
        <v>1.88</v>
      </c>
      <c r="E142" s="22" t="str">
        <f t="shared" si="14"/>
        <v>Sheet No. 129-H</v>
      </c>
    </row>
    <row r="143" spans="1:5" x14ac:dyDescent="0.2">
      <c r="A143" s="24">
        <f t="shared" si="15"/>
        <v>136</v>
      </c>
      <c r="B143" s="3" t="s">
        <v>107</v>
      </c>
      <c r="C143" s="23">
        <v>1000</v>
      </c>
      <c r="D143" s="37">
        <f>ROUND('Lighting RD'!K142,2)</f>
        <v>4.7</v>
      </c>
      <c r="E143" s="22" t="str">
        <f t="shared" si="14"/>
        <v>Sheet No. 129-H</v>
      </c>
    </row>
    <row r="144" spans="1:5" x14ac:dyDescent="0.2">
      <c r="A144" s="24">
        <f t="shared" si="15"/>
        <v>137</v>
      </c>
      <c r="B144" s="26"/>
      <c r="C144" s="23"/>
      <c r="D144" s="37"/>
      <c r="E144" s="12"/>
    </row>
    <row r="145" spans="1:5" x14ac:dyDescent="0.2">
      <c r="A145" s="24">
        <f t="shared" si="15"/>
        <v>138</v>
      </c>
      <c r="B145" s="3" t="s">
        <v>106</v>
      </c>
      <c r="C145" s="23">
        <v>250</v>
      </c>
      <c r="D145" s="37">
        <f>ROUND('Lighting RD'!K144,2)</f>
        <v>1.18</v>
      </c>
      <c r="E145" s="22" t="str">
        <f t="shared" si="14"/>
        <v>Sheet No. 129-H</v>
      </c>
    </row>
    <row r="146" spans="1:5" x14ac:dyDescent="0.2">
      <c r="A146" s="24">
        <f t="shared" si="15"/>
        <v>139</v>
      </c>
      <c r="B146" s="3" t="s">
        <v>106</v>
      </c>
      <c r="C146" s="23">
        <v>400</v>
      </c>
      <c r="D146" s="37">
        <f>ROUND('Lighting RD'!K145,2)</f>
        <v>1.88</v>
      </c>
      <c r="E146" s="22" t="str">
        <f t="shared" si="14"/>
        <v>Sheet No. 129-H</v>
      </c>
    </row>
    <row r="147" spans="1:5" x14ac:dyDescent="0.2">
      <c r="A147" s="24">
        <f t="shared" si="15"/>
        <v>140</v>
      </c>
      <c r="B147" s="26"/>
      <c r="C147" s="23"/>
      <c r="D147" s="37"/>
      <c r="E147" s="12"/>
    </row>
    <row r="148" spans="1:5" x14ac:dyDescent="0.2">
      <c r="A148" s="24">
        <f t="shared" si="15"/>
        <v>141</v>
      </c>
      <c r="B148" s="3" t="s">
        <v>105</v>
      </c>
      <c r="C148" s="12" t="s">
        <v>87</v>
      </c>
      <c r="D148" s="37">
        <f>ROUND('Lighting RD'!K147,2)</f>
        <v>7.0000000000000007E-2</v>
      </c>
      <c r="E148" s="22" t="s">
        <v>168</v>
      </c>
    </row>
    <row r="149" spans="1:5" x14ac:dyDescent="0.2">
      <c r="A149" s="24">
        <f t="shared" si="15"/>
        <v>142</v>
      </c>
      <c r="B149" s="3" t="s">
        <v>105</v>
      </c>
      <c r="C149" s="25" t="s">
        <v>86</v>
      </c>
      <c r="D149" s="37">
        <f>ROUND('Lighting RD'!K148,2)</f>
        <v>0.21</v>
      </c>
      <c r="E149" s="22" t="str">
        <f>$E$148</f>
        <v>Sheet No. 129-I</v>
      </c>
    </row>
    <row r="150" spans="1:5" x14ac:dyDescent="0.2">
      <c r="A150" s="24">
        <f t="shared" si="15"/>
        <v>143</v>
      </c>
      <c r="B150" s="3" t="s">
        <v>105</v>
      </c>
      <c r="C150" s="23" t="s">
        <v>57</v>
      </c>
      <c r="D150" s="37">
        <f>ROUND('Lighting RD'!K149,2)</f>
        <v>0.35</v>
      </c>
      <c r="E150" s="22" t="str">
        <f t="shared" ref="E150:E163" si="16">$E$148</f>
        <v>Sheet No. 129-I</v>
      </c>
    </row>
    <row r="151" spans="1:5" x14ac:dyDescent="0.2">
      <c r="A151" s="24">
        <f t="shared" si="15"/>
        <v>144</v>
      </c>
      <c r="B151" s="3" t="s">
        <v>105</v>
      </c>
      <c r="C151" s="23" t="s">
        <v>56</v>
      </c>
      <c r="D151" s="37">
        <f>ROUND('Lighting RD'!K150,2)</f>
        <v>0.49</v>
      </c>
      <c r="E151" s="22" t="str">
        <f t="shared" si="16"/>
        <v>Sheet No. 129-I</v>
      </c>
    </row>
    <row r="152" spans="1:5" x14ac:dyDescent="0.2">
      <c r="A152" s="24">
        <f t="shared" si="15"/>
        <v>145</v>
      </c>
      <c r="B152" s="3" t="s">
        <v>105</v>
      </c>
      <c r="C152" s="23" t="s">
        <v>55</v>
      </c>
      <c r="D152" s="37">
        <f>ROUND('Lighting RD'!K151,2)</f>
        <v>0.63</v>
      </c>
      <c r="E152" s="22" t="str">
        <f t="shared" si="16"/>
        <v>Sheet No. 129-I</v>
      </c>
    </row>
    <row r="153" spans="1:5" x14ac:dyDescent="0.2">
      <c r="A153" s="24">
        <f t="shared" si="15"/>
        <v>146</v>
      </c>
      <c r="B153" s="3" t="s">
        <v>105</v>
      </c>
      <c r="C153" s="23" t="s">
        <v>54</v>
      </c>
      <c r="D153" s="37">
        <f>ROUND('Lighting RD'!K152,2)</f>
        <v>0.77</v>
      </c>
      <c r="E153" s="22" t="str">
        <f t="shared" si="16"/>
        <v>Sheet No. 129-I</v>
      </c>
    </row>
    <row r="154" spans="1:5" x14ac:dyDescent="0.2">
      <c r="A154" s="24">
        <f t="shared" si="15"/>
        <v>147</v>
      </c>
      <c r="B154" s="3" t="s">
        <v>105</v>
      </c>
      <c r="C154" s="23" t="s">
        <v>53</v>
      </c>
      <c r="D154" s="37">
        <f>ROUND('Lighting RD'!K153,2)</f>
        <v>0.91</v>
      </c>
      <c r="E154" s="22" t="str">
        <f t="shared" si="16"/>
        <v>Sheet No. 129-I</v>
      </c>
    </row>
    <row r="155" spans="1:5" x14ac:dyDescent="0.2">
      <c r="A155" s="24">
        <f t="shared" si="15"/>
        <v>148</v>
      </c>
      <c r="B155" s="3" t="s">
        <v>105</v>
      </c>
      <c r="C155" s="23" t="s">
        <v>52</v>
      </c>
      <c r="D155" s="37">
        <f>ROUND('Lighting RD'!K154,2)</f>
        <v>1.05</v>
      </c>
      <c r="E155" s="22" t="str">
        <f t="shared" si="16"/>
        <v>Sheet No. 129-I</v>
      </c>
    </row>
    <row r="156" spans="1:5" x14ac:dyDescent="0.2">
      <c r="A156" s="24">
        <f t="shared" si="15"/>
        <v>149</v>
      </c>
      <c r="B156" s="3" t="s">
        <v>105</v>
      </c>
      <c r="C156" s="23" t="s">
        <v>51</v>
      </c>
      <c r="D156" s="37">
        <f>ROUND('Lighting RD'!K155,2)</f>
        <v>1.19</v>
      </c>
      <c r="E156" s="22" t="str">
        <f t="shared" si="16"/>
        <v>Sheet No. 129-I</v>
      </c>
    </row>
    <row r="157" spans="1:5" x14ac:dyDescent="0.2">
      <c r="A157" s="24">
        <f t="shared" si="15"/>
        <v>150</v>
      </c>
      <c r="B157" s="3" t="s">
        <v>105</v>
      </c>
      <c r="C157" s="23" t="s">
        <v>50</v>
      </c>
      <c r="D157" s="37">
        <f>ROUND('Lighting RD'!K156,2)</f>
        <v>1.33</v>
      </c>
      <c r="E157" s="22" t="str">
        <f t="shared" si="16"/>
        <v>Sheet No. 129-I</v>
      </c>
    </row>
    <row r="158" spans="1:5" x14ac:dyDescent="0.2">
      <c r="A158" s="24">
        <f t="shared" si="15"/>
        <v>151</v>
      </c>
      <c r="B158" s="3" t="s">
        <v>105</v>
      </c>
      <c r="C158" s="23" t="s">
        <v>49</v>
      </c>
      <c r="D158" s="37">
        <f>ROUND('Lighting RD'!K157,2)</f>
        <v>1.64</v>
      </c>
      <c r="E158" s="22" t="str">
        <f t="shared" si="16"/>
        <v>Sheet No. 129-I</v>
      </c>
    </row>
    <row r="159" spans="1:5" x14ac:dyDescent="0.2">
      <c r="A159" s="24">
        <f t="shared" si="15"/>
        <v>152</v>
      </c>
      <c r="B159" s="3" t="s">
        <v>105</v>
      </c>
      <c r="C159" s="23" t="s">
        <v>48</v>
      </c>
      <c r="D159" s="37">
        <f>ROUND('Lighting RD'!K158,2)</f>
        <v>2.12</v>
      </c>
      <c r="E159" s="22" t="str">
        <f t="shared" si="16"/>
        <v>Sheet No. 129-I</v>
      </c>
    </row>
    <row r="160" spans="1:5" x14ac:dyDescent="0.2">
      <c r="A160" s="24">
        <f t="shared" si="15"/>
        <v>153</v>
      </c>
      <c r="B160" s="3" t="s">
        <v>105</v>
      </c>
      <c r="C160" s="23" t="s">
        <v>47</v>
      </c>
      <c r="D160" s="37">
        <f>ROUND('Lighting RD'!K159,2)</f>
        <v>2.58</v>
      </c>
      <c r="E160" s="22" t="str">
        <f t="shared" si="16"/>
        <v>Sheet No. 129-I</v>
      </c>
    </row>
    <row r="161" spans="1:13" x14ac:dyDescent="0.2">
      <c r="A161" s="24">
        <f t="shared" si="15"/>
        <v>154</v>
      </c>
      <c r="B161" s="3" t="s">
        <v>105</v>
      </c>
      <c r="C161" s="23" t="s">
        <v>46</v>
      </c>
      <c r="D161" s="37">
        <f>ROUND('Lighting RD'!K160,2)</f>
        <v>3.06</v>
      </c>
      <c r="E161" s="22" t="str">
        <f t="shared" si="16"/>
        <v>Sheet No. 129-I</v>
      </c>
    </row>
    <row r="162" spans="1:13" x14ac:dyDescent="0.2">
      <c r="A162" s="24">
        <f t="shared" si="15"/>
        <v>155</v>
      </c>
      <c r="B162" s="3" t="s">
        <v>105</v>
      </c>
      <c r="C162" s="23" t="s">
        <v>45</v>
      </c>
      <c r="D162" s="37">
        <f>ROUND('Lighting RD'!K161,2)</f>
        <v>3.52</v>
      </c>
      <c r="E162" s="22" t="str">
        <f t="shared" si="16"/>
        <v>Sheet No. 129-I</v>
      </c>
    </row>
    <row r="163" spans="1:13" x14ac:dyDescent="0.2">
      <c r="A163" s="24">
        <f t="shared" si="15"/>
        <v>156</v>
      </c>
      <c r="B163" s="3" t="s">
        <v>105</v>
      </c>
      <c r="C163" s="23" t="s">
        <v>43</v>
      </c>
      <c r="D163" s="37">
        <f>ROUND('Lighting RD'!K162,2)</f>
        <v>3.99</v>
      </c>
      <c r="E163" s="22" t="str">
        <f t="shared" si="16"/>
        <v>Sheet No. 129-I</v>
      </c>
    </row>
    <row r="164" spans="1:13" x14ac:dyDescent="0.2">
      <c r="A164" s="24">
        <f t="shared" si="15"/>
        <v>157</v>
      </c>
    </row>
    <row r="165" spans="1:13" x14ac:dyDescent="0.2">
      <c r="A165" s="24">
        <f t="shared" si="15"/>
        <v>158</v>
      </c>
      <c r="B165" s="174" t="str">
        <f>'Sch 129 Rates'!B73</f>
        <v>Note (1): Proposed rate includes current SCH 129 rate set under Docket UE-230694</v>
      </c>
      <c r="C165" s="174"/>
      <c r="D165" s="174"/>
      <c r="E165" s="174"/>
      <c r="F165" s="174"/>
      <c r="G165" s="174"/>
      <c r="H165" s="174"/>
      <c r="I165" s="174"/>
      <c r="J165" s="174"/>
      <c r="K165" s="174"/>
      <c r="L165" s="174"/>
      <c r="M165" s="174"/>
    </row>
  </sheetData>
  <mergeCells count="1">
    <mergeCell ref="B165:M165"/>
  </mergeCells>
  <pageMargins left="0.7" right="0.7" top="0.75" bottom="0.75" header="0.3" footer="0.3"/>
  <pageSetup orientation="portrait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A1:Q198"/>
  <sheetViews>
    <sheetView zoomScaleNormal="100" zoomScaleSheetLayoutView="100" workbookViewId="0">
      <pane ySplit="7" topLeftCell="A14" activePane="bottomLeft" state="frozen"/>
      <selection activeCell="E12" sqref="E12"/>
      <selection pane="bottomLeft" activeCell="E12" sqref="E12"/>
    </sheetView>
  </sheetViews>
  <sheetFormatPr defaultColWidth="9.140625" defaultRowHeight="11.25" x14ac:dyDescent="0.2"/>
  <cols>
    <col min="1" max="1" width="6.7109375" style="2" bestFit="1" customWidth="1"/>
    <col min="2" max="2" width="44" style="2" bestFit="1" customWidth="1"/>
    <col min="3" max="3" width="7.28515625" style="2" customWidth="1"/>
    <col min="4" max="4" width="7.7109375" style="12" customWidth="1"/>
    <col min="5" max="5" width="7.7109375" style="28" customWidth="1"/>
    <col min="6" max="6" width="8.28515625" style="28" customWidth="1"/>
    <col min="7" max="7" width="14" style="28" customWidth="1"/>
    <col min="8" max="8" width="4.28515625" style="28" customWidth="1"/>
    <col min="9" max="9" width="7.7109375" style="2" customWidth="1"/>
    <col min="10" max="10" width="9.42578125" style="2" customWidth="1"/>
    <col min="11" max="11" width="7.42578125" style="28" customWidth="1"/>
    <col min="12" max="12" width="8.140625" style="28" bestFit="1" customWidth="1"/>
    <col min="13" max="13" width="13.42578125" style="28" customWidth="1"/>
    <col min="14" max="14" width="10.7109375" style="2" bestFit="1" customWidth="1"/>
    <col min="15" max="15" width="7.7109375" style="2" bestFit="1" customWidth="1"/>
    <col min="16" max="16" width="7.85546875" style="12" customWidth="1"/>
    <col min="17" max="17" width="12.28515625" style="2" bestFit="1" customWidth="1"/>
    <col min="18" max="16384" width="9.140625" style="2"/>
  </cols>
  <sheetData>
    <row r="1" spans="1:17" s="14" customFormat="1" x14ac:dyDescent="0.2">
      <c r="A1" s="30" t="str">
        <f>'Sch 129 Rates'!A1</f>
        <v>PUGET SOUND ENERGY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4"/>
    </row>
    <row r="2" spans="1:17" s="14" customFormat="1" x14ac:dyDescent="0.2">
      <c r="A2" s="30" t="str">
        <f>'Sch 129 Rates'!A2</f>
        <v xml:space="preserve">Schedule 129 - Low Income Program 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4"/>
    </row>
    <row r="3" spans="1:17" s="14" customFormat="1" x14ac:dyDescent="0.2">
      <c r="A3" s="30" t="str">
        <f>'Sch 129 Rates'!A3</f>
        <v xml:space="preserve">Proposed Out-of-Cycle Filing 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2"/>
    </row>
    <row r="4" spans="1:17" s="14" customFormat="1" x14ac:dyDescent="0.2">
      <c r="A4" s="30" t="str">
        <f>'Sch 129 Rates'!A4</f>
        <v>Effective May 1, 2024 - September 30, 2024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12"/>
    </row>
    <row r="5" spans="1:17" s="14" customFormat="1" x14ac:dyDescent="0.2">
      <c r="A5" s="30" t="s">
        <v>144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4"/>
    </row>
    <row r="6" spans="1:17" s="14" customFormat="1" x14ac:dyDescent="0.2">
      <c r="A6" s="30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12"/>
    </row>
    <row r="7" spans="1:17" s="71" customFormat="1" ht="45" x14ac:dyDescent="0.2">
      <c r="A7" s="31" t="s">
        <v>6</v>
      </c>
      <c r="B7" s="31" t="s">
        <v>22</v>
      </c>
      <c r="C7" s="32" t="s">
        <v>0</v>
      </c>
      <c r="D7" s="76"/>
      <c r="E7" s="76"/>
      <c r="F7" s="76"/>
      <c r="G7" s="73" t="s">
        <v>170</v>
      </c>
      <c r="H7" s="72" t="s">
        <v>159</v>
      </c>
      <c r="I7" s="76"/>
      <c r="J7" s="75" t="s">
        <v>181</v>
      </c>
      <c r="K7" s="74" t="s">
        <v>203</v>
      </c>
      <c r="L7" s="74"/>
      <c r="M7" s="73" t="s">
        <v>204</v>
      </c>
      <c r="N7" s="72" t="s">
        <v>143</v>
      </c>
      <c r="O7" s="72"/>
      <c r="P7" s="67" t="s">
        <v>169</v>
      </c>
    </row>
    <row r="8" spans="1:17" s="67" customFormat="1" x14ac:dyDescent="0.2">
      <c r="A8" s="18"/>
      <c r="B8" s="18"/>
      <c r="C8" s="70" t="s">
        <v>24</v>
      </c>
      <c r="D8" s="70"/>
      <c r="E8" s="70"/>
      <c r="F8" s="70"/>
      <c r="G8" s="68" t="s">
        <v>101</v>
      </c>
      <c r="H8" s="70" t="s">
        <v>100</v>
      </c>
      <c r="I8" s="70"/>
      <c r="J8" s="18" t="s">
        <v>99</v>
      </c>
      <c r="K8" s="69" t="s">
        <v>98</v>
      </c>
      <c r="L8" s="69"/>
      <c r="M8" s="68" t="s">
        <v>178</v>
      </c>
      <c r="N8" s="18" t="s">
        <v>142</v>
      </c>
      <c r="O8" s="18" t="s">
        <v>141</v>
      </c>
      <c r="P8" s="12"/>
    </row>
    <row r="9" spans="1:17" x14ac:dyDescent="0.2">
      <c r="A9" s="24">
        <v>1</v>
      </c>
      <c r="C9" s="29" t="s">
        <v>24</v>
      </c>
      <c r="D9" s="57"/>
      <c r="E9" s="29"/>
      <c r="F9" s="29"/>
      <c r="H9" s="45" t="s">
        <v>24</v>
      </c>
      <c r="I9" s="45"/>
      <c r="K9" s="43"/>
      <c r="L9" s="43"/>
      <c r="Q9" s="67"/>
    </row>
    <row r="10" spans="1:17" x14ac:dyDescent="0.2">
      <c r="A10" s="24">
        <f t="shared" ref="A10:A48" si="0">A9+1</f>
        <v>2</v>
      </c>
      <c r="B10" s="2" t="str">
        <f>'Sch 129 Rates'!B11</f>
        <v>Residential</v>
      </c>
      <c r="C10" s="29" t="str">
        <f>'Sch 129 Rates'!C11</f>
        <v>7 (307) (317) (327)</v>
      </c>
      <c r="D10" s="57"/>
      <c r="E10" s="29"/>
      <c r="F10" s="29"/>
      <c r="G10" s="61">
        <v>3859354670.4116716</v>
      </c>
      <c r="H10" s="63">
        <v>1.428E-3</v>
      </c>
      <c r="I10" s="63"/>
      <c r="J10" s="62">
        <f>H10+ROUND(+'Rate Spread &amp; Design'!$F$10,6)</f>
        <v>5.7409999999999996E-3</v>
      </c>
      <c r="K10" s="201">
        <v>536781154.84135926</v>
      </c>
      <c r="L10" s="201"/>
      <c r="M10" s="58">
        <f>K10+G10*(J10-H10)</f>
        <v>553426551.53484476</v>
      </c>
      <c r="N10" s="58">
        <f>+M10-K10</f>
        <v>16645396.693485498</v>
      </c>
      <c r="O10" s="9">
        <f>IF(K10=0,"n/a",+N10/K10)</f>
        <v>3.1009651779606334E-2</v>
      </c>
      <c r="P10" s="202">
        <f>J10-H10-ROUND('Rate Spread &amp; Design'!F10,6)</f>
        <v>0</v>
      </c>
      <c r="Q10" s="67"/>
    </row>
    <row r="11" spans="1:17" x14ac:dyDescent="0.2">
      <c r="A11" s="24">
        <f t="shared" si="0"/>
        <v>3</v>
      </c>
      <c r="B11" s="10"/>
      <c r="C11" s="29" t="s">
        <v>24</v>
      </c>
      <c r="D11" s="57"/>
      <c r="E11" s="29"/>
      <c r="F11" s="29"/>
      <c r="H11" s="56" t="s">
        <v>24</v>
      </c>
      <c r="I11" s="56"/>
      <c r="J11" s="13"/>
      <c r="K11" s="43" t="s">
        <v>24</v>
      </c>
      <c r="L11" s="43"/>
      <c r="M11" s="55"/>
      <c r="N11" s="55"/>
      <c r="O11" s="7"/>
      <c r="P11" s="202"/>
      <c r="Q11" s="67"/>
    </row>
    <row r="12" spans="1:17" x14ac:dyDescent="0.2">
      <c r="A12" s="24">
        <f t="shared" si="0"/>
        <v>4</v>
      </c>
      <c r="B12" s="2" t="str">
        <f>'Sch 129 Rates'!B13</f>
        <v>Secondary Voltage:</v>
      </c>
      <c r="C12" s="29" t="s">
        <v>24</v>
      </c>
      <c r="D12" s="57"/>
      <c r="E12" s="29"/>
      <c r="F12" s="29"/>
      <c r="H12" s="56" t="s">
        <v>24</v>
      </c>
      <c r="I12" s="56"/>
      <c r="J12" s="13"/>
      <c r="K12" s="43" t="s">
        <v>24</v>
      </c>
      <c r="L12" s="43"/>
      <c r="M12" s="55"/>
      <c r="N12" s="55"/>
      <c r="O12" s="7"/>
      <c r="P12" s="202"/>
      <c r="Q12" s="67"/>
    </row>
    <row r="13" spans="1:17" x14ac:dyDescent="0.2">
      <c r="A13" s="24">
        <f t="shared" si="0"/>
        <v>5</v>
      </c>
      <c r="B13" s="2" t="str">
        <f>'Sch 129 Rates'!B14</f>
        <v>General Service: Demand &lt;= 50 kW</v>
      </c>
      <c r="C13" s="29" t="str">
        <f>'Sch 129 Rates'!C14</f>
        <v>08 (24) (324)</v>
      </c>
      <c r="D13" s="57"/>
      <c r="E13" s="29"/>
      <c r="F13" s="29"/>
      <c r="G13" s="28">
        <v>1083624263.187233</v>
      </c>
      <c r="H13" s="56">
        <v>1.315E-3</v>
      </c>
      <c r="I13" s="56"/>
      <c r="J13" s="13">
        <f>H13+ROUND(+'Rate Spread &amp; Design'!$F$13,6)</f>
        <v>4.7959999999999999E-3</v>
      </c>
      <c r="K13" s="203">
        <v>146543784.73713687</v>
      </c>
      <c r="L13" s="203"/>
      <c r="M13" s="55">
        <f>K13+G13*(J13-H13)</f>
        <v>150315880.79729164</v>
      </c>
      <c r="N13" s="55">
        <f>+M13-K13</f>
        <v>3772096.0601547658</v>
      </c>
      <c r="O13" s="7">
        <f>IF(K13=0,"n/a",+N13/K13)</f>
        <v>2.5740402889968816E-2</v>
      </c>
      <c r="P13" s="202">
        <f>J13-H13-ROUND('Rate Spread &amp; Design'!F13,6)</f>
        <v>0</v>
      </c>
      <c r="Q13" s="67"/>
    </row>
    <row r="14" spans="1:17" x14ac:dyDescent="0.2">
      <c r="A14" s="24">
        <f t="shared" si="0"/>
        <v>6</v>
      </c>
      <c r="B14" s="2" t="str">
        <f>'Sch 129 Rates'!B15</f>
        <v>Small General Service: Demand &gt; 50 kW but &lt;= 350 kW</v>
      </c>
      <c r="C14" s="29" t="s">
        <v>158</v>
      </c>
      <c r="D14" s="57"/>
      <c r="E14" s="29"/>
      <c r="F14" s="29"/>
      <c r="G14" s="28">
        <v>1207008066.3690515</v>
      </c>
      <c r="H14" s="56">
        <v>1.222E-3</v>
      </c>
      <c r="I14" s="56"/>
      <c r="J14" s="13">
        <f>H14+ROUND(+'Rate Spread &amp; Design'!$F$14,6)</f>
        <v>4.359E-3</v>
      </c>
      <c r="K14" s="203">
        <v>170620150.70349863</v>
      </c>
      <c r="L14" s="203"/>
      <c r="M14" s="55">
        <f>K14+G14*(J14-H14)</f>
        <v>174406535.00769836</v>
      </c>
      <c r="N14" s="55">
        <f>+M14-K14</f>
        <v>3786384.3041997254</v>
      </c>
      <c r="O14" s="7">
        <f>IF(K14=0,"n/a",+N14/K14)</f>
        <v>2.219189403237401E-2</v>
      </c>
      <c r="P14" s="202">
        <f>J14-H14-ROUND('Rate Spread &amp; Design'!F14,6)</f>
        <v>0</v>
      </c>
      <c r="Q14" s="67"/>
    </row>
    <row r="15" spans="1:17" x14ac:dyDescent="0.2">
      <c r="A15" s="24">
        <f t="shared" si="0"/>
        <v>7</v>
      </c>
      <c r="B15" s="2" t="str">
        <f>'Sch 129 Rates'!B16</f>
        <v>Large General Service: Demand &gt; 350 kW</v>
      </c>
      <c r="C15" s="29" t="str">
        <f>'Sch 129 Rates'!C16</f>
        <v>12 (26) (26P)</v>
      </c>
      <c r="D15" s="57"/>
      <c r="E15" s="29"/>
      <c r="F15" s="29"/>
      <c r="G15" s="28">
        <v>832857580.41544116</v>
      </c>
      <c r="H15" s="56">
        <v>1.1230000000000001E-3</v>
      </c>
      <c r="I15" s="56"/>
      <c r="J15" s="13">
        <f>H15+ROUND(+'Rate Spread &amp; Design'!$F$15,6)</f>
        <v>3.908E-3</v>
      </c>
      <c r="K15" s="203">
        <v>112816345.02406977</v>
      </c>
      <c r="L15" s="203"/>
      <c r="M15" s="55">
        <f>K15+G15*(J15-H15)</f>
        <v>115135853.38552678</v>
      </c>
      <c r="N15" s="55">
        <f>+M15-K15</f>
        <v>2319508.3614570051</v>
      </c>
      <c r="O15" s="7">
        <f>IF(K15=0,"n/a",+N15/K15)</f>
        <v>2.0560038183847648E-2</v>
      </c>
      <c r="P15" s="202">
        <f>J15-H15-ROUND('Rate Spread &amp; Design'!F15,6)</f>
        <v>0</v>
      </c>
      <c r="Q15" s="67"/>
    </row>
    <row r="16" spans="1:17" x14ac:dyDescent="0.2">
      <c r="A16" s="24">
        <f t="shared" si="0"/>
        <v>8</v>
      </c>
      <c r="B16" s="2" t="str">
        <f>'Sch 129 Rates'!B17</f>
        <v>Irrigation &amp; Pumping Service: Demand &gt; 50 kW but &lt;= 350 kW</v>
      </c>
      <c r="C16" s="29">
        <f>'Sch 129 Rates'!C17</f>
        <v>29</v>
      </c>
      <c r="D16" s="57"/>
      <c r="E16" s="29"/>
      <c r="F16" s="29"/>
      <c r="G16" s="28">
        <v>11924015.463571098</v>
      </c>
      <c r="H16" s="56">
        <v>1.1540000000000001E-3</v>
      </c>
      <c r="I16" s="56"/>
      <c r="J16" s="13">
        <f>H16+ROUND(+'Rate Spread &amp; Design'!$F$16,6)</f>
        <v>2.696E-3</v>
      </c>
      <c r="K16" s="204">
        <v>1453767.0373775673</v>
      </c>
      <c r="L16" s="204"/>
      <c r="M16" s="55">
        <f>K16+G16*(J16-H16)</f>
        <v>1472153.869222394</v>
      </c>
      <c r="N16" s="55">
        <f>+M16-K16</f>
        <v>18386.831844826695</v>
      </c>
      <c r="O16" s="7">
        <f>IF(K16=0,"n/a",+N16/K16)</f>
        <v>1.2647715467530808E-2</v>
      </c>
      <c r="P16" s="202">
        <f>J16-H16-ROUND('Rate Spread &amp; Design'!F16,6)</f>
        <v>0</v>
      </c>
    </row>
    <row r="17" spans="1:17" x14ac:dyDescent="0.2">
      <c r="A17" s="24">
        <f t="shared" si="0"/>
        <v>9</v>
      </c>
      <c r="B17" s="3" t="s">
        <v>30</v>
      </c>
      <c r="C17" s="29" t="s">
        <v>24</v>
      </c>
      <c r="D17" s="57"/>
      <c r="E17" s="29"/>
      <c r="F17" s="29"/>
      <c r="G17" s="61">
        <f>SUM(G13:G16)</f>
        <v>3135413925.4352965</v>
      </c>
      <c r="H17" s="63"/>
      <c r="I17" s="63"/>
      <c r="J17" s="62"/>
      <c r="K17" s="133">
        <f>SUM(K13:K16)</f>
        <v>431434047.50208288</v>
      </c>
      <c r="L17" s="133"/>
      <c r="M17" s="58">
        <f>SUM(M13:M16)</f>
        <v>441330423.05973917</v>
      </c>
      <c r="N17" s="58">
        <f>SUM(N13:N16)</f>
        <v>9896375.5576563235</v>
      </c>
      <c r="O17" s="9">
        <f>IF(K17=0,"n/a",+N17/K17)</f>
        <v>2.2938327688680031E-2</v>
      </c>
      <c r="P17" s="202"/>
    </row>
    <row r="18" spans="1:17" x14ac:dyDescent="0.2">
      <c r="A18" s="24">
        <f t="shared" si="0"/>
        <v>10</v>
      </c>
      <c r="B18" s="10"/>
      <c r="C18" s="29" t="s">
        <v>24</v>
      </c>
      <c r="D18" s="57"/>
      <c r="E18" s="29"/>
      <c r="F18" s="29"/>
      <c r="H18" s="56" t="s">
        <v>24</v>
      </c>
      <c r="I18" s="56"/>
      <c r="J18" s="13"/>
      <c r="K18" s="43" t="s">
        <v>24</v>
      </c>
      <c r="L18" s="43"/>
      <c r="M18" s="55"/>
      <c r="N18" s="55"/>
      <c r="O18" s="7"/>
      <c r="P18" s="202"/>
    </row>
    <row r="19" spans="1:17" x14ac:dyDescent="0.2">
      <c r="A19" s="24">
        <f t="shared" si="0"/>
        <v>11</v>
      </c>
      <c r="B19" s="2" t="str">
        <f>'Sch 129 Rates'!B20</f>
        <v>Primary Voltage:</v>
      </c>
      <c r="C19" s="29" t="s">
        <v>24</v>
      </c>
      <c r="D19" s="57"/>
      <c r="E19" s="29"/>
      <c r="F19" s="29"/>
      <c r="H19" s="56" t="s">
        <v>24</v>
      </c>
      <c r="I19" s="56"/>
      <c r="J19" s="13"/>
      <c r="K19" s="43" t="s">
        <v>24</v>
      </c>
      <c r="L19" s="43"/>
      <c r="M19" s="55"/>
      <c r="N19" s="55"/>
      <c r="O19" s="7"/>
      <c r="P19" s="202"/>
    </row>
    <row r="20" spans="1:17" x14ac:dyDescent="0.2">
      <c r="A20" s="24">
        <f t="shared" si="0"/>
        <v>12</v>
      </c>
      <c r="B20" s="2" t="str">
        <f>'Sch 129 Rates'!B21</f>
        <v>General Service</v>
      </c>
      <c r="C20" s="29" t="str">
        <f>'Sch 129 Rates'!C21</f>
        <v>10 (31)</v>
      </c>
      <c r="D20" s="57"/>
      <c r="E20" s="29"/>
      <c r="F20" s="29"/>
      <c r="G20" s="28">
        <v>592522375.46598101</v>
      </c>
      <c r="H20" s="56">
        <v>1.101E-3</v>
      </c>
      <c r="I20" s="56"/>
      <c r="J20" s="13">
        <f>H20+ROUND(+'Rate Spread &amp; Design'!$F$19,6)</f>
        <v>3.8570000000000002E-3</v>
      </c>
      <c r="K20" s="203">
        <v>77777185.431015372</v>
      </c>
      <c r="L20" s="203"/>
      <c r="M20" s="55">
        <f>K20+G20*(J20-H20)</f>
        <v>79410177.097799614</v>
      </c>
      <c r="N20" s="55">
        <f>+M20-K20</f>
        <v>1632991.6667842418</v>
      </c>
      <c r="O20" s="7">
        <f>IF(K20=0,"n/a",+N20/K20)</f>
        <v>2.0995767045756973E-2</v>
      </c>
      <c r="P20" s="202">
        <f>J20-H20-ROUND('Rate Spread &amp; Design'!F19,6)</f>
        <v>0</v>
      </c>
    </row>
    <row r="21" spans="1:17" x14ac:dyDescent="0.2">
      <c r="A21" s="24">
        <f t="shared" si="0"/>
        <v>13</v>
      </c>
      <c r="B21" s="2" t="str">
        <f>'Sch 129 Rates'!B22</f>
        <v>Irrigation &amp; Pumping Service</v>
      </c>
      <c r="C21" s="29">
        <f>'Sch 129 Rates'!C22</f>
        <v>35</v>
      </c>
      <c r="D21" s="57"/>
      <c r="E21" s="30"/>
      <c r="F21" s="30"/>
      <c r="G21" s="28">
        <v>3354905.3666315647</v>
      </c>
      <c r="H21" s="56">
        <v>9.1200000000000005E-4</v>
      </c>
      <c r="I21" s="56"/>
      <c r="J21" s="13">
        <f>H21+ROUND(+'Rate Spread &amp; Design'!$F$20,6)</f>
        <v>2.232E-3</v>
      </c>
      <c r="K21" s="203">
        <v>333819.82703914936</v>
      </c>
      <c r="L21" s="203"/>
      <c r="M21" s="55">
        <f>K21+G21*(J21-H21)</f>
        <v>338248.302123103</v>
      </c>
      <c r="N21" s="55">
        <f>+M21-K21</f>
        <v>4428.4750839536428</v>
      </c>
      <c r="O21" s="7">
        <f>IF(K21=0,"n/a",+N21/K21)</f>
        <v>1.3266063682413582E-2</v>
      </c>
      <c r="P21" s="202">
        <f>J21-H21-ROUND('Rate Spread &amp; Design'!F20,6)</f>
        <v>0</v>
      </c>
    </row>
    <row r="22" spans="1:17" x14ac:dyDescent="0.2">
      <c r="A22" s="24">
        <f t="shared" si="0"/>
        <v>14</v>
      </c>
      <c r="B22" s="2" t="str">
        <f>'Sch 129 Rates'!B23</f>
        <v>All Electric Schools</v>
      </c>
      <c r="C22" s="29">
        <f>'Sch 129 Rates'!C23</f>
        <v>43</v>
      </c>
      <c r="D22" s="57"/>
      <c r="E22" s="30"/>
      <c r="F22" s="30"/>
      <c r="G22" s="28">
        <v>35396877.41624108</v>
      </c>
      <c r="H22" s="56">
        <v>1.127E-3</v>
      </c>
      <c r="I22" s="56"/>
      <c r="J22" s="13">
        <f>H22+ROUND(+'Rate Spread &amp; Design'!$F$21,6)</f>
        <v>5.2209999999999999E-3</v>
      </c>
      <c r="K22" s="204">
        <v>4619590.6910490096</v>
      </c>
      <c r="L22" s="204"/>
      <c r="M22" s="55">
        <f>K22+G22*(J22-H22)</f>
        <v>4764505.5071911002</v>
      </c>
      <c r="N22" s="55">
        <f>+M22-K22</f>
        <v>144914.8161420906</v>
      </c>
      <c r="O22" s="7">
        <f>IF(K22=0,"n/a",+N22/K22)</f>
        <v>3.136962251285158E-2</v>
      </c>
      <c r="P22" s="202">
        <f>J22-H22-ROUND('Rate Spread &amp; Design'!F21,6)</f>
        <v>0</v>
      </c>
    </row>
    <row r="23" spans="1:17" x14ac:dyDescent="0.2">
      <c r="A23" s="24">
        <f t="shared" si="0"/>
        <v>15</v>
      </c>
      <c r="B23" s="10" t="s">
        <v>31</v>
      </c>
      <c r="C23" s="29" t="s">
        <v>24</v>
      </c>
      <c r="D23" s="57"/>
      <c r="E23" s="29"/>
      <c r="F23" s="29"/>
      <c r="G23" s="61">
        <f>SUM(G20:G22)</f>
        <v>631274158.24885356</v>
      </c>
      <c r="H23" s="63"/>
      <c r="I23" s="63"/>
      <c r="J23" s="62"/>
      <c r="K23" s="133">
        <f>SUM(K20:K22)</f>
        <v>82730595.949103534</v>
      </c>
      <c r="L23" s="133"/>
      <c r="M23" s="58">
        <f>SUM(M20:M22)</f>
        <v>84512930.90711382</v>
      </c>
      <c r="N23" s="58">
        <f>SUM(N20:N22)</f>
        <v>1782334.9580102861</v>
      </c>
      <c r="O23" s="9">
        <f>IF(K23=0,"n/a",+N23/K23)</f>
        <v>2.1543842849951082E-2</v>
      </c>
      <c r="P23" s="202"/>
    </row>
    <row r="24" spans="1:17" x14ac:dyDescent="0.2">
      <c r="A24" s="24">
        <f t="shared" si="0"/>
        <v>16</v>
      </c>
      <c r="C24" s="29" t="s">
        <v>24</v>
      </c>
      <c r="D24" s="57"/>
      <c r="E24" s="29"/>
      <c r="F24" s="29"/>
      <c r="G24" s="2"/>
      <c r="H24" s="45" t="s">
        <v>24</v>
      </c>
      <c r="I24" s="45"/>
      <c r="K24" s="43" t="s">
        <v>24</v>
      </c>
      <c r="L24" s="43"/>
      <c r="M24" s="2"/>
      <c r="P24" s="202"/>
    </row>
    <row r="25" spans="1:17" x14ac:dyDescent="0.2">
      <c r="A25" s="24">
        <f t="shared" si="0"/>
        <v>17</v>
      </c>
      <c r="B25" s="2" t="str">
        <f>'Sch 129 Rates'!B26</f>
        <v>High Voltage:</v>
      </c>
      <c r="C25" s="29" t="s">
        <v>24</v>
      </c>
      <c r="D25" s="57"/>
      <c r="E25" s="29"/>
      <c r="F25" s="29"/>
      <c r="H25" s="56" t="s">
        <v>24</v>
      </c>
      <c r="I25" s="56"/>
      <c r="J25" s="13"/>
      <c r="K25" s="43" t="s">
        <v>24</v>
      </c>
      <c r="L25" s="43"/>
      <c r="M25" s="55"/>
      <c r="N25" s="55"/>
      <c r="O25" s="7"/>
      <c r="P25" s="202"/>
    </row>
    <row r="26" spans="1:17" x14ac:dyDescent="0.2">
      <c r="A26" s="24">
        <f t="shared" si="0"/>
        <v>18</v>
      </c>
      <c r="B26" s="2" t="str">
        <f>'Sch 129 Rates'!B27</f>
        <v>Interruptible Service</v>
      </c>
      <c r="C26" s="29">
        <f>'Sch 129 Rates'!C27</f>
        <v>46</v>
      </c>
      <c r="D26" s="57"/>
      <c r="E26" s="30"/>
      <c r="F26" s="30"/>
      <c r="G26" s="28">
        <v>45367480.321772546</v>
      </c>
      <c r="H26" s="56">
        <v>8.12E-4</v>
      </c>
      <c r="I26" s="56"/>
      <c r="J26" s="13">
        <f>H26+ROUND(+'Rate Spread &amp; Design'!$F$24,6)</f>
        <v>2.7109999999999999E-3</v>
      </c>
      <c r="K26" s="203">
        <v>4133535.4769896055</v>
      </c>
      <c r="L26" s="203"/>
      <c r="M26" s="55">
        <f>K26+G26*(J26-H26)</f>
        <v>4219688.3221206516</v>
      </c>
      <c r="N26" s="55">
        <f>+M26-K26</f>
        <v>86152.845131046139</v>
      </c>
      <c r="O26" s="7">
        <f>IF(K26=0,"n/a",+N26/K26)</f>
        <v>2.0842410960457032E-2</v>
      </c>
      <c r="P26" s="202">
        <f>J26-H26-ROUND('Rate Spread &amp; Design'!F24,6)</f>
        <v>0</v>
      </c>
    </row>
    <row r="27" spans="1:17" x14ac:dyDescent="0.2">
      <c r="A27" s="24">
        <f t="shared" si="0"/>
        <v>19</v>
      </c>
      <c r="B27" s="2" t="str">
        <f>'Sch 129 Rates'!B28</f>
        <v>General Service</v>
      </c>
      <c r="C27" s="29">
        <f>'Sch 129 Rates'!C28</f>
        <v>49</v>
      </c>
      <c r="D27" s="57"/>
      <c r="E27" s="30"/>
      <c r="F27" s="30"/>
      <c r="G27" s="28">
        <v>223159599.1627351</v>
      </c>
      <c r="H27" s="56">
        <v>8.3699999999999996E-4</v>
      </c>
      <c r="I27" s="56"/>
      <c r="J27" s="13">
        <f>H27+ROUND(+'Rate Spread &amp; Design'!$F$25,6)</f>
        <v>2.9940000000000001E-3</v>
      </c>
      <c r="K27" s="204">
        <v>21831408.687102601</v>
      </c>
      <c r="L27" s="204"/>
      <c r="M27" s="55">
        <f>K27+G27*(J27-H27)</f>
        <v>22312763.94249662</v>
      </c>
      <c r="N27" s="55">
        <f>+M27-K27</f>
        <v>481355.25539401919</v>
      </c>
      <c r="O27" s="7">
        <f>IF(K27=0,"n/a",+N27/K27)</f>
        <v>2.2048749226081351E-2</v>
      </c>
      <c r="P27" s="202">
        <f>J27-H27-ROUND('Rate Spread &amp; Design'!F25,6)</f>
        <v>0</v>
      </c>
    </row>
    <row r="28" spans="1:17" x14ac:dyDescent="0.2">
      <c r="A28" s="24">
        <f t="shared" si="0"/>
        <v>20</v>
      </c>
      <c r="B28" s="3" t="s">
        <v>32</v>
      </c>
      <c r="C28" s="30" t="s">
        <v>24</v>
      </c>
      <c r="D28" s="57"/>
      <c r="E28" s="30"/>
      <c r="F28" s="30"/>
      <c r="G28" s="61">
        <f>SUM(G26:G27)</f>
        <v>268527079.48450768</v>
      </c>
      <c r="H28" s="64"/>
      <c r="I28" s="63"/>
      <c r="J28" s="62"/>
      <c r="K28" s="133">
        <f>SUM(K26:K27)</f>
        <v>25964944.164092205</v>
      </c>
      <c r="L28" s="133"/>
      <c r="M28" s="61">
        <f>SUM(M26:M27)</f>
        <v>26532452.264617272</v>
      </c>
      <c r="N28" s="58">
        <f>SUM(N26:N27)</f>
        <v>567508.10052506533</v>
      </c>
      <c r="O28" s="9">
        <f>IF(K28=0,"n/a",+N28/K28)</f>
        <v>2.1856704059848946E-2</v>
      </c>
      <c r="P28" s="202"/>
    </row>
    <row r="29" spans="1:17" x14ac:dyDescent="0.2">
      <c r="A29" s="24">
        <f t="shared" si="0"/>
        <v>21</v>
      </c>
      <c r="B29" s="10"/>
      <c r="C29" s="29" t="s">
        <v>24</v>
      </c>
      <c r="D29" s="57"/>
      <c r="E29" s="29"/>
      <c r="F29" s="29"/>
      <c r="G29" s="2"/>
      <c r="H29" s="45" t="s">
        <v>24</v>
      </c>
      <c r="I29" s="45"/>
      <c r="K29" s="43" t="s">
        <v>24</v>
      </c>
      <c r="L29" s="43"/>
      <c r="M29" s="2"/>
      <c r="P29" s="202"/>
      <c r="Q29" s="34"/>
    </row>
    <row r="30" spans="1:17" x14ac:dyDescent="0.2">
      <c r="A30" s="24">
        <f t="shared" si="0"/>
        <v>22</v>
      </c>
      <c r="B30" s="60" t="s">
        <v>140</v>
      </c>
      <c r="C30" s="29" t="str">
        <f>'Sch 129 Rates'!C31</f>
        <v>448 - 459</v>
      </c>
      <c r="D30" s="57"/>
      <c r="E30" s="30"/>
      <c r="F30" s="30"/>
      <c r="G30" s="61">
        <v>841072147.33299208</v>
      </c>
      <c r="H30" s="63">
        <v>5.5000000000000002E-5</v>
      </c>
      <c r="I30" s="63"/>
      <c r="J30" s="62">
        <f>H30+ROUND('Rate Spread &amp; Design'!$F$27,6)</f>
        <v>1.7900000000000001E-4</v>
      </c>
      <c r="K30" s="201">
        <v>5578332.4934377214</v>
      </c>
      <c r="L30" s="201"/>
      <c r="M30" s="58">
        <f>K30+G30*(J30-H30)</f>
        <v>5682625.4397070128</v>
      </c>
      <c r="N30" s="58">
        <f>+M30-K30</f>
        <v>104292.94626929145</v>
      </c>
      <c r="O30" s="9">
        <f>IF(K30=0,"n/a",+N30/K30)</f>
        <v>1.8696079230124833E-2</v>
      </c>
      <c r="P30" s="202">
        <f>J30-H30-ROUND('Rate Spread &amp; Design'!F27,6)</f>
        <v>0</v>
      </c>
      <c r="Q30" s="55"/>
    </row>
    <row r="31" spans="1:17" x14ac:dyDescent="0.2">
      <c r="A31" s="24">
        <f t="shared" si="0"/>
        <v>23</v>
      </c>
      <c r="B31" s="10"/>
      <c r="C31" s="29" t="s">
        <v>24</v>
      </c>
      <c r="D31" s="57"/>
      <c r="E31" s="29"/>
      <c r="F31" s="29"/>
      <c r="H31" s="56"/>
      <c r="I31" s="56"/>
      <c r="J31" s="13"/>
      <c r="K31" s="43" t="s">
        <v>24</v>
      </c>
      <c r="L31" s="43"/>
      <c r="M31" s="55"/>
      <c r="N31" s="55"/>
      <c r="O31" s="7"/>
      <c r="P31" s="202"/>
    </row>
    <row r="32" spans="1:17" x14ac:dyDescent="0.2">
      <c r="A32" s="24">
        <f t="shared" si="0"/>
        <v>24</v>
      </c>
      <c r="B32" s="59" t="s">
        <v>73</v>
      </c>
      <c r="C32" s="29" t="str">
        <f>'Sch 129 Rates'!C32</f>
        <v>Special Contract</v>
      </c>
      <c r="D32" s="57"/>
      <c r="E32" s="30"/>
      <c r="F32" s="30"/>
      <c r="G32" s="61">
        <v>126085371.192</v>
      </c>
      <c r="H32" s="63">
        <v>6.1399999999999996E-4</v>
      </c>
      <c r="I32" s="63"/>
      <c r="J32" s="62">
        <f>H32+ROUND(+'Rate Spread &amp; Design'!$F$29,6)</f>
        <v>6.1399999999999996E-4</v>
      </c>
      <c r="K32" s="201">
        <v>2584407.1059913426</v>
      </c>
      <c r="L32" s="201"/>
      <c r="M32" s="58">
        <f>K32+G32*(J32-H32)</f>
        <v>2584407.1059913426</v>
      </c>
      <c r="N32" s="58">
        <f>+M32-K32</f>
        <v>0</v>
      </c>
      <c r="O32" s="9">
        <f>IF(K32=0,"n/a",+N32/K32)</f>
        <v>0</v>
      </c>
      <c r="P32" s="202">
        <f>J32-H32-ROUND('Rate Spread &amp; Design'!F29,6)</f>
        <v>0</v>
      </c>
    </row>
    <row r="33" spans="1:16" x14ac:dyDescent="0.2">
      <c r="A33" s="24">
        <f t="shared" si="0"/>
        <v>25</v>
      </c>
      <c r="C33" s="29" t="s">
        <v>24</v>
      </c>
      <c r="D33" s="57"/>
      <c r="E33" s="29"/>
      <c r="F33" s="29"/>
      <c r="H33" s="56" t="s">
        <v>24</v>
      </c>
      <c r="I33" s="56"/>
      <c r="J33" s="13"/>
      <c r="K33" s="43" t="s">
        <v>24</v>
      </c>
      <c r="L33" s="43"/>
      <c r="M33" s="55"/>
      <c r="N33" s="55"/>
      <c r="O33" s="7"/>
      <c r="P33" s="202"/>
    </row>
    <row r="34" spans="1:16" x14ac:dyDescent="0.2">
      <c r="A34" s="24">
        <f t="shared" si="0"/>
        <v>26</v>
      </c>
      <c r="B34" s="14" t="s">
        <v>182</v>
      </c>
      <c r="C34" s="29" t="str">
        <f>'Sch 129 Rates'!C33</f>
        <v>50 - 59</v>
      </c>
      <c r="D34" s="57"/>
      <c r="E34" s="30"/>
      <c r="F34" s="30"/>
      <c r="G34" s="61">
        <v>27473618.710171256</v>
      </c>
      <c r="H34" s="63">
        <v>3.4740000000000001E-3</v>
      </c>
      <c r="I34" s="63"/>
      <c r="J34" s="62">
        <f>H34+ROUND(+'Rate Spread &amp; Design'!$F$31,6)</f>
        <v>1.2081999999999999E-2</v>
      </c>
      <c r="K34" s="201">
        <v>9268688.0181170013</v>
      </c>
      <c r="L34" s="201"/>
      <c r="M34" s="58">
        <f>K34+G34*(J34-H34)</f>
        <v>9505180.9279741552</v>
      </c>
      <c r="N34" s="58">
        <f>+M34-K34</f>
        <v>236492.90985715389</v>
      </c>
      <c r="O34" s="9">
        <f>IF(K34=0,"n/a",+N34/K34)</f>
        <v>2.5515251931545656E-2</v>
      </c>
      <c r="P34" s="202">
        <f>J34-H34-ROUND('Rate Spread &amp; Design'!F31,6)</f>
        <v>0</v>
      </c>
    </row>
    <row r="35" spans="1:16" x14ac:dyDescent="0.2">
      <c r="A35" s="24">
        <f t="shared" si="0"/>
        <v>27</v>
      </c>
      <c r="C35" s="29" t="s">
        <v>24</v>
      </c>
      <c r="D35" s="57"/>
      <c r="E35" s="29"/>
      <c r="F35" s="29"/>
      <c r="H35" s="56" t="s">
        <v>24</v>
      </c>
      <c r="I35" s="56"/>
      <c r="J35" s="13"/>
      <c r="K35" s="43"/>
      <c r="L35" s="43"/>
      <c r="M35" s="55"/>
      <c r="N35" s="55"/>
      <c r="O35" s="7"/>
    </row>
    <row r="36" spans="1:16" ht="12" thickBot="1" x14ac:dyDescent="0.25">
      <c r="A36" s="24">
        <f t="shared" si="0"/>
        <v>28</v>
      </c>
      <c r="B36" s="54" t="s">
        <v>19</v>
      </c>
      <c r="C36" s="52" t="s">
        <v>24</v>
      </c>
      <c r="D36" s="53"/>
      <c r="E36" s="52"/>
      <c r="F36" s="52"/>
      <c r="G36" s="51">
        <f>SUM(G10,G17,G23,G28,G30,G34,G32)</f>
        <v>8889200970.8154907</v>
      </c>
      <c r="H36" s="50"/>
      <c r="I36" s="50"/>
      <c r="J36" s="49"/>
      <c r="K36" s="48">
        <f>SUM(K10,K17,K23,K28,K30,K34,K32)</f>
        <v>1094342170.0741842</v>
      </c>
      <c r="L36" s="48"/>
      <c r="M36" s="47">
        <f>SUM(M10,M17,M23,M28,M30,M34,M32)</f>
        <v>1123574571.2399876</v>
      </c>
      <c r="N36" s="47">
        <f>SUM(N10,N17,N23,N28,N30,N34,N32)</f>
        <v>29232401.165803622</v>
      </c>
      <c r="O36" s="46">
        <f>IF(K36=0,"n/a",+N36/K36)</f>
        <v>2.6712304400937043E-2</v>
      </c>
    </row>
    <row r="37" spans="1:16" ht="12" thickTop="1" x14ac:dyDescent="0.2">
      <c r="A37" s="24">
        <f t="shared" si="0"/>
        <v>29</v>
      </c>
      <c r="C37" s="45" t="s">
        <v>24</v>
      </c>
      <c r="D37" s="45"/>
      <c r="E37" s="43"/>
      <c r="F37" s="205" t="s">
        <v>169</v>
      </c>
      <c r="G37" s="28">
        <v>0</v>
      </c>
      <c r="H37" s="43" t="s">
        <v>24</v>
      </c>
      <c r="I37" s="44"/>
      <c r="K37" s="43">
        <v>0</v>
      </c>
      <c r="L37" s="43"/>
      <c r="N37" s="55"/>
    </row>
    <row r="38" spans="1:16" x14ac:dyDescent="0.2">
      <c r="A38" s="24">
        <f t="shared" si="0"/>
        <v>30</v>
      </c>
      <c r="C38" s="45" t="s">
        <v>24</v>
      </c>
      <c r="D38" s="45"/>
      <c r="E38" s="43"/>
      <c r="F38" s="43"/>
      <c r="H38" s="43" t="s">
        <v>24</v>
      </c>
      <c r="I38" s="44"/>
      <c r="K38" s="43"/>
      <c r="L38" s="43"/>
    </row>
    <row r="39" spans="1:16" ht="13.5" x14ac:dyDescent="0.2">
      <c r="A39" s="24">
        <f t="shared" si="0"/>
        <v>31</v>
      </c>
      <c r="B39" s="206" t="s">
        <v>139</v>
      </c>
      <c r="C39" s="42"/>
      <c r="D39" s="40"/>
      <c r="E39" s="41"/>
      <c r="F39" s="41"/>
      <c r="G39" s="41"/>
      <c r="H39" s="41"/>
      <c r="I39" s="40"/>
      <c r="J39" s="40"/>
      <c r="K39" s="41"/>
      <c r="L39" s="41"/>
      <c r="M39" s="41"/>
      <c r="N39" s="40"/>
      <c r="O39" s="40"/>
    </row>
    <row r="40" spans="1:16" s="14" customFormat="1" ht="13.5" x14ac:dyDescent="0.35">
      <c r="A40" s="24">
        <f t="shared" si="0"/>
        <v>32</v>
      </c>
      <c r="B40" s="39"/>
      <c r="C40" s="39" t="s">
        <v>136</v>
      </c>
      <c r="D40" s="39"/>
      <c r="E40" s="39"/>
      <c r="F40" s="39"/>
      <c r="G40" s="39"/>
      <c r="H40" s="156"/>
      <c r="I40" s="39"/>
      <c r="J40" s="157"/>
      <c r="K40" s="157"/>
      <c r="L40" s="157"/>
      <c r="M40" s="157"/>
      <c r="N40" s="158"/>
      <c r="O40" s="158"/>
      <c r="P40" s="4"/>
    </row>
    <row r="41" spans="1:16" s="14" customFormat="1" ht="40.5" x14ac:dyDescent="0.35">
      <c r="A41" s="24">
        <f t="shared" si="0"/>
        <v>33</v>
      </c>
      <c r="C41" s="159" t="s">
        <v>80</v>
      </c>
      <c r="D41" s="159" t="s">
        <v>81</v>
      </c>
      <c r="E41" s="159" t="s">
        <v>82</v>
      </c>
      <c r="F41" s="159" t="s">
        <v>137</v>
      </c>
      <c r="G41" s="159" t="s">
        <v>138</v>
      </c>
      <c r="H41" s="159"/>
      <c r="I41" s="159"/>
      <c r="J41" s="159"/>
      <c r="K41" s="159"/>
      <c r="L41" s="159"/>
      <c r="M41" s="160"/>
      <c r="N41" s="160"/>
      <c r="O41" s="160"/>
      <c r="P41" s="4"/>
    </row>
    <row r="42" spans="1:16" x14ac:dyDescent="0.2">
      <c r="A42" s="24">
        <f t="shared" si="0"/>
        <v>34</v>
      </c>
      <c r="B42" s="38" t="s">
        <v>196</v>
      </c>
      <c r="C42" s="207">
        <v>7.49</v>
      </c>
      <c r="D42" s="207">
        <v>53.66</v>
      </c>
      <c r="E42" s="207">
        <v>21.77</v>
      </c>
      <c r="F42" s="207">
        <v>26.21</v>
      </c>
      <c r="G42" s="37">
        <f>SUM(C42:F42)</f>
        <v>109.13</v>
      </c>
      <c r="H42" s="37"/>
      <c r="I42" s="37"/>
      <c r="J42" s="37"/>
      <c r="K42" s="37"/>
      <c r="L42" s="37"/>
      <c r="M42" s="37"/>
      <c r="N42" s="36"/>
      <c r="O42" s="35"/>
    </row>
    <row r="43" spans="1:16" x14ac:dyDescent="0.2">
      <c r="A43" s="24">
        <f t="shared" si="0"/>
        <v>35</v>
      </c>
      <c r="B43" s="38" t="s">
        <v>197</v>
      </c>
      <c r="C43" s="207">
        <f>C42</f>
        <v>7.49</v>
      </c>
      <c r="D43" s="207">
        <f>D42</f>
        <v>53.66</v>
      </c>
      <c r="E43" s="207">
        <f>E42</f>
        <v>21.77</v>
      </c>
      <c r="F43" s="207">
        <f>F42+(800*(J10-H10))</f>
        <v>29.660399999999999</v>
      </c>
      <c r="G43" s="37">
        <f>SUM(C43:F43)</f>
        <v>112.5804</v>
      </c>
      <c r="H43" s="37"/>
      <c r="I43" s="37"/>
      <c r="J43" s="37"/>
      <c r="K43" s="37"/>
      <c r="L43" s="37"/>
      <c r="M43" s="37"/>
      <c r="N43" s="36"/>
      <c r="O43" s="35"/>
    </row>
    <row r="44" spans="1:16" x14ac:dyDescent="0.2">
      <c r="A44" s="24">
        <f t="shared" si="0"/>
        <v>36</v>
      </c>
      <c r="B44" s="38"/>
      <c r="C44" s="207"/>
      <c r="D44" s="207"/>
      <c r="E44" s="207"/>
      <c r="F44" s="207"/>
      <c r="G44" s="37">
        <f>G43-G42</f>
        <v>3.4504000000000019</v>
      </c>
      <c r="H44" s="37"/>
      <c r="I44" s="37"/>
      <c r="J44" s="37"/>
      <c r="K44" s="37"/>
      <c r="L44" s="37"/>
      <c r="M44" s="37"/>
      <c r="N44" s="36"/>
      <c r="O44" s="35"/>
    </row>
    <row r="45" spans="1:16" x14ac:dyDescent="0.2">
      <c r="A45" s="24">
        <f t="shared" si="0"/>
        <v>37</v>
      </c>
      <c r="E45" s="34"/>
      <c r="F45" s="34"/>
      <c r="G45" s="172">
        <f>G44/G42</f>
        <v>3.1617337120865042E-2</v>
      </c>
      <c r="H45" s="34"/>
      <c r="I45" s="34"/>
      <c r="J45" s="34"/>
      <c r="M45" s="34"/>
      <c r="N45" s="34"/>
      <c r="O45" s="34"/>
    </row>
    <row r="46" spans="1:16" x14ac:dyDescent="0.2">
      <c r="A46" s="24">
        <f t="shared" si="0"/>
        <v>38</v>
      </c>
      <c r="E46" s="34"/>
      <c r="F46" s="34"/>
      <c r="G46" s="172"/>
      <c r="H46" s="34"/>
      <c r="I46" s="34"/>
      <c r="J46" s="34"/>
      <c r="M46" s="34"/>
      <c r="N46" s="34"/>
      <c r="O46" s="34"/>
    </row>
    <row r="47" spans="1:16" x14ac:dyDescent="0.2">
      <c r="A47" s="24">
        <f t="shared" si="0"/>
        <v>39</v>
      </c>
      <c r="B47" s="174" t="str">
        <f>'Sch 129 Rates'!B73</f>
        <v>Note (1): Proposed rate includes current SCH 129 rate set under Docket UE-230694</v>
      </c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</row>
    <row r="48" spans="1:16" ht="11.25" customHeight="1" x14ac:dyDescent="0.2">
      <c r="A48" s="24">
        <f t="shared" si="0"/>
        <v>40</v>
      </c>
      <c r="B48" s="174" t="s">
        <v>183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</row>
    <row r="49" spans="1:13" x14ac:dyDescent="0.2">
      <c r="A49" s="24"/>
      <c r="D49" s="2"/>
      <c r="E49" s="2"/>
      <c r="F49" s="2"/>
      <c r="G49" s="2"/>
      <c r="H49" s="2"/>
      <c r="K49" s="2"/>
      <c r="L49" s="2"/>
      <c r="M49" s="2"/>
    </row>
    <row r="50" spans="1:13" x14ac:dyDescent="0.2">
      <c r="A50" s="24"/>
      <c r="D50" s="2"/>
      <c r="E50" s="2"/>
      <c r="F50" s="2"/>
      <c r="G50" s="2"/>
      <c r="H50" s="2"/>
      <c r="K50" s="2"/>
      <c r="L50" s="2"/>
      <c r="M50" s="2"/>
    </row>
    <row r="51" spans="1:13" x14ac:dyDescent="0.2">
      <c r="A51" s="24"/>
      <c r="D51" s="2"/>
      <c r="E51" s="2"/>
      <c r="F51" s="2"/>
      <c r="G51" s="2"/>
      <c r="H51" s="2"/>
      <c r="K51" s="2"/>
      <c r="L51" s="2"/>
      <c r="M51" s="2"/>
    </row>
    <row r="52" spans="1:13" x14ac:dyDescent="0.2">
      <c r="A52" s="24"/>
      <c r="D52" s="2"/>
      <c r="E52" s="2"/>
      <c r="F52" s="2"/>
      <c r="G52" s="2"/>
      <c r="H52" s="2"/>
      <c r="K52" s="2"/>
      <c r="L52" s="2"/>
      <c r="M52" s="2"/>
    </row>
    <row r="53" spans="1:13" x14ac:dyDescent="0.2">
      <c r="A53" s="24"/>
      <c r="D53" s="2"/>
      <c r="E53" s="2"/>
      <c r="F53" s="2"/>
      <c r="G53" s="2"/>
      <c r="H53" s="2"/>
      <c r="K53" s="2"/>
      <c r="L53" s="2"/>
      <c r="M53" s="2"/>
    </row>
    <row r="54" spans="1:13" x14ac:dyDescent="0.2">
      <c r="A54" s="24"/>
      <c r="D54" s="2"/>
      <c r="E54" s="2"/>
      <c r="F54" s="2"/>
      <c r="G54" s="2"/>
      <c r="H54" s="2"/>
      <c r="K54" s="2"/>
      <c r="L54" s="2"/>
      <c r="M54" s="2"/>
    </row>
    <row r="55" spans="1:13" x14ac:dyDescent="0.2">
      <c r="A55" s="24"/>
      <c r="D55" s="2"/>
      <c r="E55" s="2"/>
      <c r="F55" s="2"/>
      <c r="G55" s="2"/>
      <c r="H55" s="2"/>
      <c r="K55" s="2"/>
      <c r="L55" s="2"/>
      <c r="M55" s="2"/>
    </row>
    <row r="56" spans="1:13" x14ac:dyDescent="0.2">
      <c r="A56" s="24"/>
      <c r="D56" s="2"/>
      <c r="E56" s="2"/>
      <c r="F56" s="2"/>
      <c r="G56" s="2"/>
      <c r="H56" s="2"/>
      <c r="K56" s="2"/>
      <c r="L56" s="2"/>
      <c r="M56" s="2"/>
    </row>
    <row r="57" spans="1:13" x14ac:dyDescent="0.2">
      <c r="A57" s="24"/>
      <c r="D57" s="2"/>
      <c r="E57" s="2"/>
      <c r="F57" s="2"/>
      <c r="G57" s="2"/>
      <c r="H57" s="2"/>
      <c r="K57" s="2"/>
      <c r="L57" s="2"/>
      <c r="M57" s="2"/>
    </row>
    <row r="58" spans="1:13" x14ac:dyDescent="0.2">
      <c r="A58" s="24"/>
      <c r="D58" s="2"/>
      <c r="E58" s="2"/>
      <c r="F58" s="2"/>
      <c r="G58" s="2"/>
      <c r="H58" s="2"/>
      <c r="K58" s="2"/>
      <c r="L58" s="2"/>
      <c r="M58" s="2"/>
    </row>
    <row r="59" spans="1:13" x14ac:dyDescent="0.2">
      <c r="A59" s="24"/>
      <c r="D59" s="2"/>
      <c r="E59" s="2"/>
      <c r="F59" s="2"/>
      <c r="G59" s="2"/>
      <c r="H59" s="2"/>
      <c r="K59" s="2"/>
      <c r="L59" s="2"/>
      <c r="M59" s="2"/>
    </row>
    <row r="60" spans="1:13" x14ac:dyDescent="0.2">
      <c r="A60" s="24"/>
      <c r="D60" s="2"/>
      <c r="E60" s="2"/>
      <c r="F60" s="2"/>
      <c r="G60" s="2"/>
      <c r="H60" s="2"/>
      <c r="K60" s="2"/>
      <c r="L60" s="2"/>
      <c r="M60" s="2"/>
    </row>
    <row r="61" spans="1:13" x14ac:dyDescent="0.2">
      <c r="A61" s="24"/>
      <c r="D61" s="2"/>
      <c r="E61" s="2"/>
      <c r="F61" s="2"/>
      <c r="G61" s="2"/>
      <c r="H61" s="2"/>
      <c r="K61" s="2"/>
      <c r="L61" s="2"/>
      <c r="M61" s="2"/>
    </row>
    <row r="62" spans="1:13" x14ac:dyDescent="0.2">
      <c r="A62" s="24"/>
      <c r="D62" s="2"/>
      <c r="E62" s="2"/>
      <c r="F62" s="2"/>
      <c r="G62" s="2"/>
      <c r="H62" s="2"/>
      <c r="K62" s="2"/>
      <c r="L62" s="2"/>
      <c r="M62" s="2"/>
    </row>
    <row r="63" spans="1:13" x14ac:dyDescent="0.2">
      <c r="A63" s="24"/>
      <c r="D63" s="2"/>
      <c r="E63" s="2"/>
      <c r="F63" s="2"/>
      <c r="G63" s="2"/>
      <c r="H63" s="2"/>
      <c r="K63" s="2"/>
      <c r="L63" s="2"/>
      <c r="M63" s="2"/>
    </row>
    <row r="64" spans="1:13" x14ac:dyDescent="0.2">
      <c r="A64" s="24"/>
      <c r="D64" s="2"/>
      <c r="E64" s="2"/>
      <c r="F64" s="2"/>
      <c r="G64" s="2"/>
      <c r="H64" s="2"/>
      <c r="K64" s="2"/>
      <c r="L64" s="2"/>
      <c r="M64" s="2"/>
    </row>
    <row r="65" spans="1:13" x14ac:dyDescent="0.2">
      <c r="A65" s="24"/>
      <c r="D65" s="2"/>
      <c r="E65" s="2"/>
      <c r="F65" s="2"/>
      <c r="G65" s="2"/>
      <c r="H65" s="2"/>
      <c r="K65" s="2"/>
      <c r="L65" s="2"/>
      <c r="M65" s="2"/>
    </row>
    <row r="66" spans="1:13" x14ac:dyDescent="0.2">
      <c r="A66" s="24"/>
      <c r="D66" s="2"/>
      <c r="E66" s="2"/>
      <c r="F66" s="2"/>
      <c r="G66" s="2"/>
      <c r="H66" s="2"/>
      <c r="K66" s="2"/>
      <c r="L66" s="2"/>
      <c r="M66" s="2"/>
    </row>
    <row r="67" spans="1:13" x14ac:dyDescent="0.2">
      <c r="A67" s="24"/>
      <c r="D67" s="2"/>
      <c r="E67" s="2"/>
      <c r="F67" s="2"/>
      <c r="G67" s="2"/>
      <c r="H67" s="2"/>
      <c r="K67" s="2"/>
      <c r="L67" s="2"/>
      <c r="M67" s="2"/>
    </row>
    <row r="68" spans="1:13" x14ac:dyDescent="0.2">
      <c r="A68" s="24"/>
      <c r="D68" s="2"/>
      <c r="E68" s="2"/>
      <c r="F68" s="2"/>
      <c r="G68" s="2"/>
      <c r="H68" s="2"/>
      <c r="K68" s="2"/>
      <c r="L68" s="2"/>
      <c r="M68" s="2"/>
    </row>
    <row r="69" spans="1:13" x14ac:dyDescent="0.2">
      <c r="A69" s="24"/>
      <c r="D69" s="2"/>
      <c r="E69" s="2"/>
      <c r="F69" s="2"/>
      <c r="G69" s="2"/>
      <c r="H69" s="2"/>
      <c r="K69" s="2"/>
      <c r="L69" s="2"/>
      <c r="M69" s="2"/>
    </row>
    <row r="70" spans="1:13" x14ac:dyDescent="0.2">
      <c r="A70" s="24"/>
      <c r="D70" s="2"/>
      <c r="E70" s="2"/>
      <c r="F70" s="2"/>
      <c r="G70" s="2"/>
      <c r="H70" s="2"/>
      <c r="K70" s="2"/>
      <c r="L70" s="2"/>
      <c r="M70" s="2"/>
    </row>
    <row r="71" spans="1:13" x14ac:dyDescent="0.2">
      <c r="A71" s="24"/>
      <c r="D71" s="2"/>
      <c r="E71" s="2"/>
      <c r="F71" s="2"/>
      <c r="G71" s="2"/>
      <c r="H71" s="2"/>
      <c r="K71" s="2"/>
      <c r="L71" s="2"/>
      <c r="M71" s="2"/>
    </row>
    <row r="72" spans="1:13" x14ac:dyDescent="0.2">
      <c r="A72" s="24"/>
      <c r="D72" s="2"/>
      <c r="E72" s="2"/>
      <c r="F72" s="2"/>
      <c r="G72" s="2"/>
      <c r="H72" s="2"/>
      <c r="K72" s="2"/>
      <c r="L72" s="2"/>
      <c r="M72" s="2"/>
    </row>
    <row r="73" spans="1:13" x14ac:dyDescent="0.2">
      <c r="A73" s="24"/>
      <c r="D73" s="2"/>
      <c r="E73" s="2"/>
      <c r="F73" s="2"/>
      <c r="G73" s="2"/>
      <c r="H73" s="2"/>
      <c r="K73" s="2"/>
      <c r="L73" s="2"/>
      <c r="M73" s="2"/>
    </row>
    <row r="74" spans="1:13" x14ac:dyDescent="0.2">
      <c r="A74" s="24"/>
      <c r="D74" s="2"/>
      <c r="E74" s="2"/>
      <c r="F74" s="2"/>
      <c r="G74" s="2"/>
      <c r="H74" s="2"/>
      <c r="K74" s="2"/>
      <c r="L74" s="2"/>
      <c r="M74" s="2"/>
    </row>
    <row r="75" spans="1:13" x14ac:dyDescent="0.2">
      <c r="A75" s="24"/>
      <c r="D75" s="2"/>
      <c r="E75" s="2"/>
      <c r="F75" s="2"/>
      <c r="G75" s="2"/>
      <c r="H75" s="2"/>
      <c r="K75" s="2"/>
      <c r="L75" s="2"/>
      <c r="M75" s="2"/>
    </row>
    <row r="76" spans="1:13" x14ac:dyDescent="0.2">
      <c r="A76" s="24"/>
      <c r="D76" s="2"/>
      <c r="E76" s="2"/>
      <c r="F76" s="2"/>
      <c r="G76" s="2"/>
      <c r="H76" s="2"/>
      <c r="K76" s="2"/>
      <c r="L76" s="2"/>
      <c r="M76" s="2"/>
    </row>
    <row r="77" spans="1:13" x14ac:dyDescent="0.2">
      <c r="A77" s="24"/>
      <c r="D77" s="2"/>
      <c r="E77" s="2"/>
      <c r="F77" s="2"/>
      <c r="G77" s="2"/>
      <c r="H77" s="2"/>
      <c r="K77" s="2"/>
      <c r="L77" s="2"/>
      <c r="M77" s="2"/>
    </row>
    <row r="78" spans="1:13" x14ac:dyDescent="0.2">
      <c r="A78" s="24"/>
      <c r="D78" s="2"/>
      <c r="E78" s="2"/>
      <c r="F78" s="2"/>
      <c r="G78" s="2"/>
      <c r="H78" s="2"/>
      <c r="K78" s="2"/>
      <c r="L78" s="2"/>
      <c r="M78" s="2"/>
    </row>
    <row r="79" spans="1:13" x14ac:dyDescent="0.2">
      <c r="A79" s="24"/>
      <c r="D79" s="2"/>
      <c r="E79" s="2"/>
      <c r="F79" s="2"/>
      <c r="G79" s="2"/>
      <c r="H79" s="2"/>
      <c r="K79" s="2"/>
      <c r="L79" s="2"/>
      <c r="M79" s="2"/>
    </row>
    <row r="80" spans="1:13" x14ac:dyDescent="0.2">
      <c r="A80" s="24"/>
      <c r="D80" s="2"/>
      <c r="E80" s="2"/>
      <c r="F80" s="2"/>
      <c r="G80" s="2"/>
      <c r="H80" s="2"/>
      <c r="K80" s="2"/>
      <c r="L80" s="2"/>
      <c r="M80" s="2"/>
    </row>
    <row r="81" spans="1:13" x14ac:dyDescent="0.2">
      <c r="A81" s="24"/>
      <c r="D81" s="2"/>
      <c r="E81" s="2"/>
      <c r="F81" s="2"/>
      <c r="G81" s="2"/>
      <c r="H81" s="2"/>
      <c r="K81" s="2"/>
      <c r="L81" s="2"/>
      <c r="M81" s="2"/>
    </row>
    <row r="82" spans="1:13" x14ac:dyDescent="0.2">
      <c r="A82" s="24"/>
      <c r="D82" s="2"/>
      <c r="E82" s="2"/>
      <c r="F82" s="2"/>
      <c r="G82" s="2"/>
      <c r="H82" s="2"/>
      <c r="K82" s="2"/>
      <c r="L82" s="2"/>
      <c r="M82" s="2"/>
    </row>
    <row r="83" spans="1:13" x14ac:dyDescent="0.2">
      <c r="A83" s="24"/>
      <c r="D83" s="2"/>
      <c r="E83" s="2"/>
      <c r="F83" s="2"/>
      <c r="G83" s="2"/>
      <c r="H83" s="2"/>
      <c r="K83" s="2"/>
      <c r="L83" s="2"/>
      <c r="M83" s="2"/>
    </row>
    <row r="84" spans="1:13" x14ac:dyDescent="0.2">
      <c r="A84" s="24"/>
      <c r="D84" s="2"/>
      <c r="E84" s="2"/>
      <c r="F84" s="2"/>
      <c r="G84" s="2"/>
      <c r="H84" s="2"/>
      <c r="K84" s="2"/>
      <c r="L84" s="2"/>
      <c r="M84" s="2"/>
    </row>
    <row r="85" spans="1:13" x14ac:dyDescent="0.2">
      <c r="A85" s="24"/>
      <c r="D85" s="2"/>
      <c r="E85" s="2"/>
      <c r="F85" s="2"/>
      <c r="G85" s="2"/>
      <c r="H85" s="2"/>
      <c r="K85" s="2"/>
      <c r="L85" s="2"/>
      <c r="M85" s="2"/>
    </row>
    <row r="86" spans="1:13" x14ac:dyDescent="0.2">
      <c r="A86" s="24"/>
      <c r="D86" s="2"/>
      <c r="E86" s="2"/>
      <c r="F86" s="2"/>
      <c r="G86" s="2"/>
      <c r="H86" s="2"/>
      <c r="K86" s="2"/>
      <c r="L86" s="2"/>
      <c r="M86" s="2"/>
    </row>
    <row r="87" spans="1:13" x14ac:dyDescent="0.2">
      <c r="A87" s="24"/>
      <c r="D87" s="2"/>
      <c r="E87" s="2"/>
      <c r="F87" s="2"/>
      <c r="G87" s="2"/>
      <c r="H87" s="2"/>
      <c r="K87" s="2"/>
      <c r="L87" s="2"/>
      <c r="M87" s="2"/>
    </row>
    <row r="88" spans="1:13" x14ac:dyDescent="0.2">
      <c r="A88" s="24"/>
      <c r="D88" s="2"/>
      <c r="E88" s="2"/>
      <c r="F88" s="2"/>
      <c r="G88" s="2"/>
      <c r="H88" s="2"/>
      <c r="K88" s="2"/>
      <c r="L88" s="2"/>
      <c r="M88" s="2"/>
    </row>
    <row r="89" spans="1:13" x14ac:dyDescent="0.2">
      <c r="A89" s="24"/>
      <c r="D89" s="2"/>
      <c r="E89" s="2"/>
      <c r="F89" s="2"/>
      <c r="G89" s="2"/>
      <c r="H89" s="2"/>
      <c r="K89" s="2"/>
      <c r="L89" s="2"/>
      <c r="M89" s="2"/>
    </row>
    <row r="90" spans="1:13" x14ac:dyDescent="0.2">
      <c r="A90" s="24"/>
      <c r="D90" s="2"/>
      <c r="E90" s="2"/>
      <c r="F90" s="2"/>
      <c r="G90" s="2"/>
      <c r="H90" s="2"/>
      <c r="K90" s="2"/>
      <c r="L90" s="2"/>
      <c r="M90" s="2"/>
    </row>
    <row r="91" spans="1:13" x14ac:dyDescent="0.2">
      <c r="A91" s="24"/>
      <c r="D91" s="2"/>
      <c r="E91" s="2"/>
      <c r="F91" s="2"/>
      <c r="G91" s="2"/>
      <c r="H91" s="2"/>
      <c r="K91" s="2"/>
      <c r="L91" s="2"/>
      <c r="M91" s="2"/>
    </row>
    <row r="92" spans="1:13" x14ac:dyDescent="0.2">
      <c r="A92" s="24"/>
      <c r="D92" s="2"/>
      <c r="E92" s="2"/>
      <c r="F92" s="2"/>
      <c r="G92" s="2"/>
      <c r="H92" s="2"/>
      <c r="K92" s="2"/>
      <c r="L92" s="2"/>
      <c r="M92" s="2"/>
    </row>
    <row r="93" spans="1:13" x14ac:dyDescent="0.2">
      <c r="A93" s="24"/>
      <c r="D93" s="2"/>
      <c r="E93" s="2"/>
      <c r="F93" s="2"/>
      <c r="G93" s="2"/>
      <c r="H93" s="2"/>
      <c r="K93" s="2"/>
      <c r="L93" s="2"/>
      <c r="M93" s="2"/>
    </row>
    <row r="94" spans="1:13" x14ac:dyDescent="0.2">
      <c r="A94" s="24"/>
      <c r="D94" s="2"/>
      <c r="E94" s="2"/>
      <c r="F94" s="2"/>
      <c r="G94" s="2"/>
      <c r="H94" s="2"/>
      <c r="K94" s="2"/>
      <c r="L94" s="2"/>
      <c r="M94" s="2"/>
    </row>
    <row r="95" spans="1:13" x14ac:dyDescent="0.2">
      <c r="A95" s="24"/>
      <c r="D95" s="2"/>
      <c r="E95" s="2"/>
      <c r="F95" s="2"/>
      <c r="G95" s="2"/>
      <c r="H95" s="2"/>
      <c r="K95" s="2"/>
      <c r="L95" s="2"/>
      <c r="M95" s="2"/>
    </row>
    <row r="96" spans="1:13" x14ac:dyDescent="0.2">
      <c r="A96" s="24"/>
      <c r="D96" s="2"/>
      <c r="E96" s="2"/>
      <c r="F96" s="2"/>
      <c r="G96" s="2"/>
      <c r="H96" s="2"/>
      <c r="K96" s="2"/>
      <c r="L96" s="2"/>
      <c r="M96" s="2"/>
    </row>
    <row r="97" spans="1:13" x14ac:dyDescent="0.2">
      <c r="A97" s="24"/>
      <c r="D97" s="2"/>
      <c r="E97" s="2"/>
      <c r="F97" s="2"/>
      <c r="G97" s="2"/>
      <c r="H97" s="2"/>
      <c r="K97" s="2"/>
      <c r="L97" s="2"/>
      <c r="M97" s="2"/>
    </row>
    <row r="98" spans="1:13" x14ac:dyDescent="0.2">
      <c r="A98" s="24"/>
      <c r="D98" s="2"/>
      <c r="E98" s="2"/>
      <c r="F98" s="2"/>
      <c r="G98" s="2"/>
      <c r="H98" s="2"/>
      <c r="K98" s="2"/>
      <c r="L98" s="2"/>
      <c r="M98" s="2"/>
    </row>
    <row r="99" spans="1:13" x14ac:dyDescent="0.2">
      <c r="A99" s="24"/>
      <c r="D99" s="2"/>
      <c r="E99" s="2"/>
      <c r="F99" s="2"/>
      <c r="G99" s="2"/>
      <c r="H99" s="2"/>
      <c r="K99" s="2"/>
      <c r="L99" s="2"/>
      <c r="M99" s="2"/>
    </row>
    <row r="100" spans="1:13" x14ac:dyDescent="0.2">
      <c r="A100" s="24"/>
      <c r="D100" s="2"/>
      <c r="E100" s="2"/>
      <c r="F100" s="2"/>
      <c r="G100" s="2"/>
      <c r="H100" s="2"/>
      <c r="K100" s="2"/>
      <c r="L100" s="2"/>
      <c r="M100" s="2"/>
    </row>
    <row r="101" spans="1:13" x14ac:dyDescent="0.2">
      <c r="A101" s="24"/>
      <c r="D101" s="2"/>
      <c r="E101" s="2"/>
      <c r="F101" s="2"/>
      <c r="G101" s="2"/>
      <c r="H101" s="2"/>
      <c r="K101" s="2"/>
      <c r="L101" s="2"/>
      <c r="M101" s="2"/>
    </row>
    <row r="102" spans="1:13" x14ac:dyDescent="0.2">
      <c r="A102" s="24"/>
      <c r="D102" s="2"/>
      <c r="E102" s="2"/>
      <c r="F102" s="2"/>
      <c r="G102" s="2"/>
      <c r="H102" s="2"/>
      <c r="K102" s="2"/>
      <c r="L102" s="2"/>
      <c r="M102" s="2"/>
    </row>
    <row r="103" spans="1:13" x14ac:dyDescent="0.2">
      <c r="A103" s="24"/>
      <c r="D103" s="2"/>
      <c r="E103" s="2"/>
      <c r="F103" s="2"/>
      <c r="G103" s="2"/>
      <c r="H103" s="2"/>
      <c r="K103" s="2"/>
      <c r="L103" s="2"/>
      <c r="M103" s="2"/>
    </row>
    <row r="104" spans="1:13" x14ac:dyDescent="0.2">
      <c r="A104" s="24"/>
      <c r="D104" s="2"/>
      <c r="E104" s="2"/>
      <c r="F104" s="2"/>
      <c r="G104" s="2"/>
      <c r="H104" s="2"/>
      <c r="K104" s="2"/>
      <c r="L104" s="2"/>
      <c r="M104" s="2"/>
    </row>
    <row r="105" spans="1:13" x14ac:dyDescent="0.2">
      <c r="A105" s="24"/>
      <c r="D105" s="2"/>
      <c r="E105" s="2"/>
      <c r="F105" s="2"/>
      <c r="G105" s="2"/>
      <c r="H105" s="2"/>
      <c r="K105" s="2"/>
      <c r="L105" s="2"/>
      <c r="M105" s="2"/>
    </row>
    <row r="106" spans="1:13" x14ac:dyDescent="0.2">
      <c r="A106" s="24"/>
      <c r="D106" s="2"/>
      <c r="E106" s="2"/>
      <c r="F106" s="2"/>
      <c r="G106" s="2"/>
      <c r="H106" s="2"/>
      <c r="K106" s="2"/>
      <c r="L106" s="2"/>
      <c r="M106" s="2"/>
    </row>
    <row r="107" spans="1:13" x14ac:dyDescent="0.2">
      <c r="A107" s="24"/>
      <c r="D107" s="2"/>
      <c r="E107" s="2"/>
      <c r="F107" s="2"/>
      <c r="G107" s="2"/>
      <c r="H107" s="2"/>
      <c r="K107" s="2"/>
      <c r="L107" s="2"/>
      <c r="M107" s="2"/>
    </row>
    <row r="108" spans="1:13" x14ac:dyDescent="0.2">
      <c r="A108" s="24"/>
      <c r="D108" s="2"/>
      <c r="E108" s="2"/>
      <c r="F108" s="2"/>
      <c r="G108" s="2"/>
      <c r="H108" s="2"/>
      <c r="K108" s="2"/>
      <c r="L108" s="2"/>
      <c r="M108" s="2"/>
    </row>
    <row r="109" spans="1:13" x14ac:dyDescent="0.2">
      <c r="A109" s="24"/>
      <c r="D109" s="2"/>
      <c r="E109" s="2"/>
      <c r="F109" s="2"/>
      <c r="G109" s="2"/>
      <c r="H109" s="2"/>
      <c r="K109" s="2"/>
      <c r="L109" s="2"/>
      <c r="M109" s="2"/>
    </row>
    <row r="110" spans="1:13" x14ac:dyDescent="0.2">
      <c r="A110" s="24"/>
      <c r="D110" s="2"/>
      <c r="E110" s="2"/>
      <c r="F110" s="2"/>
      <c r="G110" s="2"/>
      <c r="H110" s="2"/>
      <c r="K110" s="2"/>
      <c r="L110" s="2"/>
      <c r="M110" s="2"/>
    </row>
    <row r="111" spans="1:13" x14ac:dyDescent="0.2">
      <c r="A111" s="24"/>
      <c r="D111" s="2"/>
      <c r="E111" s="2"/>
      <c r="F111" s="2"/>
      <c r="G111" s="2"/>
      <c r="H111" s="2"/>
      <c r="K111" s="2"/>
      <c r="L111" s="2"/>
      <c r="M111" s="2"/>
    </row>
    <row r="112" spans="1:13" x14ac:dyDescent="0.2">
      <c r="A112" s="24"/>
      <c r="D112" s="2"/>
      <c r="E112" s="2"/>
      <c r="F112" s="2"/>
      <c r="G112" s="2"/>
      <c r="H112" s="2"/>
      <c r="K112" s="2"/>
      <c r="L112" s="2"/>
      <c r="M112" s="2"/>
    </row>
    <row r="113" spans="1:13" x14ac:dyDescent="0.2">
      <c r="A113" s="24"/>
      <c r="D113" s="2"/>
      <c r="E113" s="2"/>
      <c r="F113" s="2"/>
      <c r="G113" s="2"/>
      <c r="H113" s="2"/>
      <c r="K113" s="2"/>
      <c r="L113" s="2"/>
      <c r="M113" s="2"/>
    </row>
    <row r="114" spans="1:13" x14ac:dyDescent="0.2">
      <c r="A114" s="24"/>
      <c r="D114" s="2"/>
      <c r="E114" s="2"/>
      <c r="F114" s="2"/>
      <c r="G114" s="2"/>
      <c r="H114" s="2"/>
      <c r="K114" s="2"/>
      <c r="L114" s="2"/>
      <c r="M114" s="2"/>
    </row>
    <row r="115" spans="1:13" x14ac:dyDescent="0.2">
      <c r="A115" s="24"/>
      <c r="D115" s="2"/>
      <c r="E115" s="2"/>
      <c r="F115" s="2"/>
      <c r="G115" s="2"/>
      <c r="H115" s="2"/>
      <c r="K115" s="2"/>
      <c r="L115" s="2"/>
      <c r="M115" s="2"/>
    </row>
    <row r="116" spans="1:13" x14ac:dyDescent="0.2">
      <c r="A116" s="24"/>
      <c r="D116" s="2"/>
      <c r="E116" s="2"/>
      <c r="F116" s="2"/>
      <c r="G116" s="2"/>
      <c r="H116" s="2"/>
      <c r="K116" s="2"/>
      <c r="L116" s="2"/>
      <c r="M116" s="2"/>
    </row>
    <row r="117" spans="1:13" x14ac:dyDescent="0.2">
      <c r="A117" s="24"/>
      <c r="D117" s="2"/>
      <c r="E117" s="2"/>
      <c r="F117" s="2"/>
      <c r="G117" s="2"/>
      <c r="H117" s="2"/>
      <c r="K117" s="2"/>
      <c r="L117" s="2"/>
      <c r="M117" s="2"/>
    </row>
    <row r="118" spans="1:13" x14ac:dyDescent="0.2">
      <c r="A118" s="24"/>
      <c r="D118" s="2"/>
      <c r="E118" s="2"/>
      <c r="F118" s="2"/>
      <c r="G118" s="2"/>
      <c r="H118" s="2"/>
      <c r="K118" s="2"/>
      <c r="L118" s="2"/>
      <c r="M118" s="2"/>
    </row>
    <row r="119" spans="1:13" x14ac:dyDescent="0.2">
      <c r="A119" s="24"/>
      <c r="D119" s="2"/>
      <c r="E119" s="2"/>
      <c r="F119" s="2"/>
      <c r="G119" s="2"/>
      <c r="H119" s="2"/>
      <c r="K119" s="2"/>
      <c r="L119" s="2"/>
      <c r="M119" s="2"/>
    </row>
    <row r="120" spans="1:13" x14ac:dyDescent="0.2">
      <c r="A120" s="24"/>
      <c r="D120" s="2"/>
      <c r="E120" s="2"/>
      <c r="F120" s="2"/>
      <c r="G120" s="2"/>
      <c r="H120" s="2"/>
      <c r="K120" s="2"/>
      <c r="L120" s="2"/>
      <c r="M120" s="2"/>
    </row>
    <row r="121" spans="1:13" x14ac:dyDescent="0.2">
      <c r="A121" s="24"/>
      <c r="D121" s="2"/>
      <c r="E121" s="2"/>
      <c r="F121" s="2"/>
      <c r="G121" s="2"/>
      <c r="H121" s="2"/>
      <c r="K121" s="2"/>
      <c r="L121" s="2"/>
      <c r="M121" s="2"/>
    </row>
    <row r="122" spans="1:13" x14ac:dyDescent="0.2">
      <c r="A122" s="24"/>
      <c r="D122" s="2"/>
      <c r="E122" s="2"/>
      <c r="F122" s="2"/>
      <c r="G122" s="2"/>
      <c r="H122" s="2"/>
      <c r="K122" s="2"/>
      <c r="L122" s="2"/>
      <c r="M122" s="2"/>
    </row>
    <row r="123" spans="1:13" x14ac:dyDescent="0.2">
      <c r="A123" s="24"/>
      <c r="D123" s="2"/>
      <c r="E123" s="2"/>
      <c r="F123" s="2"/>
      <c r="G123" s="2"/>
      <c r="H123" s="2"/>
      <c r="K123" s="2"/>
      <c r="L123" s="2"/>
      <c r="M123" s="2"/>
    </row>
    <row r="124" spans="1:13" x14ac:dyDescent="0.2">
      <c r="A124" s="24"/>
      <c r="D124" s="2"/>
      <c r="E124" s="2"/>
      <c r="F124" s="2"/>
      <c r="G124" s="2"/>
      <c r="H124" s="2"/>
      <c r="K124" s="2"/>
      <c r="L124" s="2"/>
      <c r="M124" s="2"/>
    </row>
    <row r="125" spans="1:13" x14ac:dyDescent="0.2">
      <c r="A125" s="24"/>
      <c r="D125" s="2"/>
      <c r="E125" s="2"/>
      <c r="F125" s="2"/>
      <c r="G125" s="2"/>
      <c r="H125" s="2"/>
      <c r="K125" s="2"/>
      <c r="L125" s="2"/>
      <c r="M125" s="2"/>
    </row>
    <row r="126" spans="1:13" x14ac:dyDescent="0.2">
      <c r="A126" s="24"/>
      <c r="D126" s="2"/>
      <c r="E126" s="2"/>
      <c r="F126" s="2"/>
      <c r="G126" s="2"/>
      <c r="H126" s="2"/>
      <c r="K126" s="2"/>
      <c r="L126" s="2"/>
      <c r="M126" s="2"/>
    </row>
    <row r="127" spans="1:13" x14ac:dyDescent="0.2">
      <c r="A127" s="24"/>
      <c r="D127" s="2"/>
      <c r="E127" s="2"/>
      <c r="F127" s="2"/>
      <c r="G127" s="2"/>
      <c r="H127" s="2"/>
      <c r="K127" s="2"/>
      <c r="L127" s="2"/>
      <c r="M127" s="2"/>
    </row>
    <row r="128" spans="1:13" x14ac:dyDescent="0.2">
      <c r="A128" s="24"/>
      <c r="D128" s="2"/>
      <c r="E128" s="2"/>
      <c r="F128" s="2"/>
      <c r="G128" s="2"/>
      <c r="H128" s="2"/>
      <c r="K128" s="2"/>
      <c r="L128" s="2"/>
      <c r="M128" s="2"/>
    </row>
    <row r="129" spans="1:13" x14ac:dyDescent="0.2">
      <c r="A129" s="24"/>
      <c r="D129" s="2"/>
      <c r="E129" s="2"/>
      <c r="F129" s="2"/>
      <c r="G129" s="2"/>
      <c r="H129" s="2"/>
      <c r="K129" s="2"/>
      <c r="L129" s="2"/>
      <c r="M129" s="2"/>
    </row>
    <row r="130" spans="1:13" x14ac:dyDescent="0.2">
      <c r="A130" s="24"/>
      <c r="D130" s="2"/>
      <c r="E130" s="2"/>
      <c r="F130" s="2"/>
      <c r="G130" s="2"/>
      <c r="H130" s="2"/>
      <c r="K130" s="2"/>
      <c r="L130" s="2"/>
      <c r="M130" s="2"/>
    </row>
    <row r="131" spans="1:13" x14ac:dyDescent="0.2">
      <c r="A131" s="24"/>
      <c r="D131" s="2"/>
      <c r="E131" s="2"/>
      <c r="F131" s="2"/>
      <c r="G131" s="2"/>
      <c r="H131" s="2"/>
      <c r="K131" s="2"/>
      <c r="L131" s="2"/>
      <c r="M131" s="2"/>
    </row>
    <row r="132" spans="1:13" x14ac:dyDescent="0.2">
      <c r="A132" s="24"/>
      <c r="D132" s="2"/>
      <c r="E132" s="2"/>
      <c r="F132" s="2"/>
      <c r="G132" s="2"/>
      <c r="H132" s="2"/>
      <c r="K132" s="2"/>
      <c r="L132" s="2"/>
      <c r="M132" s="2"/>
    </row>
    <row r="133" spans="1:13" x14ac:dyDescent="0.2">
      <c r="A133" s="24"/>
      <c r="D133" s="2"/>
      <c r="E133" s="2"/>
      <c r="F133" s="2"/>
      <c r="G133" s="2"/>
      <c r="H133" s="2"/>
      <c r="K133" s="2"/>
      <c r="L133" s="2"/>
      <c r="M133" s="2"/>
    </row>
    <row r="134" spans="1:13" x14ac:dyDescent="0.2">
      <c r="A134" s="24"/>
      <c r="D134" s="2"/>
      <c r="E134" s="2"/>
      <c r="F134" s="2"/>
      <c r="G134" s="2"/>
      <c r="H134" s="2"/>
      <c r="K134" s="2"/>
      <c r="L134" s="2"/>
      <c r="M134" s="2"/>
    </row>
    <row r="135" spans="1:13" x14ac:dyDescent="0.2">
      <c r="A135" s="24"/>
      <c r="D135" s="2"/>
      <c r="E135" s="2"/>
      <c r="F135" s="2"/>
      <c r="G135" s="2"/>
      <c r="H135" s="2"/>
      <c r="K135" s="2"/>
      <c r="L135" s="2"/>
      <c r="M135" s="2"/>
    </row>
    <row r="136" spans="1:13" x14ac:dyDescent="0.2">
      <c r="A136" s="24"/>
      <c r="D136" s="2"/>
      <c r="E136" s="2"/>
      <c r="F136" s="2"/>
      <c r="G136" s="2"/>
      <c r="H136" s="2"/>
      <c r="K136" s="2"/>
      <c r="L136" s="2"/>
      <c r="M136" s="2"/>
    </row>
    <row r="137" spans="1:13" x14ac:dyDescent="0.2">
      <c r="A137" s="24"/>
      <c r="D137" s="2"/>
      <c r="E137" s="2"/>
      <c r="F137" s="2"/>
      <c r="G137" s="2"/>
      <c r="H137" s="2"/>
      <c r="K137" s="2"/>
      <c r="L137" s="2"/>
      <c r="M137" s="2"/>
    </row>
    <row r="138" spans="1:13" x14ac:dyDescent="0.2">
      <c r="A138" s="24"/>
      <c r="D138" s="2"/>
      <c r="E138" s="2"/>
      <c r="F138" s="2"/>
      <c r="G138" s="2"/>
      <c r="H138" s="2"/>
      <c r="K138" s="2"/>
      <c r="L138" s="2"/>
      <c r="M138" s="2"/>
    </row>
    <row r="139" spans="1:13" x14ac:dyDescent="0.2">
      <c r="A139" s="24"/>
      <c r="D139" s="2"/>
      <c r="E139" s="2"/>
      <c r="F139" s="2"/>
      <c r="G139" s="2"/>
      <c r="H139" s="2"/>
      <c r="K139" s="2"/>
      <c r="L139" s="2"/>
      <c r="M139" s="2"/>
    </row>
    <row r="140" spans="1:13" x14ac:dyDescent="0.2">
      <c r="A140" s="24"/>
      <c r="D140" s="2"/>
      <c r="E140" s="2"/>
      <c r="F140" s="2"/>
      <c r="G140" s="2"/>
      <c r="H140" s="2"/>
      <c r="K140" s="2"/>
      <c r="L140" s="2"/>
      <c r="M140" s="2"/>
    </row>
    <row r="141" spans="1:13" x14ac:dyDescent="0.2">
      <c r="A141" s="24"/>
      <c r="D141" s="2"/>
      <c r="E141" s="2"/>
      <c r="F141" s="2"/>
      <c r="G141" s="2"/>
      <c r="H141" s="2"/>
      <c r="K141" s="2"/>
      <c r="L141" s="2"/>
      <c r="M141" s="2"/>
    </row>
    <row r="142" spans="1:13" x14ac:dyDescent="0.2">
      <c r="A142" s="24"/>
      <c r="D142" s="2"/>
      <c r="E142" s="2"/>
      <c r="F142" s="2"/>
      <c r="G142" s="2"/>
      <c r="H142" s="2"/>
      <c r="K142" s="2"/>
      <c r="L142" s="2"/>
      <c r="M142" s="2"/>
    </row>
    <row r="143" spans="1:13" x14ac:dyDescent="0.2">
      <c r="A143" s="24"/>
      <c r="D143" s="2"/>
      <c r="E143" s="2"/>
      <c r="F143" s="2"/>
      <c r="G143" s="2"/>
      <c r="H143" s="2"/>
      <c r="K143" s="2"/>
      <c r="L143" s="2"/>
      <c r="M143" s="2"/>
    </row>
    <row r="144" spans="1:13" x14ac:dyDescent="0.2">
      <c r="A144" s="24"/>
      <c r="D144" s="2"/>
      <c r="E144" s="2"/>
      <c r="F144" s="2"/>
      <c r="G144" s="2"/>
      <c r="H144" s="2"/>
      <c r="K144" s="2"/>
      <c r="L144" s="2"/>
      <c r="M144" s="2"/>
    </row>
    <row r="145" spans="1:13" x14ac:dyDescent="0.2">
      <c r="A145" s="24"/>
      <c r="D145" s="2"/>
      <c r="E145" s="2"/>
      <c r="F145" s="2"/>
      <c r="G145" s="2"/>
      <c r="H145" s="2"/>
      <c r="K145" s="2"/>
      <c r="L145" s="2"/>
      <c r="M145" s="2"/>
    </row>
    <row r="146" spans="1:13" x14ac:dyDescent="0.2">
      <c r="A146" s="24"/>
      <c r="D146" s="2"/>
      <c r="E146" s="2"/>
      <c r="F146" s="2"/>
      <c r="G146" s="2"/>
      <c r="H146" s="2"/>
      <c r="K146" s="2"/>
      <c r="L146" s="2"/>
      <c r="M146" s="2"/>
    </row>
    <row r="147" spans="1:13" x14ac:dyDescent="0.2">
      <c r="A147" s="24"/>
      <c r="D147" s="2"/>
      <c r="E147" s="2"/>
      <c r="F147" s="2"/>
      <c r="G147" s="2"/>
      <c r="H147" s="2"/>
      <c r="K147" s="2"/>
      <c r="L147" s="2"/>
      <c r="M147" s="2"/>
    </row>
    <row r="148" spans="1:13" x14ac:dyDescent="0.2">
      <c r="A148" s="24"/>
      <c r="D148" s="2"/>
      <c r="E148" s="2"/>
      <c r="F148" s="2"/>
      <c r="G148" s="2"/>
      <c r="H148" s="2"/>
      <c r="K148" s="2"/>
      <c r="L148" s="2"/>
      <c r="M148" s="2"/>
    </row>
    <row r="149" spans="1:13" x14ac:dyDescent="0.2">
      <c r="A149" s="24"/>
      <c r="D149" s="2"/>
      <c r="E149" s="2"/>
      <c r="F149" s="2"/>
      <c r="G149" s="2"/>
      <c r="H149" s="2"/>
      <c r="K149" s="2"/>
      <c r="L149" s="2"/>
      <c r="M149" s="2"/>
    </row>
    <row r="150" spans="1:13" x14ac:dyDescent="0.2">
      <c r="A150" s="24"/>
      <c r="D150" s="2"/>
      <c r="E150" s="2"/>
      <c r="F150" s="2"/>
      <c r="G150" s="2"/>
      <c r="H150" s="2"/>
      <c r="K150" s="2"/>
      <c r="L150" s="2"/>
      <c r="M150" s="2"/>
    </row>
    <row r="151" spans="1:13" x14ac:dyDescent="0.2">
      <c r="A151" s="24"/>
      <c r="D151" s="2"/>
      <c r="E151" s="2"/>
      <c r="F151" s="2"/>
      <c r="G151" s="2"/>
      <c r="H151" s="2"/>
      <c r="K151" s="2"/>
      <c r="L151" s="2"/>
      <c r="M151" s="2"/>
    </row>
    <row r="152" spans="1:13" x14ac:dyDescent="0.2">
      <c r="A152" s="24"/>
      <c r="D152" s="2"/>
      <c r="E152" s="2"/>
      <c r="F152" s="2"/>
      <c r="G152" s="2"/>
      <c r="H152" s="2"/>
      <c r="K152" s="2"/>
      <c r="L152" s="2"/>
      <c r="M152" s="2"/>
    </row>
    <row r="153" spans="1:13" x14ac:dyDescent="0.2">
      <c r="A153" s="24"/>
      <c r="D153" s="2"/>
      <c r="E153" s="2"/>
      <c r="F153" s="2"/>
      <c r="G153" s="2"/>
      <c r="H153" s="2"/>
      <c r="K153" s="2"/>
      <c r="L153" s="2"/>
      <c r="M153" s="2"/>
    </row>
    <row r="154" spans="1:13" x14ac:dyDescent="0.2">
      <c r="A154" s="24"/>
      <c r="D154" s="2"/>
      <c r="E154" s="2"/>
      <c r="F154" s="2"/>
      <c r="G154" s="2"/>
      <c r="H154" s="2"/>
      <c r="K154" s="2"/>
      <c r="L154" s="2"/>
      <c r="M154" s="2"/>
    </row>
    <row r="155" spans="1:13" x14ac:dyDescent="0.2">
      <c r="A155" s="24"/>
      <c r="D155" s="2"/>
      <c r="E155" s="2"/>
      <c r="F155" s="2"/>
      <c r="G155" s="2"/>
      <c r="H155" s="2"/>
      <c r="K155" s="2"/>
      <c r="L155" s="2"/>
      <c r="M155" s="2"/>
    </row>
    <row r="156" spans="1:13" x14ac:dyDescent="0.2">
      <c r="A156" s="24"/>
      <c r="D156" s="2"/>
      <c r="E156" s="2"/>
      <c r="F156" s="2"/>
      <c r="G156" s="2"/>
      <c r="H156" s="2"/>
      <c r="K156" s="2"/>
      <c r="L156" s="2"/>
      <c r="M156" s="2"/>
    </row>
    <row r="157" spans="1:13" x14ac:dyDescent="0.2">
      <c r="A157" s="24"/>
      <c r="D157" s="2"/>
      <c r="E157" s="2"/>
      <c r="F157" s="2"/>
      <c r="G157" s="2"/>
      <c r="H157" s="2"/>
      <c r="K157" s="2"/>
      <c r="L157" s="2"/>
      <c r="M157" s="2"/>
    </row>
    <row r="158" spans="1:13" x14ac:dyDescent="0.2">
      <c r="A158" s="24"/>
      <c r="D158" s="2"/>
      <c r="E158" s="2"/>
      <c r="F158" s="2"/>
      <c r="G158" s="2"/>
      <c r="H158" s="2"/>
      <c r="K158" s="2"/>
      <c r="L158" s="2"/>
      <c r="M158" s="2"/>
    </row>
    <row r="159" spans="1:13" x14ac:dyDescent="0.2">
      <c r="A159" s="24"/>
      <c r="D159" s="2"/>
      <c r="E159" s="2"/>
      <c r="F159" s="2"/>
      <c r="G159" s="2"/>
      <c r="H159" s="2"/>
      <c r="K159" s="2"/>
      <c r="L159" s="2"/>
      <c r="M159" s="2"/>
    </row>
    <row r="160" spans="1:13" x14ac:dyDescent="0.2">
      <c r="A160" s="24"/>
      <c r="D160" s="2"/>
      <c r="E160" s="2"/>
      <c r="F160" s="2"/>
      <c r="G160" s="2"/>
      <c r="H160" s="2"/>
      <c r="K160" s="2"/>
      <c r="L160" s="2"/>
      <c r="M160" s="2"/>
    </row>
    <row r="161" spans="1:13" x14ac:dyDescent="0.2">
      <c r="A161" s="24"/>
      <c r="D161" s="2"/>
      <c r="E161" s="2"/>
      <c r="F161" s="2"/>
      <c r="G161" s="2"/>
      <c r="H161" s="2"/>
      <c r="K161" s="2"/>
      <c r="L161" s="2"/>
      <c r="M161" s="2"/>
    </row>
    <row r="162" spans="1:13" x14ac:dyDescent="0.2">
      <c r="A162" s="24"/>
      <c r="D162" s="2"/>
      <c r="E162" s="2"/>
      <c r="F162" s="2"/>
      <c r="G162" s="2"/>
      <c r="H162" s="2"/>
      <c r="K162" s="2"/>
      <c r="L162" s="2"/>
      <c r="M162" s="2"/>
    </row>
    <row r="163" spans="1:13" x14ac:dyDescent="0.2">
      <c r="A163" s="24"/>
      <c r="D163" s="2"/>
      <c r="E163" s="2"/>
      <c r="F163" s="2"/>
      <c r="G163" s="2"/>
      <c r="H163" s="2"/>
      <c r="K163" s="2"/>
      <c r="L163" s="2"/>
      <c r="M163" s="2"/>
    </row>
    <row r="164" spans="1:13" x14ac:dyDescent="0.2">
      <c r="A164" s="24"/>
      <c r="D164" s="2"/>
      <c r="E164" s="2"/>
      <c r="F164" s="2"/>
      <c r="G164" s="2"/>
      <c r="H164" s="2"/>
      <c r="K164" s="2"/>
      <c r="L164" s="2"/>
      <c r="M164" s="2"/>
    </row>
    <row r="165" spans="1:13" x14ac:dyDescent="0.2">
      <c r="A165" s="24"/>
      <c r="D165" s="2"/>
      <c r="E165" s="2"/>
      <c r="F165" s="2"/>
      <c r="G165" s="2"/>
      <c r="H165" s="2"/>
      <c r="K165" s="2"/>
      <c r="L165" s="2"/>
      <c r="M165" s="2"/>
    </row>
    <row r="166" spans="1:13" x14ac:dyDescent="0.2">
      <c r="A166" s="24"/>
      <c r="D166" s="2"/>
      <c r="E166" s="2"/>
      <c r="F166" s="2"/>
      <c r="G166" s="2"/>
      <c r="H166" s="2"/>
      <c r="K166" s="2"/>
      <c r="L166" s="2"/>
      <c r="M166" s="2"/>
    </row>
    <row r="167" spans="1:13" x14ac:dyDescent="0.2">
      <c r="A167" s="24"/>
      <c r="D167" s="2"/>
      <c r="E167" s="2"/>
      <c r="F167" s="2"/>
      <c r="G167" s="2"/>
      <c r="H167" s="2"/>
      <c r="K167" s="2"/>
      <c r="L167" s="2"/>
      <c r="M167" s="2"/>
    </row>
    <row r="168" spans="1:13" x14ac:dyDescent="0.2">
      <c r="A168" s="24"/>
      <c r="D168" s="2"/>
      <c r="E168" s="2"/>
      <c r="F168" s="2"/>
      <c r="G168" s="2"/>
      <c r="H168" s="2"/>
      <c r="K168" s="2"/>
      <c r="L168" s="2"/>
      <c r="M168" s="2"/>
    </row>
    <row r="169" spans="1:13" x14ac:dyDescent="0.2">
      <c r="A169" s="24"/>
      <c r="D169" s="2"/>
      <c r="E169" s="2"/>
      <c r="F169" s="2"/>
      <c r="G169" s="2"/>
      <c r="H169" s="2"/>
      <c r="K169" s="2"/>
      <c r="L169" s="2"/>
      <c r="M169" s="2"/>
    </row>
    <row r="170" spans="1:13" x14ac:dyDescent="0.2">
      <c r="A170" s="24"/>
      <c r="D170" s="2"/>
      <c r="E170" s="2"/>
      <c r="F170" s="2"/>
      <c r="G170" s="2"/>
      <c r="H170" s="2"/>
      <c r="K170" s="2"/>
      <c r="L170" s="2"/>
      <c r="M170" s="2"/>
    </row>
    <row r="171" spans="1:13" x14ac:dyDescent="0.2">
      <c r="A171" s="24"/>
      <c r="D171" s="2"/>
      <c r="E171" s="2"/>
      <c r="F171" s="2"/>
      <c r="G171" s="2"/>
      <c r="H171" s="2"/>
      <c r="K171" s="2"/>
      <c r="L171" s="2"/>
      <c r="M171" s="2"/>
    </row>
    <row r="172" spans="1:13" x14ac:dyDescent="0.2">
      <c r="A172" s="24"/>
      <c r="D172" s="2"/>
      <c r="E172" s="2"/>
      <c r="F172" s="2"/>
      <c r="G172" s="2"/>
      <c r="H172" s="2"/>
      <c r="K172" s="2"/>
      <c r="L172" s="2"/>
      <c r="M172" s="2"/>
    </row>
    <row r="173" spans="1:13" x14ac:dyDescent="0.2">
      <c r="A173" s="24"/>
      <c r="D173" s="2"/>
      <c r="E173" s="2"/>
      <c r="F173" s="2"/>
      <c r="G173" s="2"/>
      <c r="H173" s="2"/>
      <c r="K173" s="2"/>
      <c r="L173" s="2"/>
      <c r="M173" s="2"/>
    </row>
    <row r="174" spans="1:13" x14ac:dyDescent="0.2">
      <c r="A174" s="24"/>
      <c r="D174" s="2"/>
      <c r="E174" s="2"/>
      <c r="F174" s="2"/>
      <c r="G174" s="2"/>
      <c r="H174" s="2"/>
      <c r="K174" s="2"/>
      <c r="L174" s="2"/>
      <c r="M174" s="2"/>
    </row>
    <row r="175" spans="1:13" x14ac:dyDescent="0.2">
      <c r="A175" s="24"/>
      <c r="D175" s="2"/>
      <c r="E175" s="2"/>
      <c r="F175" s="2"/>
      <c r="G175" s="2"/>
      <c r="H175" s="2"/>
      <c r="K175" s="2"/>
      <c r="L175" s="2"/>
      <c r="M175" s="2"/>
    </row>
    <row r="176" spans="1:13" x14ac:dyDescent="0.2">
      <c r="A176" s="24"/>
      <c r="D176" s="2"/>
      <c r="E176" s="2"/>
      <c r="F176" s="2"/>
      <c r="G176" s="2"/>
      <c r="H176" s="2"/>
      <c r="K176" s="2"/>
      <c r="L176" s="2"/>
      <c r="M176" s="2"/>
    </row>
    <row r="177" spans="1:13" x14ac:dyDescent="0.2">
      <c r="A177" s="24"/>
      <c r="D177" s="2"/>
      <c r="E177" s="2"/>
      <c r="F177" s="2"/>
      <c r="G177" s="2"/>
      <c r="H177" s="2"/>
      <c r="K177" s="2"/>
      <c r="L177" s="2"/>
      <c r="M177" s="2"/>
    </row>
    <row r="178" spans="1:13" x14ac:dyDescent="0.2">
      <c r="A178" s="24"/>
      <c r="D178" s="2"/>
      <c r="E178" s="2"/>
      <c r="F178" s="2"/>
      <c r="G178" s="2"/>
      <c r="H178" s="2"/>
      <c r="K178" s="2"/>
      <c r="L178" s="2"/>
      <c r="M178" s="2"/>
    </row>
    <row r="179" spans="1:13" x14ac:dyDescent="0.2">
      <c r="A179" s="24"/>
      <c r="D179" s="2"/>
      <c r="E179" s="2"/>
      <c r="F179" s="2"/>
      <c r="G179" s="2"/>
      <c r="H179" s="2"/>
      <c r="K179" s="2"/>
      <c r="L179" s="2"/>
      <c r="M179" s="2"/>
    </row>
    <row r="180" spans="1:13" x14ac:dyDescent="0.2">
      <c r="A180" s="24"/>
      <c r="D180" s="2"/>
      <c r="E180" s="2"/>
      <c r="F180" s="2"/>
      <c r="G180" s="2"/>
      <c r="H180" s="2"/>
      <c r="K180" s="2"/>
      <c r="L180" s="2"/>
      <c r="M180" s="2"/>
    </row>
    <row r="181" spans="1:13" x14ac:dyDescent="0.2">
      <c r="A181" s="24"/>
      <c r="D181" s="2"/>
      <c r="E181" s="2"/>
      <c r="F181" s="2"/>
      <c r="G181" s="2"/>
      <c r="H181" s="2"/>
      <c r="K181" s="2"/>
      <c r="L181" s="2"/>
      <c r="M181" s="2"/>
    </row>
    <row r="182" spans="1:13" x14ac:dyDescent="0.2">
      <c r="A182" s="24"/>
      <c r="D182" s="2"/>
      <c r="E182" s="2"/>
      <c r="F182" s="2"/>
      <c r="G182" s="2"/>
      <c r="H182" s="2"/>
      <c r="K182" s="2"/>
      <c r="L182" s="2"/>
      <c r="M182" s="2"/>
    </row>
    <row r="183" spans="1:13" x14ac:dyDescent="0.2">
      <c r="A183" s="24"/>
      <c r="D183" s="2"/>
      <c r="E183" s="2"/>
      <c r="F183" s="2"/>
      <c r="G183" s="2"/>
      <c r="H183" s="2"/>
      <c r="K183" s="2"/>
      <c r="L183" s="2"/>
      <c r="M183" s="2"/>
    </row>
    <row r="184" spans="1:13" x14ac:dyDescent="0.2">
      <c r="A184" s="24"/>
      <c r="D184" s="2"/>
      <c r="E184" s="2"/>
      <c r="F184" s="2"/>
      <c r="G184" s="2"/>
      <c r="H184" s="2"/>
      <c r="K184" s="2"/>
      <c r="L184" s="2"/>
      <c r="M184" s="2"/>
    </row>
    <row r="185" spans="1:13" x14ac:dyDescent="0.2">
      <c r="A185" s="24"/>
      <c r="D185" s="2"/>
      <c r="E185" s="2"/>
      <c r="F185" s="2"/>
      <c r="G185" s="2"/>
      <c r="H185" s="2"/>
      <c r="K185" s="2"/>
      <c r="L185" s="2"/>
      <c r="M185" s="2"/>
    </row>
    <row r="186" spans="1:13" x14ac:dyDescent="0.2">
      <c r="A186" s="24"/>
      <c r="D186" s="2"/>
      <c r="E186" s="2"/>
      <c r="F186" s="2"/>
      <c r="G186" s="2"/>
      <c r="H186" s="2"/>
      <c r="K186" s="2"/>
      <c r="L186" s="2"/>
      <c r="M186" s="2"/>
    </row>
    <row r="187" spans="1:13" x14ac:dyDescent="0.2">
      <c r="A187" s="24"/>
      <c r="D187" s="2"/>
      <c r="E187" s="2"/>
      <c r="F187" s="2"/>
      <c r="G187" s="2"/>
      <c r="H187" s="2"/>
      <c r="K187" s="2"/>
      <c r="L187" s="2"/>
      <c r="M187" s="2"/>
    </row>
    <row r="188" spans="1:13" x14ac:dyDescent="0.2">
      <c r="A188" s="24"/>
      <c r="D188" s="2"/>
      <c r="E188" s="2"/>
      <c r="F188" s="2"/>
      <c r="G188" s="2"/>
      <c r="H188" s="2"/>
      <c r="K188" s="2"/>
      <c r="L188" s="2"/>
      <c r="M188" s="2"/>
    </row>
    <row r="189" spans="1:13" x14ac:dyDescent="0.2">
      <c r="A189" s="24"/>
      <c r="D189" s="2"/>
      <c r="E189" s="2"/>
      <c r="F189" s="2"/>
      <c r="G189" s="2"/>
      <c r="H189" s="2"/>
      <c r="K189" s="2"/>
      <c r="L189" s="2"/>
      <c r="M189" s="2"/>
    </row>
    <row r="190" spans="1:13" x14ac:dyDescent="0.2">
      <c r="A190" s="24"/>
      <c r="D190" s="2"/>
      <c r="E190" s="2"/>
      <c r="F190" s="2"/>
      <c r="G190" s="2"/>
      <c r="H190" s="2"/>
      <c r="K190" s="2"/>
      <c r="L190" s="2"/>
      <c r="M190" s="2"/>
    </row>
    <row r="191" spans="1:13" x14ac:dyDescent="0.2">
      <c r="A191" s="24"/>
      <c r="D191" s="2"/>
      <c r="E191" s="2"/>
      <c r="F191" s="2"/>
      <c r="G191" s="2"/>
      <c r="H191" s="2"/>
      <c r="K191" s="2"/>
      <c r="L191" s="2"/>
      <c r="M191" s="2"/>
    </row>
    <row r="192" spans="1:13" x14ac:dyDescent="0.2">
      <c r="A192" s="24"/>
      <c r="D192" s="2"/>
      <c r="E192" s="2"/>
      <c r="F192" s="2"/>
      <c r="G192" s="2"/>
      <c r="H192" s="2"/>
      <c r="K192" s="2"/>
      <c r="L192" s="2"/>
      <c r="M192" s="2"/>
    </row>
    <row r="193" spans="1:13" x14ac:dyDescent="0.2">
      <c r="A193" s="24"/>
      <c r="D193" s="2"/>
      <c r="E193" s="2"/>
      <c r="F193" s="2"/>
      <c r="G193" s="2"/>
      <c r="H193" s="2"/>
      <c r="K193" s="2"/>
      <c r="L193" s="2"/>
      <c r="M193" s="2"/>
    </row>
    <row r="194" spans="1:13" x14ac:dyDescent="0.2">
      <c r="A194" s="24"/>
      <c r="D194" s="2"/>
      <c r="E194" s="2"/>
      <c r="F194" s="2"/>
      <c r="G194" s="2"/>
      <c r="H194" s="2"/>
      <c r="K194" s="2"/>
      <c r="L194" s="2"/>
      <c r="M194" s="2"/>
    </row>
    <row r="195" spans="1:13" x14ac:dyDescent="0.2">
      <c r="A195" s="24"/>
      <c r="D195" s="2"/>
      <c r="E195" s="2"/>
      <c r="F195" s="2"/>
      <c r="G195" s="2"/>
      <c r="H195" s="2"/>
      <c r="K195" s="2"/>
      <c r="L195" s="2"/>
      <c r="M195" s="2"/>
    </row>
    <row r="196" spans="1:13" x14ac:dyDescent="0.2">
      <c r="A196" s="24"/>
      <c r="D196" s="2"/>
      <c r="E196" s="2"/>
      <c r="F196" s="2"/>
      <c r="G196" s="2"/>
      <c r="H196" s="2"/>
      <c r="K196" s="2"/>
      <c r="L196" s="2"/>
      <c r="M196" s="2"/>
    </row>
    <row r="197" spans="1:13" x14ac:dyDescent="0.2">
      <c r="A197" s="24"/>
      <c r="D197" s="2"/>
      <c r="E197" s="2"/>
      <c r="F197" s="2"/>
      <c r="G197" s="2"/>
      <c r="H197" s="2"/>
      <c r="K197" s="2"/>
      <c r="L197" s="2"/>
      <c r="M197" s="2"/>
    </row>
    <row r="198" spans="1:13" x14ac:dyDescent="0.2">
      <c r="D198" s="2"/>
      <c r="E198" s="2"/>
      <c r="F198" s="2"/>
      <c r="G198" s="2"/>
      <c r="H198" s="2"/>
      <c r="K198" s="2"/>
      <c r="L198" s="2"/>
      <c r="M198" s="2"/>
    </row>
  </sheetData>
  <mergeCells count="2">
    <mergeCell ref="B47:O47"/>
    <mergeCell ref="B48:O48"/>
  </mergeCells>
  <printOptions horizontalCentered="1"/>
  <pageMargins left="0.7" right="0.7" top="0.75" bottom="0.75" header="0.3" footer="0.3"/>
  <pageSetup scale="72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"/>
  <sheetViews>
    <sheetView workbookViewId="0">
      <selection activeCell="E12" sqref="E12"/>
    </sheetView>
  </sheetViews>
  <sheetFormatPr defaultRowHeight="12.75" x14ac:dyDescent="0.2"/>
  <cols>
    <col min="1" max="16384" width="9.140625" style="179"/>
  </cols>
  <sheetData/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</sheetPr>
  <dimension ref="A1:J49"/>
  <sheetViews>
    <sheetView zoomScaleNormal="100" workbookViewId="0">
      <pane ySplit="8" topLeftCell="A9" activePane="bottomLeft" state="frozen"/>
      <selection activeCell="E12" sqref="E12"/>
      <selection pane="bottomLeft" activeCell="E12" sqref="E12"/>
    </sheetView>
  </sheetViews>
  <sheetFormatPr defaultColWidth="9.140625" defaultRowHeight="11.25" x14ac:dyDescent="0.2"/>
  <cols>
    <col min="1" max="1" width="6.140625" style="2" bestFit="1" customWidth="1"/>
    <col min="2" max="2" width="49.42578125" style="2" customWidth="1"/>
    <col min="3" max="3" width="14.42578125" style="12" bestFit="1" customWidth="1"/>
    <col min="4" max="5" width="14.42578125" style="12" customWidth="1"/>
    <col min="6" max="6" width="15.5703125" style="12" customWidth="1"/>
    <col min="7" max="7" width="12.42578125" style="28" customWidth="1"/>
    <col min="8" max="16384" width="9.140625" style="2"/>
  </cols>
  <sheetData>
    <row r="1" spans="1:10" s="14" customFormat="1" x14ac:dyDescent="0.2">
      <c r="A1" s="30" t="str">
        <f>'Rate Impacts'!A1</f>
        <v>PUGET SOUND ENERGY</v>
      </c>
      <c r="B1" s="30"/>
      <c r="C1" s="30"/>
      <c r="D1" s="30"/>
      <c r="E1" s="30"/>
      <c r="F1" s="30"/>
      <c r="G1" s="30"/>
    </row>
    <row r="2" spans="1:10" s="14" customFormat="1" x14ac:dyDescent="0.2">
      <c r="A2" s="30" t="str">
        <f>'Rate Impacts'!A2</f>
        <v xml:space="preserve">Schedule 129 - Low Income Program </v>
      </c>
      <c r="B2" s="30"/>
      <c r="C2" s="30"/>
      <c r="D2" s="30"/>
      <c r="E2" s="30"/>
      <c r="F2" s="30"/>
      <c r="G2" s="30"/>
    </row>
    <row r="3" spans="1:10" s="14" customFormat="1" x14ac:dyDescent="0.2">
      <c r="A3" s="30" t="str">
        <f>Inputs!B2&amp;" Forecasted Rate-Year Ended "&amp;TEXT(Inputs!B4,"mmmm d, yyyy")</f>
        <v>F2023 Forecasted Rate-Year Ended September 30, 2024</v>
      </c>
      <c r="B3" s="30"/>
      <c r="C3" s="30"/>
      <c r="D3" s="30"/>
      <c r="E3" s="161"/>
      <c r="F3" s="30"/>
      <c r="G3" s="30"/>
      <c r="J3" s="2"/>
    </row>
    <row r="4" spans="1:10" s="14" customFormat="1" x14ac:dyDescent="0.2">
      <c r="A4" s="30" t="str">
        <f>"Proposed Rate Effective "&amp;TEXT(Inputs!B1,"mmmm d, yyyy")</f>
        <v>Proposed Rate Effective May 1, 2024</v>
      </c>
      <c r="B4" s="30"/>
      <c r="C4" s="30"/>
      <c r="D4" s="30"/>
      <c r="E4" s="161"/>
      <c r="F4" s="30"/>
      <c r="G4" s="30"/>
      <c r="J4" s="2"/>
    </row>
    <row r="5" spans="1:10" s="14" customFormat="1" x14ac:dyDescent="0.2">
      <c r="A5" s="30" t="s">
        <v>177</v>
      </c>
      <c r="B5" s="30"/>
      <c r="C5" s="30"/>
      <c r="D5" s="30"/>
      <c r="E5" s="161"/>
      <c r="F5" s="30"/>
      <c r="G5" s="30"/>
    </row>
    <row r="6" spans="1:10" x14ac:dyDescent="0.2">
      <c r="E6" s="162"/>
    </row>
    <row r="7" spans="1:10" s="71" customFormat="1" ht="57" thickBot="1" x14ac:dyDescent="0.25">
      <c r="A7" s="134" t="s">
        <v>6</v>
      </c>
      <c r="B7" s="134" t="s">
        <v>22</v>
      </c>
      <c r="C7" s="134" t="s">
        <v>0</v>
      </c>
      <c r="D7" s="134" t="str">
        <f>'Rate Impacts'!G7</f>
        <v>F2023 Forecast Energy (kWh) 5/01/24 - 09/30/24</v>
      </c>
      <c r="E7" s="191" t="s">
        <v>192</v>
      </c>
      <c r="F7" s="134" t="s">
        <v>175</v>
      </c>
      <c r="G7" s="192" t="s">
        <v>176</v>
      </c>
    </row>
    <row r="8" spans="1:10" s="67" customFormat="1" x14ac:dyDescent="0.2">
      <c r="A8" s="12">
        <v>1</v>
      </c>
      <c r="B8" s="173"/>
      <c r="D8" s="148" t="s">
        <v>101</v>
      </c>
      <c r="E8" s="163" t="s">
        <v>100</v>
      </c>
      <c r="F8" s="149" t="s">
        <v>171</v>
      </c>
      <c r="G8" s="148" t="s">
        <v>172</v>
      </c>
    </row>
    <row r="9" spans="1:10" x14ac:dyDescent="0.2">
      <c r="A9" s="12">
        <f t="shared" ref="A9:A49" si="0">+A8+1</f>
        <v>2</v>
      </c>
      <c r="D9" s="5"/>
      <c r="E9" s="164"/>
      <c r="F9" s="5"/>
      <c r="G9" s="150"/>
    </row>
    <row r="10" spans="1:10" x14ac:dyDescent="0.2">
      <c r="A10" s="12">
        <f t="shared" si="0"/>
        <v>3</v>
      </c>
      <c r="B10" s="10" t="s">
        <v>1</v>
      </c>
      <c r="C10" s="12" t="str">
        <f>'Rate Impacts'!C10</f>
        <v>7 (307) (317) (327)</v>
      </c>
      <c r="D10" s="193">
        <f>VLOOKUP('Rate Spread &amp; Design'!C10,'Rate Impacts'!C10:G35,5,FALSE)</f>
        <v>3859354670.4116716</v>
      </c>
      <c r="E10" s="165">
        <v>1553425993.3356049</v>
      </c>
      <c r="F10" s="151">
        <f>(IF(D10&gt;0,E10*$E$45/D10,0))</f>
        <v>4.3131242614869022E-3</v>
      </c>
      <c r="G10" s="152">
        <f>+F10*D10</f>
        <v>16645876.262635369</v>
      </c>
    </row>
    <row r="11" spans="1:10" x14ac:dyDescent="0.2">
      <c r="A11" s="12">
        <f t="shared" si="0"/>
        <v>4</v>
      </c>
      <c r="B11" s="10"/>
      <c r="D11" s="5"/>
      <c r="E11" s="165"/>
      <c r="F11" s="154"/>
      <c r="G11" s="150"/>
    </row>
    <row r="12" spans="1:10" x14ac:dyDescent="0.2">
      <c r="A12" s="12">
        <f t="shared" si="0"/>
        <v>5</v>
      </c>
      <c r="B12" s="10" t="str">
        <f>'Rate Impacts'!B12</f>
        <v>Secondary Voltage:</v>
      </c>
      <c r="D12" s="5"/>
      <c r="E12" s="165"/>
      <c r="F12" s="154"/>
      <c r="G12" s="150"/>
    </row>
    <row r="13" spans="1:10" x14ac:dyDescent="0.2">
      <c r="A13" s="12">
        <f t="shared" si="0"/>
        <v>6</v>
      </c>
      <c r="B13" s="10" t="str">
        <f>'Rate Impacts'!B13</f>
        <v>General Service: Demand &lt;= 50 kW</v>
      </c>
      <c r="C13" s="12" t="str">
        <f>'Rate Impacts'!C13</f>
        <v>08 (24) (324)</v>
      </c>
      <c r="D13" s="193">
        <f>VLOOKUP('Rate Spread &amp; Design'!C13,'Rate Impacts'!C12:G37,5,FALSE)</f>
        <v>1083624263.187233</v>
      </c>
      <c r="E13" s="165">
        <v>352036013.1783666</v>
      </c>
      <c r="F13" s="151">
        <f t="shared" ref="F13:F16" si="1">(IF(D13&gt;0,E13*$E$45/D13,0))</f>
        <v>3.4811638693181784E-3</v>
      </c>
      <c r="G13" s="152">
        <f>+F13*D13</f>
        <v>3772273.6329239281</v>
      </c>
    </row>
    <row r="14" spans="1:10" x14ac:dyDescent="0.2">
      <c r="A14" s="12">
        <f t="shared" si="0"/>
        <v>7</v>
      </c>
      <c r="B14" s="10" t="s">
        <v>10</v>
      </c>
      <c r="C14" s="12" t="str">
        <f>'Rate Impacts'!C14</f>
        <v>7A (11) (25)</v>
      </c>
      <c r="D14" s="193">
        <f>VLOOKUP('Rate Spread &amp; Design'!C14,'Rate Impacts'!C13:G38,5,FALSE)</f>
        <v>1207008066.3690515</v>
      </c>
      <c r="E14" s="165">
        <v>353315716.3507514</v>
      </c>
      <c r="F14" s="151">
        <f t="shared" si="1"/>
        <v>3.1366703447255804E-3</v>
      </c>
      <c r="G14" s="152">
        <f>+F14*D14</f>
        <v>3785986.407624369</v>
      </c>
    </row>
    <row r="15" spans="1:10" x14ac:dyDescent="0.2">
      <c r="A15" s="12">
        <f t="shared" si="0"/>
        <v>8</v>
      </c>
      <c r="B15" s="10" t="s">
        <v>11</v>
      </c>
      <c r="C15" s="12" t="str">
        <f>'Rate Impacts'!C15</f>
        <v>12 (26) (26P)</v>
      </c>
      <c r="D15" s="193">
        <f>VLOOKUP('Rate Spread &amp; Design'!C15,'Rate Impacts'!C14:G39,5,FALSE)</f>
        <v>832857580.41544116</v>
      </c>
      <c r="E15" s="165">
        <v>216490521.99014384</v>
      </c>
      <c r="F15" s="151">
        <f t="shared" si="1"/>
        <v>2.7853786266945663E-3</v>
      </c>
      <c r="G15" s="152">
        <f>+F15*D15</f>
        <v>2319823.703569721</v>
      </c>
    </row>
    <row r="16" spans="1:10" x14ac:dyDescent="0.2">
      <c r="A16" s="12">
        <f t="shared" si="0"/>
        <v>9</v>
      </c>
      <c r="B16" s="10" t="s">
        <v>12</v>
      </c>
      <c r="C16" s="12">
        <f>'Rate Impacts'!C16</f>
        <v>29</v>
      </c>
      <c r="D16" s="193">
        <f>VLOOKUP('Rate Spread &amp; Design'!C16,'Rate Impacts'!C15:G40,5,FALSE)</f>
        <v>11924015.463571098</v>
      </c>
      <c r="E16" s="165">
        <v>1716444.6763293121</v>
      </c>
      <c r="F16" s="151">
        <f t="shared" si="1"/>
        <v>1.5424936097658186E-3</v>
      </c>
      <c r="G16" s="152">
        <f>+F16*D16</f>
        <v>18392.717655307224</v>
      </c>
    </row>
    <row r="17" spans="1:7" x14ac:dyDescent="0.2">
      <c r="A17" s="12">
        <f t="shared" si="0"/>
        <v>10</v>
      </c>
      <c r="B17" s="10"/>
      <c r="D17" s="5"/>
      <c r="E17" s="165"/>
      <c r="F17" s="154"/>
      <c r="G17" s="150"/>
    </row>
    <row r="18" spans="1:7" x14ac:dyDescent="0.2">
      <c r="A18" s="12">
        <f t="shared" si="0"/>
        <v>11</v>
      </c>
      <c r="B18" s="10" t="s">
        <v>13</v>
      </c>
      <c r="D18" s="5"/>
      <c r="E18" s="165"/>
      <c r="F18" s="154"/>
      <c r="G18" s="150"/>
    </row>
    <row r="19" spans="1:7" x14ac:dyDescent="0.2">
      <c r="A19" s="12">
        <f t="shared" si="0"/>
        <v>12</v>
      </c>
      <c r="B19" s="10" t="s">
        <v>13</v>
      </c>
      <c r="C19" s="12" t="str">
        <f>'Rate Impacts'!C20</f>
        <v>10 (31)</v>
      </c>
      <c r="D19" s="193">
        <f>VLOOKUP('Rate Spread &amp; Design'!C19,'Rate Impacts'!C17:G42,5,FALSE)</f>
        <v>592522375.46598101</v>
      </c>
      <c r="E19" s="165">
        <v>152378372.44033</v>
      </c>
      <c r="F19" s="151">
        <f t="shared" ref="F19:F21" si="2">(IF(D19&gt;0,E19*$E$45/D19,0))</f>
        <v>2.7557173423191387E-3</v>
      </c>
      <c r="G19" s="152">
        <f>+F19*D19</f>
        <v>1632824.1857837359</v>
      </c>
    </row>
    <row r="20" spans="1:7" x14ac:dyDescent="0.2">
      <c r="A20" s="12">
        <f t="shared" si="0"/>
        <v>13</v>
      </c>
      <c r="B20" s="10" t="s">
        <v>14</v>
      </c>
      <c r="C20" s="12">
        <f>'Rate Impacts'!C21</f>
        <v>35</v>
      </c>
      <c r="D20" s="193">
        <f>VLOOKUP('Rate Spread &amp; Design'!C20,'Rate Impacts'!C18:G43,5,FALSE)</f>
        <v>3354905.3666315647</v>
      </c>
      <c r="E20" s="165">
        <v>413324.1367977279</v>
      </c>
      <c r="F20" s="151">
        <f t="shared" si="2"/>
        <v>1.3201600528994415E-3</v>
      </c>
      <c r="G20" s="152">
        <f>+F20*D20</f>
        <v>4429.0120462849463</v>
      </c>
    </row>
    <row r="21" spans="1:7" x14ac:dyDescent="0.2">
      <c r="A21" s="12">
        <f t="shared" si="0"/>
        <v>14</v>
      </c>
      <c r="B21" s="10" t="s">
        <v>15</v>
      </c>
      <c r="C21" s="12">
        <f>'Rate Impacts'!C22</f>
        <v>43</v>
      </c>
      <c r="D21" s="193">
        <f>VLOOKUP('Rate Spread &amp; Design'!C21,'Rate Impacts'!C19:G44,5,FALSE)</f>
        <v>35396877.41624108</v>
      </c>
      <c r="E21" s="165">
        <v>13523919.856161838</v>
      </c>
      <c r="F21" s="151">
        <f t="shared" si="2"/>
        <v>4.0940555463761363E-3</v>
      </c>
      <c r="G21" s="152">
        <f>+F21*D21</f>
        <v>144916.78231035799</v>
      </c>
    </row>
    <row r="22" spans="1:7" x14ac:dyDescent="0.2">
      <c r="A22" s="12">
        <f t="shared" si="0"/>
        <v>15</v>
      </c>
      <c r="B22" s="3"/>
      <c r="D22" s="5"/>
      <c r="E22" s="165"/>
      <c r="F22" s="154"/>
      <c r="G22" s="150"/>
    </row>
    <row r="23" spans="1:7" x14ac:dyDescent="0.2">
      <c r="A23" s="12">
        <f t="shared" si="0"/>
        <v>16</v>
      </c>
      <c r="B23" s="10" t="s">
        <v>16</v>
      </c>
      <c r="D23" s="5"/>
      <c r="E23" s="165"/>
      <c r="F23" s="154"/>
      <c r="G23" s="150"/>
    </row>
    <row r="24" spans="1:7" x14ac:dyDescent="0.2">
      <c r="A24" s="12">
        <f t="shared" si="0"/>
        <v>17</v>
      </c>
      <c r="B24" s="10" t="s">
        <v>16</v>
      </c>
      <c r="C24" s="12">
        <f>'Rate Impacts'!C26</f>
        <v>46</v>
      </c>
      <c r="D24" s="193">
        <f>VLOOKUP('Rate Spread &amp; Design'!C24,'Rate Impacts'!C21:G46,5,FALSE)</f>
        <v>45367480.321772546</v>
      </c>
      <c r="E24" s="165">
        <v>8041749.5421660542</v>
      </c>
      <c r="F24" s="151">
        <f>(IF(D24&gt;0,E24*$E$45/D24,0))</f>
        <v>1.8994242465807912E-3</v>
      </c>
      <c r="G24" s="152">
        <f>+F24*D24</f>
        <v>86172.092129451688</v>
      </c>
    </row>
    <row r="25" spans="1:7" x14ac:dyDescent="0.2">
      <c r="A25" s="12">
        <f t="shared" si="0"/>
        <v>18</v>
      </c>
      <c r="B25" s="3" t="s">
        <v>17</v>
      </c>
      <c r="C25" s="12">
        <f>'Rate Impacts'!C27</f>
        <v>49</v>
      </c>
      <c r="D25" s="193">
        <f>VLOOKUP('Rate Spread &amp; Design'!C25,'Rate Impacts'!C22:G47,5,FALSE)</f>
        <v>223159599.1627351</v>
      </c>
      <c r="E25" s="165">
        <v>44930406.380689926</v>
      </c>
      <c r="F25" s="151">
        <f>(IF(D25&gt;0,E25*$E$45/D25,0))</f>
        <v>2.1574506387209082E-3</v>
      </c>
      <c r="G25" s="152">
        <f>+F25*D25</f>
        <v>481455.81975034467</v>
      </c>
    </row>
    <row r="26" spans="1:7" x14ac:dyDescent="0.2">
      <c r="A26" s="12">
        <f t="shared" si="0"/>
        <v>19</v>
      </c>
      <c r="D26" s="5"/>
      <c r="E26" s="165"/>
      <c r="F26" s="154"/>
      <c r="G26" s="150"/>
    </row>
    <row r="27" spans="1:7" x14ac:dyDescent="0.2">
      <c r="A27" s="12">
        <f t="shared" si="0"/>
        <v>20</v>
      </c>
      <c r="B27" s="2" t="s">
        <v>140</v>
      </c>
      <c r="C27" s="12" t="str">
        <f>'Rate Impacts'!C30</f>
        <v>448 - 459</v>
      </c>
      <c r="D27" s="193">
        <f>VLOOKUP('Rate Spread &amp; Design'!C27,'Rate Impacts'!C24:G49,5,FALSE)</f>
        <v>841072147.33299208</v>
      </c>
      <c r="E27" s="165">
        <v>9738453.3850913215</v>
      </c>
      <c r="F27" s="151">
        <f>(IF(D27&gt;0,E27*$E$45/D27,0))</f>
        <v>1.2407172849060927E-4</v>
      </c>
      <c r="G27" s="152">
        <f>+F27*D27</f>
        <v>104353.27510491271</v>
      </c>
    </row>
    <row r="28" spans="1:7" x14ac:dyDescent="0.2">
      <c r="A28" s="12">
        <f t="shared" si="0"/>
        <v>21</v>
      </c>
      <c r="D28" s="5"/>
      <c r="E28" s="165"/>
      <c r="F28" s="154"/>
      <c r="G28" s="150"/>
    </row>
    <row r="29" spans="1:7" x14ac:dyDescent="0.2">
      <c r="A29" s="12">
        <f t="shared" si="0"/>
        <v>22</v>
      </c>
      <c r="B29" s="10" t="s">
        <v>185</v>
      </c>
      <c r="C29" s="12" t="str">
        <f>'Rate Impacts'!C32</f>
        <v>Special Contract</v>
      </c>
      <c r="D29" s="193">
        <f>VLOOKUP('Rate Spread &amp; Design'!C29,'Rate Impacts'!C24:G49,5,FALSE)</f>
        <v>126085371.192</v>
      </c>
      <c r="E29" s="165">
        <v>4224837.4681716226</v>
      </c>
      <c r="F29" s="13">
        <v>0</v>
      </c>
      <c r="G29" s="152">
        <f>+F29*D29</f>
        <v>0</v>
      </c>
    </row>
    <row r="30" spans="1:7" x14ac:dyDescent="0.2">
      <c r="A30" s="12">
        <f t="shared" si="0"/>
        <v>23</v>
      </c>
      <c r="D30" s="193"/>
      <c r="E30" s="165"/>
      <c r="F30" s="154"/>
      <c r="G30" s="150"/>
    </row>
    <row r="31" spans="1:7" x14ac:dyDescent="0.2">
      <c r="A31" s="12">
        <f t="shared" si="0"/>
        <v>24</v>
      </c>
      <c r="B31" s="2" t="s">
        <v>18</v>
      </c>
      <c r="C31" s="12" t="str">
        <f>'Rate Impacts'!C34</f>
        <v>50 - 59</v>
      </c>
      <c r="D31" s="193">
        <f>VLOOKUP('Rate Spread &amp; Design'!C31,'Rate Impacts'!C26:G51,5,FALSE)</f>
        <v>27473618.710171256</v>
      </c>
      <c r="E31" s="165">
        <v>22070283.139060713</v>
      </c>
      <c r="F31" s="151">
        <f>(IF(D31&gt;0,E31*$E$45/D31,0))</f>
        <v>8.608116424745238E-3</v>
      </c>
      <c r="G31" s="152">
        <f>+F31*D31</f>
        <v>236496.10846621328</v>
      </c>
    </row>
    <row r="32" spans="1:7" x14ac:dyDescent="0.2">
      <c r="A32" s="12">
        <f t="shared" si="0"/>
        <v>25</v>
      </c>
      <c r="D32" s="5"/>
      <c r="E32" s="153"/>
      <c r="F32" s="154"/>
      <c r="G32" s="150"/>
    </row>
    <row r="33" spans="1:7" ht="12" thickBot="1" x14ac:dyDescent="0.25">
      <c r="A33" s="12">
        <f t="shared" si="0"/>
        <v>26</v>
      </c>
      <c r="D33" s="146">
        <f>SUM(D10:D31)</f>
        <v>8889200970.8154926</v>
      </c>
      <c r="E33" s="147">
        <f>SUM(E10:E31)</f>
        <v>2732306035.8796659</v>
      </c>
      <c r="F33" s="7"/>
      <c r="G33" s="147">
        <f>SUM(G10:G31)</f>
        <v>29232999.999999996</v>
      </c>
    </row>
    <row r="34" spans="1:7" ht="12" thickTop="1" x14ac:dyDescent="0.2">
      <c r="A34" s="12">
        <f t="shared" si="0"/>
        <v>27</v>
      </c>
      <c r="B34" s="194" t="s">
        <v>169</v>
      </c>
      <c r="C34" s="195"/>
      <c r="D34" s="196">
        <f>SUM(D10:D31)-'Rate Impacts'!G36</f>
        <v>0</v>
      </c>
      <c r="E34" s="196">
        <v>0</v>
      </c>
      <c r="F34" s="195"/>
      <c r="G34" s="197">
        <f>G33-E39</f>
        <v>0</v>
      </c>
    </row>
    <row r="35" spans="1:7" x14ac:dyDescent="0.2">
      <c r="A35" s="12">
        <f t="shared" si="0"/>
        <v>28</v>
      </c>
      <c r="B35" s="143"/>
      <c r="C35" s="144"/>
      <c r="D35" s="144"/>
      <c r="E35" s="144"/>
      <c r="F35" s="145"/>
      <c r="G35" s="198"/>
    </row>
    <row r="36" spans="1:7" x14ac:dyDescent="0.2">
      <c r="A36" s="12">
        <f t="shared" si="0"/>
        <v>29</v>
      </c>
      <c r="B36" s="2" t="s">
        <v>20</v>
      </c>
      <c r="C36" s="12">
        <v>5</v>
      </c>
      <c r="D36" s="199">
        <v>1606093.896084789</v>
      </c>
      <c r="E36" s="200">
        <v>692952.19305883767</v>
      </c>
      <c r="F36" s="95"/>
      <c r="G36" s="83"/>
    </row>
    <row r="37" spans="1:7" ht="12" thickBot="1" x14ac:dyDescent="0.25">
      <c r="A37" s="12">
        <f t="shared" si="0"/>
        <v>30</v>
      </c>
      <c r="B37" s="2" t="s">
        <v>21</v>
      </c>
      <c r="D37" s="141">
        <f>D33+D36</f>
        <v>8890807064.7115784</v>
      </c>
      <c r="E37" s="142">
        <f>E33+E36</f>
        <v>2732998988.0727248</v>
      </c>
      <c r="F37" s="95"/>
      <c r="G37" s="86"/>
    </row>
    <row r="38" spans="1:7" ht="12" thickTop="1" x14ac:dyDescent="0.2">
      <c r="A38" s="12">
        <f t="shared" si="0"/>
        <v>31</v>
      </c>
      <c r="D38" s="28"/>
      <c r="E38" s="135"/>
      <c r="F38" s="95"/>
      <c r="G38" s="86"/>
    </row>
    <row r="39" spans="1:7" x14ac:dyDescent="0.2">
      <c r="A39" s="12">
        <f t="shared" si="0"/>
        <v>32</v>
      </c>
      <c r="B39" s="3" t="s">
        <v>180</v>
      </c>
      <c r="D39" s="2"/>
      <c r="E39" s="55">
        <f>RevReq!F22</f>
        <v>29233000</v>
      </c>
      <c r="F39" s="95"/>
      <c r="G39" s="86"/>
    </row>
    <row r="40" spans="1:7" ht="10.9" customHeight="1" x14ac:dyDescent="0.2">
      <c r="A40" s="12">
        <f t="shared" si="0"/>
        <v>33</v>
      </c>
      <c r="B40" s="3" t="s">
        <v>91</v>
      </c>
      <c r="D40" s="28"/>
      <c r="E40" s="55">
        <f>-G29</f>
        <v>0</v>
      </c>
      <c r="F40" s="95"/>
      <c r="G40" s="94"/>
    </row>
    <row r="41" spans="1:7" ht="12.6" customHeight="1" x14ac:dyDescent="0.2">
      <c r="A41" s="12">
        <f t="shared" si="0"/>
        <v>34</v>
      </c>
      <c r="B41" s="3" t="s">
        <v>75</v>
      </c>
      <c r="D41" s="28"/>
      <c r="E41" s="136">
        <f>SUM(E39:E40)</f>
        <v>29233000</v>
      </c>
      <c r="F41" s="95"/>
      <c r="G41" s="86"/>
    </row>
    <row r="42" spans="1:7" x14ac:dyDescent="0.2">
      <c r="A42" s="12">
        <f t="shared" si="0"/>
        <v>35</v>
      </c>
      <c r="B42" s="3"/>
      <c r="D42" s="28"/>
      <c r="E42" s="55"/>
      <c r="F42" s="95"/>
      <c r="G42" s="83"/>
    </row>
    <row r="43" spans="1:7" x14ac:dyDescent="0.2">
      <c r="A43" s="12">
        <f t="shared" si="0"/>
        <v>36</v>
      </c>
      <c r="B43" s="2" t="s">
        <v>74</v>
      </c>
      <c r="D43" s="28"/>
      <c r="E43" s="135">
        <f>E33-E29</f>
        <v>2728081198.4114943</v>
      </c>
      <c r="F43" s="95"/>
      <c r="G43" s="83"/>
    </row>
    <row r="44" spans="1:7" ht="12" thickBot="1" x14ac:dyDescent="0.25">
      <c r="A44" s="12">
        <f t="shared" si="0"/>
        <v>37</v>
      </c>
      <c r="D44" s="28"/>
      <c r="E44" s="28"/>
      <c r="F44" s="95"/>
      <c r="G44" s="83"/>
    </row>
    <row r="45" spans="1:7" ht="12" thickBot="1" x14ac:dyDescent="0.25">
      <c r="A45" s="12">
        <f t="shared" si="0"/>
        <v>38</v>
      </c>
      <c r="B45" s="137" t="s">
        <v>76</v>
      </c>
      <c r="C45" s="138"/>
      <c r="D45" s="139"/>
      <c r="E45" s="140">
        <f>+E41/E43</f>
        <v>1.0715590143365886E-2</v>
      </c>
      <c r="F45" s="155" t="s">
        <v>23</v>
      </c>
      <c r="G45" s="83"/>
    </row>
    <row r="46" spans="1:7" ht="12" thickBot="1" x14ac:dyDescent="0.25">
      <c r="A46" s="12">
        <f t="shared" si="0"/>
        <v>39</v>
      </c>
      <c r="B46" s="93"/>
      <c r="C46" s="92"/>
      <c r="D46" s="92"/>
      <c r="E46" s="92"/>
      <c r="F46" s="91"/>
      <c r="G46" s="90"/>
    </row>
    <row r="47" spans="1:7" ht="12" thickTop="1" x14ac:dyDescent="0.2">
      <c r="A47" s="12">
        <f t="shared" si="0"/>
        <v>40</v>
      </c>
    </row>
    <row r="48" spans="1:7" x14ac:dyDescent="0.2">
      <c r="A48" s="12">
        <f t="shared" si="0"/>
        <v>41</v>
      </c>
      <c r="B48" s="175" t="s">
        <v>186</v>
      </c>
      <c r="C48" s="175"/>
      <c r="D48" s="175"/>
      <c r="E48" s="175"/>
      <c r="F48" s="175"/>
      <c r="G48" s="175"/>
    </row>
    <row r="49" spans="1:2" x14ac:dyDescent="0.2">
      <c r="A49" s="12">
        <f t="shared" si="0"/>
        <v>42</v>
      </c>
      <c r="B49" s="3" t="s">
        <v>187</v>
      </c>
    </row>
  </sheetData>
  <mergeCells count="1">
    <mergeCell ref="B48:G48"/>
  </mergeCells>
  <printOptions horizontalCentered="1"/>
  <pageMargins left="0.7" right="0.7" top="0.75" bottom="0.75" header="0.3" footer="0.3"/>
  <pageSetup scale="55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79998168889431442"/>
  </sheetPr>
  <dimension ref="A1:K171"/>
  <sheetViews>
    <sheetView workbookViewId="0">
      <pane ySplit="8" topLeftCell="A135" activePane="bottomLeft" state="frozen"/>
      <selection activeCell="E12" sqref="E12"/>
      <selection pane="bottomLeft" activeCell="E12" sqref="E12"/>
    </sheetView>
  </sheetViews>
  <sheetFormatPr defaultColWidth="8.85546875" defaultRowHeight="11.25" x14ac:dyDescent="0.2"/>
  <cols>
    <col min="1" max="1" width="6.7109375" style="2" bestFit="1" customWidth="1"/>
    <col min="2" max="2" width="20.140625" style="2" customWidth="1"/>
    <col min="3" max="3" width="16.42578125" style="2" customWidth="1"/>
    <col min="4" max="4" width="16.7109375" style="2" customWidth="1"/>
    <col min="5" max="5" width="15" style="2" customWidth="1"/>
    <col min="6" max="6" width="11.42578125" style="2" customWidth="1"/>
    <col min="7" max="7" width="8.85546875" style="2" customWidth="1"/>
    <col min="8" max="8" width="12.28515625" style="2" customWidth="1"/>
    <col min="9" max="9" width="1.28515625" style="2" customWidth="1"/>
    <col min="10" max="11" width="11.42578125" style="2" customWidth="1"/>
    <col min="12" max="16384" width="8.85546875" style="2"/>
  </cols>
  <sheetData>
    <row r="1" spans="1:11" s="14" customFormat="1" x14ac:dyDescent="0.2">
      <c r="A1" s="30" t="str">
        <f>'Sch 129 Rates'!A1</f>
        <v>PUGET SOUND ENERGY</v>
      </c>
      <c r="B1" s="30"/>
      <c r="C1" s="30"/>
      <c r="D1" s="30"/>
      <c r="E1" s="30"/>
      <c r="F1" s="30"/>
      <c r="G1" s="30"/>
      <c r="H1" s="30"/>
      <c r="J1" s="30"/>
      <c r="K1" s="30"/>
    </row>
    <row r="2" spans="1:11" s="14" customFormat="1" x14ac:dyDescent="0.2">
      <c r="A2" s="30" t="str">
        <f>'Sch 129 Rates'!A2</f>
        <v xml:space="preserve">Schedule 129 - Low Income Program </v>
      </c>
      <c r="B2" s="30"/>
      <c r="C2" s="30"/>
      <c r="D2" s="30"/>
      <c r="E2" s="30"/>
      <c r="F2" s="30"/>
      <c r="G2" s="30"/>
      <c r="H2" s="30"/>
      <c r="J2" s="30"/>
      <c r="K2" s="30"/>
    </row>
    <row r="3" spans="1:11" s="14" customFormat="1" x14ac:dyDescent="0.2">
      <c r="A3" s="30" t="str">
        <f>Inputs!B2&amp;" Forecasted Rate-Year Ended "&amp;TEXT(Inputs!B4,"mmmm d, yyyy")</f>
        <v>F2023 Forecasted Rate-Year Ended September 30, 2024</v>
      </c>
      <c r="B3" s="30"/>
      <c r="C3" s="30"/>
      <c r="D3" s="30"/>
      <c r="E3" s="30"/>
      <c r="F3" s="30"/>
      <c r="G3" s="30"/>
      <c r="H3" s="30"/>
      <c r="J3" s="30"/>
      <c r="K3" s="30"/>
    </row>
    <row r="4" spans="1:11" s="14" customFormat="1" x14ac:dyDescent="0.2">
      <c r="A4" s="30" t="str">
        <f>"Proposed Rate Effective "&amp;TEXT(Inputs!B1,"mmmm d, yyyy")</f>
        <v>Proposed Rate Effective May 1, 2024</v>
      </c>
      <c r="B4" s="30"/>
      <c r="C4" s="30"/>
      <c r="D4" s="30"/>
      <c r="E4" s="30"/>
      <c r="F4" s="30"/>
      <c r="G4" s="30"/>
      <c r="H4" s="30"/>
      <c r="J4" s="30"/>
      <c r="K4" s="30"/>
    </row>
    <row r="5" spans="1:11" s="14" customFormat="1" x14ac:dyDescent="0.2">
      <c r="A5" s="30" t="s">
        <v>152</v>
      </c>
      <c r="B5" s="30"/>
      <c r="C5" s="30"/>
      <c r="D5" s="30"/>
      <c r="E5" s="30"/>
      <c r="F5" s="30"/>
      <c r="G5" s="30"/>
      <c r="H5" s="30"/>
      <c r="J5" s="30"/>
      <c r="K5" s="30"/>
    </row>
    <row r="6" spans="1:11" s="14" customFormat="1" x14ac:dyDescent="0.2">
      <c r="A6" s="4"/>
    </row>
    <row r="7" spans="1:11" s="4" customFormat="1" ht="67.5" x14ac:dyDescent="0.2">
      <c r="A7" s="31" t="s">
        <v>6</v>
      </c>
      <c r="B7" s="31" t="s">
        <v>0</v>
      </c>
      <c r="C7" s="31" t="s">
        <v>7</v>
      </c>
      <c r="D7" s="31" t="s">
        <v>72</v>
      </c>
      <c r="E7" s="75" t="s">
        <v>191</v>
      </c>
      <c r="F7" s="75" t="s">
        <v>173</v>
      </c>
      <c r="G7" s="75" t="s">
        <v>201</v>
      </c>
      <c r="H7" s="75" t="s">
        <v>174</v>
      </c>
      <c r="J7" s="75" t="s">
        <v>188</v>
      </c>
      <c r="K7" s="166" t="s">
        <v>199</v>
      </c>
    </row>
    <row r="8" spans="1:11" s="6" customFormat="1" x14ac:dyDescent="0.2">
      <c r="A8" s="89"/>
      <c r="B8" s="88" t="s">
        <v>101</v>
      </c>
      <c r="C8" s="88" t="s">
        <v>100</v>
      </c>
      <c r="D8" s="87" t="s">
        <v>99</v>
      </c>
      <c r="E8" s="87" t="s">
        <v>98</v>
      </c>
      <c r="F8" s="87" t="s">
        <v>97</v>
      </c>
      <c r="G8" s="87" t="s">
        <v>96</v>
      </c>
      <c r="H8" s="87" t="s">
        <v>151</v>
      </c>
      <c r="J8" s="87" t="s">
        <v>189</v>
      </c>
      <c r="K8" s="87" t="s">
        <v>200</v>
      </c>
    </row>
    <row r="9" spans="1:11" x14ac:dyDescent="0.2">
      <c r="A9" s="12">
        <v>1</v>
      </c>
      <c r="B9" s="12"/>
      <c r="C9" s="12"/>
      <c r="D9" s="22"/>
      <c r="F9" s="85"/>
      <c r="G9" s="86"/>
      <c r="H9" s="85"/>
      <c r="J9" s="85"/>
      <c r="K9" s="167"/>
    </row>
    <row r="10" spans="1:11" ht="13.5" x14ac:dyDescent="0.35">
      <c r="A10" s="12">
        <f t="shared" ref="A10:A41" si="0">+A9+1</f>
        <v>2</v>
      </c>
      <c r="B10" s="27" t="s">
        <v>132</v>
      </c>
      <c r="K10" s="168"/>
    </row>
    <row r="11" spans="1:11" x14ac:dyDescent="0.2">
      <c r="A11" s="12">
        <f t="shared" si="0"/>
        <v>3</v>
      </c>
      <c r="B11" s="65" t="s">
        <v>71</v>
      </c>
      <c r="C11" s="3" t="s">
        <v>70</v>
      </c>
      <c r="D11" s="84">
        <v>22</v>
      </c>
      <c r="E11" s="37">
        <v>0.5</v>
      </c>
      <c r="F11" s="37">
        <f>E11*$H$168</f>
        <v>7.3399752680920638E-2</v>
      </c>
      <c r="G11" s="131">
        <v>270.41666666666669</v>
      </c>
      <c r="H11" s="55">
        <f>F11*G11</f>
        <v>19.848516454132291</v>
      </c>
      <c r="J11" s="37">
        <v>0.03</v>
      </c>
      <c r="K11" s="169">
        <f>F11+J11</f>
        <v>0.10339975268092064</v>
      </c>
    </row>
    <row r="12" spans="1:11" x14ac:dyDescent="0.2">
      <c r="A12" s="12">
        <f t="shared" si="0"/>
        <v>4</v>
      </c>
      <c r="B12" s="67"/>
      <c r="C12" s="22"/>
      <c r="D12" s="84"/>
      <c r="E12" s="37"/>
      <c r="F12" s="37"/>
      <c r="G12" s="131"/>
      <c r="H12" s="28"/>
      <c r="J12" s="37"/>
      <c r="K12" s="169"/>
    </row>
    <row r="13" spans="1:11" x14ac:dyDescent="0.2">
      <c r="A13" s="12">
        <f t="shared" si="0"/>
        <v>5</v>
      </c>
      <c r="B13" s="65" t="s">
        <v>90</v>
      </c>
      <c r="C13" s="28" t="s">
        <v>8</v>
      </c>
      <c r="D13" s="80">
        <v>100</v>
      </c>
      <c r="E13" s="37">
        <v>2.2799999999999998</v>
      </c>
      <c r="F13" s="37">
        <f>E13*$H$168</f>
        <v>0.33470287222499806</v>
      </c>
      <c r="G13" s="131">
        <v>13.75</v>
      </c>
      <c r="H13" s="55">
        <f>F13*G13</f>
        <v>4.6021644930937233</v>
      </c>
      <c r="J13" s="37">
        <v>0.13</v>
      </c>
      <c r="K13" s="169">
        <f t="shared" ref="K13:K16" si="1">F13+J13</f>
        <v>0.46470287222499806</v>
      </c>
    </row>
    <row r="14" spans="1:11" x14ac:dyDescent="0.2">
      <c r="A14" s="12">
        <f t="shared" si="0"/>
        <v>6</v>
      </c>
      <c r="B14" s="65" t="str">
        <f>+B13</f>
        <v>50E</v>
      </c>
      <c r="C14" s="28" t="s">
        <v>8</v>
      </c>
      <c r="D14" s="80">
        <v>175</v>
      </c>
      <c r="E14" s="37">
        <v>3.98</v>
      </c>
      <c r="F14" s="37">
        <f>E14*$H$168</f>
        <v>0.58426203134012833</v>
      </c>
      <c r="G14" s="131">
        <v>100</v>
      </c>
      <c r="H14" s="55">
        <f>F14*G14</f>
        <v>58.42620313401283</v>
      </c>
      <c r="J14" s="37">
        <v>0.24</v>
      </c>
      <c r="K14" s="169">
        <f t="shared" si="1"/>
        <v>0.82426203134012832</v>
      </c>
    </row>
    <row r="15" spans="1:11" x14ac:dyDescent="0.2">
      <c r="A15" s="12">
        <f t="shared" si="0"/>
        <v>7</v>
      </c>
      <c r="B15" s="65" t="str">
        <f>+B14</f>
        <v>50E</v>
      </c>
      <c r="C15" s="28" t="s">
        <v>8</v>
      </c>
      <c r="D15" s="80">
        <v>400</v>
      </c>
      <c r="E15" s="37">
        <v>9.1</v>
      </c>
      <c r="F15" s="37">
        <f>E15*$H$168</f>
        <v>1.3358754987927555</v>
      </c>
      <c r="G15" s="131">
        <v>95.416666666666657</v>
      </c>
      <c r="H15" s="55">
        <f>F15*G15</f>
        <v>127.46478717647541</v>
      </c>
      <c r="J15" s="37">
        <v>0.54</v>
      </c>
      <c r="K15" s="169">
        <f t="shared" si="1"/>
        <v>1.8758754987927555</v>
      </c>
    </row>
    <row r="16" spans="1:11" x14ac:dyDescent="0.2">
      <c r="A16" s="12">
        <f t="shared" si="0"/>
        <v>8</v>
      </c>
      <c r="B16" s="65" t="str">
        <f>+B15</f>
        <v>50E</v>
      </c>
      <c r="C16" s="28" t="s">
        <v>8</v>
      </c>
      <c r="D16" s="80">
        <v>700</v>
      </c>
      <c r="E16" s="37">
        <v>15.93</v>
      </c>
      <c r="F16" s="37">
        <f>E16*$H$168</f>
        <v>2.3385161204141314</v>
      </c>
      <c r="G16" s="131">
        <v>0</v>
      </c>
      <c r="H16" s="55">
        <f>F16*G16</f>
        <v>0</v>
      </c>
      <c r="J16" s="37">
        <v>0.94</v>
      </c>
      <c r="K16" s="169">
        <f t="shared" si="1"/>
        <v>3.2785161204141313</v>
      </c>
    </row>
    <row r="17" spans="1:11" x14ac:dyDescent="0.2">
      <c r="A17" s="12">
        <f t="shared" si="0"/>
        <v>9</v>
      </c>
      <c r="D17" s="38"/>
      <c r="E17" s="37"/>
      <c r="F17" s="37"/>
      <c r="G17" s="131"/>
      <c r="H17" s="28"/>
      <c r="J17" s="37"/>
      <c r="K17" s="169"/>
    </row>
    <row r="18" spans="1:11" ht="13.5" x14ac:dyDescent="0.35">
      <c r="A18" s="12">
        <f t="shared" si="0"/>
        <v>10</v>
      </c>
      <c r="B18" s="27" t="s">
        <v>69</v>
      </c>
      <c r="D18" s="38"/>
      <c r="E18" s="37"/>
      <c r="F18" s="37"/>
      <c r="G18" s="131"/>
      <c r="H18" s="28"/>
      <c r="J18" s="37"/>
      <c r="K18" s="169"/>
    </row>
    <row r="19" spans="1:11" x14ac:dyDescent="0.2">
      <c r="A19" s="12">
        <f t="shared" si="0"/>
        <v>11</v>
      </c>
      <c r="B19" s="65" t="s">
        <v>68</v>
      </c>
      <c r="C19" s="28" t="s">
        <v>44</v>
      </c>
      <c r="D19" s="38" t="s">
        <v>87</v>
      </c>
      <c r="E19" s="37">
        <v>0.33999999999999997</v>
      </c>
      <c r="F19" s="37">
        <f t="shared" ref="F19:F29" si="2">E19*$H$168</f>
        <v>4.9911831823026026E-2</v>
      </c>
      <c r="G19" s="131">
        <v>170</v>
      </c>
      <c r="H19" s="55">
        <f t="shared" ref="H19:H29" si="3">F19*G19</f>
        <v>8.4850114099144243</v>
      </c>
      <c r="J19" s="37">
        <v>0.02</v>
      </c>
      <c r="K19" s="169">
        <f t="shared" ref="K19:K29" si="4">F19+J19</f>
        <v>6.991183182302603E-2</v>
      </c>
    </row>
    <row r="20" spans="1:11" x14ac:dyDescent="0.2">
      <c r="A20" s="12">
        <f t="shared" si="0"/>
        <v>12</v>
      </c>
      <c r="B20" s="65" t="s">
        <v>68</v>
      </c>
      <c r="C20" s="28" t="s">
        <v>44</v>
      </c>
      <c r="D20" s="81" t="s">
        <v>86</v>
      </c>
      <c r="E20" s="37">
        <v>1.02</v>
      </c>
      <c r="F20" s="37">
        <f t="shared" si="2"/>
        <v>0.14973549546907811</v>
      </c>
      <c r="G20" s="131">
        <v>26201.666666666664</v>
      </c>
      <c r="H20" s="55">
        <f t="shared" si="3"/>
        <v>3923.3195404489611</v>
      </c>
      <c r="J20" s="37">
        <v>0.06</v>
      </c>
      <c r="K20" s="169">
        <f t="shared" si="4"/>
        <v>0.2097354954690781</v>
      </c>
    </row>
    <row r="21" spans="1:11" x14ac:dyDescent="0.2">
      <c r="A21" s="12">
        <f t="shared" si="0"/>
        <v>13</v>
      </c>
      <c r="B21" s="65" t="s">
        <v>68</v>
      </c>
      <c r="C21" s="28" t="s">
        <v>44</v>
      </c>
      <c r="D21" s="80" t="s">
        <v>57</v>
      </c>
      <c r="E21" s="37">
        <v>1.7</v>
      </c>
      <c r="F21" s="37">
        <f t="shared" si="2"/>
        <v>0.24955915911513016</v>
      </c>
      <c r="G21" s="131">
        <v>14957.083333333332</v>
      </c>
      <c r="H21" s="55">
        <f t="shared" si="3"/>
        <v>3732.6771394815946</v>
      </c>
      <c r="J21" s="37">
        <v>0.1</v>
      </c>
      <c r="K21" s="169">
        <f t="shared" si="4"/>
        <v>0.34955915911513014</v>
      </c>
    </row>
    <row r="22" spans="1:11" x14ac:dyDescent="0.2">
      <c r="A22" s="12">
        <f t="shared" si="0"/>
        <v>14</v>
      </c>
      <c r="B22" s="65" t="s">
        <v>68</v>
      </c>
      <c r="C22" s="28" t="s">
        <v>44</v>
      </c>
      <c r="D22" s="80" t="s">
        <v>56</v>
      </c>
      <c r="E22" s="37">
        <v>2.38</v>
      </c>
      <c r="F22" s="37">
        <f t="shared" si="2"/>
        <v>0.34938282276118221</v>
      </c>
      <c r="G22" s="131">
        <v>6266.6666666666661</v>
      </c>
      <c r="H22" s="55">
        <f t="shared" si="3"/>
        <v>2189.4656893034085</v>
      </c>
      <c r="J22" s="37">
        <v>0.14000000000000001</v>
      </c>
      <c r="K22" s="169">
        <f t="shared" si="4"/>
        <v>0.48938282276118222</v>
      </c>
    </row>
    <row r="23" spans="1:11" x14ac:dyDescent="0.2">
      <c r="A23" s="12">
        <f t="shared" si="0"/>
        <v>15</v>
      </c>
      <c r="B23" s="65" t="s">
        <v>68</v>
      </c>
      <c r="C23" s="28" t="s">
        <v>44</v>
      </c>
      <c r="D23" s="80" t="s">
        <v>55</v>
      </c>
      <c r="E23" s="37">
        <v>3.0700000000000003</v>
      </c>
      <c r="F23" s="37">
        <f t="shared" si="2"/>
        <v>0.45067448146085276</v>
      </c>
      <c r="G23" s="131">
        <v>2963.75</v>
      </c>
      <c r="H23" s="55">
        <f t="shared" si="3"/>
        <v>1335.6864944296024</v>
      </c>
      <c r="J23" s="37">
        <v>0.18</v>
      </c>
      <c r="K23" s="169">
        <f t="shared" si="4"/>
        <v>0.6306744814608527</v>
      </c>
    </row>
    <row r="24" spans="1:11" x14ac:dyDescent="0.2">
      <c r="A24" s="12">
        <f t="shared" si="0"/>
        <v>16</v>
      </c>
      <c r="B24" s="65" t="s">
        <v>68</v>
      </c>
      <c r="C24" s="28" t="s">
        <v>44</v>
      </c>
      <c r="D24" s="80" t="s">
        <v>54</v>
      </c>
      <c r="E24" s="37">
        <v>3.75</v>
      </c>
      <c r="F24" s="37">
        <f t="shared" si="2"/>
        <v>0.55049814510690476</v>
      </c>
      <c r="G24" s="131">
        <v>377.08333333333337</v>
      </c>
      <c r="H24" s="55">
        <f t="shared" si="3"/>
        <v>207.58367555072869</v>
      </c>
      <c r="J24" s="37">
        <v>0.22</v>
      </c>
      <c r="K24" s="169">
        <f t="shared" si="4"/>
        <v>0.77049814510690473</v>
      </c>
    </row>
    <row r="25" spans="1:11" x14ac:dyDescent="0.2">
      <c r="A25" s="12">
        <f t="shared" si="0"/>
        <v>17</v>
      </c>
      <c r="B25" s="65" t="s">
        <v>68</v>
      </c>
      <c r="C25" s="28" t="s">
        <v>44</v>
      </c>
      <c r="D25" s="80" t="s">
        <v>53</v>
      </c>
      <c r="E25" s="37">
        <v>4.43</v>
      </c>
      <c r="F25" s="37">
        <f t="shared" si="2"/>
        <v>0.65032180875295686</v>
      </c>
      <c r="G25" s="131">
        <v>966.25</v>
      </c>
      <c r="H25" s="55">
        <f t="shared" si="3"/>
        <v>628.37344770754453</v>
      </c>
      <c r="J25" s="37">
        <v>0.26</v>
      </c>
      <c r="K25" s="169">
        <f t="shared" si="4"/>
        <v>0.91032180875295687</v>
      </c>
    </row>
    <row r="26" spans="1:11" x14ac:dyDescent="0.2">
      <c r="A26" s="12">
        <f t="shared" si="0"/>
        <v>18</v>
      </c>
      <c r="B26" s="65" t="s">
        <v>68</v>
      </c>
      <c r="C26" s="28" t="s">
        <v>44</v>
      </c>
      <c r="D26" s="80" t="s">
        <v>52</v>
      </c>
      <c r="E26" s="37">
        <v>5.12</v>
      </c>
      <c r="F26" s="37">
        <f t="shared" si="2"/>
        <v>0.75161346745262736</v>
      </c>
      <c r="G26" s="131">
        <v>399.58333333333337</v>
      </c>
      <c r="H26" s="55">
        <f t="shared" si="3"/>
        <v>300.33221470294569</v>
      </c>
      <c r="J26" s="37">
        <v>0.3</v>
      </c>
      <c r="K26" s="169">
        <f t="shared" si="4"/>
        <v>1.0516134674526274</v>
      </c>
    </row>
    <row r="27" spans="1:11" x14ac:dyDescent="0.2">
      <c r="A27" s="12">
        <f t="shared" si="0"/>
        <v>19</v>
      </c>
      <c r="B27" s="65" t="s">
        <v>68</v>
      </c>
      <c r="C27" s="28" t="s">
        <v>44</v>
      </c>
      <c r="D27" s="80" t="s">
        <v>51</v>
      </c>
      <c r="E27" s="37">
        <v>5.8</v>
      </c>
      <c r="F27" s="37">
        <f t="shared" si="2"/>
        <v>0.85143713109867936</v>
      </c>
      <c r="G27" s="131">
        <v>30.833333333333336</v>
      </c>
      <c r="H27" s="55">
        <f t="shared" si="3"/>
        <v>26.252644875542614</v>
      </c>
      <c r="J27" s="37">
        <v>0.34</v>
      </c>
      <c r="K27" s="169">
        <f t="shared" si="4"/>
        <v>1.1914371310986793</v>
      </c>
    </row>
    <row r="28" spans="1:11" x14ac:dyDescent="0.2">
      <c r="A28" s="12">
        <f t="shared" si="0"/>
        <v>20</v>
      </c>
      <c r="B28" s="65" t="s">
        <v>68</v>
      </c>
      <c r="C28" s="28" t="s">
        <v>44</v>
      </c>
      <c r="D28" s="80" t="s">
        <v>50</v>
      </c>
      <c r="E28" s="37">
        <v>6.48</v>
      </c>
      <c r="F28" s="37">
        <f t="shared" si="2"/>
        <v>0.95126079474473157</v>
      </c>
      <c r="G28" s="131">
        <v>394.58333333333337</v>
      </c>
      <c r="H28" s="55">
        <f t="shared" si="3"/>
        <v>375.35165525969205</v>
      </c>
      <c r="J28" s="37">
        <v>0.38</v>
      </c>
      <c r="K28" s="169">
        <f t="shared" si="4"/>
        <v>1.3312607947447317</v>
      </c>
    </row>
    <row r="29" spans="1:11" x14ac:dyDescent="0.2">
      <c r="A29" s="12">
        <f t="shared" si="0"/>
        <v>21</v>
      </c>
      <c r="B29" s="65" t="s">
        <v>150</v>
      </c>
      <c r="C29" s="28" t="s">
        <v>83</v>
      </c>
      <c r="D29" s="83" t="s">
        <v>84</v>
      </c>
      <c r="E29" s="13">
        <v>6.4988000000000004E-2</v>
      </c>
      <c r="F29" s="13">
        <f t="shared" si="2"/>
        <v>9.5402062544553412E-3</v>
      </c>
      <c r="G29" s="131">
        <v>63541.25</v>
      </c>
      <c r="H29" s="55">
        <f t="shared" si="3"/>
        <v>606.19663066591045</v>
      </c>
      <c r="J29" s="13">
        <v>3.4740000000000001E-3</v>
      </c>
      <c r="K29" s="171">
        <f t="shared" si="4"/>
        <v>1.3014206254455341E-2</v>
      </c>
    </row>
    <row r="30" spans="1:11" x14ac:dyDescent="0.2">
      <c r="A30" s="12">
        <f t="shared" si="0"/>
        <v>22</v>
      </c>
      <c r="D30" s="38"/>
      <c r="E30" s="37"/>
      <c r="F30" s="37"/>
      <c r="G30" s="131"/>
      <c r="H30" s="28"/>
      <c r="J30" s="37"/>
      <c r="K30" s="169"/>
    </row>
    <row r="31" spans="1:11" ht="13.5" x14ac:dyDescent="0.35">
      <c r="A31" s="12">
        <f t="shared" si="0"/>
        <v>23</v>
      </c>
      <c r="B31" s="27" t="s">
        <v>126</v>
      </c>
      <c r="D31" s="38"/>
      <c r="E31" s="37"/>
      <c r="F31" s="37"/>
      <c r="G31" s="131"/>
      <c r="H31" s="28"/>
      <c r="J31" s="37"/>
      <c r="K31" s="169"/>
    </row>
    <row r="32" spans="1:11" x14ac:dyDescent="0.2">
      <c r="A32" s="12">
        <f t="shared" si="0"/>
        <v>24</v>
      </c>
      <c r="B32" s="65" t="s">
        <v>67</v>
      </c>
      <c r="C32" s="28" t="s">
        <v>9</v>
      </c>
      <c r="D32" s="80">
        <v>50</v>
      </c>
      <c r="E32" s="37">
        <v>1.1299999999999999</v>
      </c>
      <c r="F32" s="37">
        <f t="shared" ref="F32:F39" si="5">E32*$H$168</f>
        <v>0.16588344105888062</v>
      </c>
      <c r="G32" s="131">
        <v>0</v>
      </c>
      <c r="H32" s="55">
        <f t="shared" ref="H32:H39" si="6">F32*G32</f>
        <v>0</v>
      </c>
      <c r="J32" s="37">
        <v>7.0000000000000007E-2</v>
      </c>
      <c r="K32" s="169">
        <f t="shared" ref="K32:K39" si="7">F32+J32</f>
        <v>0.23588344105888062</v>
      </c>
    </row>
    <row r="33" spans="1:11" x14ac:dyDescent="0.2">
      <c r="A33" s="12">
        <f t="shared" si="0"/>
        <v>25</v>
      </c>
      <c r="B33" s="65" t="str">
        <f t="shared" ref="B33:B39" si="8">+B32</f>
        <v xml:space="preserve">52E </v>
      </c>
      <c r="C33" s="28" t="s">
        <v>9</v>
      </c>
      <c r="D33" s="80">
        <v>70</v>
      </c>
      <c r="E33" s="37">
        <v>1.6</v>
      </c>
      <c r="F33" s="37">
        <f t="shared" si="5"/>
        <v>0.23487920857894606</v>
      </c>
      <c r="G33" s="131">
        <v>3327.916666666667</v>
      </c>
      <c r="H33" s="55">
        <f t="shared" si="6"/>
        <v>781.658432883351</v>
      </c>
      <c r="J33" s="37">
        <v>0.09</v>
      </c>
      <c r="K33" s="169">
        <f t="shared" si="7"/>
        <v>0.32487920857894603</v>
      </c>
    </row>
    <row r="34" spans="1:11" x14ac:dyDescent="0.2">
      <c r="A34" s="12">
        <f t="shared" si="0"/>
        <v>26</v>
      </c>
      <c r="B34" s="65" t="str">
        <f t="shared" si="8"/>
        <v xml:space="preserve">52E </v>
      </c>
      <c r="C34" s="28" t="s">
        <v>9</v>
      </c>
      <c r="D34" s="80">
        <v>100</v>
      </c>
      <c r="E34" s="37">
        <v>2.2799999999999998</v>
      </c>
      <c r="F34" s="37">
        <f t="shared" si="5"/>
        <v>0.33470287222499806</v>
      </c>
      <c r="G34" s="131">
        <v>47005.416666666672</v>
      </c>
      <c r="H34" s="55">
        <f t="shared" si="6"/>
        <v>15732.847968466129</v>
      </c>
      <c r="J34" s="37">
        <v>0.13</v>
      </c>
      <c r="K34" s="169">
        <f t="shared" si="7"/>
        <v>0.46470287222499806</v>
      </c>
    </row>
    <row r="35" spans="1:11" x14ac:dyDescent="0.2">
      <c r="A35" s="12">
        <f t="shared" si="0"/>
        <v>27</v>
      </c>
      <c r="B35" s="65" t="str">
        <f t="shared" si="8"/>
        <v xml:space="preserve">52E </v>
      </c>
      <c r="C35" s="28" t="s">
        <v>9</v>
      </c>
      <c r="D35" s="80">
        <v>150</v>
      </c>
      <c r="E35" s="37">
        <v>3.41</v>
      </c>
      <c r="F35" s="37">
        <f t="shared" si="5"/>
        <v>0.50058631328387881</v>
      </c>
      <c r="G35" s="131">
        <v>21929.583333333336</v>
      </c>
      <c r="H35" s="55">
        <f t="shared" si="6"/>
        <v>10977.649272684928</v>
      </c>
      <c r="J35" s="37">
        <v>0.2</v>
      </c>
      <c r="K35" s="169">
        <f t="shared" si="7"/>
        <v>0.70058631328387877</v>
      </c>
    </row>
    <row r="36" spans="1:11" x14ac:dyDescent="0.2">
      <c r="A36" s="12">
        <f t="shared" si="0"/>
        <v>28</v>
      </c>
      <c r="B36" s="65" t="str">
        <f t="shared" si="8"/>
        <v xml:space="preserve">52E </v>
      </c>
      <c r="C36" s="28" t="s">
        <v>9</v>
      </c>
      <c r="D36" s="80">
        <v>200</v>
      </c>
      <c r="E36" s="37">
        <v>4.55</v>
      </c>
      <c r="F36" s="37">
        <f t="shared" si="5"/>
        <v>0.66793774939637773</v>
      </c>
      <c r="G36" s="131">
        <v>4578.333333333333</v>
      </c>
      <c r="H36" s="55">
        <f t="shared" si="6"/>
        <v>3058.0416626530823</v>
      </c>
      <c r="J36" s="37">
        <v>0.27</v>
      </c>
      <c r="K36" s="169">
        <f t="shared" si="7"/>
        <v>0.93793774939637775</v>
      </c>
    </row>
    <row r="37" spans="1:11" x14ac:dyDescent="0.2">
      <c r="A37" s="12">
        <f t="shared" si="0"/>
        <v>29</v>
      </c>
      <c r="B37" s="65" t="str">
        <f t="shared" si="8"/>
        <v xml:space="preserve">52E </v>
      </c>
      <c r="C37" s="28" t="s">
        <v>9</v>
      </c>
      <c r="D37" s="80">
        <v>250</v>
      </c>
      <c r="E37" s="37">
        <v>5.68</v>
      </c>
      <c r="F37" s="37">
        <f t="shared" si="5"/>
        <v>0.83382119045525838</v>
      </c>
      <c r="G37" s="131">
        <v>6797.5</v>
      </c>
      <c r="H37" s="55">
        <f t="shared" si="6"/>
        <v>5667.8995421196187</v>
      </c>
      <c r="J37" s="37">
        <v>0.34</v>
      </c>
      <c r="K37" s="169">
        <f t="shared" si="7"/>
        <v>1.1738211904552585</v>
      </c>
    </row>
    <row r="38" spans="1:11" x14ac:dyDescent="0.2">
      <c r="A38" s="12">
        <f t="shared" si="0"/>
        <v>30</v>
      </c>
      <c r="B38" s="65" t="str">
        <f t="shared" si="8"/>
        <v xml:space="preserve">52E </v>
      </c>
      <c r="C38" s="28" t="s">
        <v>9</v>
      </c>
      <c r="D38" s="80">
        <v>310</v>
      </c>
      <c r="E38" s="37">
        <v>7.05</v>
      </c>
      <c r="F38" s="37">
        <f t="shared" si="5"/>
        <v>1.0349365128009809</v>
      </c>
      <c r="G38" s="131">
        <v>699.58333333333326</v>
      </c>
      <c r="H38" s="55">
        <f t="shared" si="6"/>
        <v>724.02433541368612</v>
      </c>
      <c r="J38" s="37">
        <v>0.42</v>
      </c>
      <c r="K38" s="169">
        <f t="shared" si="7"/>
        <v>1.4549365128009808</v>
      </c>
    </row>
    <row r="39" spans="1:11" x14ac:dyDescent="0.2">
      <c r="A39" s="12">
        <f t="shared" si="0"/>
        <v>31</v>
      </c>
      <c r="B39" s="65" t="str">
        <f t="shared" si="8"/>
        <v xml:space="preserve">52E </v>
      </c>
      <c r="C39" s="28" t="s">
        <v>9</v>
      </c>
      <c r="D39" s="80">
        <v>400</v>
      </c>
      <c r="E39" s="37">
        <v>9.1</v>
      </c>
      <c r="F39" s="37">
        <f t="shared" si="5"/>
        <v>1.3358754987927555</v>
      </c>
      <c r="G39" s="131">
        <v>2861.25</v>
      </c>
      <c r="H39" s="55">
        <f t="shared" si="6"/>
        <v>3822.2737709207718</v>
      </c>
      <c r="J39" s="37">
        <v>0.54</v>
      </c>
      <c r="K39" s="169">
        <f t="shared" si="7"/>
        <v>1.8758754987927555</v>
      </c>
    </row>
    <row r="40" spans="1:11" x14ac:dyDescent="0.2">
      <c r="A40" s="12">
        <f t="shared" si="0"/>
        <v>32</v>
      </c>
      <c r="B40" s="10"/>
      <c r="C40" s="28"/>
      <c r="D40" s="80"/>
      <c r="E40" s="37"/>
      <c r="F40" s="37"/>
      <c r="G40" s="131"/>
      <c r="H40" s="28"/>
      <c r="J40" s="37"/>
      <c r="K40" s="169"/>
    </row>
    <row r="41" spans="1:11" x14ac:dyDescent="0.2">
      <c r="A41" s="12">
        <f t="shared" si="0"/>
        <v>33</v>
      </c>
      <c r="B41" s="65" t="str">
        <f>+B36</f>
        <v xml:space="preserve">52E </v>
      </c>
      <c r="C41" s="28" t="s">
        <v>60</v>
      </c>
      <c r="D41" s="80">
        <v>70</v>
      </c>
      <c r="E41" s="37">
        <v>1.6</v>
      </c>
      <c r="F41" s="37">
        <f t="shared" ref="F41:F47" si="9">E41*$H$168</f>
        <v>0.23487920857894606</v>
      </c>
      <c r="G41" s="131">
        <v>349.16666666666663</v>
      </c>
      <c r="H41" s="55">
        <f t="shared" ref="H41:H47" si="10">F41*G41</f>
        <v>82.01199032881533</v>
      </c>
      <c r="J41" s="37">
        <v>0.09</v>
      </c>
      <c r="K41" s="169">
        <f t="shared" ref="K41:K47" si="11">F41+J41</f>
        <v>0.32487920857894603</v>
      </c>
    </row>
    <row r="42" spans="1:11" x14ac:dyDescent="0.2">
      <c r="A42" s="12">
        <f t="shared" ref="A42:A73" si="12">+A41+1</f>
        <v>34</v>
      </c>
      <c r="B42" s="65" t="str">
        <f>+B37</f>
        <v xml:space="preserve">52E </v>
      </c>
      <c r="C42" s="28" t="s">
        <v>60</v>
      </c>
      <c r="D42" s="80">
        <v>100</v>
      </c>
      <c r="E42" s="37">
        <v>2.2799999999999998</v>
      </c>
      <c r="F42" s="37">
        <f t="shared" si="9"/>
        <v>0.33470287222499806</v>
      </c>
      <c r="G42" s="131">
        <v>20.833333333333336</v>
      </c>
      <c r="H42" s="55">
        <f t="shared" si="10"/>
        <v>6.9729765046874608</v>
      </c>
      <c r="J42" s="37">
        <v>0.13</v>
      </c>
      <c r="K42" s="169">
        <f t="shared" si="11"/>
        <v>0.46470287222499806</v>
      </c>
    </row>
    <row r="43" spans="1:11" x14ac:dyDescent="0.2">
      <c r="A43" s="12">
        <f t="shared" si="12"/>
        <v>35</v>
      </c>
      <c r="B43" s="65" t="str">
        <f>+B38</f>
        <v xml:space="preserve">52E </v>
      </c>
      <c r="C43" s="28" t="s">
        <v>60</v>
      </c>
      <c r="D43" s="80">
        <v>150</v>
      </c>
      <c r="E43" s="37">
        <v>3.41</v>
      </c>
      <c r="F43" s="37">
        <f t="shared" si="9"/>
        <v>0.50058631328387881</v>
      </c>
      <c r="G43" s="131">
        <v>985</v>
      </c>
      <c r="H43" s="55">
        <f t="shared" si="10"/>
        <v>493.07751858462063</v>
      </c>
      <c r="J43" s="37">
        <v>0.2</v>
      </c>
      <c r="K43" s="169">
        <f t="shared" si="11"/>
        <v>0.70058631328387877</v>
      </c>
    </row>
    <row r="44" spans="1:11" x14ac:dyDescent="0.2">
      <c r="A44" s="12">
        <f t="shared" si="12"/>
        <v>36</v>
      </c>
      <c r="B44" s="65" t="str">
        <f>+B39</f>
        <v xml:space="preserve">52E </v>
      </c>
      <c r="C44" s="28" t="s">
        <v>60</v>
      </c>
      <c r="D44" s="80">
        <v>175</v>
      </c>
      <c r="E44" s="37">
        <v>3.98</v>
      </c>
      <c r="F44" s="37">
        <f t="shared" si="9"/>
        <v>0.58426203134012833</v>
      </c>
      <c r="G44" s="131">
        <v>1020.8333333333333</v>
      </c>
      <c r="H44" s="55">
        <f t="shared" si="10"/>
        <v>596.43415699304762</v>
      </c>
      <c r="J44" s="37">
        <v>0.24</v>
      </c>
      <c r="K44" s="169">
        <f t="shared" si="11"/>
        <v>0.82426203134012832</v>
      </c>
    </row>
    <row r="45" spans="1:11" x14ac:dyDescent="0.2">
      <c r="A45" s="12">
        <f t="shared" si="12"/>
        <v>37</v>
      </c>
      <c r="B45" s="65" t="str">
        <f t="shared" ref="B45:C47" si="13">+B44</f>
        <v xml:space="preserve">52E </v>
      </c>
      <c r="C45" s="28" t="str">
        <f t="shared" si="13"/>
        <v>Metal Halide</v>
      </c>
      <c r="D45" s="80">
        <v>250</v>
      </c>
      <c r="E45" s="37">
        <v>5.68</v>
      </c>
      <c r="F45" s="37">
        <f t="shared" si="9"/>
        <v>0.83382119045525838</v>
      </c>
      <c r="G45" s="131">
        <v>168.33333333333331</v>
      </c>
      <c r="H45" s="55">
        <f t="shared" si="10"/>
        <v>140.35990039330181</v>
      </c>
      <c r="J45" s="37">
        <v>0.34</v>
      </c>
      <c r="K45" s="169">
        <f t="shared" si="11"/>
        <v>1.1738211904552585</v>
      </c>
    </row>
    <row r="46" spans="1:11" x14ac:dyDescent="0.2">
      <c r="A46" s="12">
        <f t="shared" si="12"/>
        <v>38</v>
      </c>
      <c r="B46" s="65" t="str">
        <f t="shared" si="13"/>
        <v xml:space="preserve">52E </v>
      </c>
      <c r="C46" s="28" t="str">
        <f t="shared" si="13"/>
        <v>Metal Halide</v>
      </c>
      <c r="D46" s="80">
        <v>400</v>
      </c>
      <c r="E46" s="37">
        <v>9.1</v>
      </c>
      <c r="F46" s="37">
        <f t="shared" si="9"/>
        <v>1.3358754987927555</v>
      </c>
      <c r="G46" s="131">
        <v>285</v>
      </c>
      <c r="H46" s="55">
        <f t="shared" si="10"/>
        <v>380.7245171559353</v>
      </c>
      <c r="J46" s="37">
        <v>0.54</v>
      </c>
      <c r="K46" s="169">
        <f t="shared" si="11"/>
        <v>1.8758754987927555</v>
      </c>
    </row>
    <row r="47" spans="1:11" x14ac:dyDescent="0.2">
      <c r="A47" s="12">
        <f t="shared" si="12"/>
        <v>39</v>
      </c>
      <c r="B47" s="65" t="str">
        <f t="shared" si="13"/>
        <v xml:space="preserve">52E </v>
      </c>
      <c r="C47" s="28" t="str">
        <f t="shared" si="13"/>
        <v>Metal Halide</v>
      </c>
      <c r="D47" s="80">
        <v>1000</v>
      </c>
      <c r="E47" s="37">
        <v>22.74</v>
      </c>
      <c r="F47" s="37">
        <f t="shared" si="9"/>
        <v>3.3382207519282705</v>
      </c>
      <c r="G47" s="131">
        <v>90</v>
      </c>
      <c r="H47" s="55">
        <f t="shared" si="10"/>
        <v>300.43986767354437</v>
      </c>
      <c r="J47" s="37">
        <v>1.35</v>
      </c>
      <c r="K47" s="169">
        <f t="shared" si="11"/>
        <v>4.6882207519282701</v>
      </c>
    </row>
    <row r="48" spans="1:11" x14ac:dyDescent="0.2">
      <c r="A48" s="12">
        <f t="shared" si="12"/>
        <v>40</v>
      </c>
      <c r="D48" s="38"/>
      <c r="E48" s="37"/>
      <c r="F48" s="37"/>
      <c r="G48" s="131"/>
      <c r="H48" s="28"/>
      <c r="J48" s="37"/>
      <c r="K48" s="169"/>
    </row>
    <row r="49" spans="1:11" ht="13.5" x14ac:dyDescent="0.35">
      <c r="A49" s="12">
        <f t="shared" si="12"/>
        <v>41</v>
      </c>
      <c r="B49" s="27" t="s">
        <v>123</v>
      </c>
      <c r="D49" s="38"/>
      <c r="E49" s="37"/>
      <c r="F49" s="37"/>
      <c r="G49" s="131"/>
      <c r="H49" s="28"/>
      <c r="J49" s="37"/>
      <c r="K49" s="169"/>
    </row>
    <row r="50" spans="1:11" x14ac:dyDescent="0.2">
      <c r="A50" s="12">
        <f t="shared" si="12"/>
        <v>42</v>
      </c>
      <c r="B50" s="65" t="s">
        <v>89</v>
      </c>
      <c r="C50" s="28" t="s">
        <v>9</v>
      </c>
      <c r="D50" s="80">
        <v>50</v>
      </c>
      <c r="E50" s="37">
        <v>1.1299999999999999</v>
      </c>
      <c r="F50" s="37">
        <f t="shared" ref="F50:F58" si="14">E50*$H$168</f>
        <v>0.16588344105888062</v>
      </c>
      <c r="G50" s="131">
        <v>0</v>
      </c>
      <c r="H50" s="55">
        <f t="shared" ref="H50:H58" si="15">F50*G50</f>
        <v>0</v>
      </c>
      <c r="J50" s="37">
        <v>7.0000000000000007E-2</v>
      </c>
      <c r="K50" s="169">
        <f t="shared" ref="K50:K58" si="16">F50+J50</f>
        <v>0.23588344105888062</v>
      </c>
    </row>
    <row r="51" spans="1:11" x14ac:dyDescent="0.2">
      <c r="A51" s="12">
        <f t="shared" si="12"/>
        <v>43</v>
      </c>
      <c r="B51" s="65" t="str">
        <f t="shared" ref="B51:B58" si="17">+B50</f>
        <v>53E</v>
      </c>
      <c r="C51" s="28" t="s">
        <v>9</v>
      </c>
      <c r="D51" s="80">
        <v>70</v>
      </c>
      <c r="E51" s="37">
        <v>1.6</v>
      </c>
      <c r="F51" s="37">
        <f t="shared" si="14"/>
        <v>0.23487920857894606</v>
      </c>
      <c r="G51" s="131">
        <v>17732.916666666668</v>
      </c>
      <c r="H51" s="55">
        <f t="shared" si="15"/>
        <v>4165.0934324630689</v>
      </c>
      <c r="J51" s="37">
        <v>0.09</v>
      </c>
      <c r="K51" s="169">
        <f t="shared" si="16"/>
        <v>0.32487920857894603</v>
      </c>
    </row>
    <row r="52" spans="1:11" x14ac:dyDescent="0.2">
      <c r="A52" s="12">
        <f t="shared" si="12"/>
        <v>44</v>
      </c>
      <c r="B52" s="65" t="str">
        <f t="shared" si="17"/>
        <v>53E</v>
      </c>
      <c r="C52" s="28" t="s">
        <v>9</v>
      </c>
      <c r="D52" s="80">
        <v>100</v>
      </c>
      <c r="E52" s="37">
        <v>2.2799999999999998</v>
      </c>
      <c r="F52" s="37">
        <f t="shared" si="14"/>
        <v>0.33470287222499806</v>
      </c>
      <c r="G52" s="131">
        <v>135425.41666666666</v>
      </c>
      <c r="H52" s="55">
        <f t="shared" si="15"/>
        <v>45327.275930600452</v>
      </c>
      <c r="J52" s="37">
        <v>0.13</v>
      </c>
      <c r="K52" s="169">
        <f t="shared" si="16"/>
        <v>0.46470287222499806</v>
      </c>
    </row>
    <row r="53" spans="1:11" x14ac:dyDescent="0.2">
      <c r="A53" s="12">
        <f t="shared" si="12"/>
        <v>45</v>
      </c>
      <c r="B53" s="65" t="str">
        <f t="shared" si="17"/>
        <v>53E</v>
      </c>
      <c r="C53" s="28" t="s">
        <v>9</v>
      </c>
      <c r="D53" s="80">
        <v>150</v>
      </c>
      <c r="E53" s="37">
        <v>3.41</v>
      </c>
      <c r="F53" s="37">
        <f t="shared" si="14"/>
        <v>0.50058631328387881</v>
      </c>
      <c r="G53" s="131">
        <v>16320</v>
      </c>
      <c r="H53" s="55">
        <f t="shared" si="15"/>
        <v>8169.5686327929025</v>
      </c>
      <c r="J53" s="37">
        <v>0.2</v>
      </c>
      <c r="K53" s="169">
        <f t="shared" si="16"/>
        <v>0.70058631328387877</v>
      </c>
    </row>
    <row r="54" spans="1:11" x14ac:dyDescent="0.2">
      <c r="A54" s="12">
        <f t="shared" si="12"/>
        <v>46</v>
      </c>
      <c r="B54" s="65" t="str">
        <f t="shared" si="17"/>
        <v>53E</v>
      </c>
      <c r="C54" s="28" t="s">
        <v>9</v>
      </c>
      <c r="D54" s="80">
        <v>200</v>
      </c>
      <c r="E54" s="37">
        <v>4.55</v>
      </c>
      <c r="F54" s="37">
        <f t="shared" si="14"/>
        <v>0.66793774939637773</v>
      </c>
      <c r="G54" s="131">
        <v>21851.666666666664</v>
      </c>
      <c r="H54" s="55">
        <f t="shared" si="15"/>
        <v>14595.55305389318</v>
      </c>
      <c r="J54" s="37">
        <v>0.27</v>
      </c>
      <c r="K54" s="169">
        <f t="shared" si="16"/>
        <v>0.93793774939637775</v>
      </c>
    </row>
    <row r="55" spans="1:11" x14ac:dyDescent="0.2">
      <c r="A55" s="12">
        <f t="shared" si="12"/>
        <v>47</v>
      </c>
      <c r="B55" s="65" t="str">
        <f t="shared" si="17"/>
        <v>53E</v>
      </c>
      <c r="C55" s="28" t="s">
        <v>9</v>
      </c>
      <c r="D55" s="80">
        <v>250</v>
      </c>
      <c r="E55" s="37">
        <v>5.68</v>
      </c>
      <c r="F55" s="37">
        <f t="shared" si="14"/>
        <v>0.83382119045525838</v>
      </c>
      <c r="G55" s="131">
        <v>8741.25</v>
      </c>
      <c r="H55" s="55">
        <f t="shared" si="15"/>
        <v>7288.6394810670272</v>
      </c>
      <c r="J55" s="37">
        <v>0.34</v>
      </c>
      <c r="K55" s="169">
        <f t="shared" si="16"/>
        <v>1.1738211904552585</v>
      </c>
    </row>
    <row r="56" spans="1:11" x14ac:dyDescent="0.2">
      <c r="A56" s="12">
        <f t="shared" si="12"/>
        <v>48</v>
      </c>
      <c r="B56" s="65" t="str">
        <f t="shared" si="17"/>
        <v>53E</v>
      </c>
      <c r="C56" s="28" t="s">
        <v>9</v>
      </c>
      <c r="D56" s="80">
        <v>310</v>
      </c>
      <c r="E56" s="37">
        <v>7.05</v>
      </c>
      <c r="F56" s="37">
        <f t="shared" si="14"/>
        <v>1.0349365128009809</v>
      </c>
      <c r="G56" s="131">
        <v>97.916666666666657</v>
      </c>
      <c r="H56" s="55">
        <f t="shared" si="15"/>
        <v>101.33753354509604</v>
      </c>
      <c r="J56" s="37">
        <v>0.42</v>
      </c>
      <c r="K56" s="169">
        <f t="shared" si="16"/>
        <v>1.4549365128009808</v>
      </c>
    </row>
    <row r="57" spans="1:11" x14ac:dyDescent="0.2">
      <c r="A57" s="12">
        <f t="shared" si="12"/>
        <v>49</v>
      </c>
      <c r="B57" s="65" t="str">
        <f t="shared" si="17"/>
        <v>53E</v>
      </c>
      <c r="C57" s="28" t="s">
        <v>9</v>
      </c>
      <c r="D57" s="80">
        <v>400</v>
      </c>
      <c r="E57" s="37">
        <v>9.1</v>
      </c>
      <c r="F57" s="37">
        <f t="shared" si="14"/>
        <v>1.3358754987927555</v>
      </c>
      <c r="G57" s="131">
        <v>6012.9166666666661</v>
      </c>
      <c r="H57" s="55">
        <f t="shared" si="15"/>
        <v>8032.5080512826053</v>
      </c>
      <c r="J57" s="37">
        <v>0.54</v>
      </c>
      <c r="K57" s="169">
        <f t="shared" si="16"/>
        <v>1.8758754987927555</v>
      </c>
    </row>
    <row r="58" spans="1:11" x14ac:dyDescent="0.2">
      <c r="A58" s="12">
        <f t="shared" si="12"/>
        <v>50</v>
      </c>
      <c r="B58" s="65" t="str">
        <f t="shared" si="17"/>
        <v>53E</v>
      </c>
      <c r="C58" s="28" t="s">
        <v>9</v>
      </c>
      <c r="D58" s="80">
        <v>1000</v>
      </c>
      <c r="E58" s="37">
        <v>22.74</v>
      </c>
      <c r="F58" s="37">
        <f t="shared" si="14"/>
        <v>3.3382207519282705</v>
      </c>
      <c r="G58" s="131">
        <v>0</v>
      </c>
      <c r="H58" s="55">
        <f t="shared" si="15"/>
        <v>0</v>
      </c>
      <c r="J58" s="37">
        <v>1.35</v>
      </c>
      <c r="K58" s="169">
        <f t="shared" si="16"/>
        <v>4.6882207519282701</v>
      </c>
    </row>
    <row r="59" spans="1:11" x14ac:dyDescent="0.2">
      <c r="A59" s="12">
        <f t="shared" si="12"/>
        <v>51</v>
      </c>
      <c r="B59" s="65"/>
      <c r="C59" s="28"/>
      <c r="D59" s="80"/>
      <c r="E59" s="37"/>
      <c r="F59" s="37"/>
      <c r="G59" s="131"/>
      <c r="H59" s="28"/>
      <c r="J59" s="37"/>
      <c r="K59" s="169"/>
    </row>
    <row r="60" spans="1:11" x14ac:dyDescent="0.2">
      <c r="A60" s="12">
        <f t="shared" si="12"/>
        <v>52</v>
      </c>
      <c r="B60" s="65" t="str">
        <f>+B58</f>
        <v>53E</v>
      </c>
      <c r="C60" s="28" t="s">
        <v>60</v>
      </c>
      <c r="D60" s="80">
        <v>70</v>
      </c>
      <c r="E60" s="37">
        <v>1.6</v>
      </c>
      <c r="F60" s="37">
        <f t="shared" ref="F60:F65" si="18">E60*$H$168</f>
        <v>0.23487920857894606</v>
      </c>
      <c r="G60" s="131">
        <v>0</v>
      </c>
      <c r="H60" s="55">
        <f t="shared" ref="H60:H65" si="19">F60*G60</f>
        <v>0</v>
      </c>
      <c r="J60" s="37">
        <v>0.09</v>
      </c>
      <c r="K60" s="169">
        <f t="shared" ref="K60:K65" si="20">F60+J60</f>
        <v>0.32487920857894603</v>
      </c>
    </row>
    <row r="61" spans="1:11" x14ac:dyDescent="0.2">
      <c r="A61" s="12">
        <f t="shared" si="12"/>
        <v>53</v>
      </c>
      <c r="B61" s="65" t="str">
        <f>+B60</f>
        <v>53E</v>
      </c>
      <c r="C61" s="28" t="s">
        <v>60</v>
      </c>
      <c r="D61" s="80">
        <v>100</v>
      </c>
      <c r="E61" s="37">
        <v>2.2799999999999998</v>
      </c>
      <c r="F61" s="37">
        <f t="shared" si="18"/>
        <v>0.33470287222499806</v>
      </c>
      <c r="G61" s="131">
        <v>0</v>
      </c>
      <c r="H61" s="55">
        <f t="shared" si="19"/>
        <v>0</v>
      </c>
      <c r="J61" s="37">
        <v>0.13</v>
      </c>
      <c r="K61" s="169">
        <f t="shared" si="20"/>
        <v>0.46470287222499806</v>
      </c>
    </row>
    <row r="62" spans="1:11" x14ac:dyDescent="0.2">
      <c r="A62" s="12">
        <f t="shared" si="12"/>
        <v>54</v>
      </c>
      <c r="B62" s="65" t="str">
        <f>+B61</f>
        <v>53E</v>
      </c>
      <c r="C62" s="28" t="s">
        <v>60</v>
      </c>
      <c r="D62" s="80">
        <v>150</v>
      </c>
      <c r="E62" s="37">
        <v>3.41</v>
      </c>
      <c r="F62" s="37">
        <f t="shared" si="18"/>
        <v>0.50058631328387881</v>
      </c>
      <c r="G62" s="131">
        <v>0</v>
      </c>
      <c r="H62" s="55">
        <f t="shared" si="19"/>
        <v>0</v>
      </c>
      <c r="J62" s="37">
        <v>0.2</v>
      </c>
      <c r="K62" s="169">
        <f t="shared" si="20"/>
        <v>0.70058631328387877</v>
      </c>
    </row>
    <row r="63" spans="1:11" x14ac:dyDescent="0.2">
      <c r="A63" s="12">
        <f t="shared" si="12"/>
        <v>55</v>
      </c>
      <c r="B63" s="65" t="str">
        <f>+B62</f>
        <v>53E</v>
      </c>
      <c r="C63" s="28" t="s">
        <v>60</v>
      </c>
      <c r="D63" s="80">
        <v>175</v>
      </c>
      <c r="E63" s="37">
        <v>3.98</v>
      </c>
      <c r="F63" s="37">
        <f t="shared" si="18"/>
        <v>0.58426203134012833</v>
      </c>
      <c r="G63" s="131">
        <v>20</v>
      </c>
      <c r="H63" s="55">
        <f t="shared" si="19"/>
        <v>11.685240626802567</v>
      </c>
      <c r="J63" s="37">
        <v>0.24</v>
      </c>
      <c r="K63" s="169">
        <f t="shared" si="20"/>
        <v>0.82426203134012832</v>
      </c>
    </row>
    <row r="64" spans="1:11" x14ac:dyDescent="0.2">
      <c r="A64" s="12">
        <f t="shared" si="12"/>
        <v>56</v>
      </c>
      <c r="B64" s="65" t="str">
        <f>+B63</f>
        <v>53E</v>
      </c>
      <c r="C64" s="28" t="s">
        <v>60</v>
      </c>
      <c r="D64" s="80">
        <v>250</v>
      </c>
      <c r="E64" s="37">
        <v>5.68</v>
      </c>
      <c r="F64" s="37">
        <f t="shared" si="18"/>
        <v>0.83382119045525838</v>
      </c>
      <c r="G64" s="131">
        <v>0</v>
      </c>
      <c r="H64" s="55">
        <f t="shared" si="19"/>
        <v>0</v>
      </c>
      <c r="J64" s="37">
        <v>0.34</v>
      </c>
      <c r="K64" s="169">
        <f t="shared" si="20"/>
        <v>1.1738211904552585</v>
      </c>
    </row>
    <row r="65" spans="1:11" x14ac:dyDescent="0.2">
      <c r="A65" s="12">
        <f t="shared" si="12"/>
        <v>57</v>
      </c>
      <c r="B65" s="65" t="str">
        <f>+B64</f>
        <v>53E</v>
      </c>
      <c r="C65" s="28" t="s">
        <v>60</v>
      </c>
      <c r="D65" s="80">
        <v>400</v>
      </c>
      <c r="E65" s="37">
        <v>9.1</v>
      </c>
      <c r="F65" s="37">
        <f t="shared" si="18"/>
        <v>1.3358754987927555</v>
      </c>
      <c r="G65" s="131">
        <v>0</v>
      </c>
      <c r="H65" s="55">
        <f t="shared" si="19"/>
        <v>0</v>
      </c>
      <c r="J65" s="37">
        <v>0.54</v>
      </c>
      <c r="K65" s="169">
        <f t="shared" si="20"/>
        <v>1.8758754987927555</v>
      </c>
    </row>
    <row r="66" spans="1:11" x14ac:dyDescent="0.2">
      <c r="A66" s="12">
        <f t="shared" si="12"/>
        <v>58</v>
      </c>
      <c r="B66" s="65"/>
      <c r="C66" s="28"/>
      <c r="D66" s="80"/>
      <c r="E66" s="37"/>
      <c r="F66" s="37"/>
      <c r="G66" s="131"/>
      <c r="H66" s="28"/>
      <c r="J66" s="37"/>
      <c r="K66" s="169"/>
    </row>
    <row r="67" spans="1:11" x14ac:dyDescent="0.2">
      <c r="A67" s="12">
        <f t="shared" si="12"/>
        <v>59</v>
      </c>
      <c r="B67" s="65" t="str">
        <f>+B64</f>
        <v>53E</v>
      </c>
      <c r="C67" s="28" t="s">
        <v>44</v>
      </c>
      <c r="D67" s="38" t="s">
        <v>87</v>
      </c>
      <c r="E67" s="37">
        <v>0.33999999999999997</v>
      </c>
      <c r="F67" s="37">
        <f t="shared" ref="F67:F77" si="21">E67*$H$168</f>
        <v>4.9911831823026026E-2</v>
      </c>
      <c r="G67" s="131">
        <v>664.58333333333326</v>
      </c>
      <c r="H67" s="55">
        <f t="shared" ref="H67:H77" si="22">F67*G67</f>
        <v>33.170571565719378</v>
      </c>
      <c r="J67" s="37">
        <v>0.02</v>
      </c>
      <c r="K67" s="169">
        <f t="shared" ref="K67:K77" si="23">F67+J67</f>
        <v>6.991183182302603E-2</v>
      </c>
    </row>
    <row r="68" spans="1:11" x14ac:dyDescent="0.2">
      <c r="A68" s="12">
        <f t="shared" si="12"/>
        <v>60</v>
      </c>
      <c r="B68" s="65" t="str">
        <f>+B65</f>
        <v>53E</v>
      </c>
      <c r="C68" s="28" t="s">
        <v>44</v>
      </c>
      <c r="D68" s="81" t="s">
        <v>86</v>
      </c>
      <c r="E68" s="37">
        <v>1.02</v>
      </c>
      <c r="F68" s="37">
        <f t="shared" si="21"/>
        <v>0.14973549546907811</v>
      </c>
      <c r="G68" s="131">
        <v>95930.833333333343</v>
      </c>
      <c r="H68" s="55">
        <f t="shared" si="22"/>
        <v>14364.250859928221</v>
      </c>
      <c r="J68" s="37">
        <v>0.06</v>
      </c>
      <c r="K68" s="169">
        <f t="shared" si="23"/>
        <v>0.2097354954690781</v>
      </c>
    </row>
    <row r="69" spans="1:11" x14ac:dyDescent="0.2">
      <c r="A69" s="12">
        <f t="shared" si="12"/>
        <v>61</v>
      </c>
      <c r="B69" s="65" t="str">
        <f t="shared" ref="B69:B76" si="24">B68</f>
        <v>53E</v>
      </c>
      <c r="C69" s="28" t="s">
        <v>44</v>
      </c>
      <c r="D69" s="80" t="s">
        <v>57</v>
      </c>
      <c r="E69" s="37">
        <v>1.7</v>
      </c>
      <c r="F69" s="37">
        <f t="shared" si="21"/>
        <v>0.24955915911513016</v>
      </c>
      <c r="G69" s="131">
        <v>6249.1666666666661</v>
      </c>
      <c r="H69" s="55">
        <f t="shared" si="22"/>
        <v>1559.536778503634</v>
      </c>
      <c r="J69" s="37">
        <v>0.1</v>
      </c>
      <c r="K69" s="169">
        <f t="shared" si="23"/>
        <v>0.34955915911513014</v>
      </c>
    </row>
    <row r="70" spans="1:11" x14ac:dyDescent="0.2">
      <c r="A70" s="12">
        <f t="shared" si="12"/>
        <v>62</v>
      </c>
      <c r="B70" s="65" t="str">
        <f t="shared" si="24"/>
        <v>53E</v>
      </c>
      <c r="C70" s="28" t="s">
        <v>44</v>
      </c>
      <c r="D70" s="80" t="s">
        <v>56</v>
      </c>
      <c r="E70" s="37">
        <v>2.38</v>
      </c>
      <c r="F70" s="37">
        <f t="shared" si="21"/>
        <v>0.34938282276118221</v>
      </c>
      <c r="G70" s="131">
        <v>14365.416666666668</v>
      </c>
      <c r="H70" s="55">
        <f t="shared" si="22"/>
        <v>5019.0298251405329</v>
      </c>
      <c r="J70" s="37">
        <v>0.14000000000000001</v>
      </c>
      <c r="K70" s="169">
        <f t="shared" si="23"/>
        <v>0.48938282276118222</v>
      </c>
    </row>
    <row r="71" spans="1:11" x14ac:dyDescent="0.2">
      <c r="A71" s="12">
        <f t="shared" si="12"/>
        <v>63</v>
      </c>
      <c r="B71" s="65" t="str">
        <f t="shared" si="24"/>
        <v>53E</v>
      </c>
      <c r="C71" s="28" t="s">
        <v>44</v>
      </c>
      <c r="D71" s="80" t="s">
        <v>55</v>
      </c>
      <c r="E71" s="37">
        <v>3.0700000000000003</v>
      </c>
      <c r="F71" s="37">
        <f t="shared" si="21"/>
        <v>0.45067448146085276</v>
      </c>
      <c r="G71" s="131">
        <v>8856.6666666666661</v>
      </c>
      <c r="H71" s="55">
        <f t="shared" si="22"/>
        <v>3991.4736574716189</v>
      </c>
      <c r="J71" s="37">
        <v>0.18</v>
      </c>
      <c r="K71" s="169">
        <f t="shared" si="23"/>
        <v>0.6306744814608527</v>
      </c>
    </row>
    <row r="72" spans="1:11" x14ac:dyDescent="0.2">
      <c r="A72" s="12">
        <f t="shared" si="12"/>
        <v>64</v>
      </c>
      <c r="B72" s="65" t="str">
        <f t="shared" si="24"/>
        <v>53E</v>
      </c>
      <c r="C72" s="28" t="s">
        <v>44</v>
      </c>
      <c r="D72" s="80" t="s">
        <v>54</v>
      </c>
      <c r="E72" s="37">
        <v>3.75</v>
      </c>
      <c r="F72" s="37">
        <f t="shared" si="21"/>
        <v>0.55049814510690476</v>
      </c>
      <c r="G72" s="131">
        <v>7230.8333333333339</v>
      </c>
      <c r="H72" s="55">
        <f t="shared" si="22"/>
        <v>3980.5603375771775</v>
      </c>
      <c r="J72" s="37">
        <v>0.22</v>
      </c>
      <c r="K72" s="169">
        <f t="shared" si="23"/>
        <v>0.77049814510690473</v>
      </c>
    </row>
    <row r="73" spans="1:11" x14ac:dyDescent="0.2">
      <c r="A73" s="12">
        <f t="shared" si="12"/>
        <v>65</v>
      </c>
      <c r="B73" s="65" t="str">
        <f t="shared" si="24"/>
        <v>53E</v>
      </c>
      <c r="C73" s="28" t="s">
        <v>44</v>
      </c>
      <c r="D73" s="80" t="s">
        <v>53</v>
      </c>
      <c r="E73" s="37">
        <v>4.43</v>
      </c>
      <c r="F73" s="37">
        <f t="shared" si="21"/>
        <v>0.65032180875295686</v>
      </c>
      <c r="G73" s="131">
        <v>2313.3333333333335</v>
      </c>
      <c r="H73" s="55">
        <f t="shared" si="22"/>
        <v>1504.4111175818402</v>
      </c>
      <c r="J73" s="37">
        <v>0.26</v>
      </c>
      <c r="K73" s="169">
        <f t="shared" si="23"/>
        <v>0.91032180875295687</v>
      </c>
    </row>
    <row r="74" spans="1:11" x14ac:dyDescent="0.2">
      <c r="A74" s="12">
        <f t="shared" ref="A74:A105" si="25">+A73+1</f>
        <v>66</v>
      </c>
      <c r="B74" s="65" t="str">
        <f t="shared" si="24"/>
        <v>53E</v>
      </c>
      <c r="C74" s="28" t="s">
        <v>44</v>
      </c>
      <c r="D74" s="80" t="s">
        <v>52</v>
      </c>
      <c r="E74" s="37">
        <v>5.12</v>
      </c>
      <c r="F74" s="37">
        <f t="shared" si="21"/>
        <v>0.75161346745262736</v>
      </c>
      <c r="G74" s="131">
        <v>324.16666666666663</v>
      </c>
      <c r="H74" s="55">
        <f t="shared" si="22"/>
        <v>243.64803236589333</v>
      </c>
      <c r="J74" s="37">
        <v>0.3</v>
      </c>
      <c r="K74" s="169">
        <f t="shared" si="23"/>
        <v>1.0516134674526274</v>
      </c>
    </row>
    <row r="75" spans="1:11" x14ac:dyDescent="0.2">
      <c r="A75" s="12">
        <f t="shared" si="25"/>
        <v>67</v>
      </c>
      <c r="B75" s="65" t="str">
        <f t="shared" si="24"/>
        <v>53E</v>
      </c>
      <c r="C75" s="28" t="s">
        <v>44</v>
      </c>
      <c r="D75" s="80" t="s">
        <v>51</v>
      </c>
      <c r="E75" s="37">
        <v>5.8</v>
      </c>
      <c r="F75" s="37">
        <f t="shared" si="21"/>
        <v>0.85143713109867936</v>
      </c>
      <c r="G75" s="131">
        <v>120.83333333333334</v>
      </c>
      <c r="H75" s="55">
        <f t="shared" si="22"/>
        <v>102.88198667442376</v>
      </c>
      <c r="J75" s="37">
        <v>0.34</v>
      </c>
      <c r="K75" s="169">
        <f t="shared" si="23"/>
        <v>1.1914371310986793</v>
      </c>
    </row>
    <row r="76" spans="1:11" x14ac:dyDescent="0.2">
      <c r="A76" s="12">
        <f t="shared" si="25"/>
        <v>68</v>
      </c>
      <c r="B76" s="65" t="str">
        <f t="shared" si="24"/>
        <v>53E</v>
      </c>
      <c r="C76" s="28" t="s">
        <v>44</v>
      </c>
      <c r="D76" s="80" t="s">
        <v>50</v>
      </c>
      <c r="E76" s="37">
        <v>6.48</v>
      </c>
      <c r="F76" s="37">
        <f t="shared" si="21"/>
        <v>0.95126079474473157</v>
      </c>
      <c r="G76" s="131">
        <v>745.83333333333326</v>
      </c>
      <c r="H76" s="55">
        <f t="shared" si="22"/>
        <v>709.48200941377888</v>
      </c>
      <c r="J76" s="37">
        <v>0.38</v>
      </c>
      <c r="K76" s="169">
        <f t="shared" si="23"/>
        <v>1.3312607947447317</v>
      </c>
    </row>
    <row r="77" spans="1:11" x14ac:dyDescent="0.2">
      <c r="A77" s="12">
        <f t="shared" si="25"/>
        <v>69</v>
      </c>
      <c r="B77" s="65" t="s">
        <v>149</v>
      </c>
      <c r="C77" s="28" t="s">
        <v>83</v>
      </c>
      <c r="D77" s="83" t="s">
        <v>84</v>
      </c>
      <c r="E77" s="13">
        <v>6.4988000000000004E-2</v>
      </c>
      <c r="F77" s="37">
        <f t="shared" si="21"/>
        <v>9.5402062544553412E-3</v>
      </c>
      <c r="G77" s="131">
        <v>840316.66666666674</v>
      </c>
      <c r="H77" s="55">
        <f t="shared" si="22"/>
        <v>8016.7943190563983</v>
      </c>
      <c r="J77" s="13">
        <v>3.4740000000000001E-3</v>
      </c>
      <c r="K77" s="171">
        <f t="shared" si="23"/>
        <v>1.3014206254455341E-2</v>
      </c>
    </row>
    <row r="78" spans="1:11" x14ac:dyDescent="0.2">
      <c r="A78" s="12">
        <f t="shared" si="25"/>
        <v>70</v>
      </c>
      <c r="B78" s="66"/>
      <c r="C78" s="28"/>
      <c r="D78" s="80"/>
      <c r="E78" s="37"/>
      <c r="F78" s="37"/>
      <c r="G78" s="131"/>
      <c r="H78" s="28"/>
      <c r="J78" s="37"/>
      <c r="K78" s="169"/>
    </row>
    <row r="79" spans="1:11" ht="13.5" x14ac:dyDescent="0.35">
      <c r="A79" s="12">
        <f t="shared" si="25"/>
        <v>71</v>
      </c>
      <c r="B79" s="27" t="s">
        <v>117</v>
      </c>
      <c r="D79" s="38"/>
      <c r="E79" s="37"/>
      <c r="F79" s="37"/>
      <c r="G79" s="131"/>
      <c r="H79" s="28"/>
      <c r="J79" s="37"/>
      <c r="K79" s="169"/>
    </row>
    <row r="80" spans="1:11" x14ac:dyDescent="0.2">
      <c r="A80" s="12">
        <f t="shared" si="25"/>
        <v>72</v>
      </c>
      <c r="B80" s="65" t="s">
        <v>66</v>
      </c>
      <c r="C80" s="28" t="s">
        <v>9</v>
      </c>
      <c r="D80" s="80">
        <v>50</v>
      </c>
      <c r="E80" s="37">
        <v>1.1299999999999999</v>
      </c>
      <c r="F80" s="37">
        <f t="shared" ref="F80:F88" si="26">E80*$H$168</f>
        <v>0.16588344105888062</v>
      </c>
      <c r="G80" s="131">
        <v>175.83333333333331</v>
      </c>
      <c r="H80" s="55">
        <f t="shared" ref="H80:H88" si="27">F80*G80</f>
        <v>29.167838386186506</v>
      </c>
      <c r="J80" s="37">
        <v>7.0000000000000007E-2</v>
      </c>
      <c r="K80" s="169">
        <f t="shared" ref="K80:K88" si="28">F80+J80</f>
        <v>0.23588344105888062</v>
      </c>
    </row>
    <row r="81" spans="1:11" x14ac:dyDescent="0.2">
      <c r="A81" s="12">
        <f t="shared" si="25"/>
        <v>73</v>
      </c>
      <c r="B81" s="65" t="str">
        <f t="shared" ref="B81:B88" si="29">+B80</f>
        <v>54E</v>
      </c>
      <c r="C81" s="28" t="s">
        <v>9</v>
      </c>
      <c r="D81" s="80">
        <v>70</v>
      </c>
      <c r="E81" s="37">
        <v>1.6</v>
      </c>
      <c r="F81" s="37">
        <f t="shared" si="26"/>
        <v>0.23487920857894606</v>
      </c>
      <c r="G81" s="131">
        <v>740.83333333333326</v>
      </c>
      <c r="H81" s="55">
        <f t="shared" si="27"/>
        <v>174.00634702223587</v>
      </c>
      <c r="J81" s="37">
        <v>0.09</v>
      </c>
      <c r="K81" s="169">
        <f t="shared" si="28"/>
        <v>0.32487920857894603</v>
      </c>
    </row>
    <row r="82" spans="1:11" x14ac:dyDescent="0.2">
      <c r="A82" s="12">
        <f t="shared" si="25"/>
        <v>74</v>
      </c>
      <c r="B82" s="65" t="str">
        <f t="shared" si="29"/>
        <v>54E</v>
      </c>
      <c r="C82" s="28" t="s">
        <v>9</v>
      </c>
      <c r="D82" s="80">
        <v>100</v>
      </c>
      <c r="E82" s="37">
        <v>2.2799999999999998</v>
      </c>
      <c r="F82" s="37">
        <f t="shared" si="26"/>
        <v>0.33470287222499806</v>
      </c>
      <c r="G82" s="131">
        <v>4143.333333333333</v>
      </c>
      <c r="H82" s="55">
        <f t="shared" si="27"/>
        <v>1386.7855672522419</v>
      </c>
      <c r="J82" s="37">
        <v>0.13</v>
      </c>
      <c r="K82" s="169">
        <f t="shared" si="28"/>
        <v>0.46470287222499806</v>
      </c>
    </row>
    <row r="83" spans="1:11" x14ac:dyDescent="0.2">
      <c r="A83" s="12">
        <f t="shared" si="25"/>
        <v>75</v>
      </c>
      <c r="B83" s="65" t="str">
        <f t="shared" si="29"/>
        <v>54E</v>
      </c>
      <c r="C83" s="28" t="s">
        <v>9</v>
      </c>
      <c r="D83" s="80">
        <v>150</v>
      </c>
      <c r="E83" s="37">
        <v>3.41</v>
      </c>
      <c r="F83" s="37">
        <f t="shared" si="26"/>
        <v>0.50058631328387881</v>
      </c>
      <c r="G83" s="131">
        <v>1437.0833333333335</v>
      </c>
      <c r="H83" s="55">
        <f t="shared" si="27"/>
        <v>719.38424771504094</v>
      </c>
      <c r="J83" s="37">
        <v>0.2</v>
      </c>
      <c r="K83" s="169">
        <f t="shared" si="28"/>
        <v>0.70058631328387877</v>
      </c>
    </row>
    <row r="84" spans="1:11" x14ac:dyDescent="0.2">
      <c r="A84" s="12">
        <f t="shared" si="25"/>
        <v>76</v>
      </c>
      <c r="B84" s="65" t="str">
        <f t="shared" si="29"/>
        <v>54E</v>
      </c>
      <c r="C84" s="28" t="s">
        <v>9</v>
      </c>
      <c r="D84" s="80">
        <v>200</v>
      </c>
      <c r="E84" s="37">
        <v>4.55</v>
      </c>
      <c r="F84" s="37">
        <f t="shared" si="26"/>
        <v>0.66793774939637773</v>
      </c>
      <c r="G84" s="131">
        <v>1375</v>
      </c>
      <c r="H84" s="55">
        <f t="shared" si="27"/>
        <v>918.41440542001942</v>
      </c>
      <c r="J84" s="37">
        <v>0.27</v>
      </c>
      <c r="K84" s="169">
        <f t="shared" si="28"/>
        <v>0.93793774939637775</v>
      </c>
    </row>
    <row r="85" spans="1:11" x14ac:dyDescent="0.2">
      <c r="A85" s="12">
        <f t="shared" si="25"/>
        <v>77</v>
      </c>
      <c r="B85" s="65" t="str">
        <f t="shared" si="29"/>
        <v>54E</v>
      </c>
      <c r="C85" s="28" t="s">
        <v>9</v>
      </c>
      <c r="D85" s="80">
        <v>250</v>
      </c>
      <c r="E85" s="37">
        <v>5.68</v>
      </c>
      <c r="F85" s="37">
        <f t="shared" si="26"/>
        <v>0.83382119045525838</v>
      </c>
      <c r="G85" s="131">
        <v>1492.0833333333335</v>
      </c>
      <c r="H85" s="55">
        <f t="shared" si="27"/>
        <v>1244.1307012584502</v>
      </c>
      <c r="J85" s="37">
        <v>0.34</v>
      </c>
      <c r="K85" s="169">
        <f t="shared" si="28"/>
        <v>1.1738211904552585</v>
      </c>
    </row>
    <row r="86" spans="1:11" x14ac:dyDescent="0.2">
      <c r="A86" s="12">
        <f t="shared" si="25"/>
        <v>78</v>
      </c>
      <c r="B86" s="65" t="str">
        <f t="shared" si="29"/>
        <v>54E</v>
      </c>
      <c r="C86" s="28" t="s">
        <v>9</v>
      </c>
      <c r="D86" s="80">
        <v>310</v>
      </c>
      <c r="E86" s="37">
        <v>7.05</v>
      </c>
      <c r="F86" s="37">
        <f t="shared" si="26"/>
        <v>1.0349365128009809</v>
      </c>
      <c r="G86" s="131">
        <v>279.16666666666669</v>
      </c>
      <c r="H86" s="55">
        <f t="shared" si="27"/>
        <v>288.91977649027382</v>
      </c>
      <c r="J86" s="37">
        <v>0.42</v>
      </c>
      <c r="K86" s="169">
        <f t="shared" si="28"/>
        <v>1.4549365128009808</v>
      </c>
    </row>
    <row r="87" spans="1:11" x14ac:dyDescent="0.2">
      <c r="A87" s="12">
        <f t="shared" si="25"/>
        <v>79</v>
      </c>
      <c r="B87" s="65" t="str">
        <f t="shared" si="29"/>
        <v>54E</v>
      </c>
      <c r="C87" s="28" t="s">
        <v>9</v>
      </c>
      <c r="D87" s="80">
        <v>400</v>
      </c>
      <c r="E87" s="37">
        <v>9.1</v>
      </c>
      <c r="F87" s="37">
        <f t="shared" si="26"/>
        <v>1.3358754987927555</v>
      </c>
      <c r="G87" s="131">
        <v>2820.833333333333</v>
      </c>
      <c r="H87" s="55">
        <f t="shared" si="27"/>
        <v>3768.2821361778974</v>
      </c>
      <c r="J87" s="37">
        <v>0.54</v>
      </c>
      <c r="K87" s="169">
        <f t="shared" si="28"/>
        <v>1.8758754987927555</v>
      </c>
    </row>
    <row r="88" spans="1:11" x14ac:dyDescent="0.2">
      <c r="A88" s="12">
        <f t="shared" si="25"/>
        <v>80</v>
      </c>
      <c r="B88" s="65" t="str">
        <f t="shared" si="29"/>
        <v>54E</v>
      </c>
      <c r="C88" s="28" t="s">
        <v>9</v>
      </c>
      <c r="D88" s="80">
        <v>1000</v>
      </c>
      <c r="E88" s="37">
        <v>22.74</v>
      </c>
      <c r="F88" s="37">
        <f t="shared" si="26"/>
        <v>3.3382207519282705</v>
      </c>
      <c r="G88" s="131">
        <v>0</v>
      </c>
      <c r="H88" s="55">
        <f t="shared" si="27"/>
        <v>0</v>
      </c>
      <c r="J88" s="37">
        <v>1.35</v>
      </c>
      <c r="K88" s="169">
        <f t="shared" si="28"/>
        <v>4.6882207519282701</v>
      </c>
    </row>
    <row r="89" spans="1:11" x14ac:dyDescent="0.2">
      <c r="A89" s="12">
        <f t="shared" si="25"/>
        <v>81</v>
      </c>
      <c r="B89" s="66"/>
      <c r="C89" s="28"/>
      <c r="D89" s="80"/>
      <c r="E89" s="37"/>
      <c r="F89" s="37"/>
      <c r="G89" s="131"/>
      <c r="H89" s="28"/>
      <c r="J89" s="37"/>
      <c r="K89" s="169"/>
    </row>
    <row r="90" spans="1:11" x14ac:dyDescent="0.2">
      <c r="A90" s="12">
        <f t="shared" si="25"/>
        <v>82</v>
      </c>
      <c r="B90" s="65" t="str">
        <f>+B87</f>
        <v>54E</v>
      </c>
      <c r="C90" s="28" t="s">
        <v>44</v>
      </c>
      <c r="D90" s="81" t="s">
        <v>88</v>
      </c>
      <c r="E90" s="37">
        <v>0.33999999999999997</v>
      </c>
      <c r="F90" s="37">
        <f t="shared" ref="F90:F99" si="30">E90*$H$168</f>
        <v>4.9911831823026026E-2</v>
      </c>
      <c r="G90" s="131">
        <v>1151.6666666666667</v>
      </c>
      <c r="H90" s="55">
        <f t="shared" ref="H90:H99" si="31">F90*G90</f>
        <v>57.481792982851644</v>
      </c>
      <c r="J90" s="37">
        <v>0.02</v>
      </c>
      <c r="K90" s="169">
        <f t="shared" ref="K90:K99" si="32">F90+J90</f>
        <v>6.991183182302603E-2</v>
      </c>
    </row>
    <row r="91" spans="1:11" x14ac:dyDescent="0.2">
      <c r="A91" s="12">
        <f t="shared" si="25"/>
        <v>83</v>
      </c>
      <c r="B91" s="65" t="str">
        <f>+B88</f>
        <v>54E</v>
      </c>
      <c r="C91" s="28" t="s">
        <v>44</v>
      </c>
      <c r="D91" s="81" t="s">
        <v>58</v>
      </c>
      <c r="E91" s="37">
        <v>1.02</v>
      </c>
      <c r="F91" s="37">
        <f t="shared" si="30"/>
        <v>0.14973549546907811</v>
      </c>
      <c r="G91" s="131">
        <v>13172.5</v>
      </c>
      <c r="H91" s="55">
        <f t="shared" si="31"/>
        <v>1972.3908140664314</v>
      </c>
      <c r="J91" s="37">
        <v>0.06</v>
      </c>
      <c r="K91" s="169">
        <f t="shared" si="32"/>
        <v>0.2097354954690781</v>
      </c>
    </row>
    <row r="92" spans="1:11" x14ac:dyDescent="0.2">
      <c r="A92" s="12">
        <f t="shared" si="25"/>
        <v>84</v>
      </c>
      <c r="B92" s="65" t="str">
        <f t="shared" ref="B92:B99" si="33">+B91</f>
        <v>54E</v>
      </c>
      <c r="C92" s="28" t="s">
        <v>44</v>
      </c>
      <c r="D92" s="80" t="s">
        <v>57</v>
      </c>
      <c r="E92" s="37">
        <v>1.7</v>
      </c>
      <c r="F92" s="37">
        <f t="shared" si="30"/>
        <v>0.24955915911513016</v>
      </c>
      <c r="G92" s="131">
        <v>1104.5833333333333</v>
      </c>
      <c r="H92" s="55">
        <f t="shared" si="31"/>
        <v>275.65888783925419</v>
      </c>
      <c r="J92" s="37">
        <v>0.1</v>
      </c>
      <c r="K92" s="169">
        <f t="shared" si="32"/>
        <v>0.34955915911513014</v>
      </c>
    </row>
    <row r="93" spans="1:11" x14ac:dyDescent="0.2">
      <c r="A93" s="12">
        <f t="shared" si="25"/>
        <v>85</v>
      </c>
      <c r="B93" s="65" t="str">
        <f t="shared" si="33"/>
        <v>54E</v>
      </c>
      <c r="C93" s="28" t="s">
        <v>44</v>
      </c>
      <c r="D93" s="80" t="s">
        <v>56</v>
      </c>
      <c r="E93" s="37">
        <v>2.38</v>
      </c>
      <c r="F93" s="37">
        <f t="shared" si="30"/>
        <v>0.34938282276118221</v>
      </c>
      <c r="G93" s="131">
        <v>14752.916666666668</v>
      </c>
      <c r="H93" s="55">
        <f t="shared" si="31"/>
        <v>5154.4156689604915</v>
      </c>
      <c r="J93" s="37">
        <v>0.14000000000000001</v>
      </c>
      <c r="K93" s="169">
        <f t="shared" si="32"/>
        <v>0.48938282276118222</v>
      </c>
    </row>
    <row r="94" spans="1:11" x14ac:dyDescent="0.2">
      <c r="A94" s="12">
        <f t="shared" si="25"/>
        <v>86</v>
      </c>
      <c r="B94" s="65" t="str">
        <f t="shared" si="33"/>
        <v>54E</v>
      </c>
      <c r="C94" s="28" t="s">
        <v>44</v>
      </c>
      <c r="D94" s="80" t="s">
        <v>55</v>
      </c>
      <c r="E94" s="37">
        <v>3.0700000000000003</v>
      </c>
      <c r="F94" s="37">
        <f t="shared" si="30"/>
        <v>0.45067448146085276</v>
      </c>
      <c r="G94" s="131">
        <v>5311.25</v>
      </c>
      <c r="H94" s="55">
        <f t="shared" si="31"/>
        <v>2393.6448396589544</v>
      </c>
      <c r="J94" s="37">
        <v>0.18</v>
      </c>
      <c r="K94" s="169">
        <f t="shared" si="32"/>
        <v>0.6306744814608527</v>
      </c>
    </row>
    <row r="95" spans="1:11" x14ac:dyDescent="0.2">
      <c r="A95" s="12">
        <f t="shared" si="25"/>
        <v>87</v>
      </c>
      <c r="B95" s="65" t="str">
        <f t="shared" si="33"/>
        <v>54E</v>
      </c>
      <c r="C95" s="28" t="s">
        <v>44</v>
      </c>
      <c r="D95" s="80" t="s">
        <v>54</v>
      </c>
      <c r="E95" s="37">
        <v>3.75</v>
      </c>
      <c r="F95" s="37">
        <f t="shared" si="30"/>
        <v>0.55049814510690476</v>
      </c>
      <c r="G95" s="131">
        <v>2230</v>
      </c>
      <c r="H95" s="55">
        <f t="shared" si="31"/>
        <v>1227.6108635883977</v>
      </c>
      <c r="J95" s="37">
        <v>0.22</v>
      </c>
      <c r="K95" s="169">
        <f t="shared" si="32"/>
        <v>0.77049814510690473</v>
      </c>
    </row>
    <row r="96" spans="1:11" x14ac:dyDescent="0.2">
      <c r="A96" s="12">
        <f t="shared" si="25"/>
        <v>88</v>
      </c>
      <c r="B96" s="65" t="str">
        <f t="shared" si="33"/>
        <v>54E</v>
      </c>
      <c r="C96" s="28" t="s">
        <v>44</v>
      </c>
      <c r="D96" s="80" t="s">
        <v>53</v>
      </c>
      <c r="E96" s="37">
        <v>4.43</v>
      </c>
      <c r="F96" s="37">
        <f t="shared" si="30"/>
        <v>0.65032180875295686</v>
      </c>
      <c r="G96" s="131">
        <v>777.5</v>
      </c>
      <c r="H96" s="55">
        <f t="shared" si="31"/>
        <v>505.62520630542394</v>
      </c>
      <c r="J96" s="37">
        <v>0.26</v>
      </c>
      <c r="K96" s="169">
        <f t="shared" si="32"/>
        <v>0.91032180875295687</v>
      </c>
    </row>
    <row r="97" spans="1:11" x14ac:dyDescent="0.2">
      <c r="A97" s="12">
        <f t="shared" si="25"/>
        <v>89</v>
      </c>
      <c r="B97" s="65" t="str">
        <f t="shared" si="33"/>
        <v>54E</v>
      </c>
      <c r="C97" s="28" t="s">
        <v>44</v>
      </c>
      <c r="D97" s="80" t="s">
        <v>52</v>
      </c>
      <c r="E97" s="37">
        <v>5.12</v>
      </c>
      <c r="F97" s="37">
        <f t="shared" si="30"/>
        <v>0.75161346745262736</v>
      </c>
      <c r="G97" s="131">
        <v>195</v>
      </c>
      <c r="H97" s="55">
        <f t="shared" si="31"/>
        <v>146.56462615326234</v>
      </c>
      <c r="J97" s="37">
        <v>0.3</v>
      </c>
      <c r="K97" s="169">
        <f t="shared" si="32"/>
        <v>1.0516134674526274</v>
      </c>
    </row>
    <row r="98" spans="1:11" x14ac:dyDescent="0.2">
      <c r="A98" s="12">
        <f t="shared" si="25"/>
        <v>90</v>
      </c>
      <c r="B98" s="65" t="str">
        <f t="shared" si="33"/>
        <v>54E</v>
      </c>
      <c r="C98" s="28" t="s">
        <v>44</v>
      </c>
      <c r="D98" s="80" t="s">
        <v>51</v>
      </c>
      <c r="E98" s="37">
        <v>5.8</v>
      </c>
      <c r="F98" s="37">
        <f t="shared" si="30"/>
        <v>0.85143713109867936</v>
      </c>
      <c r="G98" s="131">
        <v>19.583333333333332</v>
      </c>
      <c r="H98" s="55">
        <f t="shared" si="31"/>
        <v>16.673977150682468</v>
      </c>
      <c r="J98" s="37">
        <v>0.34</v>
      </c>
      <c r="K98" s="169">
        <f t="shared" si="32"/>
        <v>1.1914371310986793</v>
      </c>
    </row>
    <row r="99" spans="1:11" x14ac:dyDescent="0.2">
      <c r="A99" s="12">
        <f t="shared" si="25"/>
        <v>91</v>
      </c>
      <c r="B99" s="65" t="str">
        <f t="shared" si="33"/>
        <v>54E</v>
      </c>
      <c r="C99" s="28" t="s">
        <v>44</v>
      </c>
      <c r="D99" s="80" t="s">
        <v>50</v>
      </c>
      <c r="E99" s="37">
        <v>6.48</v>
      </c>
      <c r="F99" s="37">
        <f t="shared" si="30"/>
        <v>0.95126079474473157</v>
      </c>
      <c r="G99" s="131">
        <v>0</v>
      </c>
      <c r="H99" s="55">
        <f t="shared" si="31"/>
        <v>0</v>
      </c>
      <c r="J99" s="37">
        <v>0.38</v>
      </c>
      <c r="K99" s="169">
        <f t="shared" si="32"/>
        <v>1.3312607947447317</v>
      </c>
    </row>
    <row r="100" spans="1:11" x14ac:dyDescent="0.2">
      <c r="A100" s="12">
        <f t="shared" si="25"/>
        <v>92</v>
      </c>
      <c r="B100" s="66"/>
      <c r="C100" s="28"/>
      <c r="D100" s="80"/>
      <c r="E100" s="37"/>
      <c r="F100" s="37"/>
      <c r="G100" s="131"/>
      <c r="H100" s="28"/>
      <c r="J100" s="37"/>
      <c r="K100" s="169"/>
    </row>
    <row r="101" spans="1:11" ht="13.5" x14ac:dyDescent="0.35">
      <c r="A101" s="12">
        <f t="shared" si="25"/>
        <v>93</v>
      </c>
      <c r="B101" s="27" t="s">
        <v>65</v>
      </c>
      <c r="C101" s="28"/>
      <c r="D101" s="80"/>
      <c r="E101" s="37"/>
      <c r="F101" s="37"/>
      <c r="G101" s="131"/>
      <c r="H101" s="28"/>
      <c r="J101" s="37"/>
      <c r="K101" s="169"/>
    </row>
    <row r="102" spans="1:11" x14ac:dyDescent="0.2">
      <c r="A102" s="12">
        <f t="shared" si="25"/>
        <v>94</v>
      </c>
      <c r="B102" s="65" t="s">
        <v>64</v>
      </c>
      <c r="C102" s="28" t="s">
        <v>9</v>
      </c>
      <c r="D102" s="80">
        <v>70</v>
      </c>
      <c r="E102" s="37">
        <v>1.6</v>
      </c>
      <c r="F102" s="37">
        <f t="shared" ref="F102:F107" si="34">E102*$H$168</f>
        <v>0.23487920857894606</v>
      </c>
      <c r="G102" s="131">
        <v>67.916666666666671</v>
      </c>
      <c r="H102" s="55">
        <f t="shared" ref="H102:H107" si="35">F102*G102</f>
        <v>15.952212915986754</v>
      </c>
      <c r="J102" s="37">
        <v>0.09</v>
      </c>
      <c r="K102" s="169">
        <f t="shared" ref="K102:K107" si="36">F102+J102</f>
        <v>0.32487920857894603</v>
      </c>
    </row>
    <row r="103" spans="1:11" x14ac:dyDescent="0.2">
      <c r="A103" s="12">
        <f t="shared" si="25"/>
        <v>95</v>
      </c>
      <c r="B103" s="66" t="str">
        <f>+B102</f>
        <v>55E &amp; 56E</v>
      </c>
      <c r="C103" s="28" t="s">
        <v>9</v>
      </c>
      <c r="D103" s="80">
        <v>100</v>
      </c>
      <c r="E103" s="37">
        <v>2.2799999999999998</v>
      </c>
      <c r="F103" s="37">
        <f t="shared" si="34"/>
        <v>0.33470287222499806</v>
      </c>
      <c r="G103" s="131">
        <v>16741.666666666668</v>
      </c>
      <c r="H103" s="55">
        <f t="shared" si="35"/>
        <v>5603.4839191668425</v>
      </c>
      <c r="J103" s="37">
        <v>0.13</v>
      </c>
      <c r="K103" s="169">
        <f t="shared" si="36"/>
        <v>0.46470287222499806</v>
      </c>
    </row>
    <row r="104" spans="1:11" x14ac:dyDescent="0.2">
      <c r="A104" s="12">
        <f t="shared" si="25"/>
        <v>96</v>
      </c>
      <c r="B104" s="66" t="str">
        <f>+B103</f>
        <v>55E &amp; 56E</v>
      </c>
      <c r="C104" s="28" t="s">
        <v>9</v>
      </c>
      <c r="D104" s="80">
        <v>150</v>
      </c>
      <c r="E104" s="37">
        <v>3.42</v>
      </c>
      <c r="F104" s="37">
        <f t="shared" si="34"/>
        <v>0.5020543083374972</v>
      </c>
      <c r="G104" s="131">
        <v>2263.3333333333335</v>
      </c>
      <c r="H104" s="55">
        <f t="shared" si="35"/>
        <v>1136.3162512038687</v>
      </c>
      <c r="J104" s="37">
        <v>0.2</v>
      </c>
      <c r="K104" s="169">
        <f t="shared" si="36"/>
        <v>0.70205430833749727</v>
      </c>
    </row>
    <row r="105" spans="1:11" x14ac:dyDescent="0.2">
      <c r="A105" s="12">
        <f t="shared" si="25"/>
        <v>97</v>
      </c>
      <c r="B105" s="66" t="str">
        <f>+B104</f>
        <v>55E &amp; 56E</v>
      </c>
      <c r="C105" s="28" t="s">
        <v>9</v>
      </c>
      <c r="D105" s="80">
        <v>200</v>
      </c>
      <c r="E105" s="37">
        <v>4.5599999999999996</v>
      </c>
      <c r="F105" s="37">
        <f t="shared" si="34"/>
        <v>0.66940574444999612</v>
      </c>
      <c r="G105" s="131">
        <v>4675</v>
      </c>
      <c r="H105" s="55">
        <f t="shared" si="35"/>
        <v>3129.4718553037319</v>
      </c>
      <c r="J105" s="37">
        <v>0.27</v>
      </c>
      <c r="K105" s="169">
        <f t="shared" si="36"/>
        <v>0.93940574444999614</v>
      </c>
    </row>
    <row r="106" spans="1:11" x14ac:dyDescent="0.2">
      <c r="A106" s="12">
        <f t="shared" ref="A106:A137" si="37">+A105+1</f>
        <v>98</v>
      </c>
      <c r="B106" s="66" t="str">
        <f>+B105</f>
        <v>55E &amp; 56E</v>
      </c>
      <c r="C106" s="28" t="s">
        <v>9</v>
      </c>
      <c r="D106" s="80">
        <v>250</v>
      </c>
      <c r="E106" s="37">
        <v>5.6999999999999993</v>
      </c>
      <c r="F106" s="37">
        <f t="shared" si="34"/>
        <v>0.83675718056249515</v>
      </c>
      <c r="G106" s="131">
        <v>492.91666666666663</v>
      </c>
      <c r="H106" s="55">
        <f t="shared" si="35"/>
        <v>412.45156025226322</v>
      </c>
      <c r="J106" s="37">
        <v>0.34</v>
      </c>
      <c r="K106" s="169">
        <f t="shared" si="36"/>
        <v>1.1767571805624952</v>
      </c>
    </row>
    <row r="107" spans="1:11" x14ac:dyDescent="0.2">
      <c r="A107" s="12">
        <f t="shared" si="37"/>
        <v>99</v>
      </c>
      <c r="B107" s="66" t="str">
        <f>+B106</f>
        <v>55E &amp; 56E</v>
      </c>
      <c r="C107" s="28" t="s">
        <v>9</v>
      </c>
      <c r="D107" s="80">
        <v>400</v>
      </c>
      <c r="E107" s="37">
        <v>9.1199999999999992</v>
      </c>
      <c r="F107" s="37">
        <f t="shared" si="34"/>
        <v>1.3388114888999922</v>
      </c>
      <c r="G107" s="131">
        <v>172.5</v>
      </c>
      <c r="H107" s="55">
        <f t="shared" si="35"/>
        <v>230.94498183524865</v>
      </c>
      <c r="J107" s="37">
        <v>0.54</v>
      </c>
      <c r="K107" s="169">
        <f t="shared" si="36"/>
        <v>1.8788114888999923</v>
      </c>
    </row>
    <row r="108" spans="1:11" x14ac:dyDescent="0.2">
      <c r="A108" s="12">
        <f t="shared" si="37"/>
        <v>100</v>
      </c>
      <c r="B108" s="66"/>
      <c r="C108" s="28"/>
      <c r="D108" s="80"/>
      <c r="E108" s="37"/>
      <c r="F108" s="37"/>
      <c r="G108" s="131"/>
      <c r="H108" s="28"/>
      <c r="J108" s="37"/>
      <c r="K108" s="169"/>
    </row>
    <row r="109" spans="1:11" x14ac:dyDescent="0.2">
      <c r="A109" s="12">
        <f t="shared" si="37"/>
        <v>101</v>
      </c>
      <c r="B109" s="66" t="str">
        <f>+B107</f>
        <v>55E &amp; 56E</v>
      </c>
      <c r="C109" s="28" t="s">
        <v>60</v>
      </c>
      <c r="D109" s="80">
        <v>250</v>
      </c>
      <c r="E109" s="37">
        <v>5.6999999999999993</v>
      </c>
      <c r="F109" s="37">
        <f>E109*$H$168</f>
        <v>0.83675718056249515</v>
      </c>
      <c r="G109" s="131">
        <v>33.333333333333336</v>
      </c>
      <c r="H109" s="55">
        <f>F109*G109</f>
        <v>27.89190601874984</v>
      </c>
      <c r="J109" s="37">
        <v>0.34</v>
      </c>
      <c r="K109" s="169">
        <f>F109+J109</f>
        <v>1.1767571805624952</v>
      </c>
    </row>
    <row r="110" spans="1:11" x14ac:dyDescent="0.2">
      <c r="A110" s="12">
        <f t="shared" si="37"/>
        <v>102</v>
      </c>
      <c r="B110" s="66"/>
      <c r="C110" s="28"/>
      <c r="D110" s="80"/>
      <c r="E110" s="37"/>
      <c r="F110" s="37"/>
      <c r="G110" s="131"/>
      <c r="H110" s="28"/>
      <c r="J110" s="37"/>
      <c r="K110" s="169"/>
    </row>
    <row r="111" spans="1:11" x14ac:dyDescent="0.2">
      <c r="A111" s="12">
        <f t="shared" si="37"/>
        <v>103</v>
      </c>
      <c r="B111" s="66" t="s">
        <v>64</v>
      </c>
      <c r="C111" s="28" t="s">
        <v>44</v>
      </c>
      <c r="D111" s="38" t="s">
        <v>87</v>
      </c>
      <c r="E111" s="37">
        <v>0.35</v>
      </c>
      <c r="F111" s="37">
        <f t="shared" ref="F111:F120" si="38">E111*$H$168</f>
        <v>5.1379826876644441E-2</v>
      </c>
      <c r="G111" s="131">
        <v>17.083333333333332</v>
      </c>
      <c r="H111" s="55">
        <f t="shared" ref="H111:H120" si="39">F111*G111</f>
        <v>0.87773870914267582</v>
      </c>
      <c r="J111" s="37">
        <v>0.02</v>
      </c>
      <c r="K111" s="169">
        <f t="shared" ref="K111:K120" si="40">F111+J111</f>
        <v>7.1379826876644445E-2</v>
      </c>
    </row>
    <row r="112" spans="1:11" x14ac:dyDescent="0.2">
      <c r="A112" s="12">
        <f t="shared" si="37"/>
        <v>104</v>
      </c>
      <c r="B112" s="66" t="s">
        <v>64</v>
      </c>
      <c r="C112" s="28" t="s">
        <v>44</v>
      </c>
      <c r="D112" s="81" t="s">
        <v>58</v>
      </c>
      <c r="E112" s="37">
        <v>1.03</v>
      </c>
      <c r="F112" s="37">
        <f t="shared" si="38"/>
        <v>0.15120349052269652</v>
      </c>
      <c r="G112" s="131">
        <v>3963.333333333333</v>
      </c>
      <c r="H112" s="55">
        <f t="shared" si="39"/>
        <v>599.26983410495382</v>
      </c>
      <c r="J112" s="37">
        <v>0.06</v>
      </c>
      <c r="K112" s="169">
        <f t="shared" si="40"/>
        <v>0.21120349052269652</v>
      </c>
    </row>
    <row r="113" spans="1:11" x14ac:dyDescent="0.2">
      <c r="A113" s="12">
        <f t="shared" si="37"/>
        <v>105</v>
      </c>
      <c r="B113" s="66" t="s">
        <v>64</v>
      </c>
      <c r="C113" s="28" t="s">
        <v>44</v>
      </c>
      <c r="D113" s="80" t="s">
        <v>57</v>
      </c>
      <c r="E113" s="37">
        <v>1.71</v>
      </c>
      <c r="F113" s="37">
        <f t="shared" si="38"/>
        <v>0.2510271541687486</v>
      </c>
      <c r="G113" s="131">
        <v>168.33333333333331</v>
      </c>
      <c r="H113" s="55">
        <f t="shared" si="39"/>
        <v>42.256237618406011</v>
      </c>
      <c r="J113" s="37">
        <v>0.1</v>
      </c>
      <c r="K113" s="169">
        <f t="shared" si="40"/>
        <v>0.35102715416874863</v>
      </c>
    </row>
    <row r="114" spans="1:11" x14ac:dyDescent="0.2">
      <c r="A114" s="12">
        <f t="shared" si="37"/>
        <v>106</v>
      </c>
      <c r="B114" s="66" t="s">
        <v>64</v>
      </c>
      <c r="C114" s="28" t="s">
        <v>44</v>
      </c>
      <c r="D114" s="80" t="s">
        <v>56</v>
      </c>
      <c r="E114" s="37">
        <v>2.39</v>
      </c>
      <c r="F114" s="37">
        <f t="shared" si="38"/>
        <v>0.35085081781480065</v>
      </c>
      <c r="G114" s="131">
        <v>866.25</v>
      </c>
      <c r="H114" s="55">
        <f t="shared" si="39"/>
        <v>303.92452093207106</v>
      </c>
      <c r="J114" s="37">
        <v>0.14000000000000001</v>
      </c>
      <c r="K114" s="169">
        <f t="shared" si="40"/>
        <v>0.49085081781480067</v>
      </c>
    </row>
    <row r="115" spans="1:11" x14ac:dyDescent="0.2">
      <c r="A115" s="12">
        <f t="shared" si="37"/>
        <v>107</v>
      </c>
      <c r="B115" s="66" t="s">
        <v>64</v>
      </c>
      <c r="C115" s="28" t="s">
        <v>44</v>
      </c>
      <c r="D115" s="80" t="s">
        <v>55</v>
      </c>
      <c r="E115" s="37">
        <v>3.08</v>
      </c>
      <c r="F115" s="37">
        <f t="shared" si="38"/>
        <v>0.45214247651447115</v>
      </c>
      <c r="G115" s="131">
        <v>0</v>
      </c>
      <c r="H115" s="55">
        <f t="shared" si="39"/>
        <v>0</v>
      </c>
      <c r="J115" s="37">
        <v>0.18</v>
      </c>
      <c r="K115" s="169">
        <f t="shared" si="40"/>
        <v>0.6321424765144712</v>
      </c>
    </row>
    <row r="116" spans="1:11" x14ac:dyDescent="0.2">
      <c r="A116" s="12">
        <f t="shared" si="37"/>
        <v>108</v>
      </c>
      <c r="B116" s="66" t="s">
        <v>64</v>
      </c>
      <c r="C116" s="28" t="s">
        <v>44</v>
      </c>
      <c r="D116" s="80" t="s">
        <v>54</v>
      </c>
      <c r="E116" s="37">
        <v>3.76</v>
      </c>
      <c r="F116" s="37">
        <f t="shared" si="38"/>
        <v>0.55196614016052314</v>
      </c>
      <c r="G116" s="131">
        <v>0</v>
      </c>
      <c r="H116" s="55">
        <f t="shared" si="39"/>
        <v>0</v>
      </c>
      <c r="J116" s="37">
        <v>0.22</v>
      </c>
      <c r="K116" s="169">
        <f t="shared" si="40"/>
        <v>0.77196614016052312</v>
      </c>
    </row>
    <row r="117" spans="1:11" x14ac:dyDescent="0.2">
      <c r="A117" s="12">
        <f t="shared" si="37"/>
        <v>109</v>
      </c>
      <c r="B117" s="66" t="s">
        <v>64</v>
      </c>
      <c r="C117" s="28" t="s">
        <v>44</v>
      </c>
      <c r="D117" s="80" t="s">
        <v>53</v>
      </c>
      <c r="E117" s="37">
        <v>4.4400000000000004</v>
      </c>
      <c r="F117" s="37">
        <f t="shared" si="38"/>
        <v>0.65178980380657536</v>
      </c>
      <c r="G117" s="131">
        <v>0</v>
      </c>
      <c r="H117" s="55">
        <f t="shared" si="39"/>
        <v>0</v>
      </c>
      <c r="J117" s="37">
        <v>0.26</v>
      </c>
      <c r="K117" s="169">
        <f t="shared" si="40"/>
        <v>0.91178980380657537</v>
      </c>
    </row>
    <row r="118" spans="1:11" x14ac:dyDescent="0.2">
      <c r="A118" s="12">
        <f t="shared" si="37"/>
        <v>110</v>
      </c>
      <c r="B118" s="66" t="s">
        <v>64</v>
      </c>
      <c r="C118" s="28" t="s">
        <v>44</v>
      </c>
      <c r="D118" s="80" t="s">
        <v>52</v>
      </c>
      <c r="E118" s="37">
        <v>5.13</v>
      </c>
      <c r="F118" s="37">
        <f t="shared" si="38"/>
        <v>0.75308146250624575</v>
      </c>
      <c r="G118" s="131">
        <v>0</v>
      </c>
      <c r="H118" s="55">
        <f t="shared" si="39"/>
        <v>0</v>
      </c>
      <c r="J118" s="37">
        <v>0.3</v>
      </c>
      <c r="K118" s="169">
        <f t="shared" si="40"/>
        <v>1.0530814625062457</v>
      </c>
    </row>
    <row r="119" spans="1:11" x14ac:dyDescent="0.2">
      <c r="A119" s="12">
        <f t="shared" si="37"/>
        <v>111</v>
      </c>
      <c r="B119" s="66" t="s">
        <v>64</v>
      </c>
      <c r="C119" s="28" t="s">
        <v>44</v>
      </c>
      <c r="D119" s="80" t="s">
        <v>51</v>
      </c>
      <c r="E119" s="37">
        <v>5.8100000000000005</v>
      </c>
      <c r="F119" s="37">
        <f t="shared" si="38"/>
        <v>0.85290512615229785</v>
      </c>
      <c r="G119" s="131">
        <v>0</v>
      </c>
      <c r="H119" s="55">
        <f t="shared" si="39"/>
        <v>0</v>
      </c>
      <c r="J119" s="37">
        <v>0.34</v>
      </c>
      <c r="K119" s="169">
        <f t="shared" si="40"/>
        <v>1.1929051261522978</v>
      </c>
    </row>
    <row r="120" spans="1:11" x14ac:dyDescent="0.2">
      <c r="A120" s="12">
        <f t="shared" si="37"/>
        <v>112</v>
      </c>
      <c r="B120" s="66" t="s">
        <v>64</v>
      </c>
      <c r="C120" s="28" t="s">
        <v>44</v>
      </c>
      <c r="D120" s="80" t="s">
        <v>50</v>
      </c>
      <c r="E120" s="37">
        <v>6.5</v>
      </c>
      <c r="F120" s="37">
        <f t="shared" si="38"/>
        <v>0.95419678485196835</v>
      </c>
      <c r="G120" s="131">
        <v>0</v>
      </c>
      <c r="H120" s="55">
        <f t="shared" si="39"/>
        <v>0</v>
      </c>
      <c r="J120" s="37">
        <v>0.38</v>
      </c>
      <c r="K120" s="169">
        <f t="shared" si="40"/>
        <v>1.3341967848519682</v>
      </c>
    </row>
    <row r="121" spans="1:11" x14ac:dyDescent="0.2">
      <c r="A121" s="12">
        <f t="shared" si="37"/>
        <v>113</v>
      </c>
      <c r="B121" s="66"/>
      <c r="C121" s="28"/>
      <c r="D121" s="80"/>
      <c r="E121" s="37"/>
      <c r="F121" s="37"/>
      <c r="G121" s="131"/>
      <c r="H121" s="28"/>
      <c r="J121" s="37"/>
      <c r="K121" s="169"/>
    </row>
    <row r="122" spans="1:11" ht="13.5" x14ac:dyDescent="0.35">
      <c r="A122" s="12">
        <f t="shared" si="37"/>
        <v>114</v>
      </c>
      <c r="B122" s="27" t="s">
        <v>42</v>
      </c>
      <c r="C122" s="28"/>
      <c r="D122" s="80"/>
      <c r="E122" s="37"/>
      <c r="F122" s="37"/>
      <c r="G122" s="131"/>
      <c r="H122" s="28"/>
      <c r="J122" s="37"/>
      <c r="K122" s="169"/>
    </row>
    <row r="123" spans="1:11" x14ac:dyDescent="0.2">
      <c r="A123" s="12">
        <f t="shared" si="37"/>
        <v>115</v>
      </c>
      <c r="B123" s="66" t="s">
        <v>41</v>
      </c>
      <c r="C123" s="28" t="s">
        <v>40</v>
      </c>
      <c r="D123" s="80">
        <v>0</v>
      </c>
      <c r="E123" s="82">
        <v>4.2689999999999999E-2</v>
      </c>
      <c r="F123" s="82">
        <f>E123*$H$168</f>
        <v>6.2668708838970041E-3</v>
      </c>
      <c r="G123" s="131">
        <v>2194376.6666666665</v>
      </c>
      <c r="H123" s="55">
        <f>F123*G123</f>
        <v>13751.875240636295</v>
      </c>
      <c r="J123" s="82">
        <v>2.5300000000000001E-3</v>
      </c>
      <c r="K123" s="170">
        <f>F123+J123</f>
        <v>8.7968708838970042E-3</v>
      </c>
    </row>
    <row r="124" spans="1:11" x14ac:dyDescent="0.2">
      <c r="A124" s="12">
        <f t="shared" si="37"/>
        <v>116</v>
      </c>
      <c r="B124" s="66"/>
      <c r="C124" s="28"/>
      <c r="D124" s="80"/>
      <c r="E124" s="37"/>
      <c r="F124" s="37"/>
      <c r="G124" s="131"/>
      <c r="H124" s="28"/>
      <c r="J124" s="37"/>
      <c r="K124" s="169"/>
    </row>
    <row r="125" spans="1:11" ht="13.5" x14ac:dyDescent="0.35">
      <c r="A125" s="12">
        <f t="shared" si="37"/>
        <v>117</v>
      </c>
      <c r="B125" s="27" t="s">
        <v>63</v>
      </c>
      <c r="C125" s="28"/>
      <c r="D125" s="80"/>
      <c r="E125" s="37"/>
      <c r="F125" s="37"/>
      <c r="G125" s="131"/>
      <c r="H125" s="28"/>
      <c r="J125" s="37"/>
      <c r="K125" s="169"/>
    </row>
    <row r="126" spans="1:11" x14ac:dyDescent="0.2">
      <c r="A126" s="12">
        <f t="shared" si="37"/>
        <v>118</v>
      </c>
      <c r="B126" s="65" t="s">
        <v>62</v>
      </c>
      <c r="C126" s="28" t="s">
        <v>9</v>
      </c>
      <c r="D126" s="80">
        <v>70</v>
      </c>
      <c r="E126" s="37">
        <v>1.6</v>
      </c>
      <c r="F126" s="37">
        <f t="shared" ref="F126:F131" si="41">E126*$H$168</f>
        <v>0.23487920857894606</v>
      </c>
      <c r="G126" s="131">
        <v>243.33333333333331</v>
      </c>
      <c r="H126" s="55">
        <f t="shared" ref="H126:H131" si="42">F126*G126</f>
        <v>57.153940754210204</v>
      </c>
      <c r="J126" s="37">
        <v>0.09</v>
      </c>
      <c r="K126" s="169">
        <f t="shared" ref="K126:K131" si="43">F126+J126</f>
        <v>0.32487920857894603</v>
      </c>
    </row>
    <row r="127" spans="1:11" x14ac:dyDescent="0.2">
      <c r="A127" s="12">
        <f t="shared" si="37"/>
        <v>119</v>
      </c>
      <c r="B127" s="66" t="str">
        <f>+B126</f>
        <v>58E &amp; 59E - Directional</v>
      </c>
      <c r="C127" s="28" t="s">
        <v>9</v>
      </c>
      <c r="D127" s="80">
        <v>100</v>
      </c>
      <c r="E127" s="37">
        <v>2.2799999999999998</v>
      </c>
      <c r="F127" s="37">
        <f t="shared" si="41"/>
        <v>0.33470287222499806</v>
      </c>
      <c r="G127" s="131">
        <v>49.583333333333329</v>
      </c>
      <c r="H127" s="55">
        <f t="shared" si="42"/>
        <v>16.595684081156151</v>
      </c>
      <c r="J127" s="37">
        <v>0.13</v>
      </c>
      <c r="K127" s="169">
        <f t="shared" si="43"/>
        <v>0.46470287222499806</v>
      </c>
    </row>
    <row r="128" spans="1:11" x14ac:dyDescent="0.2">
      <c r="A128" s="12">
        <f t="shared" si="37"/>
        <v>120</v>
      </c>
      <c r="B128" s="66" t="str">
        <f>+B127</f>
        <v>58E &amp; 59E - Directional</v>
      </c>
      <c r="C128" s="28" t="s">
        <v>9</v>
      </c>
      <c r="D128" s="80">
        <v>150</v>
      </c>
      <c r="E128" s="37">
        <v>3.42</v>
      </c>
      <c r="F128" s="37">
        <f t="shared" si="41"/>
        <v>0.5020543083374972</v>
      </c>
      <c r="G128" s="131">
        <v>681.25</v>
      </c>
      <c r="H128" s="55">
        <f t="shared" si="42"/>
        <v>342.02449755491995</v>
      </c>
      <c r="J128" s="37">
        <v>0.2</v>
      </c>
      <c r="K128" s="169">
        <f t="shared" si="43"/>
        <v>0.70205430833749727</v>
      </c>
    </row>
    <row r="129" spans="1:11" x14ac:dyDescent="0.2">
      <c r="A129" s="12">
        <f t="shared" si="37"/>
        <v>121</v>
      </c>
      <c r="B129" s="66" t="str">
        <f>+B128</f>
        <v>58E &amp; 59E - Directional</v>
      </c>
      <c r="C129" s="28" t="s">
        <v>9</v>
      </c>
      <c r="D129" s="80">
        <v>200</v>
      </c>
      <c r="E129" s="37">
        <v>4.5599999999999996</v>
      </c>
      <c r="F129" s="37">
        <f t="shared" si="41"/>
        <v>0.66940574444999612</v>
      </c>
      <c r="G129" s="131">
        <v>1215.8333333333333</v>
      </c>
      <c r="H129" s="55">
        <f t="shared" si="42"/>
        <v>813.88581762712022</v>
      </c>
      <c r="J129" s="37">
        <v>0.27</v>
      </c>
      <c r="K129" s="169">
        <f t="shared" si="43"/>
        <v>0.93940574444999614</v>
      </c>
    </row>
    <row r="130" spans="1:11" x14ac:dyDescent="0.2">
      <c r="A130" s="12">
        <f t="shared" si="37"/>
        <v>122</v>
      </c>
      <c r="B130" s="66" t="str">
        <f>+B129</f>
        <v>58E &amp; 59E - Directional</v>
      </c>
      <c r="C130" s="28" t="s">
        <v>9</v>
      </c>
      <c r="D130" s="80">
        <v>250</v>
      </c>
      <c r="E130" s="37">
        <v>5.6999999999999993</v>
      </c>
      <c r="F130" s="37">
        <f t="shared" si="41"/>
        <v>0.83675718056249515</v>
      </c>
      <c r="G130" s="131">
        <v>183.75</v>
      </c>
      <c r="H130" s="55">
        <f t="shared" si="42"/>
        <v>153.75413192835848</v>
      </c>
      <c r="J130" s="37">
        <v>0.34</v>
      </c>
      <c r="K130" s="169">
        <f t="shared" si="43"/>
        <v>1.1767571805624952</v>
      </c>
    </row>
    <row r="131" spans="1:11" x14ac:dyDescent="0.2">
      <c r="A131" s="12">
        <f t="shared" si="37"/>
        <v>123</v>
      </c>
      <c r="B131" s="66" t="str">
        <f>+B130</f>
        <v>58E &amp; 59E - Directional</v>
      </c>
      <c r="C131" s="28" t="s">
        <v>9</v>
      </c>
      <c r="D131" s="80">
        <v>400</v>
      </c>
      <c r="E131" s="37">
        <v>9.1199999999999992</v>
      </c>
      <c r="F131" s="37">
        <f t="shared" si="41"/>
        <v>1.3388114888999922</v>
      </c>
      <c r="G131" s="131">
        <v>1601.25</v>
      </c>
      <c r="H131" s="55">
        <f t="shared" si="42"/>
        <v>2143.7718966011125</v>
      </c>
      <c r="J131" s="37">
        <v>0.54</v>
      </c>
      <c r="K131" s="169">
        <f t="shared" si="43"/>
        <v>1.8788114888999923</v>
      </c>
    </row>
    <row r="132" spans="1:11" x14ac:dyDescent="0.2">
      <c r="A132" s="12">
        <f t="shared" si="37"/>
        <v>124</v>
      </c>
      <c r="B132" s="66"/>
      <c r="C132" s="28"/>
      <c r="D132" s="80"/>
      <c r="E132" s="37"/>
      <c r="F132" s="37"/>
      <c r="G132" s="131"/>
      <c r="H132" s="28"/>
      <c r="J132" s="37"/>
      <c r="K132" s="169"/>
    </row>
    <row r="133" spans="1:11" x14ac:dyDescent="0.2">
      <c r="A133" s="12">
        <f t="shared" si="37"/>
        <v>125</v>
      </c>
      <c r="B133" s="65" t="s">
        <v>61</v>
      </c>
      <c r="C133" s="28" t="s">
        <v>9</v>
      </c>
      <c r="D133" s="80">
        <v>100</v>
      </c>
      <c r="E133" s="37">
        <v>2.2799999999999998</v>
      </c>
      <c r="F133" s="37">
        <f>E133*$H$168</f>
        <v>0.33470287222499806</v>
      </c>
      <c r="G133" s="131">
        <v>0</v>
      </c>
      <c r="H133" s="55">
        <f>F133*G133</f>
        <v>0</v>
      </c>
      <c r="J133" s="37">
        <v>0.13</v>
      </c>
      <c r="K133" s="169">
        <f t="shared" ref="K133:K137" si="44">F133+J133</f>
        <v>0.46470287222499806</v>
      </c>
    </row>
    <row r="134" spans="1:11" x14ac:dyDescent="0.2">
      <c r="A134" s="12">
        <f t="shared" si="37"/>
        <v>126</v>
      </c>
      <c r="B134" s="66" t="str">
        <f>B133</f>
        <v>58E &amp; 59E - Horizontal</v>
      </c>
      <c r="C134" s="28" t="s">
        <v>9</v>
      </c>
      <c r="D134" s="80">
        <v>150</v>
      </c>
      <c r="E134" s="37">
        <v>3.42</v>
      </c>
      <c r="F134" s="37">
        <f>E134*$H$168</f>
        <v>0.5020543083374972</v>
      </c>
      <c r="G134" s="131">
        <v>67.916666666666671</v>
      </c>
      <c r="H134" s="55">
        <f>F134*G134</f>
        <v>34.097855107921689</v>
      </c>
      <c r="J134" s="37">
        <v>0.2</v>
      </c>
      <c r="K134" s="169">
        <f t="shared" si="44"/>
        <v>0.70205430833749727</v>
      </c>
    </row>
    <row r="135" spans="1:11" x14ac:dyDescent="0.2">
      <c r="A135" s="12">
        <f t="shared" si="37"/>
        <v>127</v>
      </c>
      <c r="B135" s="66" t="str">
        <f>B134</f>
        <v>58E &amp; 59E - Horizontal</v>
      </c>
      <c r="C135" s="28" t="s">
        <v>9</v>
      </c>
      <c r="D135" s="80">
        <v>200</v>
      </c>
      <c r="E135" s="37">
        <v>4.5599999999999996</v>
      </c>
      <c r="F135" s="37">
        <f>E135*$H$168</f>
        <v>0.66940574444999612</v>
      </c>
      <c r="G135" s="131">
        <v>34.166666666666664</v>
      </c>
      <c r="H135" s="55">
        <f>F135*G135</f>
        <v>22.871362935374865</v>
      </c>
      <c r="J135" s="37">
        <v>0.27</v>
      </c>
      <c r="K135" s="169">
        <f t="shared" si="44"/>
        <v>0.93940574444999614</v>
      </c>
    </row>
    <row r="136" spans="1:11" x14ac:dyDescent="0.2">
      <c r="A136" s="12">
        <f t="shared" si="37"/>
        <v>128</v>
      </c>
      <c r="B136" s="66" t="str">
        <f>B135</f>
        <v>58E &amp; 59E - Horizontal</v>
      </c>
      <c r="C136" s="28" t="s">
        <v>9</v>
      </c>
      <c r="D136" s="80">
        <v>250</v>
      </c>
      <c r="E136" s="37">
        <v>5.6999999999999993</v>
      </c>
      <c r="F136" s="37">
        <f>E136*$H$168</f>
        <v>0.83675718056249515</v>
      </c>
      <c r="G136" s="131">
        <v>149.16666666666666</v>
      </c>
      <c r="H136" s="55">
        <f>F136*G136</f>
        <v>124.81627943390552</v>
      </c>
      <c r="J136" s="37">
        <v>0.34</v>
      </c>
      <c r="K136" s="169">
        <f t="shared" si="44"/>
        <v>1.1767571805624952</v>
      </c>
    </row>
    <row r="137" spans="1:11" x14ac:dyDescent="0.2">
      <c r="A137" s="12">
        <f t="shared" si="37"/>
        <v>129</v>
      </c>
      <c r="B137" s="66" t="str">
        <f>B136</f>
        <v>58E &amp; 59E - Horizontal</v>
      </c>
      <c r="C137" s="28" t="s">
        <v>9</v>
      </c>
      <c r="D137" s="80">
        <v>400</v>
      </c>
      <c r="E137" s="37">
        <v>9.1199999999999992</v>
      </c>
      <c r="F137" s="37">
        <f>E137*$H$168</f>
        <v>1.3388114888999922</v>
      </c>
      <c r="G137" s="131">
        <v>217.91666666666669</v>
      </c>
      <c r="H137" s="55">
        <f>F137*G137</f>
        <v>291.74933695612333</v>
      </c>
      <c r="J137" s="37">
        <v>0.54</v>
      </c>
      <c r="K137" s="169">
        <f t="shared" si="44"/>
        <v>1.8788114888999923</v>
      </c>
    </row>
    <row r="138" spans="1:11" x14ac:dyDescent="0.2">
      <c r="A138" s="12">
        <f t="shared" ref="A138:A171" si="45">+A137+1</f>
        <v>130</v>
      </c>
      <c r="B138" s="66"/>
      <c r="C138" s="28"/>
      <c r="D138" s="80"/>
      <c r="E138" s="37"/>
      <c r="F138" s="37"/>
      <c r="G138" s="131"/>
      <c r="H138" s="28"/>
      <c r="J138" s="37"/>
      <c r="K138" s="169"/>
    </row>
    <row r="139" spans="1:11" x14ac:dyDescent="0.2">
      <c r="A139" s="12">
        <f t="shared" si="45"/>
        <v>131</v>
      </c>
      <c r="B139" s="66" t="str">
        <f>B127</f>
        <v>58E &amp; 59E - Directional</v>
      </c>
      <c r="C139" s="28" t="s">
        <v>60</v>
      </c>
      <c r="D139" s="80">
        <v>175</v>
      </c>
      <c r="E139" s="37">
        <v>3.9899999999999998</v>
      </c>
      <c r="F139" s="37">
        <f>E139*$H$168</f>
        <v>0.58573002639374661</v>
      </c>
      <c r="G139" s="131">
        <v>15</v>
      </c>
      <c r="H139" s="55">
        <f>F139*G139</f>
        <v>8.7859503959061982</v>
      </c>
      <c r="J139" s="37">
        <v>0.24</v>
      </c>
      <c r="K139" s="169">
        <f t="shared" ref="K139:K142" si="46">F139+J139</f>
        <v>0.8257300263937466</v>
      </c>
    </row>
    <row r="140" spans="1:11" x14ac:dyDescent="0.2">
      <c r="A140" s="12">
        <f t="shared" si="45"/>
        <v>132</v>
      </c>
      <c r="B140" s="66" t="str">
        <f>B139</f>
        <v>58E &amp; 59E - Directional</v>
      </c>
      <c r="C140" s="28" t="s">
        <v>60</v>
      </c>
      <c r="D140" s="80">
        <v>250</v>
      </c>
      <c r="E140" s="37">
        <v>5.6999999999999993</v>
      </c>
      <c r="F140" s="37">
        <f>E140*$H$168</f>
        <v>0.83675718056249515</v>
      </c>
      <c r="G140" s="131">
        <v>72.083333333333329</v>
      </c>
      <c r="H140" s="55">
        <f>F140*G140</f>
        <v>60.316246765546524</v>
      </c>
      <c r="J140" s="37">
        <v>0.34</v>
      </c>
      <c r="K140" s="169">
        <f t="shared" si="46"/>
        <v>1.1767571805624952</v>
      </c>
    </row>
    <row r="141" spans="1:11" x14ac:dyDescent="0.2">
      <c r="A141" s="12">
        <f t="shared" si="45"/>
        <v>133</v>
      </c>
      <c r="B141" s="66" t="str">
        <f>B140</f>
        <v>58E &amp; 59E - Directional</v>
      </c>
      <c r="C141" s="28" t="s">
        <v>60</v>
      </c>
      <c r="D141" s="80">
        <v>400</v>
      </c>
      <c r="E141" s="37">
        <v>9.1199999999999992</v>
      </c>
      <c r="F141" s="37">
        <f>E141*$H$168</f>
        <v>1.3388114888999922</v>
      </c>
      <c r="G141" s="131">
        <v>377.91666666666663</v>
      </c>
      <c r="H141" s="55">
        <f>F141*G141</f>
        <v>505.95917518012203</v>
      </c>
      <c r="J141" s="37">
        <v>0.54</v>
      </c>
      <c r="K141" s="169">
        <f t="shared" si="46"/>
        <v>1.8788114888999923</v>
      </c>
    </row>
    <row r="142" spans="1:11" x14ac:dyDescent="0.2">
      <c r="A142" s="12">
        <f t="shared" si="45"/>
        <v>134</v>
      </c>
      <c r="B142" s="66" t="str">
        <f>B141</f>
        <v>58E &amp; 59E - Directional</v>
      </c>
      <c r="C142" s="28" t="s">
        <v>60</v>
      </c>
      <c r="D142" s="80">
        <v>1000</v>
      </c>
      <c r="E142" s="37">
        <v>22.79</v>
      </c>
      <c r="F142" s="37">
        <f>E142*$H$168</f>
        <v>3.3455607271963625</v>
      </c>
      <c r="G142" s="131">
        <v>567.08333333333337</v>
      </c>
      <c r="H142" s="55">
        <f>F142*G142</f>
        <v>1897.211729047604</v>
      </c>
      <c r="J142" s="37">
        <v>1.35</v>
      </c>
      <c r="K142" s="169">
        <f t="shared" si="46"/>
        <v>4.6955607271963622</v>
      </c>
    </row>
    <row r="143" spans="1:11" x14ac:dyDescent="0.2">
      <c r="A143" s="12">
        <f t="shared" si="45"/>
        <v>135</v>
      </c>
      <c r="B143" s="66"/>
      <c r="C143" s="28"/>
      <c r="D143" s="80"/>
      <c r="E143" s="37"/>
      <c r="F143" s="37"/>
      <c r="G143" s="131"/>
      <c r="H143" s="28"/>
      <c r="J143" s="37"/>
      <c r="K143" s="169"/>
    </row>
    <row r="144" spans="1:11" x14ac:dyDescent="0.2">
      <c r="A144" s="12">
        <f t="shared" si="45"/>
        <v>136</v>
      </c>
      <c r="B144" s="66" t="str">
        <f>B133</f>
        <v>58E &amp; 59E - Horizontal</v>
      </c>
      <c r="C144" s="28" t="s">
        <v>60</v>
      </c>
      <c r="D144" s="80">
        <v>250</v>
      </c>
      <c r="E144" s="37">
        <v>5.6999999999999993</v>
      </c>
      <c r="F144" s="37">
        <f>E144*$H$168</f>
        <v>0.83675718056249515</v>
      </c>
      <c r="G144" s="131">
        <v>17.916666666666668</v>
      </c>
      <c r="H144" s="55">
        <f>F144*G144</f>
        <v>14.991899485078038</v>
      </c>
      <c r="J144" s="37">
        <v>0.34</v>
      </c>
      <c r="K144" s="169">
        <f t="shared" ref="K144:K145" si="47">F144+J144</f>
        <v>1.1767571805624952</v>
      </c>
    </row>
    <row r="145" spans="1:11" x14ac:dyDescent="0.2">
      <c r="A145" s="12">
        <f t="shared" si="45"/>
        <v>137</v>
      </c>
      <c r="B145" s="66" t="str">
        <f>B144</f>
        <v>58E &amp; 59E - Horizontal</v>
      </c>
      <c r="C145" s="28" t="s">
        <v>60</v>
      </c>
      <c r="D145" s="80">
        <v>400</v>
      </c>
      <c r="E145" s="37">
        <v>9.1199999999999992</v>
      </c>
      <c r="F145" s="37">
        <f>E145*$H$168</f>
        <v>1.3388114888999922</v>
      </c>
      <c r="G145" s="131">
        <v>189.58333333333331</v>
      </c>
      <c r="H145" s="55">
        <f>F145*G145</f>
        <v>253.81634477062352</v>
      </c>
      <c r="J145" s="37">
        <v>0.54</v>
      </c>
      <c r="K145" s="169">
        <f t="shared" si="47"/>
        <v>1.8788114888999923</v>
      </c>
    </row>
    <row r="146" spans="1:11" x14ac:dyDescent="0.2">
      <c r="A146" s="12">
        <f t="shared" si="45"/>
        <v>138</v>
      </c>
      <c r="B146" s="66"/>
      <c r="C146" s="28"/>
      <c r="D146" s="80"/>
      <c r="E146" s="37"/>
      <c r="F146" s="37"/>
      <c r="G146" s="131"/>
      <c r="H146" s="28"/>
      <c r="J146" s="37"/>
      <c r="K146" s="169"/>
    </row>
    <row r="147" spans="1:11" x14ac:dyDescent="0.2">
      <c r="A147" s="12">
        <f t="shared" si="45"/>
        <v>139</v>
      </c>
      <c r="B147" s="66" t="s">
        <v>59</v>
      </c>
      <c r="C147" s="28" t="s">
        <v>44</v>
      </c>
      <c r="D147" s="38" t="s">
        <v>87</v>
      </c>
      <c r="E147" s="37">
        <v>0.35</v>
      </c>
      <c r="F147" s="37">
        <f t="shared" ref="F147:F162" si="48">E147*$H$168</f>
        <v>5.1379826876644441E-2</v>
      </c>
      <c r="G147" s="131">
        <v>0</v>
      </c>
      <c r="H147" s="55">
        <f t="shared" ref="H147:H162" si="49">F147*G147</f>
        <v>0</v>
      </c>
      <c r="J147" s="37">
        <v>0.02</v>
      </c>
      <c r="K147" s="169">
        <f t="shared" ref="K147:K162" si="50">F147+J147</f>
        <v>7.1379826876644445E-2</v>
      </c>
    </row>
    <row r="148" spans="1:11" x14ac:dyDescent="0.2">
      <c r="A148" s="12">
        <f t="shared" si="45"/>
        <v>140</v>
      </c>
      <c r="B148" s="66" t="s">
        <v>59</v>
      </c>
      <c r="C148" s="28" t="s">
        <v>44</v>
      </c>
      <c r="D148" s="81" t="s">
        <v>86</v>
      </c>
      <c r="E148" s="37">
        <v>1.03</v>
      </c>
      <c r="F148" s="37">
        <f t="shared" si="48"/>
        <v>0.15120349052269652</v>
      </c>
      <c r="G148" s="131">
        <v>33.75</v>
      </c>
      <c r="H148" s="55">
        <f t="shared" si="49"/>
        <v>5.1031178051410073</v>
      </c>
      <c r="J148" s="37">
        <v>0.06</v>
      </c>
      <c r="K148" s="169">
        <f t="shared" si="50"/>
        <v>0.21120349052269652</v>
      </c>
    </row>
    <row r="149" spans="1:11" x14ac:dyDescent="0.2">
      <c r="A149" s="12">
        <f t="shared" si="45"/>
        <v>141</v>
      </c>
      <c r="B149" s="66" t="str">
        <f t="shared" ref="B149:B162" si="51">B148</f>
        <v>58E &amp; 59E</v>
      </c>
      <c r="C149" s="28" t="s">
        <v>44</v>
      </c>
      <c r="D149" s="80" t="s">
        <v>57</v>
      </c>
      <c r="E149" s="37">
        <v>1.71</v>
      </c>
      <c r="F149" s="37">
        <f t="shared" si="48"/>
        <v>0.2510271541687486</v>
      </c>
      <c r="G149" s="131">
        <v>351.25</v>
      </c>
      <c r="H149" s="55">
        <f t="shared" si="49"/>
        <v>88.173287901772952</v>
      </c>
      <c r="J149" s="37">
        <v>0.1</v>
      </c>
      <c r="K149" s="169">
        <f t="shared" si="50"/>
        <v>0.35102715416874863</v>
      </c>
    </row>
    <row r="150" spans="1:11" x14ac:dyDescent="0.2">
      <c r="A150" s="12">
        <f t="shared" si="45"/>
        <v>142</v>
      </c>
      <c r="B150" s="66" t="str">
        <f t="shared" si="51"/>
        <v>58E &amp; 59E</v>
      </c>
      <c r="C150" s="28" t="s">
        <v>44</v>
      </c>
      <c r="D150" s="80" t="s">
        <v>56</v>
      </c>
      <c r="E150" s="37">
        <v>2.39</v>
      </c>
      <c r="F150" s="37">
        <f t="shared" si="48"/>
        <v>0.35085081781480065</v>
      </c>
      <c r="G150" s="131">
        <v>79.166666666666671</v>
      </c>
      <c r="H150" s="55">
        <f t="shared" si="49"/>
        <v>27.77568974367172</v>
      </c>
      <c r="J150" s="37">
        <v>0.14000000000000001</v>
      </c>
      <c r="K150" s="169">
        <f t="shared" si="50"/>
        <v>0.49085081781480067</v>
      </c>
    </row>
    <row r="151" spans="1:11" x14ac:dyDescent="0.2">
      <c r="A151" s="12">
        <f t="shared" si="45"/>
        <v>143</v>
      </c>
      <c r="B151" s="66" t="str">
        <f t="shared" si="51"/>
        <v>58E &amp; 59E</v>
      </c>
      <c r="C151" s="28" t="s">
        <v>44</v>
      </c>
      <c r="D151" s="80" t="s">
        <v>55</v>
      </c>
      <c r="E151" s="37">
        <v>3.08</v>
      </c>
      <c r="F151" s="37">
        <f t="shared" si="48"/>
        <v>0.45214247651447115</v>
      </c>
      <c r="G151" s="131">
        <v>746.66666666666674</v>
      </c>
      <c r="H151" s="55">
        <f t="shared" si="49"/>
        <v>337.59971579747184</v>
      </c>
      <c r="J151" s="37">
        <v>0.18</v>
      </c>
      <c r="K151" s="169">
        <f t="shared" si="50"/>
        <v>0.6321424765144712</v>
      </c>
    </row>
    <row r="152" spans="1:11" x14ac:dyDescent="0.2">
      <c r="A152" s="12">
        <f t="shared" si="45"/>
        <v>144</v>
      </c>
      <c r="B152" s="66" t="str">
        <f t="shared" si="51"/>
        <v>58E &amp; 59E</v>
      </c>
      <c r="C152" s="28" t="s">
        <v>44</v>
      </c>
      <c r="D152" s="80" t="s">
        <v>54</v>
      </c>
      <c r="E152" s="37">
        <v>3.76</v>
      </c>
      <c r="F152" s="37">
        <f>E152*$H$168</f>
        <v>0.55196614016052314</v>
      </c>
      <c r="G152" s="131">
        <v>168.75</v>
      </c>
      <c r="H152" s="55">
        <f t="shared" si="49"/>
        <v>93.144286152088284</v>
      </c>
      <c r="J152" s="37">
        <v>0.22</v>
      </c>
      <c r="K152" s="169">
        <f t="shared" si="50"/>
        <v>0.77196614016052312</v>
      </c>
    </row>
    <row r="153" spans="1:11" x14ac:dyDescent="0.2">
      <c r="A153" s="12">
        <f t="shared" si="45"/>
        <v>145</v>
      </c>
      <c r="B153" s="66" t="str">
        <f t="shared" si="51"/>
        <v>58E &amp; 59E</v>
      </c>
      <c r="C153" s="28" t="s">
        <v>44</v>
      </c>
      <c r="D153" s="80" t="s">
        <v>53</v>
      </c>
      <c r="E153" s="37">
        <v>4.4400000000000004</v>
      </c>
      <c r="F153" s="37">
        <f t="shared" si="48"/>
        <v>0.65178980380657536</v>
      </c>
      <c r="G153" s="131">
        <v>0</v>
      </c>
      <c r="H153" s="55">
        <f t="shared" si="49"/>
        <v>0</v>
      </c>
      <c r="J153" s="37">
        <v>0.26</v>
      </c>
      <c r="K153" s="169">
        <f t="shared" si="50"/>
        <v>0.91178980380657537</v>
      </c>
    </row>
    <row r="154" spans="1:11" x14ac:dyDescent="0.2">
      <c r="A154" s="12">
        <f t="shared" si="45"/>
        <v>146</v>
      </c>
      <c r="B154" s="66" t="str">
        <f t="shared" si="51"/>
        <v>58E &amp; 59E</v>
      </c>
      <c r="C154" s="28" t="s">
        <v>44</v>
      </c>
      <c r="D154" s="80" t="s">
        <v>52</v>
      </c>
      <c r="E154" s="37">
        <v>5.13</v>
      </c>
      <c r="F154" s="37">
        <f t="shared" si="48"/>
        <v>0.75308146250624575</v>
      </c>
      <c r="G154" s="131">
        <v>70.833333333333329</v>
      </c>
      <c r="H154" s="55">
        <f t="shared" si="49"/>
        <v>53.343270260859072</v>
      </c>
      <c r="J154" s="37">
        <v>0.3</v>
      </c>
      <c r="K154" s="169">
        <f t="shared" si="50"/>
        <v>1.0530814625062457</v>
      </c>
    </row>
    <row r="155" spans="1:11" x14ac:dyDescent="0.2">
      <c r="A155" s="12">
        <f t="shared" si="45"/>
        <v>147</v>
      </c>
      <c r="B155" s="66" t="str">
        <f t="shared" si="51"/>
        <v>58E &amp; 59E</v>
      </c>
      <c r="C155" s="28" t="s">
        <v>44</v>
      </c>
      <c r="D155" s="80" t="s">
        <v>51</v>
      </c>
      <c r="E155" s="37">
        <v>5.8100000000000005</v>
      </c>
      <c r="F155" s="37">
        <f t="shared" si="48"/>
        <v>0.85290512615229785</v>
      </c>
      <c r="G155" s="131">
        <v>105.41666666666666</v>
      </c>
      <c r="H155" s="55">
        <f t="shared" si="49"/>
        <v>89.910415381888058</v>
      </c>
      <c r="J155" s="37">
        <v>0.34</v>
      </c>
      <c r="K155" s="169">
        <f t="shared" si="50"/>
        <v>1.1929051261522978</v>
      </c>
    </row>
    <row r="156" spans="1:11" x14ac:dyDescent="0.2">
      <c r="A156" s="12">
        <f t="shared" si="45"/>
        <v>148</v>
      </c>
      <c r="B156" s="66" t="str">
        <f t="shared" si="51"/>
        <v>58E &amp; 59E</v>
      </c>
      <c r="C156" s="28" t="s">
        <v>44</v>
      </c>
      <c r="D156" s="80" t="s">
        <v>50</v>
      </c>
      <c r="E156" s="37">
        <v>6.5</v>
      </c>
      <c r="F156" s="37">
        <f t="shared" si="48"/>
        <v>0.95419678485196835</v>
      </c>
      <c r="G156" s="131">
        <v>0</v>
      </c>
      <c r="H156" s="55">
        <f t="shared" si="49"/>
        <v>0</v>
      </c>
      <c r="J156" s="37">
        <v>0.38</v>
      </c>
      <c r="K156" s="169">
        <f t="shared" si="50"/>
        <v>1.3341967848519682</v>
      </c>
    </row>
    <row r="157" spans="1:11" x14ac:dyDescent="0.2">
      <c r="A157" s="12">
        <f t="shared" si="45"/>
        <v>149</v>
      </c>
      <c r="B157" s="66" t="str">
        <f t="shared" si="51"/>
        <v>58E &amp; 59E</v>
      </c>
      <c r="C157" s="28" t="s">
        <v>44</v>
      </c>
      <c r="D157" s="80" t="s">
        <v>49</v>
      </c>
      <c r="E157" s="37">
        <v>7.9799999999999995</v>
      </c>
      <c r="F157" s="37">
        <f t="shared" si="48"/>
        <v>1.1714600527874932</v>
      </c>
      <c r="G157" s="131">
        <v>0</v>
      </c>
      <c r="H157" s="55">
        <f t="shared" si="49"/>
        <v>0</v>
      </c>
      <c r="J157" s="37">
        <v>0.47</v>
      </c>
      <c r="K157" s="169">
        <f t="shared" si="50"/>
        <v>1.6414600527874932</v>
      </c>
    </row>
    <row r="158" spans="1:11" x14ac:dyDescent="0.2">
      <c r="A158" s="12">
        <f t="shared" si="45"/>
        <v>150</v>
      </c>
      <c r="B158" s="66" t="str">
        <f t="shared" si="51"/>
        <v>58E &amp; 59E</v>
      </c>
      <c r="C158" s="28" t="s">
        <v>44</v>
      </c>
      <c r="D158" s="80" t="s">
        <v>48</v>
      </c>
      <c r="E158" s="37">
        <v>10.26</v>
      </c>
      <c r="F158" s="37">
        <f t="shared" si="48"/>
        <v>1.5061629250124915</v>
      </c>
      <c r="G158" s="131">
        <v>0</v>
      </c>
      <c r="H158" s="55">
        <f t="shared" si="49"/>
        <v>0</v>
      </c>
      <c r="J158" s="37">
        <v>0.61</v>
      </c>
      <c r="K158" s="169">
        <f t="shared" si="50"/>
        <v>2.1161629250124916</v>
      </c>
    </row>
    <row r="159" spans="1:11" x14ac:dyDescent="0.2">
      <c r="A159" s="12">
        <f t="shared" si="45"/>
        <v>151</v>
      </c>
      <c r="B159" s="66" t="str">
        <f t="shared" si="51"/>
        <v>58E &amp; 59E</v>
      </c>
      <c r="C159" s="28" t="s">
        <v>44</v>
      </c>
      <c r="D159" s="80" t="s">
        <v>47</v>
      </c>
      <c r="E159" s="37">
        <v>12.54</v>
      </c>
      <c r="F159" s="37">
        <f t="shared" si="48"/>
        <v>1.8408657972374896</v>
      </c>
      <c r="G159" s="131">
        <v>0</v>
      </c>
      <c r="H159" s="55">
        <f t="shared" si="49"/>
        <v>0</v>
      </c>
      <c r="J159" s="37">
        <v>0.74</v>
      </c>
      <c r="K159" s="169">
        <f t="shared" si="50"/>
        <v>2.5808657972374895</v>
      </c>
    </row>
    <row r="160" spans="1:11" x14ac:dyDescent="0.2">
      <c r="A160" s="12">
        <f t="shared" si="45"/>
        <v>152</v>
      </c>
      <c r="B160" s="66" t="str">
        <f t="shared" si="51"/>
        <v>58E &amp; 59E</v>
      </c>
      <c r="C160" s="28" t="s">
        <v>44</v>
      </c>
      <c r="D160" s="80" t="s">
        <v>46</v>
      </c>
      <c r="E160" s="37">
        <v>14.82</v>
      </c>
      <c r="F160" s="37">
        <f t="shared" si="48"/>
        <v>2.1755686694624878</v>
      </c>
      <c r="G160" s="131">
        <v>0</v>
      </c>
      <c r="H160" s="55">
        <f t="shared" si="49"/>
        <v>0</v>
      </c>
      <c r="J160" s="37">
        <v>0.88</v>
      </c>
      <c r="K160" s="169">
        <f t="shared" si="50"/>
        <v>3.0555686694624877</v>
      </c>
    </row>
    <row r="161" spans="1:11" x14ac:dyDescent="0.2">
      <c r="A161" s="12">
        <f t="shared" si="45"/>
        <v>153</v>
      </c>
      <c r="B161" s="66" t="str">
        <f t="shared" si="51"/>
        <v>58E &amp; 59E</v>
      </c>
      <c r="C161" s="28" t="s">
        <v>44</v>
      </c>
      <c r="D161" s="80" t="s">
        <v>45</v>
      </c>
      <c r="E161" s="37">
        <v>17.100000000000001</v>
      </c>
      <c r="F161" s="37">
        <f t="shared" si="48"/>
        <v>2.5102715416874859</v>
      </c>
      <c r="G161" s="131">
        <v>0</v>
      </c>
      <c r="H161" s="55">
        <f t="shared" si="49"/>
        <v>0</v>
      </c>
      <c r="J161" s="37">
        <v>1.01</v>
      </c>
      <c r="K161" s="169">
        <f t="shared" si="50"/>
        <v>3.5202715416874861</v>
      </c>
    </row>
    <row r="162" spans="1:11" x14ac:dyDescent="0.2">
      <c r="A162" s="12">
        <f t="shared" si="45"/>
        <v>154</v>
      </c>
      <c r="B162" s="66" t="str">
        <f t="shared" si="51"/>
        <v>58E &amp; 59E</v>
      </c>
      <c r="C162" s="28" t="s">
        <v>44</v>
      </c>
      <c r="D162" s="80" t="s">
        <v>43</v>
      </c>
      <c r="E162" s="37">
        <v>19.38</v>
      </c>
      <c r="F162" s="37">
        <f t="shared" si="48"/>
        <v>2.844974413912484</v>
      </c>
      <c r="G162" s="131">
        <v>0</v>
      </c>
      <c r="H162" s="55">
        <f t="shared" si="49"/>
        <v>0</v>
      </c>
      <c r="J162" s="37">
        <v>1.1499999999999999</v>
      </c>
      <c r="K162" s="169">
        <f t="shared" si="50"/>
        <v>3.9949744139124839</v>
      </c>
    </row>
    <row r="163" spans="1:11" x14ac:dyDescent="0.2">
      <c r="A163" s="12">
        <f t="shared" si="45"/>
        <v>155</v>
      </c>
      <c r="G163" s="131">
        <v>0</v>
      </c>
    </row>
    <row r="164" spans="1:11" x14ac:dyDescent="0.2">
      <c r="A164" s="12">
        <f t="shared" si="45"/>
        <v>156</v>
      </c>
      <c r="D164" s="29"/>
    </row>
    <row r="165" spans="1:11" x14ac:dyDescent="0.2">
      <c r="A165" s="12">
        <f t="shared" si="45"/>
        <v>157</v>
      </c>
      <c r="D165" s="29"/>
      <c r="G165" s="78" t="s">
        <v>148</v>
      </c>
      <c r="H165" s="55">
        <f>SUM(H11:H162)</f>
        <v>236496.10846621313</v>
      </c>
    </row>
    <row r="166" spans="1:11" ht="13.5" x14ac:dyDescent="0.35">
      <c r="A166" s="12">
        <f t="shared" si="45"/>
        <v>158</v>
      </c>
      <c r="D166" s="29"/>
      <c r="G166" s="79" t="s">
        <v>147</v>
      </c>
      <c r="H166" s="188">
        <f>'Rate Spread &amp; Design'!G31</f>
        <v>236496.10846621328</v>
      </c>
    </row>
    <row r="167" spans="1:11" x14ac:dyDescent="0.2">
      <c r="A167" s="12">
        <f t="shared" si="45"/>
        <v>159</v>
      </c>
      <c r="G167" s="78" t="s">
        <v>146</v>
      </c>
      <c r="H167" s="55">
        <f>+H166-H165</f>
        <v>0</v>
      </c>
    </row>
    <row r="168" spans="1:11" ht="13.5" x14ac:dyDescent="0.35">
      <c r="A168" s="12">
        <f t="shared" si="45"/>
        <v>160</v>
      </c>
      <c r="B168" s="38"/>
      <c r="F168" s="55"/>
      <c r="G168" s="77" t="s">
        <v>145</v>
      </c>
      <c r="H168" s="189">
        <v>0.14679950536184128</v>
      </c>
      <c r="J168" s="55"/>
      <c r="K168" s="55"/>
    </row>
    <row r="169" spans="1:11" ht="13.5" x14ac:dyDescent="0.35">
      <c r="A169" s="12">
        <f t="shared" si="45"/>
        <v>161</v>
      </c>
      <c r="B169" s="38"/>
      <c r="F169" s="55"/>
      <c r="G169" s="77"/>
      <c r="H169" s="189"/>
      <c r="J169" s="55"/>
      <c r="K169" s="55"/>
    </row>
    <row r="170" spans="1:11" ht="12.75" x14ac:dyDescent="0.2">
      <c r="A170" s="12">
        <f t="shared" si="45"/>
        <v>162</v>
      </c>
      <c r="B170" s="176" t="s">
        <v>198</v>
      </c>
      <c r="C170" s="190"/>
      <c r="D170" s="190"/>
      <c r="E170" s="190"/>
      <c r="F170" s="190"/>
      <c r="G170" s="190"/>
      <c r="H170" s="190"/>
    </row>
    <row r="171" spans="1:11" x14ac:dyDescent="0.2">
      <c r="A171" s="12">
        <f t="shared" si="45"/>
        <v>163</v>
      </c>
      <c r="B171" s="2" t="s">
        <v>190</v>
      </c>
    </row>
  </sheetData>
  <mergeCells count="1">
    <mergeCell ref="B170:H170"/>
  </mergeCells>
  <printOptions horizontalCentered="1"/>
  <pageMargins left="0.7" right="0.7" top="0.75" bottom="0.75" header="0.3" footer="0.3"/>
  <pageSetup scale="55" fitToHeight="0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</sheetPr>
  <dimension ref="A1:H48"/>
  <sheetViews>
    <sheetView zoomScaleNormal="100" workbookViewId="0">
      <pane ySplit="6" topLeftCell="A7" activePane="bottomLeft" state="frozen"/>
      <selection activeCell="E12" sqref="E12"/>
      <selection pane="bottomLeft" activeCell="E12" sqref="E12"/>
    </sheetView>
  </sheetViews>
  <sheetFormatPr defaultRowHeight="11.25" x14ac:dyDescent="0.2"/>
  <cols>
    <col min="1" max="1" width="4.28515625" style="2" bestFit="1" customWidth="1"/>
    <col min="2" max="2" width="67.7109375" style="2" bestFit="1" customWidth="1"/>
    <col min="3" max="3" width="3.42578125" style="2" bestFit="1" customWidth="1"/>
    <col min="4" max="4" width="6" style="2" bestFit="1" customWidth="1"/>
    <col min="5" max="5" width="3.85546875" style="2" bestFit="1" customWidth="1"/>
    <col min="6" max="8" width="10.7109375" style="2" bestFit="1" customWidth="1"/>
    <col min="9" max="11" width="9.85546875" style="2" customWidth="1"/>
    <col min="12" max="16384" width="9.140625" style="2"/>
  </cols>
  <sheetData>
    <row r="1" spans="1:8" ht="10.5" customHeight="1" x14ac:dyDescent="0.2">
      <c r="A1" s="1" t="s">
        <v>2</v>
      </c>
      <c r="B1" s="1"/>
      <c r="C1" s="1"/>
      <c r="D1" s="1"/>
      <c r="E1" s="1"/>
      <c r="F1" s="1"/>
      <c r="G1" s="1"/>
      <c r="H1" s="1"/>
    </row>
    <row r="2" spans="1:8" ht="10.5" customHeight="1" x14ac:dyDescent="0.2">
      <c r="A2" s="1" t="s">
        <v>205</v>
      </c>
      <c r="B2" s="1"/>
      <c r="C2" s="1"/>
      <c r="D2" s="1"/>
      <c r="E2" s="1"/>
      <c r="F2" s="1"/>
      <c r="G2" s="1"/>
      <c r="H2" s="1"/>
    </row>
    <row r="3" spans="1:8" ht="10.5" customHeight="1" x14ac:dyDescent="0.2">
      <c r="A3" s="1" t="s">
        <v>206</v>
      </c>
      <c r="B3" s="45"/>
      <c r="C3" s="45"/>
      <c r="D3" s="45"/>
      <c r="E3" s="45"/>
      <c r="F3" s="45"/>
      <c r="G3" s="45"/>
      <c r="H3" s="45"/>
    </row>
    <row r="4" spans="1:8" ht="10.5" customHeight="1" x14ac:dyDescent="0.2">
      <c r="A4" s="1" t="s">
        <v>207</v>
      </c>
      <c r="B4" s="45"/>
      <c r="C4" s="45"/>
      <c r="D4" s="45"/>
      <c r="E4" s="45"/>
      <c r="F4" s="45"/>
      <c r="G4" s="45"/>
      <c r="H4" s="45"/>
    </row>
    <row r="5" spans="1:8" ht="10.5" customHeight="1" x14ac:dyDescent="0.2">
      <c r="C5" s="98"/>
      <c r="D5" s="99"/>
      <c r="E5" s="100"/>
      <c r="F5" s="101"/>
    </row>
    <row r="6" spans="1:8" ht="23.25" thickBot="1" x14ac:dyDescent="0.25">
      <c r="A6" s="102" t="s">
        <v>33</v>
      </c>
      <c r="B6" s="103"/>
      <c r="C6" s="104"/>
      <c r="D6" s="105" t="s">
        <v>34</v>
      </c>
      <c r="E6" s="106" t="s">
        <v>35</v>
      </c>
      <c r="F6" s="107" t="s">
        <v>3</v>
      </c>
      <c r="G6" s="107" t="s">
        <v>4</v>
      </c>
      <c r="H6" s="107" t="s">
        <v>5</v>
      </c>
    </row>
    <row r="7" spans="1:8" x14ac:dyDescent="0.2">
      <c r="A7" s="108" t="s">
        <v>26</v>
      </c>
      <c r="B7" s="109" t="s">
        <v>27</v>
      </c>
      <c r="C7" s="12" t="s">
        <v>36</v>
      </c>
      <c r="D7" s="12" t="s">
        <v>28</v>
      </c>
      <c r="E7" s="110" t="s">
        <v>37</v>
      </c>
      <c r="F7" s="111" t="s">
        <v>29</v>
      </c>
      <c r="G7" s="111" t="s">
        <v>38</v>
      </c>
      <c r="H7" s="111" t="s">
        <v>39</v>
      </c>
    </row>
    <row r="8" spans="1:8" x14ac:dyDescent="0.2">
      <c r="A8" s="108"/>
      <c r="B8" s="109"/>
      <c r="C8" s="12"/>
      <c r="D8" s="12"/>
      <c r="E8" s="12"/>
      <c r="F8" s="112"/>
      <c r="G8" s="12"/>
      <c r="H8" s="12"/>
    </row>
    <row r="9" spans="1:8" x14ac:dyDescent="0.2">
      <c r="A9" s="108"/>
      <c r="B9" s="113"/>
      <c r="D9" s="114"/>
      <c r="E9" s="114"/>
      <c r="F9" s="112"/>
      <c r="G9" s="115"/>
      <c r="H9" s="112"/>
    </row>
    <row r="10" spans="1:8" x14ac:dyDescent="0.2">
      <c r="A10" s="108"/>
      <c r="B10" s="113"/>
      <c r="D10" s="116"/>
      <c r="E10" s="117"/>
      <c r="F10" s="181"/>
      <c r="G10" s="181"/>
      <c r="H10" s="118"/>
    </row>
    <row r="11" spans="1:8" x14ac:dyDescent="0.2">
      <c r="A11" s="108">
        <f>ROW()</f>
        <v>11</v>
      </c>
      <c r="B11" s="113" t="s">
        <v>208</v>
      </c>
      <c r="C11" s="34"/>
      <c r="D11" s="116"/>
      <c r="E11" s="117"/>
      <c r="F11" s="115">
        <v>27781984</v>
      </c>
      <c r="G11" s="115">
        <v>9690161</v>
      </c>
      <c r="H11" s="182">
        <v>37472145</v>
      </c>
    </row>
    <row r="12" spans="1:8" x14ac:dyDescent="0.2">
      <c r="A12" s="108">
        <f>ROW()</f>
        <v>12</v>
      </c>
      <c r="B12" s="183"/>
      <c r="E12" s="119"/>
      <c r="F12" s="120"/>
      <c r="G12" s="120"/>
      <c r="H12" s="120"/>
    </row>
    <row r="13" spans="1:8" ht="12" thickBot="1" x14ac:dyDescent="0.25">
      <c r="A13" s="108">
        <f>ROW()</f>
        <v>13</v>
      </c>
      <c r="B13" s="183" t="s">
        <v>209</v>
      </c>
      <c r="F13" s="121">
        <f>F11</f>
        <v>27781984</v>
      </c>
      <c r="G13" s="121">
        <f>G11</f>
        <v>9690161</v>
      </c>
      <c r="H13" s="121">
        <f>SUM(F13:G13)</f>
        <v>37472145</v>
      </c>
    </row>
    <row r="14" spans="1:8" ht="12" thickTop="1" x14ac:dyDescent="0.2">
      <c r="A14" s="108">
        <f>ROW()</f>
        <v>14</v>
      </c>
      <c r="B14" s="183"/>
      <c r="E14" s="122"/>
      <c r="F14" s="115"/>
      <c r="G14" s="115"/>
      <c r="H14" s="115"/>
    </row>
    <row r="15" spans="1:8" x14ac:dyDescent="0.2">
      <c r="A15" s="108">
        <f>ROW()</f>
        <v>15</v>
      </c>
      <c r="B15" s="184" t="s">
        <v>210</v>
      </c>
      <c r="E15" s="122"/>
      <c r="F15" s="115"/>
      <c r="G15" s="115"/>
      <c r="H15" s="115"/>
    </row>
    <row r="16" spans="1:8" x14ac:dyDescent="0.2">
      <c r="A16" s="108">
        <f>ROW()</f>
        <v>16</v>
      </c>
      <c r="B16" s="183" t="s">
        <v>211</v>
      </c>
      <c r="E16" s="122"/>
      <c r="F16" s="185">
        <v>7.1970000000000003E-3</v>
      </c>
      <c r="G16" s="185">
        <v>4.1980000000000003E-3</v>
      </c>
      <c r="H16" s="115"/>
    </row>
    <row r="17" spans="1:8" x14ac:dyDescent="0.2">
      <c r="A17" s="108">
        <f>ROW()</f>
        <v>17</v>
      </c>
      <c r="B17" s="183" t="s">
        <v>212</v>
      </c>
      <c r="E17" s="122"/>
      <c r="F17" s="185">
        <v>4.0000000000000001E-3</v>
      </c>
      <c r="G17" s="185">
        <v>4.0000000000000001E-3</v>
      </c>
      <c r="H17" s="115"/>
    </row>
    <row r="18" spans="1:8" x14ac:dyDescent="0.2">
      <c r="A18" s="108">
        <f>ROW()</f>
        <v>18</v>
      </c>
      <c r="B18" s="183" t="s">
        <v>213</v>
      </c>
      <c r="E18" s="122"/>
      <c r="F18" s="185">
        <v>3.8455000000000003E-2</v>
      </c>
      <c r="G18" s="185">
        <v>3.8358000000000003E-2</v>
      </c>
      <c r="H18" s="115"/>
    </row>
    <row r="19" spans="1:8" x14ac:dyDescent="0.2">
      <c r="A19" s="108">
        <f>ROW()</f>
        <v>19</v>
      </c>
      <c r="B19" s="183"/>
      <c r="E19" s="122"/>
      <c r="F19" s="123"/>
      <c r="G19" s="123"/>
      <c r="H19" s="115"/>
    </row>
    <row r="20" spans="1:8" x14ac:dyDescent="0.2">
      <c r="A20" s="108">
        <f>ROW()</f>
        <v>20</v>
      </c>
      <c r="B20" s="183" t="s">
        <v>214</v>
      </c>
      <c r="E20" s="122"/>
      <c r="F20" s="186">
        <v>0.95034799999999997</v>
      </c>
      <c r="G20" s="186">
        <v>0.95344399999999996</v>
      </c>
      <c r="H20" s="124"/>
    </row>
    <row r="21" spans="1:8" x14ac:dyDescent="0.2">
      <c r="A21" s="108">
        <f>ROW()</f>
        <v>21</v>
      </c>
      <c r="B21" s="183"/>
      <c r="E21" s="122"/>
      <c r="F21" s="115"/>
      <c r="G21" s="115"/>
      <c r="H21" s="115"/>
    </row>
    <row r="22" spans="1:8" ht="12" thickBot="1" x14ac:dyDescent="0.25">
      <c r="A22" s="108">
        <f>ROW()</f>
        <v>22</v>
      </c>
      <c r="B22" s="183" t="s">
        <v>215</v>
      </c>
      <c r="E22" s="122"/>
      <c r="F22" s="121">
        <f>MROUND(F13/F20,1000)</f>
        <v>29233000</v>
      </c>
      <c r="G22" s="121">
        <f>MROUND(G13/G20,1000)</f>
        <v>10163000</v>
      </c>
      <c r="H22" s="121">
        <f>SUM(F22:G22)</f>
        <v>39396000</v>
      </c>
    </row>
    <row r="23" spans="1:8" ht="12" thickTop="1" x14ac:dyDescent="0.2">
      <c r="A23" s="12"/>
      <c r="E23" s="122"/>
      <c r="F23" s="125"/>
      <c r="G23" s="125"/>
      <c r="H23" s="125"/>
    </row>
    <row r="24" spans="1:8" x14ac:dyDescent="0.2">
      <c r="A24" s="12"/>
      <c r="F24" s="187"/>
      <c r="G24" s="187"/>
      <c r="H24" s="126"/>
    </row>
    <row r="25" spans="1:8" x14ac:dyDescent="0.2">
      <c r="A25" s="12"/>
      <c r="B25" s="4"/>
      <c r="C25" s="14"/>
      <c r="D25" s="14"/>
      <c r="E25" s="14"/>
    </row>
    <row r="26" spans="1:8" x14ac:dyDescent="0.2">
      <c r="A26" s="109"/>
      <c r="C26" s="14"/>
      <c r="D26" s="14"/>
      <c r="E26" s="14"/>
      <c r="F26" s="127"/>
      <c r="G26" s="127"/>
      <c r="H26" s="127"/>
    </row>
    <row r="27" spans="1:8" x14ac:dyDescent="0.2">
      <c r="A27" s="12"/>
      <c r="B27" s="12"/>
    </row>
    <row r="28" spans="1:8" x14ac:dyDescent="0.2">
      <c r="B28" s="12"/>
      <c r="F28" s="128"/>
      <c r="G28" s="128"/>
      <c r="H28" s="129"/>
    </row>
    <row r="29" spans="1:8" x14ac:dyDescent="0.2">
      <c r="B29" s="12"/>
      <c r="F29" s="128"/>
      <c r="G29" s="128"/>
      <c r="H29" s="129"/>
    </row>
    <row r="30" spans="1:8" x14ac:dyDescent="0.2">
      <c r="B30" s="12"/>
      <c r="F30" s="128"/>
      <c r="G30" s="128"/>
      <c r="H30" s="129"/>
    </row>
    <row r="31" spans="1:8" x14ac:dyDescent="0.2">
      <c r="A31" s="14"/>
      <c r="F31" s="4"/>
      <c r="G31" s="4"/>
      <c r="H31" s="129"/>
    </row>
    <row r="32" spans="1:8" x14ac:dyDescent="0.2">
      <c r="F32" s="130"/>
      <c r="G32" s="130"/>
      <c r="H32" s="128"/>
    </row>
    <row r="33" spans="1:8" x14ac:dyDescent="0.2">
      <c r="A33" s="10"/>
      <c r="F33" s="131"/>
      <c r="G33" s="131"/>
      <c r="H33" s="131"/>
    </row>
    <row r="34" spans="1:8" x14ac:dyDescent="0.2">
      <c r="A34" s="113"/>
      <c r="F34" s="131"/>
      <c r="G34" s="131"/>
      <c r="H34" s="131"/>
    </row>
    <row r="35" spans="1:8" x14ac:dyDescent="0.2">
      <c r="A35" s="177"/>
      <c r="B35" s="177"/>
      <c r="C35" s="177"/>
      <c r="D35" s="177"/>
      <c r="E35" s="177"/>
      <c r="F35" s="132"/>
      <c r="G35" s="132"/>
      <c r="H35" s="132"/>
    </row>
    <row r="36" spans="1:8" x14ac:dyDescent="0.2">
      <c r="F36" s="131"/>
      <c r="G36" s="131"/>
      <c r="H36" s="132"/>
    </row>
    <row r="37" spans="1:8" x14ac:dyDescent="0.2">
      <c r="A37" s="10"/>
      <c r="F37" s="131"/>
      <c r="G37" s="131"/>
      <c r="H37" s="132"/>
    </row>
    <row r="38" spans="1:8" x14ac:dyDescent="0.2">
      <c r="A38" s="10"/>
      <c r="F38" s="131"/>
      <c r="G38" s="131"/>
      <c r="H38" s="132"/>
    </row>
    <row r="39" spans="1:8" x14ac:dyDescent="0.2">
      <c r="F39" s="131"/>
      <c r="G39" s="131"/>
      <c r="H39" s="132"/>
    </row>
    <row r="40" spans="1:8" x14ac:dyDescent="0.2">
      <c r="A40" s="14"/>
      <c r="F40" s="127"/>
      <c r="G40" s="127"/>
      <c r="H40" s="127"/>
    </row>
    <row r="43" spans="1:8" x14ac:dyDescent="0.2">
      <c r="A43" s="34"/>
      <c r="F43" s="37"/>
      <c r="G43" s="37"/>
    </row>
    <row r="44" spans="1:8" x14ac:dyDescent="0.2">
      <c r="F44" s="37"/>
      <c r="G44" s="37"/>
    </row>
    <row r="45" spans="1:8" x14ac:dyDescent="0.2">
      <c r="C45" s="55"/>
      <c r="D45" s="55"/>
    </row>
    <row r="47" spans="1:8" x14ac:dyDescent="0.2">
      <c r="C47" s="55"/>
      <c r="D47" s="55"/>
    </row>
    <row r="48" spans="1:8" x14ac:dyDescent="0.2">
      <c r="C48" s="37"/>
      <c r="D48" s="37"/>
    </row>
  </sheetData>
  <mergeCells count="1">
    <mergeCell ref="A35:E35"/>
  </mergeCells>
  <printOptions horizontalCentered="1"/>
  <pageMargins left="0.5" right="0.5" top="0.28000000000000003" bottom="0.52" header="0.36" footer="0.42"/>
  <pageSetup scale="65" fitToWidth="0" fitToHeight="0" orientation="landscape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1:B7"/>
  <sheetViews>
    <sheetView workbookViewId="0">
      <selection activeCell="E12" sqref="E12"/>
    </sheetView>
  </sheetViews>
  <sheetFormatPr defaultRowHeight="12.75" x14ac:dyDescent="0.2"/>
  <cols>
    <col min="1" max="1" width="38.28515625" style="179" customWidth="1"/>
    <col min="2" max="2" width="7.85546875" style="179" bestFit="1" customWidth="1"/>
    <col min="3" max="16384" width="9.140625" style="179"/>
  </cols>
  <sheetData>
    <row r="1" spans="1:2" ht="15" x14ac:dyDescent="0.35">
      <c r="A1" s="97" t="s">
        <v>78</v>
      </c>
      <c r="B1" s="178">
        <v>45413</v>
      </c>
    </row>
    <row r="2" spans="1:2" ht="15" x14ac:dyDescent="0.35">
      <c r="A2" s="96" t="s">
        <v>79</v>
      </c>
      <c r="B2" s="4" t="s">
        <v>85</v>
      </c>
    </row>
    <row r="3" spans="1:2" ht="15" x14ac:dyDescent="0.35">
      <c r="A3" s="96" t="s">
        <v>154</v>
      </c>
      <c r="B3" s="180">
        <v>45413</v>
      </c>
    </row>
    <row r="4" spans="1:2" ht="15" x14ac:dyDescent="0.35">
      <c r="A4" s="96" t="s">
        <v>153</v>
      </c>
      <c r="B4" s="180">
        <v>45565</v>
      </c>
    </row>
    <row r="5" spans="1:2" ht="15" x14ac:dyDescent="0.35">
      <c r="A5" s="96"/>
      <c r="B5" s="4"/>
    </row>
    <row r="6" spans="1:2" ht="15" x14ac:dyDescent="0.35">
      <c r="A6" s="97"/>
      <c r="B6" s="180"/>
    </row>
    <row r="7" spans="1:2" ht="15" x14ac:dyDescent="0.35">
      <c r="A7" s="96"/>
      <c r="B7" s="18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7158ADC918FD14D96C50262CBBA591B" ma:contentTypeVersion="16" ma:contentTypeDescription="" ma:contentTypeScope="" ma:versionID="df941a1b837ffddde8a9068a11bbd0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2024-03-22T07:00:00+00:00</OpenedDate>
    <SignificantOrder xmlns="dc463f71-b30c-4ab2-9473-d307f9d35888">false</SignificantOrder>
    <Date1 xmlns="dc463f71-b30c-4ab2-9473-d307f9d35888">2024-03-22T07:00:00+00:00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19466A-BAC4-4C78-A825-D1A8CE618D6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ED79E5A-0CF3-45F1-BFEB-9FF56A252C9A}"/>
</file>

<file path=customXml/itemProps3.xml><?xml version="1.0" encoding="utf-8"?>
<ds:datastoreItem xmlns:ds="http://schemas.openxmlformats.org/officeDocument/2006/customXml" ds:itemID="{AD779A3B-B672-47E1-BCE6-B05C8270A39E}"/>
</file>

<file path=customXml/itemProps4.xml><?xml version="1.0" encoding="utf-8"?>
<ds:datastoreItem xmlns:ds="http://schemas.openxmlformats.org/officeDocument/2006/customXml" ds:itemID="{AFCDC125-7E62-494F-AAB8-CFED1801AEC1}"/>
</file>

<file path=customXml/itemProps5.xml><?xml version="1.0" encoding="utf-8"?>
<ds:datastoreItem xmlns:ds="http://schemas.openxmlformats.org/officeDocument/2006/customXml" ds:itemID="{EC0E617B-732B-41CE-8D19-8DC4B4E489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Sch 129 Rates</vt:lpstr>
      <vt:lpstr>Lighting Rates</vt:lpstr>
      <vt:lpstr>Rate Impacts</vt:lpstr>
      <vt:lpstr>Workpapers -&gt;</vt:lpstr>
      <vt:lpstr>Rate Spread &amp; Design</vt:lpstr>
      <vt:lpstr>Lighting RD</vt:lpstr>
      <vt:lpstr>RevReq</vt:lpstr>
      <vt:lpstr>Inputs</vt:lpstr>
    </vt:vector>
  </TitlesOfParts>
  <Company>Regulatory Assistance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Lazar</dc:creator>
  <cp:lastModifiedBy>Zakharova, Elena</cp:lastModifiedBy>
  <cp:lastPrinted>2024-03-11T22:23:06Z</cp:lastPrinted>
  <dcterms:created xsi:type="dcterms:W3CDTF">2006-08-15T18:29:06Z</dcterms:created>
  <dcterms:modified xsi:type="dcterms:W3CDTF">2024-03-14T17:41:40Z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0x0101006E56B4D1795A2E4DB2F0B01679ED314A0077158ADC918FD14D96C50262CBBA591B</vt:lpwstr>
  </property>
  <property fmtid="{D5CDD505-2E9C-101B-9397-08002B2CF9AE}" pid="3" name="_docset_NoMedatataSyncRequired">
    <vt:lpwstr>False</vt:lpwstr>
  </property>
</Properties>
</file>