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4-XX Natural Gas Schedule 120 - Gas Conservation Service Rider (UG-24XXXX) (Eff. 05-01-24)\Workpapers\"/>
    </mc:Choice>
  </mc:AlternateContent>
  <bookViews>
    <workbookView xWindow="0" yWindow="0" windowWidth="28800" windowHeight="10785" tabRatio="765"/>
  </bookViews>
  <sheets>
    <sheet name="Rates" sheetId="4" r:id="rId1"/>
    <sheet name="Allocation" sheetId="3" r:id="rId2"/>
    <sheet name="Rate Impacts--&gt;" sheetId="21" r:id="rId3"/>
    <sheet name="Rate Impacts Sch 120" sheetId="41" r:id="rId4"/>
    <sheet name="Typical Res Bill Sch 120" sheetId="42" r:id="rId5"/>
    <sheet name="Sch. 120" sheetId="43" r:id="rId6"/>
    <sheet name="Workpapers--&gt;" sheetId="25" r:id="rId7"/>
    <sheet name="Rev Requirement" sheetId="2" r:id="rId8"/>
    <sheet name="Forecasted Volume" sheetId="17" r:id="rId9"/>
    <sheet name="Conversion Factor" sheetId="34" r:id="rId10"/>
  </sheets>
  <definedNames>
    <definedName name="_xlnm.Print_Area" localSheetId="1">Allocation!$A$1:$I$25</definedName>
    <definedName name="_xlnm.Print_Area" localSheetId="8">'Forecasted Volume'!$A$1:$N$29</definedName>
    <definedName name="_xlnm.Print_Area" localSheetId="3">'Rate Impacts Sch 120'!$A$1:$V$37</definedName>
    <definedName name="_xlnm.Print_Area" localSheetId="0">Rates!$A$1:$G$24</definedName>
    <definedName name="_xlnm.Print_Area" localSheetId="7">'Rev Requirement'!$A$1:$E$12</definedName>
    <definedName name="_xlnm.Print_Area" localSheetId="4">'Typical Res Bill Sch 120'!$B$1:$H$42</definedName>
  </definedNames>
  <calcPr calcId="162913"/>
</workbook>
</file>

<file path=xl/calcChain.xml><?xml version="1.0" encoding="utf-8"?>
<calcChain xmlns="http://schemas.openxmlformats.org/spreadsheetml/2006/main">
  <c r="C21" i="43" l="1"/>
  <c r="C20" i="43"/>
  <c r="C19" i="43"/>
  <c r="C18" i="43"/>
  <c r="C17" i="43"/>
  <c r="C16" i="43"/>
  <c r="C15" i="43"/>
  <c r="C14" i="43"/>
  <c r="C13" i="43"/>
  <c r="C12" i="43"/>
  <c r="C11" i="43"/>
  <c r="C10" i="43"/>
  <c r="C9" i="43"/>
  <c r="E15" i="43" l="1"/>
  <c r="E14" i="43"/>
  <c r="E13" i="43"/>
  <c r="E12" i="43"/>
  <c r="E11" i="43"/>
  <c r="E10" i="43"/>
  <c r="E9" i="43"/>
  <c r="F21" i="43" l="1"/>
  <c r="I21" i="43" s="1"/>
  <c r="G20" i="43"/>
  <c r="G18" i="43"/>
  <c r="F17" i="43"/>
  <c r="I17" i="43" s="1"/>
  <c r="F16" i="43"/>
  <c r="I16" i="43" s="1"/>
  <c r="G16" i="43"/>
  <c r="F15" i="43"/>
  <c r="L17" i="41" s="1"/>
  <c r="L32" i="41" s="1"/>
  <c r="G15" i="43"/>
  <c r="F14" i="43"/>
  <c r="F13" i="43"/>
  <c r="F12" i="43"/>
  <c r="L14" i="41" s="1"/>
  <c r="L29" i="41" s="1"/>
  <c r="F11" i="43"/>
  <c r="L13" i="41" s="1"/>
  <c r="L28" i="41" s="1"/>
  <c r="G10" i="43"/>
  <c r="F10" i="43"/>
  <c r="G19" i="42"/>
  <c r="C8" i="43"/>
  <c r="G32" i="42"/>
  <c r="G31" i="42"/>
  <c r="G26" i="42"/>
  <c r="G25" i="42"/>
  <c r="G24" i="42"/>
  <c r="G23" i="42"/>
  <c r="G22" i="42"/>
  <c r="G21" i="42"/>
  <c r="G20" i="42"/>
  <c r="D19" i="42"/>
  <c r="G18" i="42"/>
  <c r="E15" i="42"/>
  <c r="E12" i="42"/>
  <c r="E13" i="42" s="1"/>
  <c r="B2" i="42"/>
  <c r="S33" i="41"/>
  <c r="N33" i="41"/>
  <c r="M33" i="41"/>
  <c r="L33" i="41"/>
  <c r="J33" i="41"/>
  <c r="I33" i="41"/>
  <c r="S32" i="41"/>
  <c r="S30" i="41"/>
  <c r="R33" i="41"/>
  <c r="Q33" i="41"/>
  <c r="P33" i="41"/>
  <c r="O33" i="41"/>
  <c r="K33" i="41"/>
  <c r="G33" i="41"/>
  <c r="D33" i="41"/>
  <c r="Q32" i="41"/>
  <c r="M32" i="41"/>
  <c r="J32" i="41"/>
  <c r="I32" i="41"/>
  <c r="G32" i="41"/>
  <c r="D32" i="41"/>
  <c r="J31" i="41"/>
  <c r="I31" i="41"/>
  <c r="D31" i="41"/>
  <c r="O30" i="41"/>
  <c r="K30" i="41"/>
  <c r="J30" i="41"/>
  <c r="I30" i="41"/>
  <c r="P29" i="41"/>
  <c r="K29" i="41"/>
  <c r="J29" i="41"/>
  <c r="I29" i="41"/>
  <c r="P28" i="41"/>
  <c r="K28" i="41"/>
  <c r="J28" i="41"/>
  <c r="I28" i="41"/>
  <c r="G28" i="41"/>
  <c r="E28" i="41"/>
  <c r="D28" i="41"/>
  <c r="A13" i="4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7" i="41" s="1"/>
  <c r="A28" i="41" s="1"/>
  <c r="A29" i="41" s="1"/>
  <c r="A30" i="41" s="1"/>
  <c r="A31" i="41" s="1"/>
  <c r="A32" i="41" s="1"/>
  <c r="A33" i="41" s="1"/>
  <c r="A34" i="41" s="1"/>
  <c r="L12" i="41"/>
  <c r="A12" i="41"/>
  <c r="S27" i="41"/>
  <c r="O27" i="41"/>
  <c r="E7" i="41"/>
  <c r="O28" i="41" l="1"/>
  <c r="S28" i="41"/>
  <c r="G30" i="41"/>
  <c r="G34" i="41" s="1"/>
  <c r="F21" i="41"/>
  <c r="H21" i="41" s="1"/>
  <c r="T21" i="41" s="1"/>
  <c r="V21" i="41" s="1"/>
  <c r="O29" i="41"/>
  <c r="S29" i="41"/>
  <c r="P32" i="41"/>
  <c r="H15" i="43"/>
  <c r="U17" i="41" s="1"/>
  <c r="U32" i="41" s="1"/>
  <c r="F20" i="41"/>
  <c r="H20" i="41" s="1"/>
  <c r="T20" i="41" s="1"/>
  <c r="V20" i="41" s="1"/>
  <c r="G31" i="41"/>
  <c r="D27" i="42"/>
  <c r="D40" i="42" s="1"/>
  <c r="I15" i="43"/>
  <c r="N31" i="41"/>
  <c r="G27" i="41"/>
  <c r="G33" i="42"/>
  <c r="H33" i="42" s="1"/>
  <c r="F18" i="43"/>
  <c r="I18" i="43" s="1"/>
  <c r="F20" i="43"/>
  <c r="I20" i="43" s="1"/>
  <c r="F28" i="41"/>
  <c r="R31" i="41"/>
  <c r="M29" i="41"/>
  <c r="Q29" i="41"/>
  <c r="E30" i="41"/>
  <c r="N32" i="41"/>
  <c r="R32" i="41"/>
  <c r="L15" i="41"/>
  <c r="L30" i="41" s="1"/>
  <c r="C22" i="43"/>
  <c r="G13" i="43"/>
  <c r="H13" i="43" s="1"/>
  <c r="U15" i="41" s="1"/>
  <c r="U30" i="41" s="1"/>
  <c r="D29" i="41"/>
  <c r="P30" i="41"/>
  <c r="O31" i="41"/>
  <c r="S31" i="41"/>
  <c r="S34" i="41" s="1"/>
  <c r="F19" i="41"/>
  <c r="H19" i="41" s="1"/>
  <c r="T19" i="41" s="1"/>
  <c r="V19" i="41" s="1"/>
  <c r="H20" i="43"/>
  <c r="K27" i="41"/>
  <c r="M28" i="41"/>
  <c r="Q28" i="41"/>
  <c r="E29" i="41"/>
  <c r="M30" i="41"/>
  <c r="Q30" i="41"/>
  <c r="K31" i="41"/>
  <c r="K34" i="41" s="1"/>
  <c r="P31" i="41"/>
  <c r="G15" i="42"/>
  <c r="H15" i="42" s="1"/>
  <c r="G14" i="43"/>
  <c r="H14" i="43" s="1"/>
  <c r="U16" i="41" s="1"/>
  <c r="U31" i="41" s="1"/>
  <c r="G17" i="43"/>
  <c r="H17" i="43" s="1"/>
  <c r="G24" i="41"/>
  <c r="F12" i="41"/>
  <c r="H12" i="41" s="1"/>
  <c r="T12" i="41" s="1"/>
  <c r="N28" i="41"/>
  <c r="R28" i="41"/>
  <c r="G29" i="41"/>
  <c r="D30" i="41"/>
  <c r="N30" i="41"/>
  <c r="R30" i="41"/>
  <c r="F17" i="41"/>
  <c r="H17" i="41" s="1"/>
  <c r="K32" i="41"/>
  <c r="O32" i="41"/>
  <c r="O34" i="41" s="1"/>
  <c r="F18" i="41"/>
  <c r="H18" i="41" s="1"/>
  <c r="T18" i="41" s="1"/>
  <c r="V18" i="41" s="1"/>
  <c r="F22" i="41"/>
  <c r="H22" i="41" s="1"/>
  <c r="G12" i="42"/>
  <c r="D33" i="42"/>
  <c r="E33" i="42" s="1"/>
  <c r="G11" i="43"/>
  <c r="H11" i="43" s="1"/>
  <c r="I11" i="43" s="1"/>
  <c r="G12" i="43"/>
  <c r="H12" i="43" s="1"/>
  <c r="U14" i="41" s="1"/>
  <c r="U29" i="41" s="1"/>
  <c r="H16" i="43"/>
  <c r="G21" i="43"/>
  <c r="H21" i="43" s="1"/>
  <c r="E27" i="42"/>
  <c r="K24" i="41"/>
  <c r="E27" i="41"/>
  <c r="E24" i="41"/>
  <c r="I27" i="41"/>
  <c r="I34" i="41" s="1"/>
  <c r="I24" i="41"/>
  <c r="M27" i="41"/>
  <c r="M24" i="41"/>
  <c r="Q27" i="41"/>
  <c r="Q24" i="41"/>
  <c r="F30" i="41"/>
  <c r="O24" i="41"/>
  <c r="G29" i="42"/>
  <c r="H29" i="42" s="1"/>
  <c r="E29" i="42"/>
  <c r="G19" i="43"/>
  <c r="F19" i="43"/>
  <c r="I19" i="43" s="1"/>
  <c r="D27" i="41"/>
  <c r="D24" i="41"/>
  <c r="F11" i="41"/>
  <c r="H11" i="41" s="1"/>
  <c r="J27" i="41"/>
  <c r="J34" i="41" s="1"/>
  <c r="J24" i="41"/>
  <c r="N27" i="41"/>
  <c r="N24" i="41"/>
  <c r="R27" i="41"/>
  <c r="R24" i="41"/>
  <c r="F15" i="41"/>
  <c r="H15" i="41" s="1"/>
  <c r="F16" i="41"/>
  <c r="H16" i="41" s="1"/>
  <c r="E31" i="41"/>
  <c r="F31" i="41" s="1"/>
  <c r="E33" i="41"/>
  <c r="F33" i="41" s="1"/>
  <c r="F23" i="41"/>
  <c r="H23" i="41" s="1"/>
  <c r="S24" i="41"/>
  <c r="H10" i="43"/>
  <c r="U12" i="41" s="1"/>
  <c r="V12" i="41" s="1"/>
  <c r="L16" i="41"/>
  <c r="L31" i="41" s="1"/>
  <c r="P27" i="41"/>
  <c r="P34" i="41" s="1"/>
  <c r="P24" i="41"/>
  <c r="T17" i="41"/>
  <c r="F13" i="41"/>
  <c r="H13" i="41" s="1"/>
  <c r="F14" i="41"/>
  <c r="H14" i="41" s="1"/>
  <c r="N29" i="41"/>
  <c r="R29" i="41"/>
  <c r="M31" i="41"/>
  <c r="Q31" i="41"/>
  <c r="T22" i="41"/>
  <c r="V22" i="41" s="1"/>
  <c r="G27" i="42"/>
  <c r="F9" i="43"/>
  <c r="E32" i="41"/>
  <c r="F32" i="41" s="1"/>
  <c r="U33" i="41"/>
  <c r="D13" i="42"/>
  <c r="G9" i="43"/>
  <c r="I12" i="43" l="1"/>
  <c r="H18" i="43"/>
  <c r="U13" i="41"/>
  <c r="D34" i="41"/>
  <c r="F29" i="41"/>
  <c r="D34" i="42"/>
  <c r="H12" i="42"/>
  <c r="H13" i="42" s="1"/>
  <c r="G13" i="42"/>
  <c r="T32" i="41"/>
  <c r="V32" i="41" s="1"/>
  <c r="I10" i="43"/>
  <c r="H32" i="41"/>
  <c r="I14" i="43"/>
  <c r="F24" i="41"/>
  <c r="I13" i="43"/>
  <c r="H27" i="42"/>
  <c r="H34" i="42" s="1"/>
  <c r="H36" i="42" s="1"/>
  <c r="G34" i="42"/>
  <c r="G40" i="42"/>
  <c r="H31" i="41"/>
  <c r="T16" i="41"/>
  <c r="H33" i="41"/>
  <c r="T23" i="41"/>
  <c r="H30" i="41"/>
  <c r="T15" i="41"/>
  <c r="H27" i="41"/>
  <c r="H24" i="41"/>
  <c r="H19" i="43"/>
  <c r="M34" i="41"/>
  <c r="F27" i="41"/>
  <c r="E34" i="41"/>
  <c r="F34" i="41" s="1"/>
  <c r="H29" i="41"/>
  <c r="T14" i="41"/>
  <c r="U28" i="41"/>
  <c r="N34" i="41"/>
  <c r="R34" i="41"/>
  <c r="H9" i="43"/>
  <c r="I9" i="43" s="1"/>
  <c r="G22" i="43"/>
  <c r="F22" i="43"/>
  <c r="L11" i="41"/>
  <c r="H28" i="41"/>
  <c r="T13" i="41"/>
  <c r="T28" i="41" s="1"/>
  <c r="V17" i="41"/>
  <c r="Q34" i="41"/>
  <c r="E34" i="42"/>
  <c r="E36" i="42" s="1"/>
  <c r="T29" i="41" l="1"/>
  <c r="V29" i="41" s="1"/>
  <c r="V14" i="41"/>
  <c r="T33" i="41"/>
  <c r="V33" i="41" s="1"/>
  <c r="V23" i="41"/>
  <c r="L27" i="41"/>
  <c r="L34" i="41" s="1"/>
  <c r="L24" i="41"/>
  <c r="H22" i="43"/>
  <c r="I22" i="43" s="1"/>
  <c r="U11" i="41"/>
  <c r="H34" i="41"/>
  <c r="V13" i="41"/>
  <c r="T30" i="41"/>
  <c r="V30" i="41" s="1"/>
  <c r="V15" i="41"/>
  <c r="V28" i="41"/>
  <c r="T11" i="41"/>
  <c r="T31" i="41"/>
  <c r="V31" i="41" s="1"/>
  <c r="V16" i="41"/>
  <c r="H37" i="42"/>
  <c r="H38" i="42" s="1"/>
  <c r="U27" i="41" l="1"/>
  <c r="U24" i="41"/>
  <c r="V24" i="41" s="1"/>
  <c r="V11" i="41"/>
  <c r="T27" i="41"/>
  <c r="T34" i="41" s="1"/>
  <c r="T24" i="41"/>
  <c r="V27" i="41" l="1"/>
  <c r="U34" i="41"/>
  <c r="V34" i="41" s="1"/>
  <c r="D10" i="2" l="1"/>
  <c r="C12" i="2"/>
  <c r="E10" i="2" l="1"/>
  <c r="E8" i="2"/>
  <c r="E12" i="2" s="1"/>
  <c r="F13" i="3" l="1"/>
  <c r="N9" i="17" l="1"/>
  <c r="N11" i="17"/>
  <c r="N15" i="17"/>
  <c r="N19" i="17"/>
  <c r="N17" i="17"/>
  <c r="N13" i="17"/>
  <c r="N8" i="17"/>
  <c r="N18" i="17" l="1"/>
  <c r="N10" i="17"/>
  <c r="N14" i="17"/>
  <c r="N12" i="17"/>
  <c r="N16" i="17"/>
  <c r="N20" i="17"/>
  <c r="E12" i="34" l="1"/>
  <c r="E14" i="34" s="1"/>
  <c r="E16" i="34" s="1"/>
  <c r="B12" i="34"/>
  <c r="E22" i="34" l="1"/>
  <c r="E17" i="34"/>
  <c r="E18" i="34" s="1"/>
  <c r="G11" i="3" l="1"/>
  <c r="G12" i="3"/>
  <c r="G13" i="3"/>
  <c r="G14" i="3"/>
  <c r="G15" i="3"/>
  <c r="C6" i="17" l="1"/>
  <c r="A2" i="17" l="1"/>
  <c r="B4" i="3"/>
  <c r="B2" i="3"/>
  <c r="F11" i="4" l="1"/>
  <c r="F10" i="4"/>
  <c r="M25" i="17" l="1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D19" i="3"/>
  <c r="D15" i="3"/>
  <c r="H15" i="3" s="1"/>
  <c r="D13" i="3"/>
  <c r="H13" i="3" s="1"/>
  <c r="N7" i="17"/>
  <c r="D6" i="17"/>
  <c r="E6" i="17" s="1"/>
  <c r="F6" i="17" s="1"/>
  <c r="G6" i="17" s="1"/>
  <c r="H6" i="17" s="1"/>
  <c r="I6" i="17" s="1"/>
  <c r="J6" i="17" s="1"/>
  <c r="K6" i="17" s="1"/>
  <c r="L6" i="17" s="1"/>
  <c r="M6" i="17" s="1"/>
  <c r="D9" i="3" s="1"/>
  <c r="A4" i="17" l="1"/>
  <c r="H26" i="17"/>
  <c r="H27" i="17" s="1"/>
  <c r="D26" i="17"/>
  <c r="D27" i="17" s="1"/>
  <c r="L26" i="17"/>
  <c r="L27" i="17" s="1"/>
  <c r="I26" i="17"/>
  <c r="I27" i="17" s="1"/>
  <c r="E26" i="17"/>
  <c r="E27" i="17" s="1"/>
  <c r="M26" i="17"/>
  <c r="M27" i="17" s="1"/>
  <c r="D20" i="3"/>
  <c r="N24" i="17"/>
  <c r="G17" i="4" s="1"/>
  <c r="D18" i="3"/>
  <c r="D14" i="3"/>
  <c r="H14" i="3" s="1"/>
  <c r="D11" i="3"/>
  <c r="H11" i="3" s="1"/>
  <c r="N23" i="17"/>
  <c r="G16" i="4" s="1"/>
  <c r="B26" i="17"/>
  <c r="B27" i="17" s="1"/>
  <c r="F26" i="17"/>
  <c r="F27" i="17" s="1"/>
  <c r="J26" i="17"/>
  <c r="J27" i="17" s="1"/>
  <c r="C26" i="17"/>
  <c r="C27" i="17" s="1"/>
  <c r="G26" i="17"/>
  <c r="G27" i="17" s="1"/>
  <c r="K26" i="17"/>
  <c r="K27" i="17" s="1"/>
  <c r="D12" i="3"/>
  <c r="H12" i="3" s="1"/>
  <c r="N21" i="17"/>
  <c r="N25" i="17"/>
  <c r="H16" i="3" l="1"/>
  <c r="N26" i="17"/>
  <c r="N27" i="17" s="1"/>
  <c r="A10" i="4" l="1"/>
  <c r="A11" i="4" s="1"/>
  <c r="A12" i="4" s="1"/>
  <c r="A13" i="4" s="1"/>
  <c r="A15" i="4" s="1"/>
  <c r="A16" i="4" s="1"/>
  <c r="A17" i="4" s="1"/>
  <c r="A18" i="4" s="1"/>
  <c r="A20" i="4" l="1"/>
  <c r="A21" i="4" s="1"/>
  <c r="A22" i="4" s="1"/>
  <c r="A23" i="4" s="1"/>
  <c r="A24" i="4" s="1"/>
  <c r="G20" i="3"/>
  <c r="G19" i="3"/>
  <c r="G18" i="3"/>
  <c r="E12" i="4" l="1"/>
  <c r="G12" i="4" l="1"/>
  <c r="H18" i="3"/>
  <c r="H20" i="3"/>
  <c r="H19" i="3"/>
  <c r="D16" i="3" l="1"/>
  <c r="G18" i="4"/>
  <c r="H21" i="3"/>
  <c r="D21" i="3"/>
  <c r="D22" i="3" l="1"/>
  <c r="D23" i="3" s="1"/>
  <c r="H22" i="3"/>
  <c r="I16" i="3" s="1"/>
  <c r="D10" i="4" s="1"/>
  <c r="I21" i="3" l="1"/>
  <c r="I22" i="3" l="1"/>
  <c r="E10" i="4"/>
  <c r="D11" i="4"/>
  <c r="D12" i="4" s="1"/>
  <c r="G10" i="4" l="1"/>
  <c r="G21" i="4" s="1"/>
  <c r="E11" i="4"/>
  <c r="G11" i="4" s="1"/>
  <c r="G22" i="4" s="1"/>
  <c r="E13" i="4" l="1"/>
  <c r="G24" i="4"/>
  <c r="G13" i="4"/>
</calcChain>
</file>

<file path=xl/sharedStrings.xml><?xml version="1.0" encoding="utf-8"?>
<sst xmlns="http://schemas.openxmlformats.org/spreadsheetml/2006/main" count="310" uniqueCount="198">
  <si>
    <t>41T</t>
  </si>
  <si>
    <t>85T</t>
  </si>
  <si>
    <t>87T</t>
  </si>
  <si>
    <t>Total</t>
  </si>
  <si>
    <t>Schedule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</si>
  <si>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</si>
  <si>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</si>
  <si>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</si>
  <si>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</si>
  <si>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</si>
  <si>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</si>
  <si>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</si>
  <si>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</si>
  <si>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</si>
  <si>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</si>
  <si>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</si>
  <si>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</si>
  <si>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</si>
  <si>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</si>
  <si>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</si>
  <si>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</si>
  <si>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</si>
  <si>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</si>
  <si>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</si>
  <si>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</si>
  <si>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</si>
  <si>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</si>
  <si>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</si>
  <si>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</si>
  <si>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</si>
  <si>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</si>
  <si>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</si>
  <si>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</si>
  <si>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</si>
  <si>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</si>
  <si>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</si>
  <si>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</si>
  <si>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</si>
  <si>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</si>
  <si>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</si>
  <si>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</si>
  <si>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</si>
  <si>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</si>
  <si>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</si>
  <si>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</si>
  <si>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</si>
  <si>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</si>
  <si>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</si>
  <si>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</si>
  <si>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</si>
  <si>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</si>
  <si>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</si>
  <si>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</si>
  <si>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</si>
  <si>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</si>
  <si>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</si>
  <si>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</si>
  <si>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</si>
  <si>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</si>
  <si>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</si>
  <si>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</si>
  <si>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</si>
  <si>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</si>
  <si>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</si>
  <si>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</si>
  <si>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Rate Change Impacts by Rate Schedule</t>
  </si>
  <si>
    <t>Base Sch.</t>
  </si>
  <si>
    <t>Therms</t>
  </si>
  <si>
    <t>Sch. 120</t>
  </si>
  <si>
    <t>Rate</t>
  </si>
  <si>
    <t>Base Schedule</t>
  </si>
  <si>
    <t>Sch. 101</t>
  </si>
  <si>
    <t>Sch. 106</t>
  </si>
  <si>
    <t>Sch. 129</t>
  </si>
  <si>
    <t>Sch. 140</t>
  </si>
  <si>
    <t>Sch. 142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</si>
  <si>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</si>
  <si>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</si>
  <si>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</si>
  <si>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</si>
  <si>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</si>
  <si>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</si>
  <si>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</si>
  <si>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</si>
  <si>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</si>
  <si>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</si>
  <si>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</si>
  <si>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</si>
  <si>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</si>
  <si>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</si>
  <si>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</si>
  <si>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</si>
  <si>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</si>
  <si>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</si>
  <si>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</si>
  <si>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</si>
  <si>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</si>
  <si>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</si>
  <si>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</si>
  <si>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</si>
  <si>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</si>
  <si>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</si>
  <si>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</si>
  <si>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</si>
  <si>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</si>
  <si>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</si>
  <si>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</si>
  <si>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</si>
  <si>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</si>
  <si>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</si>
  <si>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</si>
  <si>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</si>
  <si>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</si>
  <si>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</si>
  <si>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</si>
  <si>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</si>
  <si>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</si>
  <si>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</si>
  <si>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Typical Residential Bill Impacts</t>
  </si>
  <si>
    <t>Schedule 120 Conservation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</si>
  <si>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</si>
  <si>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</si>
  <si>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</si>
  <si>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</si>
  <si>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</si>
  <si>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</si>
  <si>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</si>
  <si>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</si>
  <si>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</si>
  <si>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</si>
  <si>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</si>
  <si>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</si>
  <si>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</si>
  <si>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</si>
  <si>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</si>
  <si>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</si>
  <si>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</si>
  <si>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</si>
  <si>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</si>
  <si>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</si>
  <si>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120</t>
  </si>
  <si>
    <t>Conservation Program Tracker</t>
  </si>
  <si>
    <t>Current</t>
  </si>
  <si>
    <t>Proposed</t>
  </si>
  <si>
    <t>Sched 120</t>
  </si>
  <si>
    <t>Volume (Therms)</t>
  </si>
  <si>
    <t>2022 GENERAL RATE CASE</t>
  </si>
  <si>
    <t>DESCRIPTION</t>
  </si>
  <si>
    <t>BAD DEBTS</t>
  </si>
  <si>
    <t>ANNUAL FILING FEE</t>
  </si>
  <si>
    <t>SUM OF TAXES OTHER</t>
  </si>
  <si>
    <t>PUGET SOUND ENERGY-GAS</t>
  </si>
  <si>
    <t>CONVERSION FACTOR - GAS</t>
  </si>
  <si>
    <t>FOR THE TWELVE MONTHS ENDED June 30, 2021</t>
  </si>
  <si>
    <t>LINE</t>
  </si>
  <si>
    <t>NO.</t>
  </si>
  <si>
    <t>RATE</t>
  </si>
  <si>
    <t>CONVERSION FACTOR EXCLUDING FEDERAL INCOME TAX ( 1 - LINE 5)</t>
  </si>
  <si>
    <t>FEDERAL INCOME TAX ( LINE 7 * 21%)</t>
  </si>
  <si>
    <t xml:space="preserve">CONVERSION FACTOR INCL FEDERAL INCOME TAX ( LINE 5 + LINE 8 ) </t>
  </si>
  <si>
    <t>Revenue Adjustment Factor (RAF)</t>
  </si>
  <si>
    <t>Note: Updated to new UTC Fees</t>
  </si>
  <si>
    <t>UG-220067</t>
  </si>
  <si>
    <t>Sch. 141D</t>
  </si>
  <si>
    <t>Sch. 141N</t>
  </si>
  <si>
    <t>Sch. 141R</t>
  </si>
  <si>
    <t>Q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</si>
  <si>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</si>
  <si>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Dist. Pipeline Provisional (Sch. 141D)</t>
  </si>
  <si>
    <t>Rates Not Subject to Refund (Sch. 141N)</t>
  </si>
  <si>
    <t>Rates Subject to Refund (Sch. 141R)</t>
  </si>
  <si>
    <t xml:space="preserve">Source: F2023 Load Forecast Calendar Month Therms (5-26-2023)  </t>
  </si>
  <si>
    <t>2024 Gas Schedule 120 Conservation Filing</t>
  </si>
  <si>
    <t>Proposed Rates Effective May 1, 2024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</si>
  <si>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UG-230769, Volumetric Schedule 101 rates effective November 1, 2023 (excluding revenue sensitive items)</t>
    </r>
  </si>
  <si>
    <t>12ME Apr. 2025</t>
  </si>
  <si>
    <t>Gas Conservation</t>
  </si>
  <si>
    <t>Conservation Revenue Requirement</t>
  </si>
  <si>
    <t>Effective May 2024</t>
  </si>
  <si>
    <t>2024 Conservation Costs (12  Months)</t>
  </si>
  <si>
    <t>May 2024 -</t>
  </si>
  <si>
    <t>Sch. 111</t>
  </si>
  <si>
    <t>Chrg. Revenue</t>
  </si>
  <si>
    <t>Apr. 2025</t>
  </si>
  <si>
    <t>R</t>
  </si>
  <si>
    <t>S = sum(G:R)</t>
  </si>
  <si>
    <t>T</t>
  </si>
  <si>
    <t>U= T/S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</si>
  <si>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1, 2024.</t>
    </r>
  </si>
  <si>
    <t>Cap &amp; Invest Non-Vol Credit (Sch. 111)</t>
  </si>
  <si>
    <t>Low Income charge (Sch. 129)</t>
  </si>
  <si>
    <t>Low Income Discount charge (Sch. 129D)</t>
  </si>
  <si>
    <t>Property Tax charge (Sch. 140)</t>
  </si>
  <si>
    <t>Cap &amp; Invest charge (Sch. 111)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</si>
  <si>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1, 2024.</t>
    </r>
  </si>
  <si>
    <t>Firm Schedules 23,31,41 (line 2E / line 7E)</t>
  </si>
  <si>
    <t>Interruptible Schedules 85,86,87 (line 3E / line 8E)</t>
  </si>
  <si>
    <t>Sch. 129D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</si>
</sst>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0.0%"/>
    <numFmt numFmtId="172" formatCode="0.000%"/>
    <numFmt numFmtId="173" formatCode="0.00000000"/>
    <numFmt numFmtId="174" formatCode="_(* #,##0.000000_);_(* \(#,##0.000000\);_(* &quot;-&quot;??_);_(@_)"/>
    <numFmt numFmtId="175" formatCode="#,##0.000000_);\(#,##0.000000\)"/>
  </numFmts>
  <fonts count="22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43" fontId="15" fillId="0" borderId="0" applyFont="0" applyFill="0" applyBorder="0" applyAlignment="0" applyProtection="0"/>
  </cellStyleXfs>
  <cellXfs count="184">
    <xf numFmtId="0" fontId="0" fillId="0" borderId="0" xfId="0"/>
    <xf numFmtId="10" fontId="0" fillId="0" borderId="0" xfId="0" applyNumberFormat="1" applyFont="1"/>
    <xf numFmtId="0" fontId="0" fillId="0" borderId="0" xfId="0" applyFont="1"/>
    <xf numFmtId="3" fontId="0" fillId="0" borderId="2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164" fontId="1" fillId="0" borderId="0" xfId="0" applyNumberFormat="1" applyFont="1" applyFill="1"/>
    <xf numFmtId="3" fontId="3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2" fontId="0" fillId="0" borderId="0" xfId="0" applyNumberFormat="1" applyFont="1"/>
    <xf numFmtId="0" fontId="3" fillId="0" borderId="0" xfId="0" applyFont="1" applyFill="1"/>
    <xf numFmtId="167" fontId="0" fillId="0" borderId="0" xfId="0" applyNumberFormat="1" applyFont="1"/>
    <xf numFmtId="39" fontId="0" fillId="0" borderId="0" xfId="0" applyNumberFormat="1" applyFont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164" fontId="4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3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8" fillId="0" borderId="0" xfId="0" applyNumberFormat="1" applyFont="1"/>
    <xf numFmtId="42" fontId="1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8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/>
    <xf numFmtId="42" fontId="12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9" fontId="12" fillId="0" borderId="0" xfId="0" applyNumberFormat="1" applyFont="1" applyFill="1"/>
    <xf numFmtId="168" fontId="12" fillId="0" borderId="0" xfId="0" applyNumberFormat="1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169" fontId="12" fillId="0" borderId="2" xfId="0" applyNumberFormat="1" applyFont="1" applyFill="1" applyBorder="1"/>
    <xf numFmtId="165" fontId="0" fillId="0" borderId="2" xfId="0" applyNumberFormat="1" applyBorder="1"/>
    <xf numFmtId="168" fontId="12" fillId="0" borderId="2" xfId="0" applyNumberFormat="1" applyFont="1" applyFill="1" applyBorder="1"/>
    <xf numFmtId="0" fontId="12" fillId="0" borderId="0" xfId="0" applyFont="1" applyFill="1"/>
    <xf numFmtId="0" fontId="12" fillId="0" borderId="0" xfId="0" applyFont="1" applyBorder="1"/>
    <xf numFmtId="44" fontId="12" fillId="0" borderId="0" xfId="0" applyNumberFormat="1" applyFont="1"/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/>
    <xf numFmtId="170" fontId="8" fillId="0" borderId="0" xfId="0" applyNumberFormat="1" applyFont="1"/>
    <xf numFmtId="0" fontId="14" fillId="0" borderId="0" xfId="0" applyFont="1" applyBorder="1"/>
    <xf numFmtId="44" fontId="14" fillId="0" borderId="0" xfId="0" applyNumberFormat="1" applyFont="1" applyBorder="1"/>
    <xf numFmtId="44" fontId="8" fillId="0" borderId="0" xfId="0" applyNumberFormat="1" applyFont="1"/>
    <xf numFmtId="44" fontId="8" fillId="0" borderId="2" xfId="0" applyNumberFormat="1" applyFont="1" applyBorder="1"/>
    <xf numFmtId="164" fontId="14" fillId="0" borderId="0" xfId="0" applyNumberFormat="1" applyFont="1" applyBorder="1"/>
    <xf numFmtId="164" fontId="8" fillId="0" borderId="0" xfId="0" applyNumberFormat="1" applyFont="1"/>
    <xf numFmtId="164" fontId="3" fillId="0" borderId="0" xfId="0" applyNumberFormat="1" applyFont="1" applyFill="1"/>
    <xf numFmtId="164" fontId="8" fillId="0" borderId="2" xfId="0" applyNumberFormat="1" applyFont="1" applyBorder="1"/>
    <xf numFmtId="170" fontId="8" fillId="0" borderId="2" xfId="0" applyNumberFormat="1" applyFont="1" applyBorder="1"/>
    <xf numFmtId="164" fontId="8" fillId="0" borderId="0" xfId="0" applyNumberFormat="1" applyFont="1" applyBorder="1"/>
    <xf numFmtId="44" fontId="8" fillId="0" borderId="0" xfId="0" applyNumberFormat="1" applyFont="1" applyBorder="1"/>
    <xf numFmtId="171" fontId="8" fillId="0" borderId="0" xfId="0" applyNumberFormat="1" applyFont="1"/>
    <xf numFmtId="171" fontId="8" fillId="0" borderId="0" xfId="0" applyNumberFormat="1" applyFont="1" applyBorder="1"/>
    <xf numFmtId="10" fontId="8" fillId="0" borderId="0" xfId="0" applyNumberFormat="1" applyFont="1"/>
    <xf numFmtId="0" fontId="8" fillId="0" borderId="0" xfId="0" applyFont="1" applyFill="1" applyAlignment="1"/>
    <xf numFmtId="0" fontId="8" fillId="0" borderId="0" xfId="0" applyFont="1" applyAlignment="1"/>
    <xf numFmtId="171" fontId="0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3" fontId="8" fillId="0" borderId="0" xfId="0" applyNumberFormat="1" applyFont="1" applyFill="1" applyBorder="1"/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0" fillId="0" borderId="0" xfId="0" applyNumberFormat="1" applyFont="1" applyFill="1" applyBorder="1"/>
    <xf numFmtId="44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16" fillId="0" borderId="0" xfId="1" applyNumberFormat="1" applyFont="1" applyFill="1" applyAlignment="1"/>
    <xf numFmtId="166" fontId="16" fillId="0" borderId="0" xfId="1" applyNumberFormat="1" applyFont="1" applyFill="1" applyAlignment="1">
      <alignment horizontal="right"/>
    </xf>
    <xf numFmtId="0" fontId="17" fillId="0" borderId="0" xfId="1" applyNumberFormat="1" applyFont="1" applyAlignment="1"/>
    <xf numFmtId="0" fontId="16" fillId="0" borderId="0" xfId="1" applyNumberFormat="1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  <protection locked="0"/>
    </xf>
    <xf numFmtId="0" fontId="16" fillId="0" borderId="0" xfId="1" applyNumberFormat="1" applyFont="1" applyFill="1" applyAlignment="1">
      <alignment horizontal="center"/>
    </xf>
    <xf numFmtId="0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 applyProtection="1">
      <protection locked="0"/>
    </xf>
    <xf numFmtId="0" fontId="16" fillId="0" borderId="1" xfId="1" applyNumberFormat="1" applyFont="1" applyFill="1" applyBorder="1" applyAlignment="1"/>
    <xf numFmtId="0" fontId="16" fillId="0" borderId="1" xfId="1" applyNumberFormat="1" applyFont="1" applyFill="1" applyBorder="1" applyAlignment="1">
      <alignment horizontal="right"/>
    </xf>
    <xf numFmtId="0" fontId="17" fillId="0" borderId="0" xfId="1" applyNumberFormat="1" applyFont="1" applyFill="1" applyAlignment="1"/>
    <xf numFmtId="0" fontId="17" fillId="0" borderId="0" xfId="1" applyNumberFormat="1" applyFont="1" applyFill="1" applyAlignment="1">
      <alignment horizontal="center"/>
    </xf>
    <xf numFmtId="0" fontId="17" fillId="0" borderId="0" xfId="1" applyNumberFormat="1" applyFont="1" applyFill="1" applyAlignment="1">
      <alignment horizontal="left"/>
    </xf>
    <xf numFmtId="166" fontId="18" fillId="0" borderId="0" xfId="1" applyNumberFormat="1" applyFont="1" applyFill="1" applyAlignment="1"/>
    <xf numFmtId="166" fontId="18" fillId="2" borderId="0" xfId="1" applyNumberFormat="1" applyFont="1" applyFill="1" applyAlignment="1"/>
    <xf numFmtId="172" fontId="18" fillId="0" borderId="0" xfId="1" applyNumberFormat="1" applyFont="1" applyFill="1" applyAlignment="1"/>
    <xf numFmtId="166" fontId="17" fillId="0" borderId="1" xfId="1" applyNumberFormat="1" applyFont="1" applyFill="1" applyBorder="1" applyAlignment="1"/>
    <xf numFmtId="166" fontId="17" fillId="0" borderId="0" xfId="1" applyNumberFormat="1" applyFont="1" applyFill="1" applyBorder="1" applyAlignment="1"/>
    <xf numFmtId="166" fontId="17" fillId="0" borderId="0" xfId="1" applyNumberFormat="1" applyFont="1" applyFill="1" applyAlignment="1"/>
    <xf numFmtId="166" fontId="17" fillId="0" borderId="5" xfId="1" applyNumberFormat="1" applyFont="1" applyFill="1" applyBorder="1" applyAlignment="1" applyProtection="1">
      <protection locked="0"/>
    </xf>
    <xf numFmtId="173" fontId="17" fillId="0" borderId="0" xfId="1" applyNumberFormat="1" applyFont="1" applyAlignment="1"/>
    <xf numFmtId="174" fontId="17" fillId="0" borderId="4" xfId="2" applyNumberFormat="1" applyFont="1" applyBorder="1" applyAlignment="1"/>
    <xf numFmtId="0" fontId="17" fillId="2" borderId="0" xfId="1" applyNumberFormat="1" applyFont="1" applyFill="1" applyAlignment="1"/>
    <xf numFmtId="44" fontId="0" fillId="0" borderId="0" xfId="0" applyNumberFormat="1" applyFont="1"/>
    <xf numFmtId="0" fontId="19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20" fillId="0" borderId="0" xfId="0" quotePrefix="1" applyFont="1" applyFill="1" applyAlignment="1">
      <alignment horizontal="centerContinuous"/>
    </xf>
    <xf numFmtId="0" fontId="1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Continuous"/>
    </xf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quotePrefix="1" applyFont="1" applyFill="1" applyBorder="1" applyAlignment="1">
      <alignment horizontal="left"/>
    </xf>
    <xf numFmtId="169" fontId="15" fillId="0" borderId="0" xfId="0" applyNumberFormat="1" applyFont="1" applyFill="1" applyBorder="1"/>
    <xf numFmtId="175" fontId="15" fillId="0" borderId="0" xfId="0" applyNumberFormat="1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19" fillId="0" borderId="0" xfId="0" applyFont="1" applyFill="1" applyBorder="1" applyAlignment="1">
      <alignment horizontal="left"/>
    </xf>
    <xf numFmtId="169" fontId="19" fillId="0" borderId="3" xfId="0" applyNumberFormat="1" applyFont="1" applyFill="1" applyBorder="1"/>
    <xf numFmtId="175" fontId="19" fillId="0" borderId="0" xfId="0" applyNumberFormat="1" applyFont="1" applyFill="1" applyBorder="1"/>
    <xf numFmtId="169" fontId="19" fillId="3" borderId="6" xfId="0" applyNumberFormat="1" applyFont="1" applyFill="1" applyBorder="1"/>
    <xf numFmtId="37" fontId="5" fillId="0" borderId="0" xfId="0" applyNumberFormat="1" applyFont="1" applyFill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8" fillId="0" borderId="2" xfId="0" applyNumberFormat="1" applyFont="1" applyFill="1" applyBorder="1"/>
    <xf numFmtId="44" fontId="8" fillId="0" borderId="0" xfId="0" applyNumberFormat="1" applyFont="1" applyFill="1" applyBorder="1"/>
    <xf numFmtId="44" fontId="14" fillId="0" borderId="0" xfId="0" applyNumberFormat="1" applyFont="1" applyFill="1"/>
    <xf numFmtId="0" fontId="8" fillId="0" borderId="0" xfId="0" applyFont="1" applyFill="1"/>
    <xf numFmtId="164" fontId="8" fillId="0" borderId="2" xfId="0" applyNumberFormat="1" applyFont="1" applyFill="1" applyBorder="1"/>
    <xf numFmtId="0" fontId="3" fillId="0" borderId="1" xfId="0" applyFont="1" applyFill="1" applyBorder="1" applyAlignment="1">
      <alignment horizontal="center"/>
    </xf>
    <xf numFmtId="165" fontId="1" fillId="0" borderId="0" xfId="0" applyNumberFormat="1" applyFont="1" applyFill="1"/>
    <xf numFmtId="165" fontId="3" fillId="0" borderId="0" xfId="0" applyNumberFormat="1" applyFont="1" applyFill="1"/>
    <xf numFmtId="3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0" fillId="0" borderId="1" xfId="0" applyFont="1" applyFill="1" applyBorder="1"/>
    <xf numFmtId="17" fontId="1" fillId="0" borderId="1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168" fontId="5" fillId="0" borderId="0" xfId="0" applyNumberFormat="1" applyFont="1" applyFill="1"/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10" fontId="3" fillId="0" borderId="0" xfId="0" applyNumberFormat="1" applyFont="1" applyFill="1"/>
    <xf numFmtId="169" fontId="0" fillId="0" borderId="0" xfId="0" applyNumberFormat="1" applyFont="1" applyFill="1"/>
    <xf numFmtId="10" fontId="0" fillId="0" borderId="0" xfId="0" applyNumberFormat="1" applyFont="1" applyFill="1"/>
    <xf numFmtId="10" fontId="0" fillId="0" borderId="2" xfId="0" applyNumberFormat="1" applyFont="1" applyFill="1" applyBorder="1"/>
    <xf numFmtId="42" fontId="3" fillId="0" borderId="2" xfId="0" applyNumberFormat="1" applyFont="1" applyFill="1" applyBorder="1"/>
    <xf numFmtId="0" fontId="0" fillId="0" borderId="0" xfId="0" applyAlignment="1">
      <alignment horizontal="centerContinuous"/>
    </xf>
    <xf numFmtId="171" fontId="0" fillId="0" borderId="1" xfId="0" applyNumberFormat="1" applyFont="1" applyBorder="1"/>
    <xf numFmtId="42" fontId="0" fillId="0" borderId="2" xfId="0" applyNumberFormat="1" applyFont="1" applyFill="1" applyBorder="1"/>
    <xf numFmtId="43" fontId="0" fillId="0" borderId="0" xfId="0" applyNumberFormat="1" applyFont="1" applyFill="1"/>
    <xf numFmtId="0" fontId="6" fillId="0" borderId="0" xfId="0" applyFont="1" applyFill="1"/>
    <xf numFmtId="3" fontId="1" fillId="0" borderId="0" xfId="0" applyNumberFormat="1" applyFont="1" applyFill="1"/>
    <xf numFmtId="44" fontId="1" fillId="0" borderId="0" xfId="0" applyNumberFormat="1" applyFont="1" applyFill="1"/>
    <xf numFmtId="3" fontId="1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NumberFormat="1" applyFont="1" applyAlignment="1">
      <alignment horizontal="center"/>
    </xf>
    <xf numFmtId="0" fontId="16" fillId="0" borderId="0" xfId="1" applyNumberFormat="1" applyFont="1" applyFill="1" applyAlignment="1">
      <alignment horizontal="center"/>
    </xf>
  </cellXfs>
  <cellStyles count="3">
    <cellStyle name="Comma 5" xfId="2"/>
    <cellStyle name="Normal" xfId="0" builtinId="0"/>
    <cellStyle name="Normal - Style1 2 2 3 4" xfId="1"/>
  </cellStyles>
  <dxfs count="0"/>
  <tableStyles count="0" defaultTableStyle="TableStyleMedium9" defaultPivotStyle="PivotStyleLight16"/>
  <colors>
    <mruColors>
      <color rgb="FF0000FF"/>
      <color rgb="FF008080"/>
      <color rgb="FF00999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90" zoomScaleNormal="90" workbookViewId="0">
      <selection activeCell="J20" sqref="J20"/>
    </sheetView>
  </sheetViews>
  <sheetFormatPr defaultColWidth="8.7109375" defaultRowHeight="15" x14ac:dyDescent="0.25"/>
  <cols>
    <col min="1" max="1" width="4.7109375" style="2" customWidth="1"/>
    <col min="2" max="2" width="3.42578125" style="2" customWidth="1"/>
    <col min="3" max="3" width="28.5703125" style="2" customWidth="1"/>
    <col min="4" max="4" width="10.140625" style="2" bestFit="1" customWidth="1"/>
    <col min="5" max="5" width="15.140625" style="2" customWidth="1"/>
    <col min="6" max="6" width="13" style="2" customWidth="1"/>
    <col min="7" max="7" width="15.140625" style="2" customWidth="1"/>
    <col min="8" max="8" width="8.7109375" style="2"/>
    <col min="9" max="9" width="12.28515625" style="2" bestFit="1" customWidth="1"/>
    <col min="10" max="10" width="12" style="2" bestFit="1" customWidth="1"/>
    <col min="11" max="11" width="33.140625" style="2" customWidth="1"/>
    <col min="12" max="16384" width="8.7109375" style="2"/>
  </cols>
  <sheetData>
    <row r="1" spans="1:9" x14ac:dyDescent="0.25">
      <c r="A1" s="177" t="s">
        <v>11</v>
      </c>
      <c r="B1" s="177"/>
      <c r="C1" s="177"/>
      <c r="D1" s="177"/>
      <c r="E1" s="177"/>
      <c r="F1" s="177"/>
      <c r="G1" s="177"/>
    </row>
    <row r="2" spans="1:9" x14ac:dyDescent="0.25">
      <c r="A2" s="177" t="s">
        <v>172</v>
      </c>
      <c r="B2" s="177"/>
      <c r="C2" s="177"/>
      <c r="D2" s="177"/>
      <c r="E2" s="177"/>
      <c r="F2" s="177"/>
      <c r="G2" s="177"/>
    </row>
    <row r="3" spans="1:9" x14ac:dyDescent="0.25">
      <c r="A3" s="177" t="s">
        <v>41</v>
      </c>
      <c r="B3" s="177"/>
      <c r="C3" s="177"/>
      <c r="D3" s="177"/>
      <c r="E3" s="177"/>
      <c r="F3" s="177"/>
      <c r="G3" s="177"/>
    </row>
    <row r="4" spans="1:9" x14ac:dyDescent="0.25">
      <c r="A4" s="177" t="s">
        <v>173</v>
      </c>
      <c r="B4" s="177"/>
      <c r="C4" s="177"/>
      <c r="D4" s="177"/>
      <c r="E4" s="177"/>
      <c r="F4" s="177"/>
      <c r="G4" s="177"/>
    </row>
    <row r="5" spans="1:9" x14ac:dyDescent="0.25">
      <c r="A5" s="19"/>
      <c r="B5" s="19"/>
      <c r="C5" s="19"/>
      <c r="D5" s="19"/>
      <c r="E5" s="19"/>
      <c r="F5" s="19"/>
      <c r="G5" s="19"/>
    </row>
    <row r="6" spans="1:9" x14ac:dyDescent="0.25">
      <c r="A6" s="153" t="s">
        <v>40</v>
      </c>
      <c r="B6" s="19"/>
      <c r="C6" s="19"/>
      <c r="D6" s="11"/>
      <c r="E6" s="11"/>
      <c r="F6" s="11" t="s">
        <v>37</v>
      </c>
      <c r="G6" s="11" t="s">
        <v>35</v>
      </c>
    </row>
    <row r="7" spans="1:9" x14ac:dyDescent="0.25">
      <c r="A7" s="16" t="s">
        <v>59</v>
      </c>
      <c r="B7" s="161" t="s">
        <v>6</v>
      </c>
      <c r="C7" s="161"/>
      <c r="D7" s="16" t="s">
        <v>33</v>
      </c>
      <c r="E7" s="16" t="s">
        <v>34</v>
      </c>
      <c r="F7" s="16" t="s">
        <v>38</v>
      </c>
      <c r="G7" s="16" t="s">
        <v>36</v>
      </c>
      <c r="I7" s="11"/>
    </row>
    <row r="8" spans="1:9" x14ac:dyDescent="0.25">
      <c r="A8" s="162"/>
      <c r="B8" s="163"/>
      <c r="C8" s="163" t="s">
        <v>53</v>
      </c>
      <c r="D8" s="11" t="s">
        <v>54</v>
      </c>
      <c r="E8" s="11" t="s">
        <v>55</v>
      </c>
      <c r="F8" s="11" t="s">
        <v>56</v>
      </c>
      <c r="G8" s="11" t="s">
        <v>57</v>
      </c>
      <c r="I8" s="11"/>
    </row>
    <row r="9" spans="1:9" x14ac:dyDescent="0.25">
      <c r="A9" s="153">
        <v>1</v>
      </c>
      <c r="B9" s="19" t="s">
        <v>9</v>
      </c>
      <c r="C9" s="19"/>
      <c r="D9" s="19"/>
      <c r="E9" s="20"/>
      <c r="F9" s="19"/>
      <c r="G9" s="20"/>
    </row>
    <row r="10" spans="1:9" x14ac:dyDescent="0.25">
      <c r="A10" s="153">
        <f>A9+1</f>
        <v>2</v>
      </c>
      <c r="B10" s="19"/>
      <c r="C10" s="19" t="s">
        <v>30</v>
      </c>
      <c r="D10" s="164">
        <f>Allocation!I16</f>
        <v>0.9565623717504862</v>
      </c>
      <c r="E10" s="20">
        <f>E12*D10</f>
        <v>29210492.082291439</v>
      </c>
      <c r="F10" s="13">
        <f>'Rev Requirement'!$D$8</f>
        <v>0.95344399999999996</v>
      </c>
      <c r="G10" s="165">
        <f>E10/F10</f>
        <v>30636819.868069272</v>
      </c>
      <c r="I10" s="14"/>
    </row>
    <row r="11" spans="1:9" x14ac:dyDescent="0.25">
      <c r="A11" s="153">
        <f t="shared" ref="A11:A24" si="0">A10+1</f>
        <v>3</v>
      </c>
      <c r="B11" s="19"/>
      <c r="C11" s="19" t="s">
        <v>31</v>
      </c>
      <c r="D11" s="166">
        <f>1-D10</f>
        <v>4.3437628249513804E-2</v>
      </c>
      <c r="E11" s="20">
        <f>E12-E10</f>
        <v>1326452.4442185685</v>
      </c>
      <c r="F11" s="13">
        <f>'Rev Requirement'!$D$8</f>
        <v>0.95344399999999996</v>
      </c>
      <c r="G11" s="20">
        <f>E11/F11</f>
        <v>1391222.1842274624</v>
      </c>
    </row>
    <row r="12" spans="1:9" x14ac:dyDescent="0.25">
      <c r="A12" s="153">
        <f t="shared" si="0"/>
        <v>4</v>
      </c>
      <c r="B12" s="19"/>
      <c r="C12" s="19" t="s">
        <v>3</v>
      </c>
      <c r="D12" s="167">
        <f>SUM(D10:D11)</f>
        <v>1</v>
      </c>
      <c r="E12" s="168">
        <f>'Rev Requirement'!C12</f>
        <v>30536944.526510008</v>
      </c>
      <c r="F12" s="19"/>
      <c r="G12" s="168">
        <f>'Rev Requirement'!E12</f>
        <v>32028042.052296739</v>
      </c>
    </row>
    <row r="13" spans="1:9" x14ac:dyDescent="0.25">
      <c r="A13" s="153">
        <f t="shared" si="0"/>
        <v>5</v>
      </c>
      <c r="B13" s="19"/>
      <c r="C13" s="19" t="s">
        <v>27</v>
      </c>
      <c r="D13" s="19"/>
      <c r="E13" s="20">
        <f>E12-SUM(E10:E11)</f>
        <v>0</v>
      </c>
      <c r="F13" s="19"/>
      <c r="G13" s="20">
        <f>G12-SUM(G10:G11)</f>
        <v>0</v>
      </c>
    </row>
    <row r="14" spans="1:9" x14ac:dyDescent="0.25">
      <c r="A14" s="153"/>
      <c r="B14" s="19"/>
      <c r="C14" s="19"/>
      <c r="D14" s="19"/>
      <c r="E14" s="19"/>
      <c r="F14" s="19"/>
      <c r="G14" s="19"/>
    </row>
    <row r="15" spans="1:9" x14ac:dyDescent="0.25">
      <c r="A15" s="153">
        <f>A13+1</f>
        <v>6</v>
      </c>
      <c r="B15" s="19" t="s">
        <v>32</v>
      </c>
      <c r="C15" s="19"/>
      <c r="D15" s="19"/>
      <c r="E15" s="19"/>
      <c r="F15" s="19"/>
      <c r="G15" s="19"/>
    </row>
    <row r="16" spans="1:9" x14ac:dyDescent="0.25">
      <c r="A16" s="153">
        <f t="shared" si="0"/>
        <v>7</v>
      </c>
      <c r="B16" s="19"/>
      <c r="C16" s="19" t="s">
        <v>30</v>
      </c>
      <c r="D16" s="19"/>
      <c r="E16" s="19"/>
      <c r="F16" s="19"/>
      <c r="G16" s="152">
        <f>'Forecasted Volume'!N23</f>
        <v>834888767</v>
      </c>
    </row>
    <row r="17" spans="1:7" x14ac:dyDescent="0.25">
      <c r="A17" s="153">
        <f t="shared" si="0"/>
        <v>8</v>
      </c>
      <c r="B17" s="19"/>
      <c r="C17" s="19" t="s">
        <v>31</v>
      </c>
      <c r="D17" s="19"/>
      <c r="E17" s="19"/>
      <c r="F17" s="19"/>
      <c r="G17" s="152">
        <f>'Forecasted Volume'!N24</f>
        <v>42098035</v>
      </c>
    </row>
    <row r="18" spans="1:7" x14ac:dyDescent="0.25">
      <c r="A18" s="153">
        <f t="shared" si="0"/>
        <v>9</v>
      </c>
      <c r="B18" s="19"/>
      <c r="C18" s="19" t="s">
        <v>3</v>
      </c>
      <c r="D18" s="19"/>
      <c r="E18" s="19"/>
      <c r="F18" s="19"/>
      <c r="G18" s="157">
        <f>SUM(G16:G17)</f>
        <v>876986802</v>
      </c>
    </row>
    <row r="19" spans="1:7" x14ac:dyDescent="0.25">
      <c r="A19" s="153"/>
      <c r="B19" s="19"/>
      <c r="C19" s="19"/>
      <c r="D19" s="19"/>
      <c r="E19" s="19"/>
      <c r="F19" s="19"/>
      <c r="G19" s="19"/>
    </row>
    <row r="20" spans="1:7" x14ac:dyDescent="0.25">
      <c r="A20" s="153">
        <f>A18+1</f>
        <v>10</v>
      </c>
      <c r="B20" s="19" t="s">
        <v>46</v>
      </c>
      <c r="C20" s="19"/>
      <c r="D20" s="19"/>
      <c r="E20" s="19"/>
      <c r="F20" s="19"/>
      <c r="G20" s="19"/>
    </row>
    <row r="21" spans="1:7" x14ac:dyDescent="0.25">
      <c r="A21" s="153">
        <f t="shared" si="0"/>
        <v>11</v>
      </c>
      <c r="B21" s="19"/>
      <c r="C21" s="19" t="s">
        <v>195</v>
      </c>
      <c r="D21" s="19"/>
      <c r="E21" s="19"/>
      <c r="F21" s="19" t="s">
        <v>39</v>
      </c>
      <c r="G21" s="95">
        <f>ROUND(G10/G16,5)</f>
        <v>3.6700000000000003E-2</v>
      </c>
    </row>
    <row r="22" spans="1:7" x14ac:dyDescent="0.25">
      <c r="A22" s="153">
        <f t="shared" si="0"/>
        <v>12</v>
      </c>
      <c r="B22" s="19"/>
      <c r="C22" s="19" t="s">
        <v>196</v>
      </c>
      <c r="D22" s="19"/>
      <c r="E22" s="19"/>
      <c r="F22" s="19" t="s">
        <v>39</v>
      </c>
      <c r="G22" s="95">
        <f>ROUND(G11/G17,5)</f>
        <v>3.3050000000000003E-2</v>
      </c>
    </row>
    <row r="23" spans="1:7" x14ac:dyDescent="0.25">
      <c r="A23" s="153">
        <f t="shared" si="0"/>
        <v>13</v>
      </c>
      <c r="B23" s="19"/>
      <c r="C23" s="19"/>
      <c r="D23" s="19"/>
      <c r="E23" s="19"/>
      <c r="F23" s="19"/>
      <c r="G23" s="96"/>
    </row>
    <row r="24" spans="1:7" x14ac:dyDescent="0.25">
      <c r="A24" s="153">
        <f t="shared" si="0"/>
        <v>14</v>
      </c>
      <c r="B24" s="19"/>
      <c r="C24" s="19" t="s">
        <v>47</v>
      </c>
      <c r="D24" s="19"/>
      <c r="E24" s="19"/>
      <c r="F24" s="19" t="s">
        <v>45</v>
      </c>
      <c r="G24" s="96">
        <f>ROUND(G21*19,2)</f>
        <v>0.7</v>
      </c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G26" s="15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J29" sqref="J29"/>
    </sheetView>
  </sheetViews>
  <sheetFormatPr defaultRowHeight="15" x14ac:dyDescent="0.25"/>
  <cols>
    <col min="1" max="1" width="7" customWidth="1"/>
    <col min="2" max="2" width="61.28515625" customWidth="1"/>
    <col min="3" max="3" width="3.85546875" customWidth="1"/>
    <col min="5" max="5" width="14.5703125" customWidth="1"/>
  </cols>
  <sheetData>
    <row r="1" spans="1:5" x14ac:dyDescent="0.25">
      <c r="A1" s="99"/>
      <c r="B1" s="99"/>
      <c r="C1" s="99"/>
      <c r="D1" s="99"/>
      <c r="E1" s="100"/>
    </row>
    <row r="2" spans="1:5" x14ac:dyDescent="0.25">
      <c r="A2" s="101"/>
      <c r="B2" s="181" t="s">
        <v>151</v>
      </c>
      <c r="C2" s="181"/>
      <c r="D2" s="181"/>
      <c r="E2" s="181"/>
    </row>
    <row r="3" spans="1:5" x14ac:dyDescent="0.25">
      <c r="A3" s="102"/>
      <c r="B3" s="182" t="s">
        <v>152</v>
      </c>
      <c r="C3" s="182"/>
      <c r="D3" s="182"/>
      <c r="E3" s="182"/>
    </row>
    <row r="4" spans="1:5" x14ac:dyDescent="0.25">
      <c r="A4" s="103"/>
      <c r="B4" s="183" t="s">
        <v>153</v>
      </c>
      <c r="C4" s="183"/>
      <c r="D4" s="183"/>
      <c r="E4" s="183"/>
    </row>
    <row r="5" spans="1:5" x14ac:dyDescent="0.25">
      <c r="A5" s="103"/>
      <c r="B5" s="183" t="s">
        <v>146</v>
      </c>
      <c r="C5" s="183"/>
      <c r="D5" s="183"/>
      <c r="E5" s="183"/>
    </row>
    <row r="6" spans="1:5" x14ac:dyDescent="0.25">
      <c r="A6" s="99"/>
      <c r="B6" s="99"/>
      <c r="C6" s="99"/>
      <c r="D6" s="99"/>
      <c r="E6" s="99"/>
    </row>
    <row r="7" spans="1:5" x14ac:dyDescent="0.25">
      <c r="A7" s="104" t="s">
        <v>154</v>
      </c>
      <c r="B7" s="99"/>
      <c r="C7" s="99"/>
      <c r="D7" s="99"/>
      <c r="E7" s="99"/>
    </row>
    <row r="8" spans="1:5" x14ac:dyDescent="0.25">
      <c r="A8" s="105" t="s">
        <v>155</v>
      </c>
      <c r="B8" s="106" t="s">
        <v>147</v>
      </c>
      <c r="C8" s="107"/>
      <c r="D8" s="107"/>
      <c r="E8" s="108" t="s">
        <v>156</v>
      </c>
    </row>
    <row r="9" spans="1:5" x14ac:dyDescent="0.25">
      <c r="A9" s="109"/>
      <c r="B9" s="109"/>
      <c r="C9" s="109"/>
      <c r="D9" s="109"/>
      <c r="E9" s="110"/>
    </row>
    <row r="10" spans="1:5" x14ac:dyDescent="0.25">
      <c r="A10" s="110">
        <v>1</v>
      </c>
      <c r="B10" s="111" t="s">
        <v>148</v>
      </c>
      <c r="C10" s="109"/>
      <c r="D10" s="109"/>
      <c r="E10" s="112">
        <v>4.1980000000000003E-3</v>
      </c>
    </row>
    <row r="11" spans="1:5" x14ac:dyDescent="0.25">
      <c r="A11" s="110">
        <v>2</v>
      </c>
      <c r="B11" s="111" t="s">
        <v>149</v>
      </c>
      <c r="C11" s="109"/>
      <c r="D11" s="109"/>
      <c r="E11" s="113">
        <v>4.0000000000000001E-3</v>
      </c>
    </row>
    <row r="12" spans="1:5" x14ac:dyDescent="0.25">
      <c r="A12" s="110">
        <v>3</v>
      </c>
      <c r="B12" s="111" t="str">
        <f>"STATE UTILITY TAX - NET OF BAD DEBTS ( "&amp;D12*100&amp;"% - ( LINE 1 * "&amp;D12*100&amp;"%) )"</f>
        <v>STATE UTILITY TAX - NET OF BAD DEBTS ( 3.852% - ( LINE 1 * 3.852%) )</v>
      </c>
      <c r="C12" s="109"/>
      <c r="D12" s="114">
        <v>3.8519999999999999E-2</v>
      </c>
      <c r="E12" s="115">
        <f>ROUND(D12-(D12*E10),6)</f>
        <v>3.8358000000000003E-2</v>
      </c>
    </row>
    <row r="13" spans="1:5" x14ac:dyDescent="0.25">
      <c r="A13" s="110">
        <v>4</v>
      </c>
      <c r="B13" s="111"/>
      <c r="C13" s="109"/>
      <c r="D13" s="109"/>
      <c r="E13" s="116"/>
    </row>
    <row r="14" spans="1:5" x14ac:dyDescent="0.25">
      <c r="A14" s="110">
        <v>5</v>
      </c>
      <c r="B14" s="111" t="s">
        <v>150</v>
      </c>
      <c r="C14" s="109"/>
      <c r="D14" s="109"/>
      <c r="E14" s="117">
        <f>ROUND(SUM(E10:E12),6)</f>
        <v>4.6556E-2</v>
      </c>
    </row>
    <row r="15" spans="1:5" x14ac:dyDescent="0.25">
      <c r="A15" s="110">
        <v>6</v>
      </c>
      <c r="B15" s="109"/>
      <c r="C15" s="109"/>
      <c r="D15" s="109"/>
      <c r="E15" s="117"/>
    </row>
    <row r="16" spans="1:5" x14ac:dyDescent="0.25">
      <c r="A16" s="110">
        <v>7</v>
      </c>
      <c r="B16" s="109" t="s">
        <v>157</v>
      </c>
      <c r="C16" s="109"/>
      <c r="D16" s="109"/>
      <c r="E16" s="117">
        <f>ROUND(1-E14,6)</f>
        <v>0.95344399999999996</v>
      </c>
    </row>
    <row r="17" spans="1:5" x14ac:dyDescent="0.25">
      <c r="A17" s="110">
        <v>8</v>
      </c>
      <c r="B17" s="111" t="s">
        <v>158</v>
      </c>
      <c r="C17" s="109"/>
      <c r="D17" s="114">
        <v>0.21</v>
      </c>
      <c r="E17" s="117">
        <f>ROUND((E16)*D17,6)</f>
        <v>0.20022300000000001</v>
      </c>
    </row>
    <row r="18" spans="1:5" x14ac:dyDescent="0.25">
      <c r="A18" s="110">
        <v>9</v>
      </c>
      <c r="B18" s="111" t="s">
        <v>159</v>
      </c>
      <c r="C18" s="109"/>
      <c r="D18" s="109"/>
      <c r="E18" s="118">
        <f>ROUND(1-E17-E14,6)</f>
        <v>0.75322100000000003</v>
      </c>
    </row>
    <row r="19" spans="1:5" x14ac:dyDescent="0.25">
      <c r="A19" s="109"/>
      <c r="B19" s="109"/>
      <c r="C19" s="109"/>
      <c r="D19" s="109"/>
      <c r="E19" s="110"/>
    </row>
    <row r="20" spans="1:5" x14ac:dyDescent="0.25">
      <c r="A20" s="101"/>
      <c r="B20" s="101"/>
      <c r="C20" s="101"/>
      <c r="D20" s="101"/>
      <c r="E20" s="101"/>
    </row>
    <row r="21" spans="1:5" x14ac:dyDescent="0.25">
      <c r="A21" s="101"/>
      <c r="B21" s="101"/>
      <c r="C21" s="101"/>
      <c r="D21" s="101"/>
      <c r="E21" s="119"/>
    </row>
    <row r="22" spans="1:5" ht="15.75" thickBot="1" x14ac:dyDescent="0.3">
      <c r="A22" s="101"/>
      <c r="B22" s="101" t="s">
        <v>160</v>
      </c>
      <c r="C22" s="101"/>
      <c r="D22" s="101"/>
      <c r="E22" s="120">
        <f>1/E16</f>
        <v>1.0488292967389801</v>
      </c>
    </row>
    <row r="23" spans="1:5" ht="15.75" thickTop="1" x14ac:dyDescent="0.25">
      <c r="A23" s="101"/>
      <c r="B23" s="101"/>
      <c r="C23" s="101"/>
      <c r="D23" s="101"/>
      <c r="E23" s="101"/>
    </row>
    <row r="24" spans="1:5" x14ac:dyDescent="0.25">
      <c r="A24" s="101"/>
      <c r="B24" s="101"/>
      <c r="C24" s="101"/>
      <c r="D24" s="101"/>
      <c r="E24" s="101"/>
    </row>
    <row r="25" spans="1:5" x14ac:dyDescent="0.25">
      <c r="A25" s="101"/>
      <c r="B25" s="121" t="s">
        <v>161</v>
      </c>
      <c r="C25" s="101"/>
      <c r="D25" s="101"/>
      <c r="E25" s="101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93" orientation="portrait" horizontalDpi="90" verticalDpi="90" r:id="rId1"/>
  <headerFooter>
    <oddFooter>&amp;L&amp;F
&amp;A&amp;C&amp;P&amp;R&amp;D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="90" zoomScaleNormal="90" workbookViewId="0">
      <selection activeCell="H30" sqref="H30"/>
    </sheetView>
  </sheetViews>
  <sheetFormatPr defaultColWidth="8.7109375" defaultRowHeight="15" x14ac:dyDescent="0.25"/>
  <cols>
    <col min="1" max="1" width="4.7109375" style="2" customWidth="1"/>
    <col min="2" max="2" width="8.7109375" style="2"/>
    <col min="3" max="3" width="27" style="2" customWidth="1"/>
    <col min="4" max="4" width="19.7109375" style="2" bestFit="1" customWidth="1"/>
    <col min="5" max="7" width="12.7109375" style="2" customWidth="1"/>
    <col min="8" max="8" width="14.5703125" style="2" bestFit="1" customWidth="1"/>
    <col min="9" max="9" width="10" style="2" customWidth="1"/>
    <col min="10" max="21" width="8.7109375" style="2"/>
    <col min="22" max="22" width="13.28515625" style="2" bestFit="1" customWidth="1"/>
    <col min="23" max="16384" width="8.7109375" style="2"/>
  </cols>
  <sheetData>
    <row r="1" spans="1:22" x14ac:dyDescent="0.25">
      <c r="B1" s="178" t="s">
        <v>11</v>
      </c>
      <c r="C1" s="178"/>
      <c r="D1" s="178"/>
      <c r="E1" s="178"/>
      <c r="F1" s="178"/>
      <c r="G1" s="178"/>
      <c r="H1" s="178"/>
      <c r="I1" s="178"/>
    </row>
    <row r="2" spans="1:22" x14ac:dyDescent="0.25">
      <c r="B2" s="177" t="str">
        <f>Rates!A2</f>
        <v>2024 Gas Schedule 120 Conservation Filing</v>
      </c>
      <c r="C2" s="177"/>
      <c r="D2" s="177"/>
      <c r="E2" s="177"/>
      <c r="F2" s="177"/>
      <c r="G2" s="177"/>
      <c r="H2" s="177"/>
      <c r="I2" s="177"/>
    </row>
    <row r="3" spans="1:22" x14ac:dyDescent="0.25">
      <c r="B3" s="177" t="s">
        <v>58</v>
      </c>
      <c r="C3" s="177"/>
      <c r="D3" s="177"/>
      <c r="E3" s="177"/>
      <c r="F3" s="177"/>
      <c r="G3" s="177"/>
      <c r="H3" s="177"/>
      <c r="I3" s="177"/>
    </row>
    <row r="4" spans="1:22" x14ac:dyDescent="0.25">
      <c r="B4" s="177" t="str">
        <f>Rates!A4</f>
        <v>Proposed Rates Effective May 1, 2024</v>
      </c>
      <c r="C4" s="177"/>
      <c r="D4" s="177"/>
      <c r="E4" s="177"/>
      <c r="F4" s="177"/>
      <c r="G4" s="177"/>
      <c r="H4" s="177"/>
      <c r="I4" s="177"/>
    </row>
    <row r="5" spans="1:22" x14ac:dyDescent="0.25">
      <c r="B5" s="19"/>
      <c r="C5" s="19"/>
      <c r="D5" s="19"/>
      <c r="E5" s="19"/>
      <c r="F5" s="19"/>
      <c r="G5" s="19"/>
      <c r="H5" s="19"/>
      <c r="I5" s="19"/>
    </row>
    <row r="6" spans="1:22" x14ac:dyDescent="0.25">
      <c r="B6" s="19"/>
      <c r="C6" s="19"/>
      <c r="D6" s="19"/>
      <c r="E6" s="19"/>
      <c r="F6" s="19"/>
      <c r="G6" s="19"/>
      <c r="H6" s="19"/>
      <c r="I6" s="19"/>
    </row>
    <row r="7" spans="1:22" x14ac:dyDescent="0.25">
      <c r="B7" s="19"/>
      <c r="C7" s="11"/>
      <c r="D7" s="11" t="s">
        <v>12</v>
      </c>
      <c r="E7" s="19"/>
      <c r="F7" s="19"/>
      <c r="G7" s="19"/>
      <c r="H7" s="153" t="s">
        <v>16</v>
      </c>
      <c r="I7" s="11" t="s">
        <v>28</v>
      </c>
    </row>
    <row r="8" spans="1:22" ht="17.25" x14ac:dyDescent="0.25">
      <c r="A8" s="8" t="s">
        <v>40</v>
      </c>
      <c r="B8" s="19"/>
      <c r="C8" s="11"/>
      <c r="D8" s="11" t="s">
        <v>13</v>
      </c>
      <c r="E8" s="161" t="s">
        <v>48</v>
      </c>
      <c r="F8" s="161"/>
      <c r="G8" s="161"/>
      <c r="H8" s="153" t="s">
        <v>17</v>
      </c>
      <c r="I8" s="11" t="s">
        <v>29</v>
      </c>
    </row>
    <row r="9" spans="1:22" x14ac:dyDescent="0.25">
      <c r="A9" s="10" t="s">
        <v>59</v>
      </c>
      <c r="B9" s="16" t="s">
        <v>4</v>
      </c>
      <c r="C9" s="16" t="s">
        <v>6</v>
      </c>
      <c r="D9" s="22" t="str">
        <f>TEXT('Forecasted Volume'!$B$6,"Mmm YYYY - ")&amp;TEXT('Forecasted Volume'!$M$6,"Mmm YYYY")</f>
        <v>May 2024 - Apr 2025</v>
      </c>
      <c r="E9" s="16" t="s">
        <v>14</v>
      </c>
      <c r="F9" s="16" t="s">
        <v>15</v>
      </c>
      <c r="G9" s="16" t="s">
        <v>3</v>
      </c>
      <c r="H9" s="16" t="s">
        <v>18</v>
      </c>
      <c r="I9" s="16" t="s">
        <v>18</v>
      </c>
    </row>
    <row r="10" spans="1:22" x14ac:dyDescent="0.25">
      <c r="B10" s="153" t="s">
        <v>53</v>
      </c>
      <c r="C10" s="153" t="s">
        <v>54</v>
      </c>
      <c r="D10" s="11" t="s">
        <v>55</v>
      </c>
      <c r="E10" s="153" t="s">
        <v>56</v>
      </c>
      <c r="F10" s="153" t="s">
        <v>57</v>
      </c>
      <c r="G10" s="153" t="s">
        <v>60</v>
      </c>
      <c r="H10" s="11" t="s">
        <v>61</v>
      </c>
      <c r="I10" s="11" t="s">
        <v>62</v>
      </c>
    </row>
    <row r="11" spans="1:22" x14ac:dyDescent="0.25">
      <c r="A11" s="8">
        <v>1</v>
      </c>
      <c r="B11" s="98">
        <v>23</v>
      </c>
      <c r="C11" s="19" t="s">
        <v>21</v>
      </c>
      <c r="D11" s="152">
        <f>'Forecasted Volume'!N8</f>
        <v>545268777</v>
      </c>
      <c r="E11" s="6">
        <v>0.14152000000000001</v>
      </c>
      <c r="F11" s="6">
        <v>0.38869999999999999</v>
      </c>
      <c r="G11" s="18">
        <f>SUM(E11:F11)</f>
        <v>0.53022000000000002</v>
      </c>
      <c r="H11" s="20">
        <f>D11*G11</f>
        <v>289112410.94094002</v>
      </c>
      <c r="I11" s="19"/>
      <c r="V11" s="122"/>
    </row>
    <row r="12" spans="1:22" x14ac:dyDescent="0.25">
      <c r="A12" s="8">
        <v>2</v>
      </c>
      <c r="B12" s="98">
        <v>16</v>
      </c>
      <c r="C12" s="98" t="s">
        <v>52</v>
      </c>
      <c r="D12" s="152">
        <f>'Forecasted Volume'!N7</f>
        <v>6996</v>
      </c>
      <c r="E12" s="6">
        <v>0.14152000000000001</v>
      </c>
      <c r="F12" s="6">
        <v>0.38869999999999999</v>
      </c>
      <c r="G12" s="18">
        <f>SUM(E12:F12)</f>
        <v>0.53022000000000002</v>
      </c>
      <c r="H12" s="20">
        <f>D12*G12</f>
        <v>3709.41912</v>
      </c>
      <c r="I12" s="19"/>
    </row>
    <row r="13" spans="1:22" x14ac:dyDescent="0.25">
      <c r="A13" s="8">
        <v>3</v>
      </c>
      <c r="B13" s="98">
        <v>53</v>
      </c>
      <c r="C13" s="19" t="s">
        <v>22</v>
      </c>
      <c r="D13" s="152">
        <f>'Forecasted Volume'!N9</f>
        <v>0</v>
      </c>
      <c r="E13" s="6">
        <v>0</v>
      </c>
      <c r="F13" s="6">
        <f>F12</f>
        <v>0.38869999999999999</v>
      </c>
      <c r="G13" s="18">
        <f>SUM(E13:F13)</f>
        <v>0.38869999999999999</v>
      </c>
      <c r="H13" s="20">
        <f>D13*G13</f>
        <v>0</v>
      </c>
      <c r="I13" s="19"/>
    </row>
    <row r="14" spans="1:22" x14ac:dyDescent="0.25">
      <c r="A14" s="8">
        <v>4</v>
      </c>
      <c r="B14" s="98">
        <v>31</v>
      </c>
      <c r="C14" s="19" t="s">
        <v>23</v>
      </c>
      <c r="D14" s="152">
        <f>'Forecasted Volume'!N10</f>
        <v>228642219</v>
      </c>
      <c r="E14" s="6">
        <v>0.13528999999999999</v>
      </c>
      <c r="F14" s="6">
        <v>0.38869999999999999</v>
      </c>
      <c r="G14" s="18">
        <f>SUM(E14:F14)</f>
        <v>0.52398999999999996</v>
      </c>
      <c r="H14" s="20">
        <f>D14*G14</f>
        <v>119806236.33380999</v>
      </c>
      <c r="I14" s="19"/>
    </row>
    <row r="15" spans="1:22" x14ac:dyDescent="0.25">
      <c r="A15" s="8">
        <v>5</v>
      </c>
      <c r="B15" s="98">
        <v>41</v>
      </c>
      <c r="C15" s="19" t="s">
        <v>42</v>
      </c>
      <c r="D15" s="152">
        <f>'Forecasted Volume'!N11</f>
        <v>60970775</v>
      </c>
      <c r="E15" s="6">
        <v>3.9149999999999997E-2</v>
      </c>
      <c r="F15" s="6">
        <v>0.38869999999999999</v>
      </c>
      <c r="G15" s="18">
        <f>SUM(E15:F15)</f>
        <v>0.42785000000000001</v>
      </c>
      <c r="H15" s="20">
        <f>D15*G15</f>
        <v>26086346.083750002</v>
      </c>
      <c r="I15" s="19"/>
    </row>
    <row r="16" spans="1:22" x14ac:dyDescent="0.25">
      <c r="A16" s="8">
        <v>6</v>
      </c>
      <c r="B16" s="98" t="s">
        <v>19</v>
      </c>
      <c r="C16" s="19"/>
      <c r="D16" s="157">
        <f>SUM(D11:D15)</f>
        <v>834888767</v>
      </c>
      <c r="E16" s="6"/>
      <c r="F16" s="6"/>
      <c r="G16" s="18"/>
      <c r="H16" s="171">
        <f>SUM(H11:H15)</f>
        <v>435008702.77762002</v>
      </c>
      <c r="I16" s="166">
        <f>H16/H$22</f>
        <v>0.9565623717504862</v>
      </c>
    </row>
    <row r="17" spans="1:9" x14ac:dyDescent="0.25">
      <c r="A17" s="8">
        <v>7</v>
      </c>
      <c r="B17" s="98"/>
      <c r="C17" s="19"/>
      <c r="D17" s="19"/>
      <c r="E17" s="6"/>
      <c r="F17" s="6"/>
      <c r="G17" s="18"/>
      <c r="H17" s="20"/>
      <c r="I17" s="19"/>
    </row>
    <row r="18" spans="1:9" x14ac:dyDescent="0.25">
      <c r="A18" s="8">
        <v>8</v>
      </c>
      <c r="B18" s="98">
        <v>85</v>
      </c>
      <c r="C18" s="19" t="s">
        <v>24</v>
      </c>
      <c r="D18" s="152">
        <f>'Forecasted Volume'!N12</f>
        <v>16936355</v>
      </c>
      <c r="E18" s="6">
        <v>7.8619999999999995E-2</v>
      </c>
      <c r="F18" s="6">
        <v>0.38869999999999999</v>
      </c>
      <c r="G18" s="18">
        <f>SUM(E18:F18)</f>
        <v>0.46731999999999996</v>
      </c>
      <c r="H18" s="20">
        <f>D18*G18</f>
        <v>7914697.4185999995</v>
      </c>
      <c r="I18" s="19"/>
    </row>
    <row r="19" spans="1:9" x14ac:dyDescent="0.25">
      <c r="A19" s="8">
        <v>9</v>
      </c>
      <c r="B19" s="98">
        <v>86</v>
      </c>
      <c r="C19" s="19" t="s">
        <v>25</v>
      </c>
      <c r="D19" s="152">
        <f>'Forecasted Volume'!N13</f>
        <v>4761426</v>
      </c>
      <c r="E19" s="6">
        <v>8.6540000000000006E-2</v>
      </c>
      <c r="F19" s="6">
        <v>0.38869999999999999</v>
      </c>
      <c r="G19" s="18">
        <f>SUM(E19:F19)</f>
        <v>0.47524</v>
      </c>
      <c r="H19" s="20">
        <f>D19*G19</f>
        <v>2262820.0922400001</v>
      </c>
      <c r="I19" s="19"/>
    </row>
    <row r="20" spans="1:9" x14ac:dyDescent="0.25">
      <c r="A20" s="8">
        <v>10</v>
      </c>
      <c r="B20" s="98">
        <v>87</v>
      </c>
      <c r="C20" s="19" t="s">
        <v>26</v>
      </c>
      <c r="D20" s="152">
        <f>'Forecasted Volume'!N14</f>
        <v>20400254</v>
      </c>
      <c r="E20" s="6">
        <v>8.072E-2</v>
      </c>
      <c r="F20" s="6">
        <v>0.38869999999999999</v>
      </c>
      <c r="G20" s="18">
        <f>SUM(E20:F20)</f>
        <v>0.46942</v>
      </c>
      <c r="H20" s="20">
        <f>D20*G20</f>
        <v>9576287.2326800004</v>
      </c>
      <c r="I20" s="19"/>
    </row>
    <row r="21" spans="1:9" x14ac:dyDescent="0.25">
      <c r="A21" s="8">
        <v>11</v>
      </c>
      <c r="B21" s="98" t="s">
        <v>20</v>
      </c>
      <c r="C21" s="19"/>
      <c r="D21" s="157">
        <f>SUM(D18:D20)</f>
        <v>42098035</v>
      </c>
      <c r="E21" s="21"/>
      <c r="F21" s="18"/>
      <c r="G21" s="18"/>
      <c r="H21" s="171">
        <f>SUM(H18:H20)</f>
        <v>19753804.743519999</v>
      </c>
      <c r="I21" s="166">
        <f>H21/H$22</f>
        <v>4.3437628249513791E-2</v>
      </c>
    </row>
    <row r="22" spans="1:9" x14ac:dyDescent="0.25">
      <c r="A22" s="8">
        <v>12</v>
      </c>
      <c r="B22" s="98" t="s">
        <v>3</v>
      </c>
      <c r="C22" s="19"/>
      <c r="D22" s="97">
        <f>D16+D21</f>
        <v>876986802</v>
      </c>
      <c r="E22" s="21"/>
      <c r="F22" s="18"/>
      <c r="G22" s="18"/>
      <c r="H22" s="171">
        <f>H16+H21</f>
        <v>454762507.52114004</v>
      </c>
      <c r="I22" s="166">
        <f>I16+I21</f>
        <v>1</v>
      </c>
    </row>
    <row r="23" spans="1:9" x14ac:dyDescent="0.25">
      <c r="A23" s="8">
        <v>13</v>
      </c>
      <c r="B23" s="19" t="s">
        <v>27</v>
      </c>
      <c r="C23" s="19"/>
      <c r="D23" s="172">
        <f>D22-'Forecasted Volume'!N23-'Forecasted Volume'!N24</f>
        <v>0</v>
      </c>
      <c r="E23" s="21"/>
      <c r="F23" s="18"/>
      <c r="G23" s="18"/>
      <c r="H23" s="20"/>
      <c r="I23" s="19"/>
    </row>
    <row r="24" spans="1:9" x14ac:dyDescent="0.25">
      <c r="B24" s="19"/>
      <c r="C24" s="19"/>
      <c r="D24" s="19"/>
      <c r="E24" s="19"/>
      <c r="F24" s="19"/>
      <c r="G24" s="19"/>
      <c r="H24" s="20"/>
      <c r="I24" s="19"/>
    </row>
    <row r="25" spans="1:9" s="19" customFormat="1" ht="15.75" x14ac:dyDescent="0.25">
      <c r="B25" s="173" t="s">
        <v>174</v>
      </c>
      <c r="H25" s="20"/>
    </row>
    <row r="26" spans="1:9" x14ac:dyDescent="0.25"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B27" s="19"/>
      <c r="C27" s="19"/>
      <c r="D27" s="19"/>
      <c r="E27" s="19"/>
      <c r="F27" s="19"/>
      <c r="G27" s="19"/>
      <c r="H27" s="19"/>
      <c r="I27" s="19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scale="9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85" zoomScaleNormal="85" workbookViewId="0">
      <pane xSplit="3" ySplit="9" topLeftCell="D10" activePane="bottomRight" state="frozenSplit"/>
      <selection activeCell="F39" sqref="F39"/>
      <selection pane="topRight" activeCell="F39" sqref="F39"/>
      <selection pane="bottomLeft" activeCell="F39" sqref="F39"/>
      <selection pane="bottomRight" activeCell="P39" sqref="P39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bestFit="1" customWidth="1"/>
    <col min="6" max="6" width="10" bestFit="1" customWidth="1"/>
    <col min="7" max="7" width="14.28515625" bestFit="1" customWidth="1"/>
    <col min="8" max="8" width="14.7109375" bestFit="1" customWidth="1"/>
    <col min="9" max="9" width="13.7109375" bestFit="1" customWidth="1"/>
    <col min="10" max="10" width="14.42578125" bestFit="1" customWidth="1"/>
    <col min="11" max="12" width="12.5703125" bestFit="1" customWidth="1"/>
    <col min="13" max="13" width="11.5703125" bestFit="1" customWidth="1"/>
    <col min="14" max="15" width="12.5703125" bestFit="1" customWidth="1"/>
    <col min="16" max="16" width="11.5703125" bestFit="1" customWidth="1"/>
    <col min="17" max="17" width="12.28515625" bestFit="1" customWidth="1"/>
    <col min="18" max="18" width="12.5703125" bestFit="1" customWidth="1"/>
    <col min="19" max="19" width="12.28515625" bestFit="1" customWidth="1"/>
    <col min="20" max="20" width="16.5703125" bestFit="1" customWidth="1"/>
    <col min="21" max="21" width="14.140625" bestFit="1" customWidth="1"/>
    <col min="22" max="22" width="7.85546875" bestFit="1" customWidth="1"/>
  </cols>
  <sheetData>
    <row r="1" spans="1:22" x14ac:dyDescent="0.25">
      <c r="A1" s="23" t="s">
        <v>11</v>
      </c>
      <c r="B1" s="169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x14ac:dyDescent="0.25">
      <c r="A2" s="23" t="s">
        <v>172</v>
      </c>
      <c r="B2" s="16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x14ac:dyDescent="0.25">
      <c r="A3" s="169" t="s">
        <v>65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</row>
    <row r="4" spans="1:22" x14ac:dyDescent="0.25">
      <c r="A4" s="169" t="s">
        <v>173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spans="1:22" x14ac:dyDescent="0.25">
      <c r="F5" s="143"/>
      <c r="P5" s="143"/>
      <c r="Q5" s="143"/>
      <c r="R5" s="143"/>
    </row>
    <row r="6" spans="1:22" x14ac:dyDescent="0.25">
      <c r="F6" s="143"/>
      <c r="G6" s="24" t="s">
        <v>12</v>
      </c>
      <c r="P6" s="143"/>
      <c r="Q6" s="143"/>
      <c r="R6" s="143"/>
    </row>
    <row r="7" spans="1:22" x14ac:dyDescent="0.25">
      <c r="B7" s="24"/>
      <c r="C7" s="24"/>
      <c r="D7" s="24" t="s">
        <v>162</v>
      </c>
      <c r="E7" s="24" t="str">
        <f>D7</f>
        <v>UG-220067</v>
      </c>
      <c r="F7" s="24" t="s">
        <v>66</v>
      </c>
      <c r="G7" s="24" t="s">
        <v>67</v>
      </c>
      <c r="H7" s="14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5" t="s">
        <v>175</v>
      </c>
      <c r="U7" s="25" t="s">
        <v>68</v>
      </c>
      <c r="V7" s="24"/>
    </row>
    <row r="8" spans="1:22" x14ac:dyDescent="0.25">
      <c r="A8" t="s">
        <v>40</v>
      </c>
      <c r="B8" s="24"/>
      <c r="C8" s="24" t="s">
        <v>69</v>
      </c>
      <c r="D8" s="24" t="s">
        <v>13</v>
      </c>
      <c r="E8" s="24" t="s">
        <v>70</v>
      </c>
      <c r="F8" s="24" t="s">
        <v>69</v>
      </c>
      <c r="G8" s="25" t="s">
        <v>180</v>
      </c>
      <c r="H8" s="143" t="s">
        <v>70</v>
      </c>
      <c r="I8" s="24" t="s">
        <v>71</v>
      </c>
      <c r="J8" s="24" t="s">
        <v>72</v>
      </c>
      <c r="K8" s="24" t="s">
        <v>181</v>
      </c>
      <c r="L8" s="24" t="s">
        <v>68</v>
      </c>
      <c r="M8" s="24" t="s">
        <v>73</v>
      </c>
      <c r="N8" s="24" t="s">
        <v>197</v>
      </c>
      <c r="O8" s="24" t="s">
        <v>74</v>
      </c>
      <c r="P8" s="24" t="s">
        <v>163</v>
      </c>
      <c r="Q8" s="24" t="s">
        <v>164</v>
      </c>
      <c r="R8" s="24" t="s">
        <v>165</v>
      </c>
      <c r="S8" s="24" t="s">
        <v>75</v>
      </c>
      <c r="T8" s="24" t="s">
        <v>76</v>
      </c>
      <c r="U8" s="24" t="s">
        <v>182</v>
      </c>
      <c r="V8" s="24" t="s">
        <v>28</v>
      </c>
    </row>
    <row r="9" spans="1:22" ht="17.25" x14ac:dyDescent="0.25">
      <c r="A9" t="s">
        <v>59</v>
      </c>
      <c r="B9" s="26" t="s">
        <v>78</v>
      </c>
      <c r="C9" s="26" t="s">
        <v>4</v>
      </c>
      <c r="D9" s="26" t="s">
        <v>79</v>
      </c>
      <c r="E9" s="26" t="s">
        <v>80</v>
      </c>
      <c r="F9" s="26" t="s">
        <v>81</v>
      </c>
      <c r="G9" s="27" t="s">
        <v>183</v>
      </c>
      <c r="H9" s="26" t="s">
        <v>77</v>
      </c>
      <c r="I9" s="26" t="s">
        <v>77</v>
      </c>
      <c r="J9" s="26" t="s">
        <v>77</v>
      </c>
      <c r="K9" s="26" t="s">
        <v>77</v>
      </c>
      <c r="L9" s="26" t="s">
        <v>77</v>
      </c>
      <c r="M9" s="26" t="s">
        <v>77</v>
      </c>
      <c r="N9" s="26" t="s">
        <v>77</v>
      </c>
      <c r="O9" s="26" t="s">
        <v>77</v>
      </c>
      <c r="P9" s="26" t="s">
        <v>77</v>
      </c>
      <c r="Q9" s="26" t="s">
        <v>77</v>
      </c>
      <c r="R9" s="26" t="s">
        <v>77</v>
      </c>
      <c r="S9" s="26" t="s">
        <v>77</v>
      </c>
      <c r="T9" s="10" t="s">
        <v>82</v>
      </c>
      <c r="U9" s="26" t="s">
        <v>83</v>
      </c>
      <c r="V9" s="26" t="s">
        <v>83</v>
      </c>
    </row>
    <row r="10" spans="1:22" x14ac:dyDescent="0.25">
      <c r="B10" s="24" t="s">
        <v>84</v>
      </c>
      <c r="C10" s="24" t="s">
        <v>85</v>
      </c>
      <c r="D10" s="28" t="s">
        <v>86</v>
      </c>
      <c r="E10" s="29" t="s">
        <v>87</v>
      </c>
      <c r="F10" s="24" t="s">
        <v>88</v>
      </c>
      <c r="G10" s="24" t="s">
        <v>89</v>
      </c>
      <c r="H10" s="24" t="s">
        <v>90</v>
      </c>
      <c r="I10" s="24" t="s">
        <v>91</v>
      </c>
      <c r="J10" s="24" t="s">
        <v>92</v>
      </c>
      <c r="K10" s="24" t="s">
        <v>93</v>
      </c>
      <c r="L10" s="24" t="s">
        <v>94</v>
      </c>
      <c r="M10" s="29" t="s">
        <v>95</v>
      </c>
      <c r="N10" s="29" t="s">
        <v>96</v>
      </c>
      <c r="O10" s="29" t="s">
        <v>97</v>
      </c>
      <c r="P10" s="29" t="s">
        <v>98</v>
      </c>
      <c r="Q10" s="29" t="s">
        <v>99</v>
      </c>
      <c r="R10" s="29" t="s">
        <v>166</v>
      </c>
      <c r="S10" s="29" t="s">
        <v>184</v>
      </c>
      <c r="T10" s="30" t="s">
        <v>185</v>
      </c>
      <c r="U10" s="24" t="s">
        <v>186</v>
      </c>
      <c r="V10" s="24" t="s">
        <v>187</v>
      </c>
    </row>
    <row r="11" spans="1:22" x14ac:dyDescent="0.25">
      <c r="A11" s="143">
        <v>1</v>
      </c>
      <c r="B11" t="s">
        <v>21</v>
      </c>
      <c r="C11" s="143" t="s">
        <v>100</v>
      </c>
      <c r="D11" s="176">
        <v>620836684.05687141</v>
      </c>
      <c r="E11" s="35">
        <v>403613457.09474093</v>
      </c>
      <c r="F11" s="32">
        <f t="shared" ref="F11:F16" si="0">(E11)/D11</f>
        <v>0.6501121268436002</v>
      </c>
      <c r="G11" s="176">
        <v>545268777</v>
      </c>
      <c r="H11" s="33">
        <f>F11*G11</f>
        <v>354485844.31687874</v>
      </c>
      <c r="I11" s="35">
        <v>303229419.57999998</v>
      </c>
      <c r="J11" s="35">
        <v>-109997070.38</v>
      </c>
      <c r="K11" s="35">
        <v>36109134.87256062</v>
      </c>
      <c r="L11" s="31">
        <f>'Sch. 120'!F9</f>
        <v>15676477.338750001</v>
      </c>
      <c r="M11" s="35">
        <v>2998978.2734999997</v>
      </c>
      <c r="N11" s="35">
        <v>8702489.6809199993</v>
      </c>
      <c r="O11" s="35">
        <v>12459391.55445</v>
      </c>
      <c r="P11" s="35">
        <v>1717596.6475500001</v>
      </c>
      <c r="Q11" s="35">
        <v>-2617290.1295999996</v>
      </c>
      <c r="R11" s="35">
        <v>38812231.546859995</v>
      </c>
      <c r="S11" s="35">
        <v>2530047.13</v>
      </c>
      <c r="T11" s="34">
        <f t="shared" ref="T11:T23" si="1">SUM(H11:S11)</f>
        <v>664107250.43186927</v>
      </c>
      <c r="U11" s="31">
        <f>'Sch. 120'!H9</f>
        <v>4334886.7771500014</v>
      </c>
      <c r="V11" s="1">
        <f>U11/T11</f>
        <v>6.5273896261952005E-3</v>
      </c>
    </row>
    <row r="12" spans="1:22" x14ac:dyDescent="0.25">
      <c r="A12" s="143">
        <f>A11+1</f>
        <v>2</v>
      </c>
      <c r="B12" t="s">
        <v>101</v>
      </c>
      <c r="C12" s="143">
        <v>16</v>
      </c>
      <c r="D12" s="176">
        <v>8190.2669999999998</v>
      </c>
      <c r="E12" s="35">
        <v>5233.1499999999996</v>
      </c>
      <c r="F12" s="32">
        <f t="shared" si="0"/>
        <v>0.63894742381414427</v>
      </c>
      <c r="G12" s="176">
        <v>6996</v>
      </c>
      <c r="H12" s="33">
        <f t="shared" ref="H12:H23" si="2">F12*G12</f>
        <v>4470.0761770037534</v>
      </c>
      <c r="I12" s="35">
        <v>3890.55</v>
      </c>
      <c r="J12" s="35">
        <v>-1411.3</v>
      </c>
      <c r="K12" s="35">
        <v>739.38882947368415</v>
      </c>
      <c r="L12" s="31">
        <f>'Sch. 120'!F10</f>
        <v>201.13500000000002</v>
      </c>
      <c r="M12" s="35"/>
      <c r="N12" s="35"/>
      <c r="O12" s="35">
        <v>159.8586</v>
      </c>
      <c r="P12" s="35">
        <v>22.037400000000002</v>
      </c>
      <c r="Q12" s="35">
        <v>-33.580799999999996</v>
      </c>
      <c r="R12" s="35">
        <v>497.97527999999994</v>
      </c>
      <c r="S12" s="35"/>
      <c r="T12" s="34">
        <f t="shared" si="1"/>
        <v>8536.1404864774377</v>
      </c>
      <c r="U12" s="31">
        <f>'Sch. 120'!H10</f>
        <v>55.61820000000003</v>
      </c>
      <c r="V12" s="1">
        <f t="shared" ref="V12:V24" si="3">U12/T12</f>
        <v>6.5156144147472542E-3</v>
      </c>
    </row>
    <row r="13" spans="1:22" x14ac:dyDescent="0.25">
      <c r="A13" s="143">
        <f t="shared" ref="A13:A34" si="4">A12+1</f>
        <v>3</v>
      </c>
      <c r="B13" t="s">
        <v>23</v>
      </c>
      <c r="C13" s="143">
        <v>31</v>
      </c>
      <c r="D13" s="176">
        <v>222166912.14539161</v>
      </c>
      <c r="E13" s="35">
        <v>122121000.06</v>
      </c>
      <c r="F13" s="32">
        <f t="shared" si="0"/>
        <v>0.54968131339054194</v>
      </c>
      <c r="G13" s="176">
        <v>228642219</v>
      </c>
      <c r="H13" s="33">
        <f t="shared" si="2"/>
        <v>125680355.23644792</v>
      </c>
      <c r="I13" s="35">
        <v>125657190.72</v>
      </c>
      <c r="J13" s="35">
        <v>-45774172.240000002</v>
      </c>
      <c r="K13" s="35">
        <v>23819948.612333745</v>
      </c>
      <c r="L13" s="31">
        <f>'Sch. 120'!F11</f>
        <v>6573463.7962500006</v>
      </c>
      <c r="M13" s="35">
        <v>1079191.2736800001</v>
      </c>
      <c r="N13" s="35">
        <v>3132398.4002999999</v>
      </c>
      <c r="O13" s="35">
        <v>5745778.9634699998</v>
      </c>
      <c r="P13" s="35">
        <v>660776.01291000005</v>
      </c>
      <c r="Q13" s="35">
        <v>-1006025.7636000001</v>
      </c>
      <c r="R13" s="35">
        <v>14928050.47851</v>
      </c>
      <c r="S13" s="35">
        <v>-4072117.92</v>
      </c>
      <c r="T13" s="34">
        <f t="shared" si="1"/>
        <v>256424837.57030168</v>
      </c>
      <c r="U13" s="31">
        <f>'Sch. 120'!H11</f>
        <v>1817705.6410499997</v>
      </c>
      <c r="V13" s="1">
        <f t="shared" si="3"/>
        <v>7.0886488932713305E-3</v>
      </c>
    </row>
    <row r="14" spans="1:22" x14ac:dyDescent="0.25">
      <c r="A14" s="143">
        <f t="shared" si="4"/>
        <v>4</v>
      </c>
      <c r="B14" t="s">
        <v>42</v>
      </c>
      <c r="C14" s="143">
        <v>41</v>
      </c>
      <c r="D14" s="176">
        <v>62517991.156948164</v>
      </c>
      <c r="E14" s="35">
        <v>17786398.291046247</v>
      </c>
      <c r="F14" s="32">
        <f t="shared" si="0"/>
        <v>0.28450047677306872</v>
      </c>
      <c r="G14" s="176">
        <v>60970775</v>
      </c>
      <c r="H14" s="33">
        <f t="shared" si="2"/>
        <v>17346214.556723498</v>
      </c>
      <c r="I14" s="35">
        <v>32561973.370000001</v>
      </c>
      <c r="J14" s="35">
        <v>-11963685.470000001</v>
      </c>
      <c r="K14" s="35">
        <v>6476945.1889428794</v>
      </c>
      <c r="L14" s="31">
        <f>'Sch. 120'!F12</f>
        <v>1752909.78125</v>
      </c>
      <c r="M14" s="35">
        <v>140842.49025</v>
      </c>
      <c r="N14" s="35">
        <v>409723.60800000001</v>
      </c>
      <c r="O14" s="35">
        <v>612146.58100000001</v>
      </c>
      <c r="P14" s="35">
        <v>134135.70500000002</v>
      </c>
      <c r="Q14" s="35">
        <v>-128038.62749999999</v>
      </c>
      <c r="R14" s="35">
        <v>1902897.88775</v>
      </c>
      <c r="S14" s="35">
        <v>-2191315.06</v>
      </c>
      <c r="T14" s="34">
        <f t="shared" si="1"/>
        <v>47054750.011416376</v>
      </c>
      <c r="U14" s="31">
        <f>'Sch. 120'!H12</f>
        <v>484717.66125000035</v>
      </c>
      <c r="V14" s="1">
        <f t="shared" si="3"/>
        <v>1.0301141991667125E-2</v>
      </c>
    </row>
    <row r="15" spans="1:22" x14ac:dyDescent="0.25">
      <c r="A15" s="143">
        <f t="shared" si="4"/>
        <v>5</v>
      </c>
      <c r="B15" t="s">
        <v>24</v>
      </c>
      <c r="C15" s="143">
        <v>85</v>
      </c>
      <c r="D15" s="176">
        <v>19992939.502740219</v>
      </c>
      <c r="E15" s="35">
        <v>2272313.06</v>
      </c>
      <c r="F15" s="32">
        <f t="shared" si="0"/>
        <v>0.11365577631486147</v>
      </c>
      <c r="G15" s="176">
        <v>16936355</v>
      </c>
      <c r="H15" s="33">
        <f t="shared" si="2"/>
        <v>1924914.5754690857</v>
      </c>
      <c r="I15" s="35">
        <v>8439822.8399999999</v>
      </c>
      <c r="J15" s="35">
        <v>-3188607.56</v>
      </c>
      <c r="K15" s="35">
        <v>1498708.4434751938</v>
      </c>
      <c r="L15" s="31">
        <f>'Sch. 120'!F13</f>
        <v>437635.41319999995</v>
      </c>
      <c r="M15" s="35">
        <v>18775.583371783741</v>
      </c>
      <c r="N15" s="35">
        <v>54732.331257848316</v>
      </c>
      <c r="O15" s="35">
        <v>89593.317950000011</v>
      </c>
      <c r="P15" s="35">
        <v>31332.25675</v>
      </c>
      <c r="Q15" s="35">
        <v>-21678.5344</v>
      </c>
      <c r="R15" s="35">
        <v>321621.38144999999</v>
      </c>
      <c r="S15" s="35"/>
      <c r="T15" s="34">
        <f t="shared" si="1"/>
        <v>9606850.0485239122</v>
      </c>
      <c r="U15" s="31">
        <f>'Sch. 120'!H13</f>
        <v>122111.11955000006</v>
      </c>
      <c r="V15" s="1">
        <f t="shared" si="3"/>
        <v>1.2710838509315795E-2</v>
      </c>
    </row>
    <row r="16" spans="1:22" x14ac:dyDescent="0.25">
      <c r="A16" s="143">
        <f t="shared" si="4"/>
        <v>6</v>
      </c>
      <c r="B16" t="s">
        <v>25</v>
      </c>
      <c r="C16" s="143">
        <v>86</v>
      </c>
      <c r="D16" s="176">
        <v>5773170.4876905456</v>
      </c>
      <c r="E16" s="35">
        <v>1192875.52</v>
      </c>
      <c r="F16" s="32">
        <f t="shared" si="0"/>
        <v>0.20662398980654192</v>
      </c>
      <c r="G16" s="176">
        <v>4761426</v>
      </c>
      <c r="H16" s="33">
        <f t="shared" si="2"/>
        <v>983824.83728860365</v>
      </c>
      <c r="I16" s="35">
        <v>2409192.39</v>
      </c>
      <c r="J16" s="35">
        <v>-904766.17</v>
      </c>
      <c r="K16" s="35">
        <v>513741.83528</v>
      </c>
      <c r="L16" s="31">
        <f>'Sch. 120'!F14</f>
        <v>123035.24784</v>
      </c>
      <c r="M16" s="35">
        <v>8142.0384599999998</v>
      </c>
      <c r="N16" s="35">
        <v>23711.90148</v>
      </c>
      <c r="O16" s="35">
        <v>32044.396979999998</v>
      </c>
      <c r="P16" s="35">
        <v>2333.0987399999999</v>
      </c>
      <c r="Q16" s="35">
        <v>-5047.1115599999994</v>
      </c>
      <c r="R16" s="35">
        <v>74849.616719999991</v>
      </c>
      <c r="S16" s="35">
        <v>-126631.35</v>
      </c>
      <c r="T16" s="34">
        <f t="shared" si="1"/>
        <v>3134430.7312286035</v>
      </c>
      <c r="U16" s="31">
        <f>'Sch. 120'!H14</f>
        <v>34329.881460000004</v>
      </c>
      <c r="V16" s="1">
        <f t="shared" si="3"/>
        <v>1.0952509212587931E-2</v>
      </c>
    </row>
    <row r="17" spans="1:22" x14ac:dyDescent="0.25">
      <c r="A17" s="143">
        <f t="shared" si="4"/>
        <v>7</v>
      </c>
      <c r="B17" t="s">
        <v>26</v>
      </c>
      <c r="C17" s="143">
        <v>87</v>
      </c>
      <c r="D17" s="176">
        <v>21819455.762355208</v>
      </c>
      <c r="E17" s="35">
        <v>1509849.77</v>
      </c>
      <c r="F17" s="32">
        <f>(E17)/D17</f>
        <v>6.9197407416775353E-2</v>
      </c>
      <c r="G17" s="176">
        <v>20400254</v>
      </c>
      <c r="H17" s="33">
        <f t="shared" si="2"/>
        <v>1411644.6874437011</v>
      </c>
      <c r="I17" s="35">
        <v>10043861.050000001</v>
      </c>
      <c r="J17" s="35">
        <v>-3813011.48</v>
      </c>
      <c r="K17" s="35">
        <v>162465.6001044687</v>
      </c>
      <c r="L17" s="31">
        <f>'Sch. 120'!F15</f>
        <v>527142.56335999991</v>
      </c>
      <c r="M17" s="35">
        <v>9370.9437627335901</v>
      </c>
      <c r="N17" s="35">
        <v>27093.573709896766</v>
      </c>
      <c r="O17" s="35">
        <v>76908.957580000002</v>
      </c>
      <c r="P17" s="35">
        <v>15810.611630403841</v>
      </c>
      <c r="Q17" s="35">
        <v>-12013.017364086816</v>
      </c>
      <c r="R17" s="35">
        <v>177952.66521711831</v>
      </c>
      <c r="S17" s="35"/>
      <c r="T17" s="34">
        <f t="shared" si="1"/>
        <v>8627226.1554442365</v>
      </c>
      <c r="U17" s="31">
        <f>'Sch. 120'!H15</f>
        <v>147085.83134000015</v>
      </c>
      <c r="V17" s="1">
        <f>U17/T17</f>
        <v>1.7049029281234411E-2</v>
      </c>
    </row>
    <row r="18" spans="1:22" x14ac:dyDescent="0.25">
      <c r="A18" s="143">
        <f t="shared" si="4"/>
        <v>8</v>
      </c>
      <c r="B18" t="s">
        <v>102</v>
      </c>
      <c r="C18" s="143" t="s">
        <v>49</v>
      </c>
      <c r="D18" s="176">
        <v>36958.529999999992</v>
      </c>
      <c r="E18" s="35">
        <v>23981.98</v>
      </c>
      <c r="F18" s="32">
        <f>(E18)/D18</f>
        <v>0.64888890331947735</v>
      </c>
      <c r="G18" s="176">
        <v>0</v>
      </c>
      <c r="H18" s="33">
        <f t="shared" si="2"/>
        <v>0</v>
      </c>
      <c r="I18" s="35"/>
      <c r="J18" s="35"/>
      <c r="K18" s="35">
        <v>0</v>
      </c>
      <c r="L18" s="31"/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4">
        <f t="shared" si="1"/>
        <v>0</v>
      </c>
      <c r="U18" s="31">
        <v>0</v>
      </c>
      <c r="V18" s="1">
        <f>IF(T18=0,0,U18/T18)</f>
        <v>0</v>
      </c>
    </row>
    <row r="19" spans="1:22" x14ac:dyDescent="0.25">
      <c r="A19" s="143">
        <f t="shared" si="4"/>
        <v>9</v>
      </c>
      <c r="B19" t="s">
        <v>103</v>
      </c>
      <c r="C19" s="143" t="s">
        <v>0</v>
      </c>
      <c r="D19" s="176">
        <v>19494505.608019032</v>
      </c>
      <c r="E19" s="35">
        <v>4475398.7622919884</v>
      </c>
      <c r="F19" s="32">
        <f t="shared" ref="F19:F24" si="5">(E19)/D19</f>
        <v>0.22957231397810063</v>
      </c>
      <c r="G19" s="176">
        <v>21523379</v>
      </c>
      <c r="H19" s="33">
        <f>F19*G19</f>
        <v>4941171.9216576573</v>
      </c>
      <c r="I19" s="35"/>
      <c r="J19" s="35"/>
      <c r="K19" s="35">
        <v>2283191.3100999994</v>
      </c>
      <c r="L19" s="31"/>
      <c r="M19" s="35">
        <v>49719.005490000003</v>
      </c>
      <c r="N19" s="35">
        <v>144637.10688000001</v>
      </c>
      <c r="O19" s="35">
        <v>216094.72516</v>
      </c>
      <c r="P19" s="35">
        <v>0</v>
      </c>
      <c r="Q19" s="35">
        <v>-45199.0959</v>
      </c>
      <c r="R19" s="35">
        <v>671744.65859000001</v>
      </c>
      <c r="S19" s="35">
        <v>-649307.65</v>
      </c>
      <c r="T19" s="34">
        <f t="shared" si="1"/>
        <v>7612051.9819776565</v>
      </c>
      <c r="U19" s="31">
        <v>0</v>
      </c>
      <c r="V19" s="1">
        <f t="shared" si="3"/>
        <v>0</v>
      </c>
    </row>
    <row r="20" spans="1:22" x14ac:dyDescent="0.25">
      <c r="A20" s="143">
        <f t="shared" si="4"/>
        <v>10</v>
      </c>
      <c r="B20" t="s">
        <v>104</v>
      </c>
      <c r="C20" s="143" t="s">
        <v>1</v>
      </c>
      <c r="D20" s="176">
        <v>68886791.019958794</v>
      </c>
      <c r="E20" s="35">
        <v>7339677.3100000005</v>
      </c>
      <c r="F20" s="32">
        <f t="shared" si="5"/>
        <v>0.1065469475544804</v>
      </c>
      <c r="G20" s="176">
        <v>63133599</v>
      </c>
      <c r="H20" s="33">
        <f t="shared" si="2"/>
        <v>6726692.2615785962</v>
      </c>
      <c r="I20" s="35"/>
      <c r="J20" s="35"/>
      <c r="K20" s="35">
        <v>6243031.3552862257</v>
      </c>
      <c r="L20" s="31"/>
      <c r="M20" s="35">
        <v>66804.996771336155</v>
      </c>
      <c r="N20" s="35">
        <v>194799.10631711321</v>
      </c>
      <c r="O20" s="35">
        <v>333976.73871000001</v>
      </c>
      <c r="P20" s="35">
        <v>0</v>
      </c>
      <c r="Q20" s="35">
        <v>-80811.006720000005</v>
      </c>
      <c r="R20" s="35">
        <v>1198907.04501</v>
      </c>
      <c r="S20" s="35"/>
      <c r="T20" s="34">
        <f t="shared" si="1"/>
        <v>14683400.496953271</v>
      </c>
      <c r="U20" s="31">
        <v>0</v>
      </c>
      <c r="V20" s="1">
        <f t="shared" si="3"/>
        <v>0</v>
      </c>
    </row>
    <row r="21" spans="1:22" x14ac:dyDescent="0.25">
      <c r="A21" s="143">
        <f t="shared" si="4"/>
        <v>11</v>
      </c>
      <c r="B21" t="s">
        <v>105</v>
      </c>
      <c r="C21" s="143" t="s">
        <v>43</v>
      </c>
      <c r="D21" s="176">
        <v>1718484.3400000003</v>
      </c>
      <c r="E21" s="35">
        <v>367155.5</v>
      </c>
      <c r="F21" s="32">
        <f t="shared" si="5"/>
        <v>0.21365076856039314</v>
      </c>
      <c r="G21" s="176">
        <v>1188598</v>
      </c>
      <c r="H21" s="33">
        <f t="shared" si="2"/>
        <v>253944.87620934617</v>
      </c>
      <c r="I21" s="35"/>
      <c r="J21" s="35"/>
      <c r="K21" s="35">
        <v>126937.93491999997</v>
      </c>
      <c r="L21" s="31"/>
      <c r="M21" s="35">
        <v>2032.5025799999999</v>
      </c>
      <c r="N21" s="35">
        <v>5919.2180399999997</v>
      </c>
      <c r="O21" s="35">
        <v>7999.2645400000001</v>
      </c>
      <c r="P21" s="35">
        <v>0</v>
      </c>
      <c r="Q21" s="35">
        <v>-1259.9138800000001</v>
      </c>
      <c r="R21" s="35">
        <v>18684.760559999999</v>
      </c>
      <c r="S21" s="35">
        <v>-28660.660000000003</v>
      </c>
      <c r="T21" s="34">
        <f t="shared" si="1"/>
        <v>385597.98296934611</v>
      </c>
      <c r="U21" s="31">
        <v>0</v>
      </c>
      <c r="V21" s="1">
        <f t="shared" si="3"/>
        <v>0</v>
      </c>
    </row>
    <row r="22" spans="1:22" x14ac:dyDescent="0.25">
      <c r="A22" s="143">
        <f t="shared" si="4"/>
        <v>12</v>
      </c>
      <c r="B22" t="s">
        <v>106</v>
      </c>
      <c r="C22" s="143" t="s">
        <v>2</v>
      </c>
      <c r="D22" s="176">
        <v>97500425.645479575</v>
      </c>
      <c r="E22" s="35">
        <v>4790056.76</v>
      </c>
      <c r="F22" s="32">
        <f>(E22)/D22</f>
        <v>4.9128572806616068E-2</v>
      </c>
      <c r="G22" s="176">
        <v>123922533</v>
      </c>
      <c r="H22" s="33">
        <f t="shared" si="2"/>
        <v>6088137.1848707823</v>
      </c>
      <c r="I22" s="35"/>
      <c r="J22" s="35"/>
      <c r="K22" s="35">
        <v>807997.83197867917</v>
      </c>
      <c r="L22" s="31"/>
      <c r="M22" s="35">
        <v>44837.204339898628</v>
      </c>
      <c r="N22" s="35">
        <v>129291.70038115259</v>
      </c>
      <c r="O22" s="35">
        <v>467187.94941</v>
      </c>
      <c r="P22" s="35">
        <v>0</v>
      </c>
      <c r="Q22" s="35">
        <v>-52271.763308378795</v>
      </c>
      <c r="R22" s="35">
        <v>1590609.8798937034</v>
      </c>
      <c r="S22" s="35"/>
      <c r="T22" s="34">
        <f t="shared" si="1"/>
        <v>9075789.9875658378</v>
      </c>
      <c r="U22" s="31">
        <v>0</v>
      </c>
      <c r="V22" s="1">
        <f t="shared" si="3"/>
        <v>0</v>
      </c>
    </row>
    <row r="23" spans="1:22" x14ac:dyDescent="0.25">
      <c r="A23" s="143">
        <f t="shared" si="4"/>
        <v>13</v>
      </c>
      <c r="B23" t="s">
        <v>44</v>
      </c>
      <c r="D23" s="176">
        <v>32154478.538398605</v>
      </c>
      <c r="E23" s="35">
        <v>1699064.4523564125</v>
      </c>
      <c r="F23" s="36">
        <f t="shared" si="5"/>
        <v>5.2840678175744761E-2</v>
      </c>
      <c r="G23" s="176">
        <v>32071144</v>
      </c>
      <c r="H23" s="33">
        <f t="shared" si="2"/>
        <v>1694660.9988319676</v>
      </c>
      <c r="I23" s="35"/>
      <c r="J23" s="35"/>
      <c r="K23" s="35">
        <v>1401276.6008886266</v>
      </c>
      <c r="L23" s="31"/>
      <c r="M23" s="35"/>
      <c r="N23" s="35"/>
      <c r="O23" s="35">
        <v>30146.875359999998</v>
      </c>
      <c r="P23" s="35">
        <v>0</v>
      </c>
      <c r="Q23" s="35">
        <v>0</v>
      </c>
      <c r="R23" s="35">
        <v>0</v>
      </c>
      <c r="S23" s="35"/>
      <c r="T23" s="34">
        <f t="shared" si="1"/>
        <v>3126084.4750805944</v>
      </c>
      <c r="U23" s="31">
        <v>0</v>
      </c>
      <c r="V23" s="1">
        <f t="shared" si="3"/>
        <v>0</v>
      </c>
    </row>
    <row r="24" spans="1:22" x14ac:dyDescent="0.25">
      <c r="A24" s="143">
        <f t="shared" si="4"/>
        <v>14</v>
      </c>
      <c r="B24" t="s">
        <v>3</v>
      </c>
      <c r="D24" s="37">
        <f>SUM(D11:D23)</f>
        <v>1172906987.060853</v>
      </c>
      <c r="E24" s="38">
        <f>SUM(E11:E23)</f>
        <v>567196461.71043551</v>
      </c>
      <c r="F24" s="32">
        <f t="shared" si="5"/>
        <v>0.48358179119706113</v>
      </c>
      <c r="G24" s="37">
        <f>SUM(G11:G23)</f>
        <v>1118826055</v>
      </c>
      <c r="H24" s="38">
        <f>SUM(H11:H23)</f>
        <v>521541875.5295769</v>
      </c>
      <c r="I24" s="38">
        <f t="shared" ref="I24:L24" si="6">SUM(I11:I23)</f>
        <v>482345350.5</v>
      </c>
      <c r="J24" s="38">
        <f t="shared" si="6"/>
        <v>-175642724.59999996</v>
      </c>
      <c r="K24" s="38">
        <f t="shared" si="6"/>
        <v>79444118.974699914</v>
      </c>
      <c r="L24" s="38">
        <f t="shared" si="6"/>
        <v>25090865.275649998</v>
      </c>
      <c r="M24" s="38">
        <f>SUM(M11:M23)</f>
        <v>4418694.3122057524</v>
      </c>
      <c r="N24" s="38">
        <f>SUM(N11:N23)</f>
        <v>12824796.627286011</v>
      </c>
      <c r="O24" s="38">
        <f>SUM(O11:O23)</f>
        <v>20071429.18321</v>
      </c>
      <c r="P24" s="38">
        <f>SUM(P11:P23)</f>
        <v>2562006.3699804042</v>
      </c>
      <c r="Q24" s="38">
        <f t="shared" ref="Q24:T24" si="7">SUM(Q11:Q23)</f>
        <v>-3969668.5446324656</v>
      </c>
      <c r="R24" s="38">
        <f t="shared" si="7"/>
        <v>59698047.895840809</v>
      </c>
      <c r="S24" s="38">
        <f t="shared" si="7"/>
        <v>-4537985.5100000007</v>
      </c>
      <c r="T24" s="39">
        <f t="shared" si="7"/>
        <v>1023846806.0138173</v>
      </c>
      <c r="U24" s="38">
        <f>SUM(U11:U23)</f>
        <v>6940892.5300000021</v>
      </c>
      <c r="V24" s="4">
        <f t="shared" si="3"/>
        <v>6.7792295578117294E-3</v>
      </c>
    </row>
    <row r="25" spans="1:22" x14ac:dyDescent="0.25">
      <c r="A25" s="143"/>
      <c r="D25" s="40"/>
      <c r="E25" s="33"/>
      <c r="G25" s="40"/>
      <c r="M25" s="33"/>
      <c r="N25" s="33"/>
      <c r="S25" s="33"/>
      <c r="T25" s="33"/>
      <c r="V25" s="41"/>
    </row>
    <row r="26" spans="1:22" s="46" customFormat="1" x14ac:dyDescent="0.25">
      <c r="A26" s="143"/>
      <c r="B26" s="42" t="s">
        <v>107</v>
      </c>
      <c r="C26" s="43"/>
      <c r="D26" s="44"/>
      <c r="E26" s="45"/>
      <c r="U26" s="47"/>
      <c r="V26" s="48"/>
    </row>
    <row r="27" spans="1:22" s="46" customFormat="1" x14ac:dyDescent="0.25">
      <c r="A27" s="143">
        <f>A24+1</f>
        <v>15</v>
      </c>
      <c r="B27" s="49" t="s">
        <v>21</v>
      </c>
      <c r="C27" s="50" t="s">
        <v>108</v>
      </c>
      <c r="D27" s="52">
        <f>D11+D12</f>
        <v>620844874.32387137</v>
      </c>
      <c r="E27" s="51">
        <f>E11+E12</f>
        <v>403618690.2447409</v>
      </c>
      <c r="F27" s="32">
        <f t="shared" ref="F27:F34" si="8">(E27)/D27</f>
        <v>0.65011197955737365</v>
      </c>
      <c r="G27" s="52">
        <f>G11+G12</f>
        <v>545275773</v>
      </c>
      <c r="H27" s="51">
        <f>H11+H12</f>
        <v>354490314.39305574</v>
      </c>
      <c r="I27" s="51">
        <f t="shared" ref="I27:S27" si="9">I11+I12</f>
        <v>303233310.13</v>
      </c>
      <c r="J27" s="51">
        <f t="shared" si="9"/>
        <v>-109998481.67999999</v>
      </c>
      <c r="K27" s="51">
        <f t="shared" si="9"/>
        <v>36109874.261390097</v>
      </c>
      <c r="L27" s="51">
        <f t="shared" si="9"/>
        <v>15676678.473750001</v>
      </c>
      <c r="M27" s="51">
        <f t="shared" si="9"/>
        <v>2998978.2734999997</v>
      </c>
      <c r="N27" s="51">
        <f t="shared" si="9"/>
        <v>8702489.6809199993</v>
      </c>
      <c r="O27" s="51">
        <f t="shared" si="9"/>
        <v>12459551.41305</v>
      </c>
      <c r="P27" s="51">
        <f t="shared" si="9"/>
        <v>1717618.6849500001</v>
      </c>
      <c r="Q27" s="51">
        <f t="shared" si="9"/>
        <v>-2617323.7103999997</v>
      </c>
      <c r="R27" s="51">
        <f t="shared" si="9"/>
        <v>38812729.522139996</v>
      </c>
      <c r="S27" s="51">
        <f t="shared" si="9"/>
        <v>2530047.13</v>
      </c>
      <c r="T27" s="51">
        <f>T11+T12</f>
        <v>664115786.57235575</v>
      </c>
      <c r="U27" s="33">
        <f>SUM(U11:U12)</f>
        <v>4334942.3953500018</v>
      </c>
      <c r="V27" s="1">
        <f>U27/T27</f>
        <v>6.5273894748437934E-3</v>
      </c>
    </row>
    <row r="28" spans="1:22" s="46" customFormat="1" x14ac:dyDescent="0.25">
      <c r="A28" s="143">
        <f t="shared" si="4"/>
        <v>16</v>
      </c>
      <c r="B28" s="53" t="s">
        <v>109</v>
      </c>
      <c r="C28" s="50" t="s">
        <v>110</v>
      </c>
      <c r="D28" s="52">
        <f>D13+D18</f>
        <v>222203870.67539161</v>
      </c>
      <c r="E28" s="51">
        <f>E13+E18</f>
        <v>122144982.04000001</v>
      </c>
      <c r="F28" s="32">
        <f t="shared" si="8"/>
        <v>0.54969781430331843</v>
      </c>
      <c r="G28" s="52">
        <f t="shared" ref="G28:S32" si="10">G13+G18</f>
        <v>228642219</v>
      </c>
      <c r="H28" s="51">
        <f t="shared" si="10"/>
        <v>125680355.23644792</v>
      </c>
      <c r="I28" s="51">
        <f t="shared" si="10"/>
        <v>125657190.72</v>
      </c>
      <c r="J28" s="51">
        <f t="shared" si="10"/>
        <v>-45774172.240000002</v>
      </c>
      <c r="K28" s="51">
        <f t="shared" si="10"/>
        <v>23819948.612333745</v>
      </c>
      <c r="L28" s="51">
        <f t="shared" si="10"/>
        <v>6573463.7962500006</v>
      </c>
      <c r="M28" s="51">
        <f t="shared" si="10"/>
        <v>1079191.2736800001</v>
      </c>
      <c r="N28" s="51">
        <f t="shared" si="10"/>
        <v>3132398.4002999999</v>
      </c>
      <c r="O28" s="51">
        <f t="shared" si="10"/>
        <v>5745778.9634699998</v>
      </c>
      <c r="P28" s="51">
        <f t="shared" si="10"/>
        <v>660776.01291000005</v>
      </c>
      <c r="Q28" s="51">
        <f t="shared" si="10"/>
        <v>-1006025.7636000001</v>
      </c>
      <c r="R28" s="51">
        <f t="shared" si="10"/>
        <v>14928050.47851</v>
      </c>
      <c r="S28" s="51">
        <f t="shared" si="10"/>
        <v>-4072117.92</v>
      </c>
      <c r="T28" s="51">
        <f>T13+T18</f>
        <v>256424837.57030168</v>
      </c>
      <c r="U28" s="33">
        <f>SUM(U13,U18)</f>
        <v>1817705.6410499997</v>
      </c>
      <c r="V28" s="1">
        <f t="shared" ref="V28:V34" si="11">U28/T28</f>
        <v>7.0886488932713305E-3</v>
      </c>
    </row>
    <row r="29" spans="1:22" s="46" customFormat="1" x14ac:dyDescent="0.25">
      <c r="A29" s="143">
        <f t="shared" si="4"/>
        <v>17</v>
      </c>
      <c r="B29" s="49" t="s">
        <v>111</v>
      </c>
      <c r="C29" s="50" t="s">
        <v>112</v>
      </c>
      <c r="D29" s="52">
        <f t="shared" ref="D29:E32" si="12">D14+D19</f>
        <v>82012496.764967203</v>
      </c>
      <c r="E29" s="51">
        <f t="shared" si="12"/>
        <v>22261797.053338237</v>
      </c>
      <c r="F29" s="32">
        <f t="shared" si="8"/>
        <v>0.27144396197492282</v>
      </c>
      <c r="G29" s="52">
        <f t="shared" si="10"/>
        <v>82494154</v>
      </c>
      <c r="H29" s="51">
        <f t="shared" si="10"/>
        <v>22287386.478381157</v>
      </c>
      <c r="I29" s="51">
        <f t="shared" si="10"/>
        <v>32561973.370000001</v>
      </c>
      <c r="J29" s="51">
        <f t="shared" si="10"/>
        <v>-11963685.470000001</v>
      </c>
      <c r="K29" s="51">
        <f t="shared" si="10"/>
        <v>8760136.4990428798</v>
      </c>
      <c r="L29" s="51">
        <f t="shared" si="10"/>
        <v>1752909.78125</v>
      </c>
      <c r="M29" s="51">
        <f t="shared" si="10"/>
        <v>190561.49574000001</v>
      </c>
      <c r="N29" s="51">
        <f t="shared" si="10"/>
        <v>554360.71487999998</v>
      </c>
      <c r="O29" s="51">
        <f t="shared" si="10"/>
        <v>828241.30616000004</v>
      </c>
      <c r="P29" s="51">
        <f t="shared" si="10"/>
        <v>134135.70500000002</v>
      </c>
      <c r="Q29" s="51">
        <f t="shared" si="10"/>
        <v>-173237.72339999999</v>
      </c>
      <c r="R29" s="51">
        <f t="shared" si="10"/>
        <v>2574642.5463399999</v>
      </c>
      <c r="S29" s="51">
        <f t="shared" si="10"/>
        <v>-2840622.71</v>
      </c>
      <c r="T29" s="51">
        <f>T14+T19</f>
        <v>54666801.993394032</v>
      </c>
      <c r="U29" s="33">
        <f>SUM(U14,U19)</f>
        <v>484717.66125000035</v>
      </c>
      <c r="V29" s="1">
        <f t="shared" si="11"/>
        <v>8.866764536703169E-3</v>
      </c>
    </row>
    <row r="30" spans="1:22" s="46" customFormat="1" x14ac:dyDescent="0.25">
      <c r="A30" s="143">
        <f t="shared" si="4"/>
        <v>18</v>
      </c>
      <c r="B30" s="49" t="s">
        <v>24</v>
      </c>
      <c r="C30" s="50" t="s">
        <v>113</v>
      </c>
      <c r="D30" s="52">
        <f t="shared" si="12"/>
        <v>88879730.522699013</v>
      </c>
      <c r="E30" s="51">
        <f t="shared" si="12"/>
        <v>9611990.370000001</v>
      </c>
      <c r="F30" s="32">
        <f t="shared" si="8"/>
        <v>0.10814603412355298</v>
      </c>
      <c r="G30" s="52">
        <f t="shared" si="10"/>
        <v>80069954</v>
      </c>
      <c r="H30" s="51">
        <f t="shared" si="10"/>
        <v>8651606.8370476812</v>
      </c>
      <c r="I30" s="51">
        <f t="shared" si="10"/>
        <v>8439822.8399999999</v>
      </c>
      <c r="J30" s="51">
        <f t="shared" si="10"/>
        <v>-3188607.56</v>
      </c>
      <c r="K30" s="51">
        <f t="shared" si="10"/>
        <v>7741739.79876142</v>
      </c>
      <c r="L30" s="51">
        <f t="shared" si="10"/>
        <v>437635.41319999995</v>
      </c>
      <c r="M30" s="51">
        <f t="shared" si="10"/>
        <v>85580.580143119892</v>
      </c>
      <c r="N30" s="51">
        <f t="shared" si="10"/>
        <v>249531.43757496151</v>
      </c>
      <c r="O30" s="51">
        <f t="shared" si="10"/>
        <v>423570.05666</v>
      </c>
      <c r="P30" s="51">
        <f t="shared" si="10"/>
        <v>31332.25675</v>
      </c>
      <c r="Q30" s="51">
        <f t="shared" si="10"/>
        <v>-102489.54112000001</v>
      </c>
      <c r="R30" s="51">
        <f t="shared" si="10"/>
        <v>1520528.42646</v>
      </c>
      <c r="S30" s="51">
        <f t="shared" si="10"/>
        <v>0</v>
      </c>
      <c r="T30" s="51">
        <f>T15+T20</f>
        <v>24290250.545477182</v>
      </c>
      <c r="U30" s="33">
        <f>SUM(U15,U20)</f>
        <v>122111.11955000006</v>
      </c>
      <c r="V30" s="1">
        <f t="shared" si="11"/>
        <v>5.027165912569684E-3</v>
      </c>
    </row>
    <row r="31" spans="1:22" s="46" customFormat="1" x14ac:dyDescent="0.25">
      <c r="A31" s="143">
        <f t="shared" si="4"/>
        <v>19</v>
      </c>
      <c r="B31" s="49" t="s">
        <v>114</v>
      </c>
      <c r="C31" s="50" t="s">
        <v>115</v>
      </c>
      <c r="D31" s="52">
        <f t="shared" si="12"/>
        <v>7491654.8276905455</v>
      </c>
      <c r="E31" s="51">
        <f t="shared" si="12"/>
        <v>1560031.02</v>
      </c>
      <c r="F31" s="32">
        <f t="shared" si="8"/>
        <v>0.20823583785972574</v>
      </c>
      <c r="G31" s="52">
        <f t="shared" si="10"/>
        <v>5950024</v>
      </c>
      <c r="H31" s="51">
        <f t="shared" si="10"/>
        <v>1237769.7134979498</v>
      </c>
      <c r="I31" s="51">
        <f t="shared" si="10"/>
        <v>2409192.39</v>
      </c>
      <c r="J31" s="51">
        <f t="shared" si="10"/>
        <v>-904766.17</v>
      </c>
      <c r="K31" s="51">
        <f t="shared" si="10"/>
        <v>640679.77019999991</v>
      </c>
      <c r="L31" s="51">
        <f t="shared" si="10"/>
        <v>123035.24784</v>
      </c>
      <c r="M31" s="51">
        <f t="shared" si="10"/>
        <v>10174.54104</v>
      </c>
      <c r="N31" s="51">
        <f t="shared" si="10"/>
        <v>29631.11952</v>
      </c>
      <c r="O31" s="51">
        <f t="shared" si="10"/>
        <v>40043.661519999994</v>
      </c>
      <c r="P31" s="51">
        <f t="shared" si="10"/>
        <v>2333.0987399999999</v>
      </c>
      <c r="Q31" s="51">
        <f t="shared" si="10"/>
        <v>-6307.0254399999994</v>
      </c>
      <c r="R31" s="51">
        <f t="shared" si="10"/>
        <v>93534.377279999986</v>
      </c>
      <c r="S31" s="51">
        <f t="shared" si="10"/>
        <v>-155292.01</v>
      </c>
      <c r="T31" s="51">
        <f>T16+T21</f>
        <v>3520028.7141979495</v>
      </c>
      <c r="U31" s="33">
        <f>SUM(U16,U21)</f>
        <v>34329.881460000004</v>
      </c>
      <c r="V31" s="1">
        <f t="shared" si="11"/>
        <v>9.7527276756383466E-3</v>
      </c>
    </row>
    <row r="32" spans="1:22" s="46" customFormat="1" x14ac:dyDescent="0.25">
      <c r="A32" s="143">
        <f t="shared" si="4"/>
        <v>20</v>
      </c>
      <c r="B32" s="54" t="s">
        <v>116</v>
      </c>
      <c r="C32" s="50" t="s">
        <v>117</v>
      </c>
      <c r="D32" s="52">
        <f t="shared" si="12"/>
        <v>119319881.40783478</v>
      </c>
      <c r="E32" s="51">
        <f t="shared" si="12"/>
        <v>6299906.5299999993</v>
      </c>
      <c r="F32" s="32">
        <f t="shared" si="8"/>
        <v>5.2798464561550719E-2</v>
      </c>
      <c r="G32" s="52">
        <f t="shared" si="10"/>
        <v>144322787</v>
      </c>
      <c r="H32" s="51">
        <f t="shared" si="10"/>
        <v>7499781.8723144829</v>
      </c>
      <c r="I32" s="51">
        <f t="shared" si="10"/>
        <v>10043861.050000001</v>
      </c>
      <c r="J32" s="51">
        <f t="shared" si="10"/>
        <v>-3813011.48</v>
      </c>
      <c r="K32" s="51">
        <f t="shared" si="10"/>
        <v>970463.43208314781</v>
      </c>
      <c r="L32" s="51">
        <f t="shared" si="10"/>
        <v>527142.56335999991</v>
      </c>
      <c r="M32" s="51">
        <f t="shared" si="10"/>
        <v>54208.148102632214</v>
      </c>
      <c r="N32" s="51">
        <f t="shared" si="10"/>
        <v>156385.27409104936</v>
      </c>
      <c r="O32" s="51">
        <f t="shared" si="10"/>
        <v>544096.90699000005</v>
      </c>
      <c r="P32" s="51">
        <f t="shared" si="10"/>
        <v>15810.611630403841</v>
      </c>
      <c r="Q32" s="51">
        <f t="shared" si="10"/>
        <v>-64284.780672465611</v>
      </c>
      <c r="R32" s="51">
        <f t="shared" si="10"/>
        <v>1768562.5451108217</v>
      </c>
      <c r="S32" s="51">
        <f t="shared" si="10"/>
        <v>0</v>
      </c>
      <c r="T32" s="51">
        <f>T17+T22</f>
        <v>17703016.143010072</v>
      </c>
      <c r="U32" s="33">
        <f>SUM(U17,U22)</f>
        <v>147085.83134000015</v>
      </c>
      <c r="V32" s="1">
        <f t="shared" si="11"/>
        <v>8.3085181729372192E-3</v>
      </c>
    </row>
    <row r="33" spans="1:22" s="46" customFormat="1" x14ac:dyDescent="0.25">
      <c r="A33" s="143">
        <f t="shared" si="4"/>
        <v>21</v>
      </c>
      <c r="B33" s="54" t="s">
        <v>44</v>
      </c>
      <c r="C33" s="49"/>
      <c r="D33" s="52">
        <f>D23</f>
        <v>32154478.538398605</v>
      </c>
      <c r="E33" s="51">
        <f>E23</f>
        <v>1699064.4523564125</v>
      </c>
      <c r="F33" s="32">
        <f t="shared" si="8"/>
        <v>5.2840678175744761E-2</v>
      </c>
      <c r="G33" s="52">
        <f>G23</f>
        <v>32071144</v>
      </c>
      <c r="H33" s="51">
        <f>H23</f>
        <v>1694660.9988319676</v>
      </c>
      <c r="I33" s="51">
        <f t="shared" ref="I33:S33" si="13">I23</f>
        <v>0</v>
      </c>
      <c r="J33" s="51">
        <f t="shared" si="13"/>
        <v>0</v>
      </c>
      <c r="K33" s="51">
        <f t="shared" si="13"/>
        <v>1401276.6008886266</v>
      </c>
      <c r="L33" s="51">
        <f t="shared" si="13"/>
        <v>0</v>
      </c>
      <c r="M33" s="51">
        <f t="shared" si="13"/>
        <v>0</v>
      </c>
      <c r="N33" s="51">
        <f t="shared" si="13"/>
        <v>0</v>
      </c>
      <c r="O33" s="51">
        <f t="shared" si="13"/>
        <v>30146.875359999998</v>
      </c>
      <c r="P33" s="51">
        <f t="shared" si="13"/>
        <v>0</v>
      </c>
      <c r="Q33" s="51">
        <f t="shared" si="13"/>
        <v>0</v>
      </c>
      <c r="R33" s="51">
        <f t="shared" si="13"/>
        <v>0</v>
      </c>
      <c r="S33" s="51">
        <f t="shared" si="13"/>
        <v>0</v>
      </c>
      <c r="T33" s="51">
        <f>T23</f>
        <v>3126084.4750805944</v>
      </c>
      <c r="U33" s="33">
        <f>U23</f>
        <v>0</v>
      </c>
      <c r="V33" s="1">
        <f t="shared" si="11"/>
        <v>0</v>
      </c>
    </row>
    <row r="34" spans="1:22" s="46" customFormat="1" x14ac:dyDescent="0.25">
      <c r="A34" s="143">
        <f t="shared" si="4"/>
        <v>22</v>
      </c>
      <c r="B34" s="54" t="s">
        <v>3</v>
      </c>
      <c r="C34" s="54"/>
      <c r="D34" s="57">
        <f>SUM(D27:D33)</f>
        <v>1172906987.0608532</v>
      </c>
      <c r="E34" s="55">
        <f>SUM(E27:E33)</f>
        <v>567196461.71043563</v>
      </c>
      <c r="F34" s="56">
        <f t="shared" si="8"/>
        <v>0.48358179119706113</v>
      </c>
      <c r="G34" s="57">
        <f>SUM(G27:G33)</f>
        <v>1118826055</v>
      </c>
      <c r="H34" s="55">
        <f>SUM(H27:H33)</f>
        <v>521541875.5295769</v>
      </c>
      <c r="I34" s="55">
        <f t="shared" ref="I34:S34" si="14">SUM(I27:I33)</f>
        <v>482345350.5</v>
      </c>
      <c r="J34" s="55">
        <f t="shared" si="14"/>
        <v>-175642724.59999996</v>
      </c>
      <c r="K34" s="55">
        <f t="shared" si="14"/>
        <v>79444118.9746999</v>
      </c>
      <c r="L34" s="55">
        <f t="shared" si="14"/>
        <v>25090865.275649998</v>
      </c>
      <c r="M34" s="55">
        <f t="shared" si="14"/>
        <v>4418694.3122057514</v>
      </c>
      <c r="N34" s="55">
        <f t="shared" si="14"/>
        <v>12824796.627286011</v>
      </c>
      <c r="O34" s="55">
        <f t="shared" si="14"/>
        <v>20071429.18321</v>
      </c>
      <c r="P34" s="55">
        <f t="shared" si="14"/>
        <v>2562006.3699804042</v>
      </c>
      <c r="Q34" s="55">
        <f t="shared" si="14"/>
        <v>-3969668.5446324656</v>
      </c>
      <c r="R34" s="55">
        <f t="shared" si="14"/>
        <v>59698047.895840809</v>
      </c>
      <c r="S34" s="55">
        <f t="shared" si="14"/>
        <v>-4537985.51</v>
      </c>
      <c r="T34" s="55">
        <f>SUM(T27:T33)</f>
        <v>1023846806.0138172</v>
      </c>
      <c r="U34" s="38">
        <f>SUM(U27:U33)</f>
        <v>6940892.5300000021</v>
      </c>
      <c r="V34" s="4">
        <f t="shared" si="11"/>
        <v>6.7792295578117303E-3</v>
      </c>
    </row>
    <row r="35" spans="1:22" s="46" customFormat="1" x14ac:dyDescent="0.25">
      <c r="B35" s="58"/>
      <c r="C35" s="58"/>
      <c r="D35" s="58"/>
      <c r="E35" s="58"/>
      <c r="F35" s="58"/>
      <c r="I35" s="59"/>
      <c r="M35" s="58"/>
      <c r="N35" s="58"/>
      <c r="P35" s="58"/>
      <c r="Q35" s="58"/>
      <c r="R35" s="58"/>
      <c r="S35" s="58"/>
      <c r="T35" s="58"/>
      <c r="U35" s="60"/>
    </row>
    <row r="36" spans="1:22" ht="17.25" x14ac:dyDescent="0.25">
      <c r="B36" t="s">
        <v>167</v>
      </c>
    </row>
    <row r="37" spans="1:22" ht="17.25" x14ac:dyDescent="0.25">
      <c r="B37" t="s">
        <v>188</v>
      </c>
    </row>
  </sheetData>
  <printOptions horizontalCentered="1"/>
  <pageMargins left="0.45" right="0.45" top="0.75" bottom="0.75" header="0.3" footer="0.3"/>
  <pageSetup paperSize="5" scale="56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90" zoomScaleNormal="90" workbookViewId="0">
      <selection activeCell="K25" sqref="K25"/>
    </sheetView>
  </sheetViews>
  <sheetFormatPr defaultColWidth="9.140625" defaultRowHeight="15" x14ac:dyDescent="0.25"/>
  <cols>
    <col min="1" max="1" width="2.140625" style="62" customWidth="1"/>
    <col min="2" max="2" width="2.42578125" style="62" customWidth="1"/>
    <col min="3" max="3" width="34.85546875" style="62" customWidth="1"/>
    <col min="4" max="5" width="11.85546875" style="62" customWidth="1"/>
    <col min="6" max="6" width="2.7109375" style="63" customWidth="1"/>
    <col min="7" max="8" width="11.85546875" style="62" customWidth="1"/>
    <col min="9" max="16384" width="9.140625" style="62"/>
  </cols>
  <sheetData>
    <row r="1" spans="2:8" x14ac:dyDescent="0.25">
      <c r="B1" s="61" t="s">
        <v>11</v>
      </c>
      <c r="C1" s="61"/>
      <c r="D1" s="61"/>
      <c r="E1" s="61"/>
      <c r="F1" s="61"/>
      <c r="G1" s="61"/>
      <c r="H1" s="61"/>
    </row>
    <row r="2" spans="2:8" x14ac:dyDescent="0.25">
      <c r="B2" s="61" t="str">
        <f>'Rate Impacts Sch 120'!A2</f>
        <v>2024 Gas Schedule 120 Conservation Filing</v>
      </c>
      <c r="C2" s="61"/>
      <c r="D2" s="61"/>
      <c r="E2" s="61"/>
      <c r="F2" s="61"/>
      <c r="G2" s="61"/>
      <c r="H2" s="61"/>
    </row>
    <row r="3" spans="2:8" x14ac:dyDescent="0.25">
      <c r="B3" s="23" t="s">
        <v>118</v>
      </c>
      <c r="C3" s="23"/>
      <c r="D3" s="23"/>
      <c r="E3" s="23"/>
      <c r="F3" s="23"/>
      <c r="G3" s="23"/>
      <c r="H3" s="23"/>
    </row>
    <row r="4" spans="2:8" x14ac:dyDescent="0.25">
      <c r="B4" s="169" t="s">
        <v>173</v>
      </c>
      <c r="C4" s="23"/>
      <c r="D4" s="23"/>
      <c r="E4" s="23"/>
      <c r="F4" s="23"/>
      <c r="G4" s="23"/>
      <c r="H4" s="23"/>
    </row>
    <row r="6" spans="2:8" x14ac:dyDescent="0.25">
      <c r="G6" s="64" t="s">
        <v>119</v>
      </c>
      <c r="H6" s="64"/>
    </row>
    <row r="7" spans="2:8" x14ac:dyDescent="0.25">
      <c r="D7" s="65" t="s">
        <v>120</v>
      </c>
      <c r="E7" s="65"/>
      <c r="F7" s="66"/>
      <c r="G7" s="65" t="s">
        <v>121</v>
      </c>
      <c r="H7" s="65"/>
    </row>
    <row r="8" spans="2:8" ht="17.25" x14ac:dyDescent="0.25">
      <c r="D8" s="67" t="s">
        <v>122</v>
      </c>
      <c r="E8" s="67" t="s">
        <v>123</v>
      </c>
      <c r="F8" s="68"/>
      <c r="G8" s="67" t="s">
        <v>124</v>
      </c>
      <c r="H8" s="67" t="s">
        <v>123</v>
      </c>
    </row>
    <row r="9" spans="2:8" x14ac:dyDescent="0.25">
      <c r="B9" s="62" t="s">
        <v>125</v>
      </c>
      <c r="D9" s="69">
        <v>64</v>
      </c>
      <c r="E9" s="70"/>
      <c r="F9" s="71"/>
      <c r="G9" s="69">
        <v>64</v>
      </c>
      <c r="H9" s="70"/>
    </row>
    <row r="10" spans="2:8" x14ac:dyDescent="0.25">
      <c r="D10" s="69"/>
      <c r="E10" s="70"/>
      <c r="F10" s="71"/>
      <c r="G10" s="69"/>
      <c r="H10" s="70"/>
    </row>
    <row r="11" spans="2:8" x14ac:dyDescent="0.25">
      <c r="B11" s="62" t="s">
        <v>126</v>
      </c>
      <c r="D11" s="69"/>
      <c r="E11" s="70"/>
      <c r="F11" s="71"/>
      <c r="G11" s="69"/>
      <c r="H11" s="70"/>
    </row>
    <row r="12" spans="2:8" x14ac:dyDescent="0.25">
      <c r="C12" s="62" t="s">
        <v>127</v>
      </c>
      <c r="D12" s="175">
        <v>12.5</v>
      </c>
      <c r="E12" s="70">
        <f>D12</f>
        <v>12.5</v>
      </c>
      <c r="F12" s="72"/>
      <c r="G12" s="73">
        <f>$D$12</f>
        <v>12.5</v>
      </c>
      <c r="H12" s="70">
        <f>G12</f>
        <v>12.5</v>
      </c>
    </row>
    <row r="13" spans="2:8" x14ac:dyDescent="0.25">
      <c r="C13" s="62" t="s">
        <v>128</v>
      </c>
      <c r="D13" s="144">
        <f>SUM(D12:D12)</f>
        <v>12.5</v>
      </c>
      <c r="E13" s="74">
        <f>SUM(E12:E12)</f>
        <v>12.5</v>
      </c>
      <c r="F13" s="72"/>
      <c r="G13" s="74">
        <f>SUM(G12:G12)</f>
        <v>12.5</v>
      </c>
      <c r="H13" s="74">
        <f>SUM(H12:H12)</f>
        <v>12.5</v>
      </c>
    </row>
    <row r="14" spans="2:8" x14ac:dyDescent="0.25">
      <c r="D14" s="145"/>
      <c r="E14" s="81"/>
      <c r="F14" s="72"/>
      <c r="G14" s="81"/>
      <c r="H14" s="81"/>
    </row>
    <row r="15" spans="2:8" x14ac:dyDescent="0.25">
      <c r="C15" s="62" t="s">
        <v>189</v>
      </c>
      <c r="D15" s="175">
        <v>-18.47</v>
      </c>
      <c r="E15" s="70">
        <f>D15</f>
        <v>-18.47</v>
      </c>
      <c r="F15" s="72"/>
      <c r="G15" s="122">
        <f>$D$15</f>
        <v>-18.47</v>
      </c>
      <c r="H15" s="70">
        <f>G15</f>
        <v>-18.47</v>
      </c>
    </row>
    <row r="16" spans="2:8" x14ac:dyDescent="0.25">
      <c r="D16" s="146"/>
      <c r="E16" s="70"/>
      <c r="F16" s="72"/>
      <c r="G16" s="73"/>
      <c r="H16" s="70"/>
    </row>
    <row r="17" spans="2:8" x14ac:dyDescent="0.25">
      <c r="B17" s="62" t="s">
        <v>129</v>
      </c>
      <c r="D17" s="147"/>
      <c r="E17" s="70"/>
      <c r="H17" s="70"/>
    </row>
    <row r="18" spans="2:8" x14ac:dyDescent="0.25">
      <c r="C18" s="62" t="s">
        <v>130</v>
      </c>
      <c r="D18" s="6">
        <v>0.45612999999999998</v>
      </c>
      <c r="E18" s="70"/>
      <c r="F18" s="75"/>
      <c r="G18" s="76">
        <f>$D$18</f>
        <v>0.45612999999999998</v>
      </c>
      <c r="H18" s="70"/>
    </row>
    <row r="19" spans="2:8" x14ac:dyDescent="0.25">
      <c r="C19" s="62" t="s">
        <v>132</v>
      </c>
      <c r="D19" s="77">
        <f>'Sch. 120'!$D$9</f>
        <v>2.8750000000000001E-2</v>
      </c>
      <c r="E19" s="70"/>
      <c r="F19" s="75"/>
      <c r="G19" s="77">
        <f>'Sch. 120'!$E$9</f>
        <v>3.6700000000000003E-2</v>
      </c>
      <c r="H19" s="70"/>
    </row>
    <row r="20" spans="2:8" x14ac:dyDescent="0.25">
      <c r="C20" s="62" t="s">
        <v>190</v>
      </c>
      <c r="D20" s="6">
        <v>5.4999999999999997E-3</v>
      </c>
      <c r="E20" s="70"/>
      <c r="F20" s="75"/>
      <c r="G20" s="5">
        <f>$D$20</f>
        <v>5.4999999999999997E-3</v>
      </c>
      <c r="H20" s="70"/>
    </row>
    <row r="21" spans="2:8" x14ac:dyDescent="0.25">
      <c r="C21" s="62" t="s">
        <v>191</v>
      </c>
      <c r="D21" s="6">
        <v>1.5959999999999998E-2</v>
      </c>
      <c r="E21" s="70"/>
      <c r="F21" s="75"/>
      <c r="G21" s="5">
        <f>$D$21</f>
        <v>1.5959999999999998E-2</v>
      </c>
      <c r="H21" s="70"/>
    </row>
    <row r="22" spans="2:8" x14ac:dyDescent="0.25">
      <c r="C22" s="62" t="s">
        <v>192</v>
      </c>
      <c r="D22" s="6">
        <v>2.2849999999999999E-2</v>
      </c>
      <c r="E22" s="70"/>
      <c r="F22" s="75"/>
      <c r="G22" s="5">
        <f>$D$22</f>
        <v>2.2849999999999999E-2</v>
      </c>
      <c r="H22" s="70"/>
    </row>
    <row r="23" spans="2:8" x14ac:dyDescent="0.25">
      <c r="C23" s="62" t="s">
        <v>168</v>
      </c>
      <c r="D23" s="6">
        <v>3.15E-3</v>
      </c>
      <c r="E23" s="70"/>
      <c r="F23" s="75"/>
      <c r="G23" s="5">
        <f>$D$23</f>
        <v>3.15E-3</v>
      </c>
      <c r="H23" s="70"/>
    </row>
    <row r="24" spans="2:8" x14ac:dyDescent="0.25">
      <c r="C24" s="62" t="s">
        <v>169</v>
      </c>
      <c r="D24" s="6">
        <v>-4.7999999999999996E-3</v>
      </c>
      <c r="E24" s="70"/>
      <c r="F24" s="75"/>
      <c r="G24" s="5">
        <f>$D$24</f>
        <v>-4.7999999999999996E-3</v>
      </c>
      <c r="H24" s="70"/>
    </row>
    <row r="25" spans="2:8" x14ac:dyDescent="0.25">
      <c r="C25" s="62" t="s">
        <v>170</v>
      </c>
      <c r="D25" s="6">
        <v>7.1179999999999993E-2</v>
      </c>
      <c r="E25" s="70"/>
      <c r="F25" s="75"/>
      <c r="G25" s="5">
        <f>$D$25</f>
        <v>7.1179999999999993E-2</v>
      </c>
      <c r="H25" s="70"/>
    </row>
    <row r="26" spans="2:8" x14ac:dyDescent="0.25">
      <c r="C26" s="62" t="s">
        <v>131</v>
      </c>
      <c r="D26" s="6">
        <v>4.64E-3</v>
      </c>
      <c r="E26" s="70"/>
      <c r="F26" s="75"/>
      <c r="G26" s="5">
        <f>$D$26</f>
        <v>4.64E-3</v>
      </c>
      <c r="H26" s="70"/>
    </row>
    <row r="27" spans="2:8" x14ac:dyDescent="0.25">
      <c r="C27" s="62" t="s">
        <v>128</v>
      </c>
      <c r="D27" s="148">
        <f>SUM(D18:D26)</f>
        <v>0.60336000000000001</v>
      </c>
      <c r="E27" s="70">
        <f>ROUND(D27*D$9,2)</f>
        <v>38.619999999999997</v>
      </c>
      <c r="F27" s="75"/>
      <c r="G27" s="78">
        <f>SUM(G18:G26)</f>
        <v>0.61131000000000002</v>
      </c>
      <c r="H27" s="70">
        <f>ROUND(G27*G$9,2)</f>
        <v>39.119999999999997</v>
      </c>
    </row>
    <row r="28" spans="2:8" x14ac:dyDescent="0.25">
      <c r="D28" s="147"/>
    </row>
    <row r="29" spans="2:8" x14ac:dyDescent="0.25">
      <c r="C29" s="62" t="s">
        <v>193</v>
      </c>
      <c r="D29" s="6">
        <v>0.39673999999999998</v>
      </c>
      <c r="E29" s="70">
        <f>ROUND(D29*D$9,2)</f>
        <v>25.39</v>
      </c>
      <c r="F29" s="75"/>
      <c r="G29" s="18">
        <f>$D$29</f>
        <v>0.39673999999999998</v>
      </c>
      <c r="H29" s="70">
        <f>ROUND(G29*G$9,2)</f>
        <v>25.39</v>
      </c>
    </row>
    <row r="30" spans="2:8" x14ac:dyDescent="0.25">
      <c r="D30" s="6"/>
      <c r="E30" s="70"/>
      <c r="F30" s="75"/>
      <c r="G30" s="76"/>
      <c r="H30" s="70"/>
    </row>
    <row r="31" spans="2:8" x14ac:dyDescent="0.25">
      <c r="C31" s="62" t="s">
        <v>133</v>
      </c>
      <c r="D31" s="6">
        <v>0.55610999999999999</v>
      </c>
      <c r="E31" s="70"/>
      <c r="F31" s="75"/>
      <c r="G31" s="5">
        <f>$D$31</f>
        <v>0.55610999999999999</v>
      </c>
      <c r="H31" s="70"/>
    </row>
    <row r="32" spans="2:8" x14ac:dyDescent="0.25">
      <c r="C32" s="62" t="s">
        <v>134</v>
      </c>
      <c r="D32" s="6">
        <v>-0.20172999999999999</v>
      </c>
      <c r="E32" s="70"/>
      <c r="F32" s="75"/>
      <c r="G32" s="5">
        <f>$D$32</f>
        <v>-0.20172999999999999</v>
      </c>
      <c r="H32" s="70"/>
    </row>
    <row r="33" spans="2:8" x14ac:dyDescent="0.25">
      <c r="C33" s="62" t="s">
        <v>128</v>
      </c>
      <c r="D33" s="148">
        <f>SUM(D31:D32)</f>
        <v>0.35438000000000003</v>
      </c>
      <c r="E33" s="70">
        <f>ROUND(D33*D$9,2)</f>
        <v>22.68</v>
      </c>
      <c r="F33" s="75"/>
      <c r="G33" s="78">
        <f>SUM(G31:G32)</f>
        <v>0.35438000000000003</v>
      </c>
      <c r="H33" s="70">
        <f>ROUND(G33*G$9,2)</f>
        <v>22.68</v>
      </c>
    </row>
    <row r="34" spans="2:8" x14ac:dyDescent="0.25">
      <c r="C34" s="62" t="s">
        <v>135</v>
      </c>
      <c r="D34" s="148">
        <f>D27+D29+D33</f>
        <v>1.3544800000000001</v>
      </c>
      <c r="E34" s="79">
        <f>SUM(E27,E29,E33)</f>
        <v>86.69</v>
      </c>
      <c r="F34" s="80"/>
      <c r="G34" s="78">
        <f>G27+G29+G33</f>
        <v>1.3624299999999998</v>
      </c>
      <c r="H34" s="79">
        <f>SUM(H27,H29,H33)</f>
        <v>87.19</v>
      </c>
    </row>
    <row r="35" spans="2:8" x14ac:dyDescent="0.25">
      <c r="E35" s="70"/>
      <c r="H35" s="70"/>
    </row>
    <row r="36" spans="2:8" x14ac:dyDescent="0.25">
      <c r="B36" s="62" t="s">
        <v>136</v>
      </c>
      <c r="D36" s="73"/>
      <c r="E36" s="70">
        <f>E13+E15+E34</f>
        <v>80.72</v>
      </c>
      <c r="F36" s="81"/>
      <c r="G36" s="73"/>
      <c r="H36" s="70">
        <f>H13+H15+H34</f>
        <v>81.22</v>
      </c>
    </row>
    <row r="37" spans="2:8" x14ac:dyDescent="0.25">
      <c r="B37" s="62" t="s">
        <v>137</v>
      </c>
      <c r="D37" s="73"/>
      <c r="E37" s="70"/>
      <c r="F37" s="81"/>
      <c r="G37" s="73"/>
      <c r="H37" s="70">
        <f>H36-$E36</f>
        <v>0.5</v>
      </c>
    </row>
    <row r="38" spans="2:8" x14ac:dyDescent="0.25">
      <c r="B38" s="62" t="s">
        <v>138</v>
      </c>
      <c r="D38" s="82"/>
      <c r="E38" s="82"/>
      <c r="F38" s="83"/>
      <c r="G38" s="82"/>
      <c r="H38" s="84">
        <f>H37/$E36</f>
        <v>6.1942517343904855E-3</v>
      </c>
    </row>
    <row r="39" spans="2:8" x14ac:dyDescent="0.25">
      <c r="E39" s="70"/>
    </row>
    <row r="40" spans="2:8" x14ac:dyDescent="0.25">
      <c r="B40" s="62" t="s">
        <v>139</v>
      </c>
      <c r="D40" s="76">
        <f>D27+D29</f>
        <v>1.0001</v>
      </c>
      <c r="E40" s="70"/>
      <c r="F40" s="80"/>
      <c r="G40" s="76">
        <f>G27+G29</f>
        <v>1.0080499999999999</v>
      </c>
    </row>
    <row r="42" spans="2:8" ht="17.25" x14ac:dyDescent="0.25">
      <c r="B42" s="85" t="s">
        <v>194</v>
      </c>
      <c r="D42" s="85"/>
      <c r="E42" s="85"/>
      <c r="F42" s="86"/>
      <c r="G42" s="86"/>
      <c r="H42" s="86"/>
    </row>
    <row r="47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90" zoomScaleNormal="90" workbookViewId="0">
      <selection activeCell="E27" sqref="E27"/>
    </sheetView>
  </sheetViews>
  <sheetFormatPr defaultColWidth="8.7109375" defaultRowHeight="15" x14ac:dyDescent="0.25"/>
  <cols>
    <col min="1" max="1" width="31.140625" style="2" customWidth="1"/>
    <col min="2" max="2" width="8.7109375" style="2"/>
    <col min="3" max="3" width="18.5703125" style="2" bestFit="1" customWidth="1"/>
    <col min="4" max="5" width="13.7109375" style="2" customWidth="1"/>
    <col min="6" max="8" width="14.42578125" style="2" customWidth="1"/>
    <col min="9" max="9" width="8.28515625" style="2" customWidth="1"/>
    <col min="10" max="16384" width="8.7109375" style="2"/>
  </cols>
  <sheetData>
    <row r="1" spans="1:9" x14ac:dyDescent="0.25">
      <c r="A1" s="178" t="s">
        <v>11</v>
      </c>
      <c r="B1" s="178"/>
      <c r="C1" s="178"/>
      <c r="D1" s="178"/>
      <c r="E1" s="178"/>
      <c r="F1" s="178"/>
      <c r="G1" s="178"/>
      <c r="H1" s="178"/>
      <c r="I1" s="178"/>
    </row>
    <row r="2" spans="1:9" x14ac:dyDescent="0.25">
      <c r="A2" s="178" t="s">
        <v>140</v>
      </c>
      <c r="B2" s="178"/>
      <c r="C2" s="178"/>
      <c r="D2" s="178"/>
      <c r="E2" s="178"/>
      <c r="F2" s="178"/>
      <c r="G2" s="178"/>
      <c r="H2" s="178"/>
      <c r="I2" s="178"/>
    </row>
    <row r="3" spans="1:9" x14ac:dyDescent="0.25">
      <c r="A3" s="178" t="s">
        <v>141</v>
      </c>
      <c r="B3" s="178"/>
      <c r="C3" s="178"/>
      <c r="D3" s="178"/>
      <c r="E3" s="178"/>
      <c r="F3" s="178"/>
      <c r="G3" s="178"/>
      <c r="H3" s="178"/>
      <c r="I3" s="178"/>
    </row>
    <row r="4" spans="1:9" x14ac:dyDescent="0.25">
      <c r="A4" s="178" t="s">
        <v>173</v>
      </c>
      <c r="B4" s="178"/>
      <c r="C4" s="178"/>
      <c r="D4" s="178"/>
      <c r="E4" s="178"/>
      <c r="F4" s="178"/>
      <c r="G4" s="178"/>
      <c r="H4" s="178"/>
      <c r="I4" s="178"/>
    </row>
    <row r="5" spans="1:9" x14ac:dyDescent="0.25">
      <c r="D5" s="141"/>
      <c r="E5" s="141"/>
    </row>
    <row r="6" spans="1:9" x14ac:dyDescent="0.25">
      <c r="A6" s="9"/>
      <c r="B6" s="9"/>
      <c r="C6" s="9" t="s">
        <v>12</v>
      </c>
      <c r="D6" s="9" t="s">
        <v>142</v>
      </c>
      <c r="E6" s="9" t="s">
        <v>143</v>
      </c>
      <c r="F6" s="142" t="s">
        <v>12</v>
      </c>
      <c r="G6" s="142" t="s">
        <v>12</v>
      </c>
      <c r="H6" s="9" t="s">
        <v>144</v>
      </c>
      <c r="I6" s="9"/>
    </row>
    <row r="7" spans="1:9" x14ac:dyDescent="0.25">
      <c r="A7" s="9"/>
      <c r="B7" s="9" t="s">
        <v>69</v>
      </c>
      <c r="C7" s="9" t="s">
        <v>145</v>
      </c>
      <c r="D7" s="9" t="s">
        <v>144</v>
      </c>
      <c r="E7" s="9" t="s">
        <v>144</v>
      </c>
      <c r="F7" s="142" t="s">
        <v>77</v>
      </c>
      <c r="G7" s="142" t="s">
        <v>77</v>
      </c>
      <c r="H7" s="9" t="s">
        <v>77</v>
      </c>
      <c r="I7" s="9" t="s">
        <v>28</v>
      </c>
    </row>
    <row r="8" spans="1:9" x14ac:dyDescent="0.25">
      <c r="A8" s="10" t="s">
        <v>78</v>
      </c>
      <c r="B8" s="10" t="s">
        <v>4</v>
      </c>
      <c r="C8" s="149" t="str">
        <f>'Rate Impacts Sch 120'!$T$7</f>
        <v>12ME Apr. 2025</v>
      </c>
      <c r="D8" s="10" t="s">
        <v>124</v>
      </c>
      <c r="E8" s="10" t="s">
        <v>124</v>
      </c>
      <c r="F8" s="67" t="s">
        <v>120</v>
      </c>
      <c r="G8" s="67" t="s">
        <v>46</v>
      </c>
      <c r="H8" s="10" t="s">
        <v>83</v>
      </c>
      <c r="I8" s="10" t="s">
        <v>83</v>
      </c>
    </row>
    <row r="9" spans="1:9" x14ac:dyDescent="0.25">
      <c r="A9" s="2" t="s">
        <v>21</v>
      </c>
      <c r="B9" s="141" t="s">
        <v>100</v>
      </c>
      <c r="C9" s="7">
        <f>'Forecasted Volume'!N8</f>
        <v>545268777</v>
      </c>
      <c r="D9" s="150">
        <v>2.8750000000000001E-2</v>
      </c>
      <c r="E9" s="151">
        <f>Rates!G21</f>
        <v>3.6700000000000003E-2</v>
      </c>
      <c r="F9" s="34">
        <f>C9*D9</f>
        <v>15676477.338750001</v>
      </c>
      <c r="G9" s="34">
        <f>C9*E9</f>
        <v>20011364.115900002</v>
      </c>
      <c r="H9" s="12">
        <f>G9-F9</f>
        <v>4334886.7771500014</v>
      </c>
      <c r="I9" s="87">
        <f>IF(F9=0,0,H9/F9)</f>
        <v>0.27652173913043487</v>
      </c>
    </row>
    <row r="10" spans="1:9" x14ac:dyDescent="0.25">
      <c r="A10" s="2" t="s">
        <v>101</v>
      </c>
      <c r="B10" s="141">
        <v>16</v>
      </c>
      <c r="C10" s="152">
        <f>'Forecasted Volume'!N7</f>
        <v>6996</v>
      </c>
      <c r="D10" s="150">
        <v>2.8750000000000001E-2</v>
      </c>
      <c r="E10" s="151">
        <f>Rates!G21</f>
        <v>3.6700000000000003E-2</v>
      </c>
      <c r="F10" s="34">
        <f t="shared" ref="F10:F21" si="0">C10*D10</f>
        <v>201.13500000000002</v>
      </c>
      <c r="G10" s="34">
        <f t="shared" ref="G10:G21" si="1">C10*E10</f>
        <v>256.75320000000005</v>
      </c>
      <c r="H10" s="12">
        <f t="shared" ref="H10:H21" si="2">G10-F10</f>
        <v>55.61820000000003</v>
      </c>
      <c r="I10" s="87">
        <f t="shared" ref="I10:I22" si="3">IF(F10=0,0,H10/F10)</f>
        <v>0.27652173913043493</v>
      </c>
    </row>
    <row r="11" spans="1:9" x14ac:dyDescent="0.25">
      <c r="A11" s="2" t="s">
        <v>23</v>
      </c>
      <c r="B11" s="141">
        <v>31</v>
      </c>
      <c r="C11" s="7">
        <f>'Forecasted Volume'!N10</f>
        <v>228642219</v>
      </c>
      <c r="D11" s="150">
        <v>2.8750000000000001E-2</v>
      </c>
      <c r="E11" s="151">
        <f>Rates!G21</f>
        <v>3.6700000000000003E-2</v>
      </c>
      <c r="F11" s="34">
        <f t="shared" si="0"/>
        <v>6573463.7962500006</v>
      </c>
      <c r="G11" s="34">
        <f t="shared" si="1"/>
        <v>8391169.4373000003</v>
      </c>
      <c r="H11" s="12">
        <f t="shared" si="2"/>
        <v>1817705.6410499997</v>
      </c>
      <c r="I11" s="87">
        <f t="shared" si="3"/>
        <v>0.27652173913043471</v>
      </c>
    </row>
    <row r="12" spans="1:9" x14ac:dyDescent="0.25">
      <c r="A12" s="2" t="s">
        <v>42</v>
      </c>
      <c r="B12" s="141">
        <v>41</v>
      </c>
      <c r="C12" s="7">
        <f>'Forecasted Volume'!N11</f>
        <v>60970775</v>
      </c>
      <c r="D12" s="150">
        <v>2.8750000000000001E-2</v>
      </c>
      <c r="E12" s="151">
        <f>Rates!G21</f>
        <v>3.6700000000000003E-2</v>
      </c>
      <c r="F12" s="34">
        <f t="shared" si="0"/>
        <v>1752909.78125</v>
      </c>
      <c r="G12" s="34">
        <f t="shared" si="1"/>
        <v>2237627.4425000004</v>
      </c>
      <c r="H12" s="12">
        <f t="shared" si="2"/>
        <v>484717.66125000035</v>
      </c>
      <c r="I12" s="87">
        <f t="shared" si="3"/>
        <v>0.27652173913043498</v>
      </c>
    </row>
    <row r="13" spans="1:9" x14ac:dyDescent="0.25">
      <c r="A13" s="2" t="s">
        <v>24</v>
      </c>
      <c r="B13" s="141">
        <v>85</v>
      </c>
      <c r="C13" s="7">
        <f>'Forecasted Volume'!N12</f>
        <v>16936355</v>
      </c>
      <c r="D13" s="150">
        <v>2.5839999999999998E-2</v>
      </c>
      <c r="E13" s="151">
        <f>Rates!G22</f>
        <v>3.3050000000000003E-2</v>
      </c>
      <c r="F13" s="34">
        <f t="shared" si="0"/>
        <v>437635.41319999995</v>
      </c>
      <c r="G13" s="34">
        <f t="shared" si="1"/>
        <v>559746.53275000001</v>
      </c>
      <c r="H13" s="12">
        <f t="shared" si="2"/>
        <v>122111.11955000006</v>
      </c>
      <c r="I13" s="87">
        <f t="shared" si="3"/>
        <v>0.27902476780185775</v>
      </c>
    </row>
    <row r="14" spans="1:9" x14ac:dyDescent="0.25">
      <c r="A14" s="2" t="s">
        <v>25</v>
      </c>
      <c r="B14" s="141">
        <v>86</v>
      </c>
      <c r="C14" s="7">
        <f>'Forecasted Volume'!N13</f>
        <v>4761426</v>
      </c>
      <c r="D14" s="150">
        <v>2.5839999999999998E-2</v>
      </c>
      <c r="E14" s="151">
        <f>Rates!G22</f>
        <v>3.3050000000000003E-2</v>
      </c>
      <c r="F14" s="34">
        <f t="shared" si="0"/>
        <v>123035.24784</v>
      </c>
      <c r="G14" s="34">
        <f t="shared" si="1"/>
        <v>157365.1293</v>
      </c>
      <c r="H14" s="12">
        <f t="shared" si="2"/>
        <v>34329.881460000004</v>
      </c>
      <c r="I14" s="87">
        <f t="shared" si="3"/>
        <v>0.27902476780185764</v>
      </c>
    </row>
    <row r="15" spans="1:9" x14ac:dyDescent="0.25">
      <c r="A15" s="2" t="s">
        <v>26</v>
      </c>
      <c r="B15" s="141">
        <v>87</v>
      </c>
      <c r="C15" s="7">
        <f>'Forecasted Volume'!N14</f>
        <v>20400254</v>
      </c>
      <c r="D15" s="150">
        <v>2.5839999999999998E-2</v>
      </c>
      <c r="E15" s="151">
        <f>Rates!G22</f>
        <v>3.3050000000000003E-2</v>
      </c>
      <c r="F15" s="34">
        <f t="shared" si="0"/>
        <v>527142.56335999991</v>
      </c>
      <c r="G15" s="34">
        <f t="shared" si="1"/>
        <v>674228.39470000006</v>
      </c>
      <c r="H15" s="12">
        <f t="shared" si="2"/>
        <v>147085.83134000015</v>
      </c>
      <c r="I15" s="87">
        <f t="shared" si="3"/>
        <v>0.27902476780185792</v>
      </c>
    </row>
    <row r="16" spans="1:9" x14ac:dyDescent="0.25">
      <c r="A16" s="2" t="s">
        <v>102</v>
      </c>
      <c r="B16" s="141" t="s">
        <v>49</v>
      </c>
      <c r="C16" s="7">
        <f>'Forecasted Volume'!N15</f>
        <v>0</v>
      </c>
      <c r="D16" s="88">
        <v>0</v>
      </c>
      <c r="E16" s="88">
        <v>0</v>
      </c>
      <c r="F16" s="34">
        <f t="shared" si="0"/>
        <v>0</v>
      </c>
      <c r="G16" s="34">
        <f t="shared" si="1"/>
        <v>0</v>
      </c>
      <c r="H16" s="12">
        <f t="shared" si="2"/>
        <v>0</v>
      </c>
      <c r="I16" s="87">
        <f t="shared" si="3"/>
        <v>0</v>
      </c>
    </row>
    <row r="17" spans="1:9" x14ac:dyDescent="0.25">
      <c r="A17" s="2" t="s">
        <v>103</v>
      </c>
      <c r="B17" s="141" t="s">
        <v>0</v>
      </c>
      <c r="C17" s="7">
        <f>'Forecasted Volume'!N16</f>
        <v>21523379</v>
      </c>
      <c r="D17" s="88">
        <v>0</v>
      </c>
      <c r="E17" s="88">
        <v>0</v>
      </c>
      <c r="F17" s="34">
        <f t="shared" si="0"/>
        <v>0</v>
      </c>
      <c r="G17" s="34">
        <f t="shared" si="1"/>
        <v>0</v>
      </c>
      <c r="H17" s="12">
        <f t="shared" si="2"/>
        <v>0</v>
      </c>
      <c r="I17" s="87">
        <f t="shared" si="3"/>
        <v>0</v>
      </c>
    </row>
    <row r="18" spans="1:9" x14ac:dyDescent="0.25">
      <c r="A18" s="2" t="s">
        <v>104</v>
      </c>
      <c r="B18" s="141" t="s">
        <v>1</v>
      </c>
      <c r="C18" s="7">
        <f>'Forecasted Volume'!N17</f>
        <v>63133599</v>
      </c>
      <c r="D18" s="88">
        <v>0</v>
      </c>
      <c r="E18" s="88">
        <v>0</v>
      </c>
      <c r="F18" s="34">
        <f t="shared" si="0"/>
        <v>0</v>
      </c>
      <c r="G18" s="34">
        <f t="shared" si="1"/>
        <v>0</v>
      </c>
      <c r="H18" s="12">
        <f t="shared" si="2"/>
        <v>0</v>
      </c>
      <c r="I18" s="87">
        <f t="shared" si="3"/>
        <v>0</v>
      </c>
    </row>
    <row r="19" spans="1:9" x14ac:dyDescent="0.25">
      <c r="A19" s="2" t="s">
        <v>105</v>
      </c>
      <c r="B19" s="141" t="s">
        <v>43</v>
      </c>
      <c r="C19" s="7">
        <f>'Forecasted Volume'!N18</f>
        <v>1188598</v>
      </c>
      <c r="D19" s="88">
        <v>0</v>
      </c>
      <c r="E19" s="88">
        <v>0</v>
      </c>
      <c r="F19" s="34">
        <f t="shared" si="0"/>
        <v>0</v>
      </c>
      <c r="G19" s="34">
        <f t="shared" si="1"/>
        <v>0</v>
      </c>
      <c r="H19" s="12">
        <f t="shared" si="2"/>
        <v>0</v>
      </c>
      <c r="I19" s="87">
        <f t="shared" si="3"/>
        <v>0</v>
      </c>
    </row>
    <row r="20" spans="1:9" x14ac:dyDescent="0.25">
      <c r="A20" s="2" t="s">
        <v>106</v>
      </c>
      <c r="B20" s="141" t="s">
        <v>2</v>
      </c>
      <c r="C20" s="7">
        <f>'Forecasted Volume'!N19</f>
        <v>123922533</v>
      </c>
      <c r="D20" s="88">
        <v>0</v>
      </c>
      <c r="E20" s="88">
        <v>0</v>
      </c>
      <c r="F20" s="34">
        <f t="shared" si="0"/>
        <v>0</v>
      </c>
      <c r="G20" s="34">
        <f t="shared" si="1"/>
        <v>0</v>
      </c>
      <c r="H20" s="12">
        <f t="shared" si="2"/>
        <v>0</v>
      </c>
      <c r="I20" s="87">
        <f t="shared" si="3"/>
        <v>0</v>
      </c>
    </row>
    <row r="21" spans="1:9" x14ac:dyDescent="0.25">
      <c r="A21" s="2" t="s">
        <v>44</v>
      </c>
      <c r="B21" s="141"/>
      <c r="C21" s="7">
        <f>'Forecasted Volume'!N20</f>
        <v>32071144</v>
      </c>
      <c r="D21" s="89">
        <v>0</v>
      </c>
      <c r="E21" s="88">
        <v>0</v>
      </c>
      <c r="F21" s="34">
        <f t="shared" si="0"/>
        <v>0</v>
      </c>
      <c r="G21" s="34">
        <f t="shared" si="1"/>
        <v>0</v>
      </c>
      <c r="H21" s="12">
        <f t="shared" si="2"/>
        <v>0</v>
      </c>
      <c r="I21" s="170">
        <f t="shared" si="3"/>
        <v>0</v>
      </c>
    </row>
    <row r="22" spans="1:9" x14ac:dyDescent="0.25">
      <c r="A22" s="2" t="s">
        <v>3</v>
      </c>
      <c r="C22" s="3">
        <f>SUM(C9:C21)</f>
        <v>1118826055</v>
      </c>
      <c r="D22" s="90"/>
      <c r="E22" s="91"/>
      <c r="F22" s="39">
        <f>SUM(F9:F21)</f>
        <v>25090865.275649998</v>
      </c>
      <c r="G22" s="39">
        <f>SUM(G9:G21)</f>
        <v>32031757.805649996</v>
      </c>
      <c r="H22" s="17">
        <f>SUM(H9:H21)</f>
        <v>6940892.5300000021</v>
      </c>
      <c r="I22" s="87">
        <f t="shared" si="3"/>
        <v>0.27663025781482115</v>
      </c>
    </row>
    <row r="23" spans="1:9" x14ac:dyDescent="0.25">
      <c r="A23" s="66"/>
      <c r="B23" s="92"/>
      <c r="C23" s="93"/>
      <c r="D23" s="94"/>
      <c r="E23" s="94"/>
      <c r="F23" s="94"/>
      <c r="G23" s="94"/>
      <c r="H23" s="82"/>
      <c r="I23" s="6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="90" zoomScaleNormal="90" workbookViewId="0">
      <selection activeCell="K34" sqref="K34"/>
    </sheetView>
  </sheetViews>
  <sheetFormatPr defaultColWidth="8.7109375" defaultRowHeight="15" x14ac:dyDescent="0.25"/>
  <cols>
    <col min="1" max="1" width="4.7109375" style="2" customWidth="1"/>
    <col min="2" max="2" width="45.85546875" style="2" customWidth="1"/>
    <col min="3" max="3" width="16.140625" style="2" customWidth="1"/>
    <col min="4" max="4" width="11.140625" style="2" customWidth="1"/>
    <col min="5" max="5" width="16.140625" style="2" customWidth="1"/>
    <col min="6" max="6" width="8.7109375" style="2"/>
    <col min="7" max="7" width="11.5703125" style="2" bestFit="1" customWidth="1"/>
    <col min="8" max="16384" width="8.7109375" style="2"/>
  </cols>
  <sheetData>
    <row r="1" spans="1:7" x14ac:dyDescent="0.25">
      <c r="A1" s="123" t="s">
        <v>176</v>
      </c>
      <c r="B1" s="124"/>
      <c r="C1" s="124"/>
      <c r="D1" s="124"/>
      <c r="E1" s="124"/>
    </row>
    <row r="2" spans="1:7" x14ac:dyDescent="0.25">
      <c r="A2" s="124" t="s">
        <v>177</v>
      </c>
      <c r="B2" s="124"/>
      <c r="C2" s="124"/>
      <c r="D2" s="124"/>
      <c r="E2" s="124"/>
    </row>
    <row r="3" spans="1:7" x14ac:dyDescent="0.25">
      <c r="A3" s="125" t="s">
        <v>178</v>
      </c>
      <c r="B3" s="124"/>
      <c r="C3" s="124"/>
      <c r="D3" s="124"/>
      <c r="E3" s="124"/>
    </row>
    <row r="4" spans="1:7" x14ac:dyDescent="0.25">
      <c r="A4" s="179"/>
      <c r="B4" s="179"/>
      <c r="C4" s="179"/>
      <c r="D4" s="179"/>
      <c r="E4" s="179"/>
    </row>
    <row r="5" spans="1:7" s="19" customFormat="1" x14ac:dyDescent="0.25">
      <c r="A5" s="126"/>
      <c r="B5" s="126"/>
      <c r="C5" s="127"/>
      <c r="D5" s="127"/>
      <c r="E5" s="127"/>
    </row>
    <row r="6" spans="1:7" ht="26.25" x14ac:dyDescent="0.25">
      <c r="A6" s="128" t="s">
        <v>5</v>
      </c>
      <c r="B6" s="128" t="s">
        <v>6</v>
      </c>
      <c r="C6" s="128" t="s">
        <v>7</v>
      </c>
      <c r="D6" s="128" t="s">
        <v>8</v>
      </c>
      <c r="E6" s="128" t="s">
        <v>9</v>
      </c>
    </row>
    <row r="7" spans="1:7" x14ac:dyDescent="0.25">
      <c r="A7" s="129"/>
      <c r="B7" s="129"/>
      <c r="C7" s="129"/>
      <c r="D7" s="124"/>
      <c r="E7" s="130"/>
    </row>
    <row r="8" spans="1:7" x14ac:dyDescent="0.25">
      <c r="A8" s="129">
        <v>1</v>
      </c>
      <c r="B8" s="131" t="s">
        <v>179</v>
      </c>
      <c r="C8" s="132">
        <v>29158943.590000004</v>
      </c>
      <c r="D8" s="133">
        <v>0.95344399999999996</v>
      </c>
      <c r="E8" s="132">
        <f>+C8/D8</f>
        <v>30582754.299151294</v>
      </c>
    </row>
    <row r="9" spans="1:7" x14ac:dyDescent="0.25">
      <c r="A9" s="129"/>
      <c r="B9" s="131"/>
      <c r="C9" s="132"/>
      <c r="D9" s="133"/>
      <c r="E9" s="130"/>
    </row>
    <row r="10" spans="1:7" x14ac:dyDescent="0.25">
      <c r="A10" s="129">
        <v>2</v>
      </c>
      <c r="B10" s="131" t="s">
        <v>64</v>
      </c>
      <c r="C10" s="132">
        <v>1378000.936510006</v>
      </c>
      <c r="D10" s="133">
        <f>+$D$8</f>
        <v>0.95344399999999996</v>
      </c>
      <c r="E10" s="132">
        <f>+C10/D10</f>
        <v>1445287.7531454454</v>
      </c>
    </row>
    <row r="11" spans="1:7" ht="15.75" thickBot="1" x14ac:dyDescent="0.3">
      <c r="A11" s="129"/>
      <c r="B11" s="129"/>
      <c r="C11" s="134"/>
      <c r="D11" s="133"/>
      <c r="E11" s="135"/>
    </row>
    <row r="12" spans="1:7" ht="15.75" thickBot="1" x14ac:dyDescent="0.3">
      <c r="A12" s="129">
        <v>3</v>
      </c>
      <c r="B12" s="136" t="s">
        <v>10</v>
      </c>
      <c r="C12" s="137">
        <f>SUM(C8:C11)</f>
        <v>30536944.526510008</v>
      </c>
      <c r="D12" s="138"/>
      <c r="E12" s="139">
        <f>SUM(E8:E11)</f>
        <v>32028042.052296739</v>
      </c>
    </row>
    <row r="13" spans="1:7" ht="15.75" thickTop="1" x14ac:dyDescent="0.25">
      <c r="A13" s="129"/>
      <c r="B13" s="129"/>
      <c r="C13" s="129"/>
      <c r="D13" s="133"/>
      <c r="E13" s="140">
        <v>0</v>
      </c>
      <c r="G13" s="12"/>
    </row>
    <row r="14" spans="1:7" x14ac:dyDescent="0.25">
      <c r="C14" s="12"/>
      <c r="E14" s="12"/>
    </row>
    <row r="15" spans="1:7" x14ac:dyDescent="0.25">
      <c r="C15" s="12"/>
      <c r="E15" s="12"/>
    </row>
    <row r="16" spans="1:7" x14ac:dyDescent="0.25">
      <c r="C16" s="12"/>
      <c r="E16" s="12"/>
    </row>
    <row r="17" spans="3:3" x14ac:dyDescent="0.25">
      <c r="C17" s="12"/>
    </row>
    <row r="18" spans="3:3" x14ac:dyDescent="0.25">
      <c r="C18" s="12"/>
    </row>
  </sheetData>
  <mergeCells count="1"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1" sqref="B11"/>
    </sheetView>
  </sheetViews>
  <sheetFormatPr defaultColWidth="9.140625" defaultRowHeight="15" x14ac:dyDescent="0.25"/>
  <cols>
    <col min="1" max="1" width="19.85546875" style="19" customWidth="1"/>
    <col min="2" max="13" width="12.42578125" style="19" customWidth="1"/>
    <col min="14" max="14" width="13.5703125" style="19" customWidth="1"/>
    <col min="15" max="16384" width="9.140625" style="19"/>
  </cols>
  <sheetData>
    <row r="1" spans="1:18" x14ac:dyDescent="0.25">
      <c r="A1" s="177" t="s">
        <v>11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8" x14ac:dyDescent="0.25">
      <c r="A2" s="177" t="str">
        <f>Rates!A2</f>
        <v>2024 Gas Schedule 120 Conservation Filing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8" x14ac:dyDescent="0.25">
      <c r="A3" s="177" t="s">
        <v>63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8" x14ac:dyDescent="0.25">
      <c r="A4" s="180" t="str">
        <f>TEXT(B6,"Mmm YYYY - ")&amp;TEXT(M6,"Mmmm YYYY")</f>
        <v>May 2024 - April 2025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8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8" x14ac:dyDescent="0.25">
      <c r="A6" s="155" t="s">
        <v>4</v>
      </c>
      <c r="B6" s="156">
        <v>45413</v>
      </c>
      <c r="C6" s="22">
        <f>EDATE(B6,1)</f>
        <v>45444</v>
      </c>
      <c r="D6" s="22">
        <f t="shared" ref="D6:M6" si="0">EDATE(C6,1)</f>
        <v>45474</v>
      </c>
      <c r="E6" s="22">
        <f t="shared" si="0"/>
        <v>45505</v>
      </c>
      <c r="F6" s="22">
        <f t="shared" si="0"/>
        <v>45536</v>
      </c>
      <c r="G6" s="22">
        <f t="shared" si="0"/>
        <v>45566</v>
      </c>
      <c r="H6" s="22">
        <f t="shared" si="0"/>
        <v>45597</v>
      </c>
      <c r="I6" s="22">
        <f t="shared" si="0"/>
        <v>45627</v>
      </c>
      <c r="J6" s="22">
        <f t="shared" si="0"/>
        <v>45658</v>
      </c>
      <c r="K6" s="22">
        <f t="shared" si="0"/>
        <v>45689</v>
      </c>
      <c r="L6" s="22">
        <f t="shared" si="0"/>
        <v>45717</v>
      </c>
      <c r="M6" s="22">
        <f t="shared" si="0"/>
        <v>45748</v>
      </c>
      <c r="N6" s="16" t="s">
        <v>3</v>
      </c>
    </row>
    <row r="7" spans="1:18" x14ac:dyDescent="0.25">
      <c r="A7" s="98">
        <v>16</v>
      </c>
      <c r="B7" s="174">
        <v>583</v>
      </c>
      <c r="C7" s="174">
        <v>583</v>
      </c>
      <c r="D7" s="174">
        <v>583</v>
      </c>
      <c r="E7" s="174">
        <v>583</v>
      </c>
      <c r="F7" s="174">
        <v>583</v>
      </c>
      <c r="G7" s="174">
        <v>583</v>
      </c>
      <c r="H7" s="174">
        <v>583</v>
      </c>
      <c r="I7" s="174">
        <v>583</v>
      </c>
      <c r="J7" s="174">
        <v>583</v>
      </c>
      <c r="K7" s="174">
        <v>583</v>
      </c>
      <c r="L7" s="174">
        <v>583</v>
      </c>
      <c r="M7" s="174">
        <v>583</v>
      </c>
      <c r="N7" s="97">
        <f t="shared" ref="N7:N20" si="1">SUM(B7:M7)</f>
        <v>6996</v>
      </c>
      <c r="R7" s="97"/>
    </row>
    <row r="8" spans="1:18" x14ac:dyDescent="0.25">
      <c r="A8" s="98">
        <v>23</v>
      </c>
      <c r="B8" s="174">
        <v>27300857</v>
      </c>
      <c r="C8" s="174">
        <v>18661784</v>
      </c>
      <c r="D8" s="174">
        <v>14141387</v>
      </c>
      <c r="E8" s="174">
        <v>13556472</v>
      </c>
      <c r="F8" s="174">
        <v>17856721</v>
      </c>
      <c r="G8" s="174">
        <v>38270559</v>
      </c>
      <c r="H8" s="174">
        <v>64417242</v>
      </c>
      <c r="I8" s="174">
        <v>85858146</v>
      </c>
      <c r="J8" s="174">
        <v>82737764</v>
      </c>
      <c r="K8" s="174">
        <v>71461185</v>
      </c>
      <c r="L8" s="174">
        <v>65421149</v>
      </c>
      <c r="M8" s="174">
        <v>45585511</v>
      </c>
      <c r="N8" s="97">
        <f t="shared" si="1"/>
        <v>545268777</v>
      </c>
      <c r="R8" s="97"/>
    </row>
    <row r="9" spans="1:18" x14ac:dyDescent="0.25">
      <c r="A9" s="98">
        <v>53</v>
      </c>
      <c r="B9" s="174">
        <v>0</v>
      </c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97">
        <f t="shared" si="1"/>
        <v>0</v>
      </c>
      <c r="R9" s="97"/>
    </row>
    <row r="10" spans="1:18" x14ac:dyDescent="0.25">
      <c r="A10" s="98">
        <v>31</v>
      </c>
      <c r="B10" s="174">
        <v>12479173</v>
      </c>
      <c r="C10" s="174">
        <v>10007332</v>
      </c>
      <c r="D10" s="174">
        <v>8541920</v>
      </c>
      <c r="E10" s="174">
        <v>9385859</v>
      </c>
      <c r="F10" s="174">
        <v>11554397</v>
      </c>
      <c r="G10" s="174">
        <v>19568959</v>
      </c>
      <c r="H10" s="174">
        <v>27914350</v>
      </c>
      <c r="I10" s="174">
        <v>33705422</v>
      </c>
      <c r="J10" s="174">
        <v>29080225</v>
      </c>
      <c r="K10" s="174">
        <v>26056253</v>
      </c>
      <c r="L10" s="174">
        <v>23378566</v>
      </c>
      <c r="M10" s="174">
        <v>16969763</v>
      </c>
      <c r="N10" s="97">
        <f t="shared" si="1"/>
        <v>228642219</v>
      </c>
      <c r="R10" s="97"/>
    </row>
    <row r="11" spans="1:18" x14ac:dyDescent="0.25">
      <c r="A11" s="98">
        <v>41</v>
      </c>
      <c r="B11" s="174">
        <v>3794892</v>
      </c>
      <c r="C11" s="174">
        <v>3220044</v>
      </c>
      <c r="D11" s="174">
        <v>2633383</v>
      </c>
      <c r="E11" s="174">
        <v>2880961</v>
      </c>
      <c r="F11" s="174">
        <v>3593806</v>
      </c>
      <c r="G11" s="174">
        <v>5682283</v>
      </c>
      <c r="H11" s="174">
        <v>7339009</v>
      </c>
      <c r="I11" s="174">
        <v>7926928</v>
      </c>
      <c r="J11" s="174">
        <v>6802981</v>
      </c>
      <c r="K11" s="174">
        <v>6457012</v>
      </c>
      <c r="L11" s="174">
        <v>5990884</v>
      </c>
      <c r="M11" s="174">
        <v>4648592</v>
      </c>
      <c r="N11" s="97">
        <f t="shared" si="1"/>
        <v>60970775</v>
      </c>
      <c r="R11" s="97"/>
    </row>
    <row r="12" spans="1:18" x14ac:dyDescent="0.25">
      <c r="A12" s="98">
        <v>85</v>
      </c>
      <c r="B12" s="174">
        <v>1333543</v>
      </c>
      <c r="C12" s="174">
        <v>1228915</v>
      </c>
      <c r="D12" s="174">
        <v>1241425</v>
      </c>
      <c r="E12" s="174">
        <v>1346578</v>
      </c>
      <c r="F12" s="174">
        <v>1180877</v>
      </c>
      <c r="G12" s="174">
        <v>1444713</v>
      </c>
      <c r="H12" s="174">
        <v>1525808</v>
      </c>
      <c r="I12" s="174">
        <v>1795961</v>
      </c>
      <c r="J12" s="174">
        <v>1539745</v>
      </c>
      <c r="K12" s="174">
        <v>1517466</v>
      </c>
      <c r="L12" s="174">
        <v>1487011</v>
      </c>
      <c r="M12" s="174">
        <v>1294313</v>
      </c>
      <c r="N12" s="97">
        <f t="shared" si="1"/>
        <v>16936355</v>
      </c>
      <c r="R12" s="97"/>
    </row>
    <row r="13" spans="1:18" x14ac:dyDescent="0.25">
      <c r="A13" s="98">
        <v>86</v>
      </c>
      <c r="B13" s="174">
        <v>388605</v>
      </c>
      <c r="C13" s="174">
        <v>222624</v>
      </c>
      <c r="D13" s="174">
        <v>99487</v>
      </c>
      <c r="E13" s="174">
        <v>17695</v>
      </c>
      <c r="F13" s="174">
        <v>47188</v>
      </c>
      <c r="G13" s="174">
        <v>274533</v>
      </c>
      <c r="H13" s="174">
        <v>503995</v>
      </c>
      <c r="I13" s="174">
        <v>788250</v>
      </c>
      <c r="J13" s="174">
        <v>672352</v>
      </c>
      <c r="K13" s="174">
        <v>656625</v>
      </c>
      <c r="L13" s="174">
        <v>636858</v>
      </c>
      <c r="M13" s="174">
        <v>453214</v>
      </c>
      <c r="N13" s="97">
        <f t="shared" si="1"/>
        <v>4761426</v>
      </c>
      <c r="R13" s="97"/>
    </row>
    <row r="14" spans="1:18" x14ac:dyDescent="0.25">
      <c r="A14" s="98">
        <v>87</v>
      </c>
      <c r="B14" s="174">
        <v>1509483</v>
      </c>
      <c r="C14" s="174">
        <v>1358291</v>
      </c>
      <c r="D14" s="174">
        <v>1475182</v>
      </c>
      <c r="E14" s="174">
        <v>1610634</v>
      </c>
      <c r="F14" s="174">
        <v>1501333</v>
      </c>
      <c r="G14" s="174">
        <v>2068873</v>
      </c>
      <c r="H14" s="174">
        <v>1993956</v>
      </c>
      <c r="I14" s="174">
        <v>2365281</v>
      </c>
      <c r="J14" s="174">
        <v>1756978</v>
      </c>
      <c r="K14" s="174">
        <v>1729058</v>
      </c>
      <c r="L14" s="174">
        <v>1673461</v>
      </c>
      <c r="M14" s="174">
        <v>1357724</v>
      </c>
      <c r="N14" s="97">
        <f t="shared" si="1"/>
        <v>20400254</v>
      </c>
      <c r="R14" s="97"/>
    </row>
    <row r="15" spans="1:18" x14ac:dyDescent="0.25">
      <c r="A15" s="98" t="s">
        <v>49</v>
      </c>
      <c r="B15" s="174">
        <v>0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97">
        <f t="shared" si="1"/>
        <v>0</v>
      </c>
      <c r="R15" s="97"/>
    </row>
    <row r="16" spans="1:18" x14ac:dyDescent="0.25">
      <c r="A16" s="98" t="s">
        <v>0</v>
      </c>
      <c r="B16" s="174">
        <v>1839584</v>
      </c>
      <c r="C16" s="174">
        <v>1883319</v>
      </c>
      <c r="D16" s="174">
        <v>1678682</v>
      </c>
      <c r="E16" s="174">
        <v>1691880</v>
      </c>
      <c r="F16" s="174">
        <v>1738088</v>
      </c>
      <c r="G16" s="174">
        <v>1511046</v>
      </c>
      <c r="H16" s="174">
        <v>1833376</v>
      </c>
      <c r="I16" s="174">
        <v>1807052</v>
      </c>
      <c r="J16" s="174">
        <v>1744799</v>
      </c>
      <c r="K16" s="174">
        <v>2050563</v>
      </c>
      <c r="L16" s="174">
        <v>1806087</v>
      </c>
      <c r="M16" s="174">
        <v>1938903</v>
      </c>
      <c r="N16" s="97">
        <f t="shared" si="1"/>
        <v>21523379</v>
      </c>
      <c r="R16" s="97"/>
    </row>
    <row r="17" spans="1:18" x14ac:dyDescent="0.25">
      <c r="A17" s="98" t="s">
        <v>1</v>
      </c>
      <c r="B17" s="174">
        <v>5832342</v>
      </c>
      <c r="C17" s="174">
        <v>5420147</v>
      </c>
      <c r="D17" s="174">
        <v>4980768</v>
      </c>
      <c r="E17" s="174">
        <v>4885851</v>
      </c>
      <c r="F17" s="174">
        <v>5424449</v>
      </c>
      <c r="G17" s="174">
        <v>4526473</v>
      </c>
      <c r="H17" s="174">
        <v>5490229</v>
      </c>
      <c r="I17" s="174">
        <v>5382296</v>
      </c>
      <c r="J17" s="174">
        <v>4816873</v>
      </c>
      <c r="K17" s="174">
        <v>5808776</v>
      </c>
      <c r="L17" s="174">
        <v>4973508</v>
      </c>
      <c r="M17" s="174">
        <v>5591887</v>
      </c>
      <c r="N17" s="97">
        <f t="shared" si="1"/>
        <v>63133599</v>
      </c>
      <c r="R17" s="97"/>
    </row>
    <row r="18" spans="1:18" x14ac:dyDescent="0.25">
      <c r="A18" s="98" t="s">
        <v>43</v>
      </c>
      <c r="B18" s="174">
        <v>104880</v>
      </c>
      <c r="C18" s="174">
        <v>104204</v>
      </c>
      <c r="D18" s="174">
        <v>90225</v>
      </c>
      <c r="E18" s="174">
        <v>83370</v>
      </c>
      <c r="F18" s="174">
        <v>96837</v>
      </c>
      <c r="G18" s="174">
        <v>83739</v>
      </c>
      <c r="H18" s="174">
        <v>105045</v>
      </c>
      <c r="I18" s="174">
        <v>100884</v>
      </c>
      <c r="J18" s="174">
        <v>93203</v>
      </c>
      <c r="K18" s="174">
        <v>117030</v>
      </c>
      <c r="L18" s="174">
        <v>99848</v>
      </c>
      <c r="M18" s="174">
        <v>109333</v>
      </c>
      <c r="N18" s="97">
        <f t="shared" si="1"/>
        <v>1188598</v>
      </c>
      <c r="R18" s="97"/>
    </row>
    <row r="19" spans="1:18" x14ac:dyDescent="0.25">
      <c r="A19" s="98" t="s">
        <v>2</v>
      </c>
      <c r="B19" s="174">
        <v>10257828</v>
      </c>
      <c r="C19" s="174">
        <v>11399495</v>
      </c>
      <c r="D19" s="174">
        <v>11779346</v>
      </c>
      <c r="E19" s="174">
        <v>11336188</v>
      </c>
      <c r="F19" s="174">
        <v>11888460</v>
      </c>
      <c r="G19" s="174">
        <v>10208495</v>
      </c>
      <c r="H19" s="174">
        <v>9192922</v>
      </c>
      <c r="I19" s="174">
        <v>9834705</v>
      </c>
      <c r="J19" s="174">
        <v>8775174</v>
      </c>
      <c r="K19" s="174">
        <v>10438896</v>
      </c>
      <c r="L19" s="174">
        <v>9137253</v>
      </c>
      <c r="M19" s="174">
        <v>9673771</v>
      </c>
      <c r="N19" s="97">
        <f t="shared" si="1"/>
        <v>123922533</v>
      </c>
      <c r="R19" s="97"/>
    </row>
    <row r="20" spans="1:18" x14ac:dyDescent="0.25">
      <c r="A20" s="98" t="s">
        <v>44</v>
      </c>
      <c r="B20" s="174">
        <v>2518324</v>
      </c>
      <c r="C20" s="174">
        <v>1983662</v>
      </c>
      <c r="D20" s="174">
        <v>1748321</v>
      </c>
      <c r="E20" s="174">
        <v>1594116</v>
      </c>
      <c r="F20" s="174">
        <v>1962548</v>
      </c>
      <c r="G20" s="174">
        <v>2065335</v>
      </c>
      <c r="H20" s="174">
        <v>3420878</v>
      </c>
      <c r="I20" s="174">
        <v>3800407</v>
      </c>
      <c r="J20" s="174">
        <v>3272269</v>
      </c>
      <c r="K20" s="174">
        <v>4075429</v>
      </c>
      <c r="L20" s="174">
        <v>2843106</v>
      </c>
      <c r="M20" s="174">
        <v>2786749</v>
      </c>
      <c r="N20" s="97">
        <f t="shared" si="1"/>
        <v>32071144</v>
      </c>
      <c r="R20" s="97"/>
    </row>
    <row r="21" spans="1:18" x14ac:dyDescent="0.25">
      <c r="A21" s="98" t="s">
        <v>3</v>
      </c>
      <c r="B21" s="157">
        <f>SUM(B7:B20)</f>
        <v>67360094</v>
      </c>
      <c r="C21" s="157">
        <f t="shared" ref="C21:M21" si="2">SUM(C7:C20)</f>
        <v>55490400</v>
      </c>
      <c r="D21" s="157">
        <f t="shared" si="2"/>
        <v>48410709</v>
      </c>
      <c r="E21" s="157">
        <f t="shared" si="2"/>
        <v>48390187</v>
      </c>
      <c r="F21" s="157">
        <f t="shared" si="2"/>
        <v>56845287</v>
      </c>
      <c r="G21" s="157">
        <f t="shared" si="2"/>
        <v>85705591</v>
      </c>
      <c r="H21" s="157">
        <f t="shared" si="2"/>
        <v>123737393</v>
      </c>
      <c r="I21" s="157">
        <f t="shared" si="2"/>
        <v>153365915</v>
      </c>
      <c r="J21" s="157">
        <f t="shared" si="2"/>
        <v>141292946</v>
      </c>
      <c r="K21" s="157">
        <f t="shared" si="2"/>
        <v>130368876</v>
      </c>
      <c r="L21" s="157">
        <f t="shared" si="2"/>
        <v>117448314</v>
      </c>
      <c r="M21" s="157">
        <f t="shared" si="2"/>
        <v>90410343</v>
      </c>
      <c r="N21" s="157">
        <f>SUM(N7:N20)</f>
        <v>1118826055</v>
      </c>
    </row>
    <row r="22" spans="1:18" x14ac:dyDescent="0.25">
      <c r="A22" s="98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8" x14ac:dyDescent="0.25">
      <c r="A23" s="98" t="s">
        <v>19</v>
      </c>
      <c r="B23" s="97">
        <f>SUM(B7:B11)</f>
        <v>43575505</v>
      </c>
      <c r="C23" s="97">
        <f t="shared" ref="C23:M23" si="3">SUM(C7:C11)</f>
        <v>31889743</v>
      </c>
      <c r="D23" s="97">
        <f t="shared" si="3"/>
        <v>25317273</v>
      </c>
      <c r="E23" s="97">
        <f t="shared" si="3"/>
        <v>25823875</v>
      </c>
      <c r="F23" s="97">
        <f t="shared" si="3"/>
        <v>33005507</v>
      </c>
      <c r="G23" s="97">
        <f t="shared" si="3"/>
        <v>63522384</v>
      </c>
      <c r="H23" s="97">
        <f t="shared" si="3"/>
        <v>99671184</v>
      </c>
      <c r="I23" s="97">
        <f t="shared" si="3"/>
        <v>127491079</v>
      </c>
      <c r="J23" s="97">
        <f t="shared" si="3"/>
        <v>118621553</v>
      </c>
      <c r="K23" s="97">
        <f t="shared" si="3"/>
        <v>103975033</v>
      </c>
      <c r="L23" s="97">
        <f t="shared" si="3"/>
        <v>94791182</v>
      </c>
      <c r="M23" s="97">
        <f t="shared" si="3"/>
        <v>67204449</v>
      </c>
      <c r="N23" s="97">
        <f>SUM(B23:M23)</f>
        <v>834888767</v>
      </c>
    </row>
    <row r="24" spans="1:18" x14ac:dyDescent="0.25">
      <c r="A24" s="98" t="s">
        <v>20</v>
      </c>
      <c r="B24" s="97">
        <f>SUM(B12:B14)</f>
        <v>3231631</v>
      </c>
      <c r="C24" s="97">
        <f t="shared" ref="C24:M24" si="4">SUM(C12:C14)</f>
        <v>2809830</v>
      </c>
      <c r="D24" s="97">
        <f t="shared" si="4"/>
        <v>2816094</v>
      </c>
      <c r="E24" s="97">
        <f t="shared" si="4"/>
        <v>2974907</v>
      </c>
      <c r="F24" s="97">
        <f t="shared" si="4"/>
        <v>2729398</v>
      </c>
      <c r="G24" s="97">
        <f t="shared" si="4"/>
        <v>3788119</v>
      </c>
      <c r="H24" s="97">
        <f t="shared" si="4"/>
        <v>4023759</v>
      </c>
      <c r="I24" s="97">
        <f t="shared" si="4"/>
        <v>4949492</v>
      </c>
      <c r="J24" s="97">
        <f t="shared" si="4"/>
        <v>3969075</v>
      </c>
      <c r="K24" s="97">
        <f t="shared" si="4"/>
        <v>3903149</v>
      </c>
      <c r="L24" s="97">
        <f t="shared" si="4"/>
        <v>3797330</v>
      </c>
      <c r="M24" s="97">
        <f t="shared" si="4"/>
        <v>3105251</v>
      </c>
      <c r="N24" s="97">
        <f>SUM(B24:M24)</f>
        <v>42098035</v>
      </c>
    </row>
    <row r="25" spans="1:18" x14ac:dyDescent="0.25">
      <c r="A25" s="98" t="s">
        <v>50</v>
      </c>
      <c r="B25" s="158">
        <f>SUM(B15:B20)</f>
        <v>20552958</v>
      </c>
      <c r="C25" s="158">
        <f t="shared" ref="C25:M25" si="5">SUM(C15:C20)</f>
        <v>20790827</v>
      </c>
      <c r="D25" s="158">
        <f t="shared" si="5"/>
        <v>20277342</v>
      </c>
      <c r="E25" s="158">
        <f t="shared" si="5"/>
        <v>19591405</v>
      </c>
      <c r="F25" s="158">
        <f t="shared" si="5"/>
        <v>21110382</v>
      </c>
      <c r="G25" s="158">
        <f t="shared" si="5"/>
        <v>18395088</v>
      </c>
      <c r="H25" s="158">
        <f t="shared" si="5"/>
        <v>20042450</v>
      </c>
      <c r="I25" s="158">
        <f t="shared" si="5"/>
        <v>20925344</v>
      </c>
      <c r="J25" s="158">
        <f t="shared" si="5"/>
        <v>18702318</v>
      </c>
      <c r="K25" s="158">
        <f t="shared" si="5"/>
        <v>22490694</v>
      </c>
      <c r="L25" s="158">
        <f t="shared" si="5"/>
        <v>18859802</v>
      </c>
      <c r="M25" s="158">
        <f t="shared" si="5"/>
        <v>20100643</v>
      </c>
      <c r="N25" s="158">
        <f>SUM(B25:M25)</f>
        <v>241839253</v>
      </c>
    </row>
    <row r="26" spans="1:18" x14ac:dyDescent="0.25">
      <c r="A26" s="98" t="s">
        <v>51</v>
      </c>
      <c r="B26" s="97">
        <f t="shared" ref="B26:M26" si="6">SUM(B23:B25)</f>
        <v>67360094</v>
      </c>
      <c r="C26" s="97">
        <f t="shared" si="6"/>
        <v>55490400</v>
      </c>
      <c r="D26" s="97">
        <f t="shared" si="6"/>
        <v>48410709</v>
      </c>
      <c r="E26" s="97">
        <f t="shared" si="6"/>
        <v>48390187</v>
      </c>
      <c r="F26" s="97">
        <f t="shared" si="6"/>
        <v>56845287</v>
      </c>
      <c r="G26" s="97">
        <f t="shared" si="6"/>
        <v>85705591</v>
      </c>
      <c r="H26" s="97">
        <f t="shared" si="6"/>
        <v>123737393</v>
      </c>
      <c r="I26" s="97">
        <f t="shared" si="6"/>
        <v>153365915</v>
      </c>
      <c r="J26" s="97">
        <f t="shared" si="6"/>
        <v>141292946</v>
      </c>
      <c r="K26" s="97">
        <f t="shared" si="6"/>
        <v>130368876</v>
      </c>
      <c r="L26" s="97">
        <f t="shared" si="6"/>
        <v>117448314</v>
      </c>
      <c r="M26" s="97">
        <f t="shared" si="6"/>
        <v>90410343</v>
      </c>
      <c r="N26" s="97">
        <f>SUM(B26:M26)</f>
        <v>1118826055</v>
      </c>
    </row>
    <row r="27" spans="1:18" x14ac:dyDescent="0.25">
      <c r="A27" s="159" t="s">
        <v>27</v>
      </c>
      <c r="B27" s="160">
        <f>B21-B26</f>
        <v>0</v>
      </c>
      <c r="C27" s="160">
        <f t="shared" ref="C27:N27" si="7">C21-C26</f>
        <v>0</v>
      </c>
      <c r="D27" s="160">
        <f t="shared" si="7"/>
        <v>0</v>
      </c>
      <c r="E27" s="160">
        <f t="shared" si="7"/>
        <v>0</v>
      </c>
      <c r="F27" s="160">
        <f t="shared" si="7"/>
        <v>0</v>
      </c>
      <c r="G27" s="160">
        <f t="shared" si="7"/>
        <v>0</v>
      </c>
      <c r="H27" s="160">
        <f t="shared" si="7"/>
        <v>0</v>
      </c>
      <c r="I27" s="160">
        <f t="shared" si="7"/>
        <v>0</v>
      </c>
      <c r="J27" s="160">
        <f t="shared" si="7"/>
        <v>0</v>
      </c>
      <c r="K27" s="160">
        <f t="shared" si="7"/>
        <v>0</v>
      </c>
      <c r="L27" s="160">
        <f t="shared" si="7"/>
        <v>0</v>
      </c>
      <c r="M27" s="160">
        <f t="shared" si="7"/>
        <v>0</v>
      </c>
      <c r="N27" s="160">
        <f t="shared" si="7"/>
        <v>0</v>
      </c>
    </row>
    <row r="29" spans="1:18" x14ac:dyDescent="0.25">
      <c r="A29" s="19" t="s">
        <v>171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7" orientation="landscape" blackAndWhite="1" r:id="rId1"/>
  <headerFooter>
    <oddFooter>&amp;L&amp;F 
&amp;A&amp;C&amp;P&amp;R&amp;D</oddFooter>
  </headerFooter>
  <customProperties>
    <customPr name="EpmWorksheetKeyString_GUID" r:id="rId2"/>
  </customProperties>
  <ignoredErrors>
    <ignoredError sqref="N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6C33A9C7D936418B8DE1864735469D" ma:contentTypeVersion="16" ma:contentTypeDescription="" ma:contentTypeScope="" ma:versionID="131a360bf71160b88ea00b19267d93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2024-03-01T08:00:00+00:00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E1883B-2C1A-4E1D-A397-F47F2FB14E7E}"/>
</file>

<file path=customXml/itemProps2.xml><?xml version="1.0" encoding="utf-8"?>
<ds:datastoreItem xmlns:ds="http://schemas.openxmlformats.org/officeDocument/2006/customXml" ds:itemID="{C5C29F10-0138-4B7A-8546-45478549BB5B}"/>
</file>

<file path=customXml/itemProps3.xml><?xml version="1.0" encoding="utf-8"?>
<ds:datastoreItem xmlns:ds="http://schemas.openxmlformats.org/officeDocument/2006/customXml" ds:itemID="{8C2B9F51-87E2-4FFD-B8D0-A6E594AEC894}"/>
</file>

<file path=customXml/itemProps4.xml><?xml version="1.0" encoding="utf-8"?>
<ds:datastoreItem xmlns:ds="http://schemas.openxmlformats.org/officeDocument/2006/customXml" ds:itemID="{F3ED98B2-62EE-4D12-82B6-B9CE8F9EA8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Rates</vt:lpstr>
      <vt:lpstr>Allocation</vt:lpstr>
      <vt:lpstr>Rate Impacts--&gt;</vt:lpstr>
      <vt:lpstr>Rate Impacts Sch 120</vt:lpstr>
      <vt:lpstr>Typical Res Bill Sch 120</vt:lpstr>
      <vt:lpstr>Sch. 120</vt:lpstr>
      <vt:lpstr>Workpapers--&gt;</vt:lpstr>
      <vt:lpstr>Rev Requirement</vt:lpstr>
      <vt:lpstr>Forecasted Volume</vt:lpstr>
      <vt:lpstr>Conversion Factor</vt:lpstr>
      <vt:lpstr>Allocation!Print_Area</vt:lpstr>
      <vt:lpstr>'Forecasted Volume'!Print_Area</vt:lpstr>
      <vt:lpstr>'Rate Impacts Sch 120'!Print_Area</vt:lpstr>
      <vt:lpstr>Rates!Print_Area</vt:lpstr>
      <vt:lpstr>'Rev Requirement'!Print_Area</vt:lpstr>
      <vt:lpstr>'Typical Res Bill Sch 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Waltari, Julie</cp:lastModifiedBy>
  <cp:lastPrinted>2023-02-21T22:33:33Z</cp:lastPrinted>
  <dcterms:created xsi:type="dcterms:W3CDTF">2013-02-25T17:53:58Z</dcterms:created>
  <dcterms:modified xsi:type="dcterms:W3CDTF">2024-02-28T22:15:46Z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0x0101006E56B4D1795A2E4DB2F0B01679ED314A00576C33A9C7D936418B8DE1864735469D</vt:lpwstr>
  </property>
  <property fmtid="{D5CDD505-2E9C-101B-9397-08002B2CF9AE}" pid="3" name="_docset_NoMedatataSyncRequired">
    <vt:lpwstr>False</vt:lpwstr>
  </property>
</Properties>
</file>