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6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ates\Public\RASANEN\#  Rate Filings\Sch 141TEP - Transportation Electrification Program (TEP)\2024\Filed 01-31-24\"/>
    </mc:Choice>
  </mc:AlternateContent>
  <bookViews>
    <workbookView xWindow="120" yWindow="105" windowWidth="15180" windowHeight="6495" tabRatio="931"/>
  </bookViews>
  <sheets>
    <sheet name="Rate Impacts" sheetId="33" r:id="rId1"/>
    <sheet name="Typical Residential Notice" sheetId="113" r:id="rId2"/>
    <sheet name="Allocation" sheetId="72" r:id="rId3"/>
    <sheet name="Estimated Proforma Net Revenue" sheetId="83" r:id="rId4"/>
    <sheet name="TEP 12NCP" sheetId="109" r:id="rId5"/>
    <sheet name="Prior RY Rate Design" sheetId="112" r:id="rId6"/>
    <sheet name="Workpapers&gt;" sheetId="107" r:id="rId7"/>
    <sheet name="2022 GRC Load Research - NCP" sheetId="108" r:id="rId8"/>
    <sheet name="Controls-&gt;" sheetId="110" r:id="rId9"/>
    <sheet name="Inputs" sheetId="1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A" hidden="1">[1]Inputs!#REF!</definedName>
    <definedName name="__123Graph_B" hidden="1">[1]Inputs!#REF!</definedName>
    <definedName name="__123Graph_D" hidden="1">#REF!</definedName>
    <definedName name="__123Graph_ECURRENT" hidden="1">[2]ConsolidatingPL!#REF!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[3]Quant!#REF!</definedName>
    <definedName name="_3__123Graph_ABUDG6_Dtons_inv" hidden="1">[4]Quant!#REF!</definedName>
    <definedName name="_4__123Graph_ABUDG6_Dtons_inv" hidden="1">'[5]Area D 2011'!#REF!</definedName>
    <definedName name="_6__123Graph_CBUDG6_D_ESCRPR" hidden="1">'[6]2012 Area AB BudgetSummary'!#REF!</definedName>
    <definedName name="_7__123Graph_CBUDG6_D_ESCRPR" hidden="1">'[5]Area D 2011'!#REF!</definedName>
    <definedName name="_7__123Graph_DBUDG6_D_ESCRPR" hidden="1">'[6]2012 Area AB BudgetSummary'!#REF!</definedName>
    <definedName name="_8__123Graph_DBUDG6_D_ESCRPR" hidden="1">'[5]Area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Parse_In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62913"/>
</workbook>
</file>

<file path=xl/calcChain.xml><?xml version="1.0" encoding="utf-8"?>
<calcChain xmlns="http://schemas.openxmlformats.org/spreadsheetml/2006/main">
  <c r="C7" i="113" l="1"/>
  <c r="H7" i="113"/>
  <c r="C8" i="113"/>
  <c r="H8" i="113"/>
  <c r="C9" i="113"/>
  <c r="C10" i="113"/>
  <c r="C11" i="113"/>
  <c r="H11" i="113"/>
  <c r="C12" i="113"/>
  <c r="H12" i="113"/>
  <c r="C13" i="113"/>
  <c r="H13" i="113"/>
  <c r="C14" i="113"/>
  <c r="C15" i="113"/>
  <c r="H15" i="113"/>
  <c r="C16" i="113"/>
  <c r="C17" i="113"/>
  <c r="H17" i="113"/>
  <c r="C18" i="113"/>
  <c r="H18" i="113"/>
  <c r="C22" i="113"/>
  <c r="H22" i="113"/>
  <c r="C23" i="113"/>
  <c r="F27" i="113"/>
  <c r="H10" i="113" s="1"/>
  <c r="E28" i="113"/>
  <c r="F28" i="113"/>
  <c r="F30" i="113"/>
  <c r="F31" i="113"/>
  <c r="E50" i="113"/>
  <c r="E51" i="113"/>
  <c r="F33" i="113"/>
  <c r="F51" i="113" s="1"/>
  <c r="F34" i="113"/>
  <c r="F52" i="113" s="1"/>
  <c r="E53" i="113"/>
  <c r="F35" i="113"/>
  <c r="F53" i="113" s="1"/>
  <c r="F36" i="113"/>
  <c r="F54" i="113" s="1"/>
  <c r="F37" i="113"/>
  <c r="F55" i="113" s="1"/>
  <c r="E56" i="113"/>
  <c r="F38" i="113"/>
  <c r="F56" i="113" s="1"/>
  <c r="E57" i="113"/>
  <c r="F39" i="113"/>
  <c r="F57" i="113" s="1"/>
  <c r="E58" i="113"/>
  <c r="E59" i="113"/>
  <c r="F41" i="113"/>
  <c r="F59" i="113" s="1"/>
  <c r="F43" i="113"/>
  <c r="F61" i="113" s="1"/>
  <c r="E62" i="113"/>
  <c r="F44" i="113"/>
  <c r="F62" i="113" s="1"/>
  <c r="E63" i="113"/>
  <c r="F48" i="113"/>
  <c r="F66" i="113"/>
  <c r="F70" i="113"/>
  <c r="E81" i="113"/>
  <c r="B9" i="113" s="1"/>
  <c r="E82" i="113"/>
  <c r="B10" i="113" s="1"/>
  <c r="E85" i="113"/>
  <c r="B13" i="113" s="1"/>
  <c r="E86" i="113"/>
  <c r="B14" i="113" s="1"/>
  <c r="E89" i="113"/>
  <c r="B17" i="113" s="1"/>
  <c r="E90" i="113"/>
  <c r="B18" i="113" s="1"/>
  <c r="C91" i="113" l="1"/>
  <c r="E55" i="113"/>
  <c r="E54" i="113"/>
  <c r="F45" i="113"/>
  <c r="F63" i="113" s="1"/>
  <c r="F32" i="113"/>
  <c r="F50" i="113" s="1"/>
  <c r="D91" i="113"/>
  <c r="E84" i="113"/>
  <c r="B12" i="113" s="1"/>
  <c r="E83" i="113"/>
  <c r="B11" i="113" s="1"/>
  <c r="E49" i="113"/>
  <c r="E88" i="113"/>
  <c r="B16" i="113" s="1"/>
  <c r="E80" i="113"/>
  <c r="B8" i="113" s="1"/>
  <c r="E79" i="113"/>
  <c r="B7" i="113" s="1"/>
  <c r="E87" i="113"/>
  <c r="B15" i="113" s="1"/>
  <c r="E71" i="113"/>
  <c r="E61" i="113"/>
  <c r="F40" i="113"/>
  <c r="F58" i="113" s="1"/>
  <c r="F49" i="113"/>
  <c r="F69" i="113"/>
  <c r="F71" i="113" s="1"/>
  <c r="H14" i="113"/>
  <c r="H16" i="113"/>
  <c r="H9" i="113"/>
  <c r="E52" i="113"/>
  <c r="H23" i="113"/>
  <c r="C20" i="113"/>
  <c r="E93" i="113" l="1"/>
  <c r="E91" i="113"/>
  <c r="B20" i="113"/>
  <c r="B22" i="113"/>
  <c r="H20" i="113"/>
  <c r="H15" i="72" l="1"/>
  <c r="H16" i="72"/>
  <c r="D18" i="33"/>
  <c r="A21" i="83"/>
  <c r="A22" i="83" s="1"/>
  <c r="A23" i="83" s="1"/>
  <c r="A24" i="83" s="1"/>
  <c r="A25" i="83" s="1"/>
  <c r="A26" i="83" s="1"/>
  <c r="A27" i="83" s="1"/>
  <c r="A28" i="83" s="1"/>
  <c r="A29" i="83" s="1"/>
  <c r="A30" i="83" s="1"/>
  <c r="A31" i="83" s="1"/>
  <c r="A32" i="83" s="1"/>
  <c r="A33" i="83" s="1"/>
  <c r="A34" i="83" s="1"/>
  <c r="A35" i="83" s="1"/>
  <c r="H10" i="72"/>
  <c r="H11" i="72"/>
  <c r="H12" i="72"/>
  <c r="H9" i="72"/>
  <c r="D12" i="33" l="1"/>
  <c r="D20" i="33"/>
  <c r="D19" i="33"/>
  <c r="D11" i="33"/>
  <c r="D13" i="33"/>
  <c r="D14" i="33"/>
  <c r="H14" i="72"/>
  <c r="A3" i="83"/>
  <c r="B8" i="111"/>
  <c r="A3" i="33"/>
  <c r="AA33" i="83" l="1"/>
  <c r="F18" i="112" l="1"/>
  <c r="F16" i="112"/>
  <c r="H16" i="112" s="1"/>
  <c r="F20" i="33" s="1"/>
  <c r="A8" i="112"/>
  <c r="A9" i="112" s="1"/>
  <c r="A10" i="112" s="1"/>
  <c r="A11" i="112" s="1"/>
  <c r="A12" i="112" s="1"/>
  <c r="A13" i="112" s="1"/>
  <c r="A14" i="112" s="1"/>
  <c r="A15" i="112" s="1"/>
  <c r="A16" i="112" s="1"/>
  <c r="A17" i="112" s="1"/>
  <c r="A18" i="112" s="1"/>
  <c r="A19" i="112" s="1"/>
  <c r="A20" i="112" s="1"/>
  <c r="A21" i="112" s="1"/>
  <c r="A22" i="112" s="1"/>
  <c r="A23" i="112" s="1"/>
  <c r="A24" i="112" s="1"/>
  <c r="A25" i="112" s="1"/>
  <c r="A26" i="112" s="1"/>
  <c r="A27" i="112" s="1"/>
  <c r="A28" i="112" s="1"/>
  <c r="A29" i="112" s="1"/>
  <c r="F11" i="112" l="1"/>
  <c r="F10" i="112"/>
  <c r="F12" i="112"/>
  <c r="H12" i="112" s="1"/>
  <c r="F14" i="33" s="1"/>
  <c r="F19" i="112"/>
  <c r="F14" i="112"/>
  <c r="H10" i="112"/>
  <c r="F12" i="33" s="1"/>
  <c r="H11" i="112"/>
  <c r="F13" i="33" s="1"/>
  <c r="H19" i="112"/>
  <c r="F25" i="33" s="1"/>
  <c r="H14" i="112"/>
  <c r="F18" i="33" s="1"/>
  <c r="F7" i="112"/>
  <c r="D22" i="112"/>
  <c r="H18" i="112"/>
  <c r="F24" i="33" s="1"/>
  <c r="G22" i="112"/>
  <c r="G29" i="112" s="1"/>
  <c r="F15" i="112"/>
  <c r="H15" i="112" s="1"/>
  <c r="F19" i="33" s="1"/>
  <c r="H7" i="112"/>
  <c r="E42" i="113" s="1"/>
  <c r="F9" i="112"/>
  <c r="H9" i="112" s="1"/>
  <c r="F11" i="33" s="1"/>
  <c r="E60" i="113" l="1"/>
  <c r="E64" i="113" s="1"/>
  <c r="E74" i="113" s="1"/>
  <c r="E46" i="113"/>
  <c r="E73" i="113" s="1"/>
  <c r="F9" i="33"/>
  <c r="F22" i="112"/>
  <c r="H22" i="112" s="1"/>
  <c r="D23" i="113" l="1"/>
  <c r="D18" i="113"/>
  <c r="D12" i="113"/>
  <c r="D10" i="113"/>
  <c r="D11" i="113"/>
  <c r="D8" i="113"/>
  <c r="F8" i="113" s="1"/>
  <c r="D7" i="113"/>
  <c r="D14" i="113"/>
  <c r="F14" i="113" s="1"/>
  <c r="D17" i="113"/>
  <c r="D13" i="113"/>
  <c r="D16" i="113"/>
  <c r="F16" i="113" s="1"/>
  <c r="D9" i="113"/>
  <c r="D15" i="113"/>
  <c r="D22" i="113"/>
  <c r="F22" i="113" s="1"/>
  <c r="E18" i="113"/>
  <c r="E11" i="113"/>
  <c r="F11" i="113" s="1"/>
  <c r="E15" i="113"/>
  <c r="F15" i="113" s="1"/>
  <c r="E10" i="113"/>
  <c r="F10" i="113" s="1"/>
  <c r="E9" i="113"/>
  <c r="E17" i="113"/>
  <c r="E12" i="113"/>
  <c r="F12" i="113" s="1"/>
  <c r="E14" i="113"/>
  <c r="E16" i="113"/>
  <c r="E8" i="113"/>
  <c r="E7" i="113"/>
  <c r="E23" i="113"/>
  <c r="F23" i="113" s="1"/>
  <c r="E13" i="113"/>
  <c r="E22" i="113"/>
  <c r="AA9" i="83"/>
  <c r="T10" i="83"/>
  <c r="AA29" i="83"/>
  <c r="AA28" i="83"/>
  <c r="AA27" i="83"/>
  <c r="M25" i="83"/>
  <c r="N25" i="83"/>
  <c r="O25" i="83"/>
  <c r="AA24" i="83"/>
  <c r="F21" i="83"/>
  <c r="G21" i="83"/>
  <c r="S21" i="83"/>
  <c r="AA19" i="83"/>
  <c r="AA20" i="83"/>
  <c r="AA12" i="83"/>
  <c r="AA13" i="83"/>
  <c r="AA14" i="83"/>
  <c r="AA15" i="83"/>
  <c r="Y9" i="83"/>
  <c r="V10" i="83"/>
  <c r="W10" i="83"/>
  <c r="X10" i="83"/>
  <c r="F9" i="113" l="1"/>
  <c r="D20" i="113"/>
  <c r="F7" i="113"/>
  <c r="F17" i="113"/>
  <c r="F13" i="113"/>
  <c r="E20" i="113"/>
  <c r="F18" i="113"/>
  <c r="S25" i="83"/>
  <c r="G25" i="83"/>
  <c r="D34" i="33"/>
  <c r="H27" i="72"/>
  <c r="Q21" i="83"/>
  <c r="R21" i="83"/>
  <c r="U25" i="83"/>
  <c r="I25" i="83"/>
  <c r="H25" i="83"/>
  <c r="Y18" i="83"/>
  <c r="E21" i="83"/>
  <c r="X16" i="83"/>
  <c r="X31" i="83" s="1"/>
  <c r="X35" i="83" s="1"/>
  <c r="P21" i="83"/>
  <c r="D21" i="83"/>
  <c r="X25" i="83"/>
  <c r="C21" i="83"/>
  <c r="Y14" i="83"/>
  <c r="W16" i="83"/>
  <c r="O21" i="83"/>
  <c r="W25" i="83"/>
  <c r="K25" i="83"/>
  <c r="Y29" i="83"/>
  <c r="V16" i="83"/>
  <c r="N21" i="83"/>
  <c r="V25" i="83"/>
  <c r="J25" i="83"/>
  <c r="Y13" i="83"/>
  <c r="Y24" i="83"/>
  <c r="Y28" i="83"/>
  <c r="Z28" i="83" s="1"/>
  <c r="AB28" i="83" s="1"/>
  <c r="Y15" i="83"/>
  <c r="Z15" i="83" s="1"/>
  <c r="AA16" i="83"/>
  <c r="X21" i="83"/>
  <c r="AA23" i="83"/>
  <c r="AA25" i="83" s="1"/>
  <c r="T25" i="83"/>
  <c r="Y20" i="83"/>
  <c r="W21" i="83"/>
  <c r="K21" i="83"/>
  <c r="Y27" i="83"/>
  <c r="M21" i="83"/>
  <c r="V21" i="83"/>
  <c r="J21" i="83"/>
  <c r="R25" i="83"/>
  <c r="F25" i="83"/>
  <c r="Y12" i="83"/>
  <c r="U21" i="83"/>
  <c r="I21" i="83"/>
  <c r="Q25" i="83"/>
  <c r="E25" i="83"/>
  <c r="AA18" i="83"/>
  <c r="AA21" i="83" s="1"/>
  <c r="T21" i="83"/>
  <c r="H21" i="83"/>
  <c r="P25" i="83"/>
  <c r="D25" i="83"/>
  <c r="Y19" i="83"/>
  <c r="L21" i="83"/>
  <c r="Y23" i="83"/>
  <c r="L25" i="83"/>
  <c r="F20" i="113" l="1"/>
  <c r="V31" i="83"/>
  <c r="V35" i="83" s="1"/>
  <c r="W31" i="83"/>
  <c r="W35" i="83" s="1"/>
  <c r="AB15" i="83"/>
  <c r="E14" i="33" s="1"/>
  <c r="H14" i="33" s="1"/>
  <c r="Y21" i="83"/>
  <c r="A4" i="33" l="1"/>
  <c r="I5" i="72" l="1"/>
  <c r="F10" i="83" l="1"/>
  <c r="R10" i="83"/>
  <c r="J10" i="83"/>
  <c r="K10" i="83"/>
  <c r="Q10" i="83"/>
  <c r="F16" i="83"/>
  <c r="Q16" i="83"/>
  <c r="R16" i="83"/>
  <c r="T16" i="83"/>
  <c r="T31" i="83" s="1"/>
  <c r="R31" i="83" l="1"/>
  <c r="Q31" i="83"/>
  <c r="Q35" i="83" s="1"/>
  <c r="F31" i="83"/>
  <c r="F35" i="83" s="1"/>
  <c r="T35" i="83"/>
  <c r="R35" i="83"/>
  <c r="O10" i="83" l="1"/>
  <c r="P10" i="83" l="1"/>
  <c r="M10" i="83"/>
  <c r="M16" i="83"/>
  <c r="M31" i="83" s="1"/>
  <c r="M35" i="83" l="1"/>
  <c r="N10" i="83" l="1"/>
  <c r="P16" i="83" l="1"/>
  <c r="P31" i="83" s="1"/>
  <c r="O16" i="83"/>
  <c r="O31" i="83" l="1"/>
  <c r="O35" i="83" s="1"/>
  <c r="P35" i="83"/>
  <c r="J16" i="83" l="1"/>
  <c r="J31" i="83" s="1"/>
  <c r="J35" i="83" l="1"/>
  <c r="K16" i="83" l="1"/>
  <c r="K31" i="83" l="1"/>
  <c r="K35" i="83" s="1"/>
  <c r="L10" i="83" l="1"/>
  <c r="G10" i="83"/>
  <c r="I10" i="83"/>
  <c r="H10" i="83"/>
  <c r="E10" i="83"/>
  <c r="I16" i="83"/>
  <c r="L16" i="83"/>
  <c r="L31" i="83" s="1"/>
  <c r="I31" i="83" l="1"/>
  <c r="I35" i="83" s="1"/>
  <c r="L35" i="83"/>
  <c r="E16" i="83"/>
  <c r="G16" i="83"/>
  <c r="G31" i="83" s="1"/>
  <c r="E31" i="83" l="1"/>
  <c r="E35" i="83" s="1"/>
  <c r="G35" i="83"/>
  <c r="H16" i="83" l="1"/>
  <c r="H31" i="83" l="1"/>
  <c r="H35" i="83" s="1"/>
  <c r="S16" i="83"/>
  <c r="N16" i="83" l="1"/>
  <c r="N31" i="83" l="1"/>
  <c r="N35" i="83" s="1"/>
  <c r="S10" i="83"/>
  <c r="S31" i="83" l="1"/>
  <c r="S35" i="83" s="1"/>
  <c r="D10" i="83"/>
  <c r="D16" i="83" l="1"/>
  <c r="D31" i="83" s="1"/>
  <c r="U10" i="83" l="1"/>
  <c r="Z9" i="83"/>
  <c r="U16" i="83"/>
  <c r="U31" i="83" l="1"/>
  <c r="U35" i="83" s="1"/>
  <c r="E6" i="33" l="1"/>
  <c r="I6" i="33"/>
  <c r="G6" i="33"/>
  <c r="D6" i="33"/>
  <c r="H6" i="33" l="1"/>
  <c r="D3" i="109" l="1"/>
  <c r="E3" i="109"/>
  <c r="F3" i="109"/>
  <c r="G3" i="109"/>
  <c r="H3" i="109"/>
  <c r="I3" i="109"/>
  <c r="J3" i="109"/>
  <c r="K3" i="109"/>
  <c r="L3" i="109"/>
  <c r="M3" i="109"/>
  <c r="N3" i="109"/>
  <c r="O3" i="109"/>
  <c r="P3" i="109"/>
  <c r="Q3" i="109"/>
  <c r="R3" i="109"/>
  <c r="S3" i="109"/>
  <c r="T3" i="109"/>
  <c r="D4" i="109"/>
  <c r="E4" i="109"/>
  <c r="F4" i="109"/>
  <c r="G4" i="109"/>
  <c r="H4" i="109"/>
  <c r="I4" i="109"/>
  <c r="J4" i="109"/>
  <c r="K4" i="109"/>
  <c r="L4" i="109"/>
  <c r="M4" i="109"/>
  <c r="N4" i="109"/>
  <c r="O4" i="109"/>
  <c r="P4" i="109"/>
  <c r="Q4" i="109"/>
  <c r="R4" i="109"/>
  <c r="S4" i="109"/>
  <c r="T4" i="109"/>
  <c r="D5" i="109"/>
  <c r="E5" i="109"/>
  <c r="F5" i="109"/>
  <c r="G5" i="109"/>
  <c r="H5" i="109"/>
  <c r="I5" i="109"/>
  <c r="J5" i="109"/>
  <c r="K5" i="109"/>
  <c r="L5" i="109"/>
  <c r="M5" i="109"/>
  <c r="N5" i="109"/>
  <c r="O5" i="109"/>
  <c r="P5" i="109"/>
  <c r="Q5" i="109"/>
  <c r="R5" i="109"/>
  <c r="S5" i="109"/>
  <c r="T5" i="109"/>
  <c r="D6" i="109"/>
  <c r="E6" i="109"/>
  <c r="F6" i="109"/>
  <c r="G6" i="109"/>
  <c r="H6" i="109"/>
  <c r="I6" i="109"/>
  <c r="J6" i="109"/>
  <c r="K6" i="109"/>
  <c r="L6" i="109"/>
  <c r="M6" i="109"/>
  <c r="N6" i="109"/>
  <c r="O6" i="109"/>
  <c r="P6" i="109"/>
  <c r="Q6" i="109"/>
  <c r="R6" i="109"/>
  <c r="S6" i="109"/>
  <c r="T6" i="109"/>
  <c r="D7" i="109"/>
  <c r="E7" i="109"/>
  <c r="F7" i="109"/>
  <c r="G7" i="109"/>
  <c r="H7" i="109"/>
  <c r="I7" i="109"/>
  <c r="J7" i="109"/>
  <c r="K7" i="109"/>
  <c r="L7" i="109"/>
  <c r="M7" i="109"/>
  <c r="N7" i="109"/>
  <c r="O7" i="109"/>
  <c r="P7" i="109"/>
  <c r="Q7" i="109"/>
  <c r="R7" i="109"/>
  <c r="S7" i="109"/>
  <c r="T7" i="109"/>
  <c r="D8" i="109"/>
  <c r="E8" i="109"/>
  <c r="F8" i="109"/>
  <c r="G8" i="109"/>
  <c r="H8" i="109"/>
  <c r="I8" i="109"/>
  <c r="J8" i="109"/>
  <c r="K8" i="109"/>
  <c r="L8" i="109"/>
  <c r="M8" i="109"/>
  <c r="N8" i="109"/>
  <c r="O8" i="109"/>
  <c r="P8" i="109"/>
  <c r="Q8" i="109"/>
  <c r="R8" i="109"/>
  <c r="S8" i="109"/>
  <c r="T8" i="109"/>
  <c r="D9" i="109"/>
  <c r="E9" i="109"/>
  <c r="F9" i="109"/>
  <c r="G9" i="109"/>
  <c r="H9" i="109"/>
  <c r="I9" i="109"/>
  <c r="J9" i="109"/>
  <c r="K9" i="109"/>
  <c r="L9" i="109"/>
  <c r="M9" i="109"/>
  <c r="N9" i="109"/>
  <c r="O9" i="109"/>
  <c r="P9" i="109"/>
  <c r="Q9" i="109"/>
  <c r="R9" i="109"/>
  <c r="S9" i="109"/>
  <c r="T9" i="109"/>
  <c r="D10" i="109"/>
  <c r="E10" i="109"/>
  <c r="F10" i="109"/>
  <c r="G10" i="109"/>
  <c r="H10" i="109"/>
  <c r="I10" i="109"/>
  <c r="J10" i="109"/>
  <c r="K10" i="109"/>
  <c r="L10" i="109"/>
  <c r="M10" i="109"/>
  <c r="N10" i="109"/>
  <c r="O10" i="109"/>
  <c r="P10" i="109"/>
  <c r="Q10" i="109"/>
  <c r="R10" i="109"/>
  <c r="S10" i="109"/>
  <c r="T10" i="109"/>
  <c r="D11" i="109"/>
  <c r="E11" i="109"/>
  <c r="F11" i="109"/>
  <c r="G11" i="109"/>
  <c r="H11" i="109"/>
  <c r="I11" i="109"/>
  <c r="J11" i="109"/>
  <c r="K11" i="109"/>
  <c r="L11" i="109"/>
  <c r="M11" i="109"/>
  <c r="N11" i="109"/>
  <c r="O11" i="109"/>
  <c r="P11" i="109"/>
  <c r="Q11" i="109"/>
  <c r="R11" i="109"/>
  <c r="S11" i="109"/>
  <c r="T11" i="109"/>
  <c r="D12" i="109"/>
  <c r="E12" i="109"/>
  <c r="F12" i="109"/>
  <c r="G12" i="109"/>
  <c r="H12" i="109"/>
  <c r="I12" i="109"/>
  <c r="J12" i="109"/>
  <c r="K12" i="109"/>
  <c r="L12" i="109"/>
  <c r="M12" i="109"/>
  <c r="N12" i="109"/>
  <c r="O12" i="109"/>
  <c r="P12" i="109"/>
  <c r="Q12" i="109"/>
  <c r="R12" i="109"/>
  <c r="S12" i="109"/>
  <c r="T12" i="109"/>
  <c r="D13" i="109"/>
  <c r="E13" i="109"/>
  <c r="F13" i="109"/>
  <c r="G13" i="109"/>
  <c r="H13" i="109"/>
  <c r="I13" i="109"/>
  <c r="J13" i="109"/>
  <c r="K13" i="109"/>
  <c r="L13" i="109"/>
  <c r="M13" i="109"/>
  <c r="N13" i="109"/>
  <c r="O13" i="109"/>
  <c r="P13" i="109"/>
  <c r="Q13" i="109"/>
  <c r="R13" i="109"/>
  <c r="S13" i="109"/>
  <c r="T13" i="109"/>
  <c r="D14" i="109"/>
  <c r="E14" i="109"/>
  <c r="F14" i="109"/>
  <c r="G14" i="109"/>
  <c r="H14" i="109"/>
  <c r="I14" i="109"/>
  <c r="J14" i="109"/>
  <c r="K14" i="109"/>
  <c r="L14" i="109"/>
  <c r="M14" i="109"/>
  <c r="N14" i="109"/>
  <c r="O14" i="109"/>
  <c r="P14" i="109"/>
  <c r="Q14" i="109"/>
  <c r="R14" i="109"/>
  <c r="S14" i="109"/>
  <c r="T14" i="109"/>
  <c r="C4" i="109"/>
  <c r="C5" i="109"/>
  <c r="C6" i="109"/>
  <c r="C7" i="109"/>
  <c r="C8" i="109"/>
  <c r="C9" i="109"/>
  <c r="C10" i="109"/>
  <c r="C11" i="109"/>
  <c r="C12" i="109"/>
  <c r="C13" i="109"/>
  <c r="C14" i="109"/>
  <c r="C3" i="109"/>
  <c r="C16" i="108"/>
  <c r="C17" i="108" s="1"/>
  <c r="S16" i="108"/>
  <c r="R16" i="108"/>
  <c r="Q16" i="108"/>
  <c r="P16" i="108"/>
  <c r="O16" i="108"/>
  <c r="O17" i="108" s="1"/>
  <c r="N16" i="108"/>
  <c r="N17" i="108" s="1"/>
  <c r="M16" i="108"/>
  <c r="M17" i="108" s="1"/>
  <c r="L16" i="108"/>
  <c r="K16" i="108"/>
  <c r="J16" i="108"/>
  <c r="J17" i="108" s="1"/>
  <c r="I16" i="108"/>
  <c r="I17" i="108" s="1"/>
  <c r="H16" i="108"/>
  <c r="H17" i="108" s="1"/>
  <c r="G16" i="108"/>
  <c r="G17" i="108" s="1"/>
  <c r="F16" i="108"/>
  <c r="F17" i="108" s="1"/>
  <c r="E16" i="108"/>
  <c r="E17" i="108" s="1"/>
  <c r="D16" i="108"/>
  <c r="D17" i="108" s="1"/>
  <c r="N17" i="109" l="1"/>
  <c r="M17" i="109"/>
  <c r="J17" i="109"/>
  <c r="J18" i="109" s="1"/>
  <c r="I17" i="109"/>
  <c r="I18" i="109" s="1"/>
  <c r="R17" i="109"/>
  <c r="F17" i="109"/>
  <c r="F18" i="109" s="1"/>
  <c r="C17" i="109"/>
  <c r="C18" i="109" s="1"/>
  <c r="K17" i="109"/>
  <c r="K18" i="109" s="1"/>
  <c r="P17" i="109"/>
  <c r="D17" i="109"/>
  <c r="D18" i="109" s="1"/>
  <c r="H17" i="109"/>
  <c r="H18" i="109" s="1"/>
  <c r="L17" i="109"/>
  <c r="L18" i="109" s="1"/>
  <c r="S17" i="109"/>
  <c r="G17" i="109"/>
  <c r="G18" i="109" s="1"/>
  <c r="Q17" i="109"/>
  <c r="E17" i="109"/>
  <c r="E18" i="109" s="1"/>
  <c r="O17" i="109"/>
  <c r="T17" i="108"/>
  <c r="O18" i="108" s="1"/>
  <c r="T16" i="108"/>
  <c r="T17" i="109" l="1"/>
  <c r="T18" i="109"/>
  <c r="C19" i="109" s="1"/>
  <c r="I18" i="108"/>
  <c r="H18" i="108"/>
  <c r="G18" i="108"/>
  <c r="F18" i="108"/>
  <c r="E18" i="108"/>
  <c r="S18" i="108"/>
  <c r="R18" i="108"/>
  <c r="L18" i="108"/>
  <c r="Q18" i="108"/>
  <c r="K18" i="108"/>
  <c r="P18" i="108"/>
  <c r="J18" i="108"/>
  <c r="C18" i="108"/>
  <c r="N18" i="108"/>
  <c r="M18" i="108"/>
  <c r="D18" i="108"/>
  <c r="J19" i="109" l="1"/>
  <c r="D16" i="72" s="1"/>
  <c r="F16" i="72" s="1"/>
  <c r="I16" i="72" s="1"/>
  <c r="I19" i="109"/>
  <c r="D15" i="72" s="1"/>
  <c r="F15" i="72" s="1"/>
  <c r="I15" i="72" s="1"/>
  <c r="S19" i="109"/>
  <c r="R19" i="109"/>
  <c r="Q19" i="109"/>
  <c r="P19" i="109"/>
  <c r="K19" i="109"/>
  <c r="D18" i="72" s="1"/>
  <c r="F18" i="72" s="1"/>
  <c r="L19" i="109"/>
  <c r="D19" i="72" s="1"/>
  <c r="F19" i="72" s="1"/>
  <c r="N19" i="109"/>
  <c r="M19" i="109"/>
  <c r="O19" i="109"/>
  <c r="H19" i="109"/>
  <c r="D14" i="72" s="1"/>
  <c r="F14" i="72" s="1"/>
  <c r="I14" i="72" s="1"/>
  <c r="E19" i="109"/>
  <c r="D10" i="72" s="1"/>
  <c r="F10" i="72" s="1"/>
  <c r="I10" i="72" s="1"/>
  <c r="F19" i="109"/>
  <c r="D11" i="72" s="1"/>
  <c r="F11" i="72" s="1"/>
  <c r="I11" i="72" s="1"/>
  <c r="G19" i="109"/>
  <c r="D12" i="72" s="1"/>
  <c r="F12" i="72" s="1"/>
  <c r="I12" i="72" s="1"/>
  <c r="D19" i="109"/>
  <c r="D9" i="72" s="1"/>
  <c r="F9" i="72" s="1"/>
  <c r="I9" i="72" s="1"/>
  <c r="D7" i="72"/>
  <c r="F7" i="72" s="1"/>
  <c r="T18" i="108"/>
  <c r="F22" i="72" l="1"/>
  <c r="D22" i="72"/>
  <c r="T19" i="109"/>
  <c r="AB9" i="83"/>
  <c r="AA10" i="83" l="1"/>
  <c r="AA31" i="83" s="1"/>
  <c r="AA35" i="83" l="1"/>
  <c r="Z12" i="83" l="1"/>
  <c r="Z18" i="83"/>
  <c r="Z24" i="83"/>
  <c r="AB24" i="83" s="1"/>
  <c r="Z13" i="83"/>
  <c r="AB13" i="83" s="1"/>
  <c r="E12" i="33" s="1"/>
  <c r="H12" i="33" s="1"/>
  <c r="Z19" i="83"/>
  <c r="AB19" i="83" s="1"/>
  <c r="E19" i="33" s="1"/>
  <c r="H19" i="33" s="1"/>
  <c r="Z27" i="83"/>
  <c r="AB27" i="83" s="1"/>
  <c r="Z14" i="83"/>
  <c r="AB14" i="83" s="1"/>
  <c r="E13" i="33" s="1"/>
  <c r="H13" i="33" s="1"/>
  <c r="Z20" i="83"/>
  <c r="AB20" i="83" s="1"/>
  <c r="E20" i="33" s="1"/>
  <c r="H20" i="33" s="1"/>
  <c r="Z29" i="83"/>
  <c r="AB29" i="83" s="1"/>
  <c r="E34" i="33" s="1"/>
  <c r="Y33" i="83"/>
  <c r="Z33" i="83" s="1"/>
  <c r="AB33" i="83" s="1"/>
  <c r="AB18" i="83" l="1"/>
  <c r="E18" i="33" s="1"/>
  <c r="H18" i="33" s="1"/>
  <c r="Z21" i="83"/>
  <c r="AB12" i="83"/>
  <c r="E11" i="33" s="1"/>
  <c r="H11" i="33" s="1"/>
  <c r="H16" i="33" s="1"/>
  <c r="Z16" i="83"/>
  <c r="Y10" i="83"/>
  <c r="Y25" i="83"/>
  <c r="Y16" i="83"/>
  <c r="Z23" i="83"/>
  <c r="Z25" i="83" s="1"/>
  <c r="Z10" i="83"/>
  <c r="Z31" i="83" l="1"/>
  <c r="Z35" i="83" s="1"/>
  <c r="AB16" i="83"/>
  <c r="AB21" i="83"/>
  <c r="Y31" i="83"/>
  <c r="Y35" i="83" s="1"/>
  <c r="AB23" i="83"/>
  <c r="AB25" i="83" s="1"/>
  <c r="H7" i="72" l="1"/>
  <c r="I7" i="72" s="1"/>
  <c r="F42" i="113" s="1"/>
  <c r="F60" i="113" l="1"/>
  <c r="F64" i="113" s="1"/>
  <c r="F74" i="113" s="1"/>
  <c r="F46" i="113"/>
  <c r="F73" i="113" s="1"/>
  <c r="D35" i="83"/>
  <c r="C16" i="83"/>
  <c r="C10" i="83"/>
  <c r="I23" i="113" l="1"/>
  <c r="I9" i="113"/>
  <c r="I15" i="113"/>
  <c r="I13" i="113"/>
  <c r="I11" i="113"/>
  <c r="I12" i="113"/>
  <c r="I10" i="113"/>
  <c r="K10" i="113" s="1"/>
  <c r="L10" i="113" s="1"/>
  <c r="M10" i="113" s="1"/>
  <c r="I14" i="113"/>
  <c r="K14" i="113" s="1"/>
  <c r="L14" i="113" s="1"/>
  <c r="M14" i="113" s="1"/>
  <c r="I16" i="113"/>
  <c r="I17" i="113"/>
  <c r="K17" i="113" s="1"/>
  <c r="L17" i="113" s="1"/>
  <c r="M17" i="113" s="1"/>
  <c r="I8" i="113"/>
  <c r="K8" i="113" s="1"/>
  <c r="L8" i="113" s="1"/>
  <c r="M8" i="113" s="1"/>
  <c r="I18" i="113"/>
  <c r="K18" i="113" s="1"/>
  <c r="L18" i="113" s="1"/>
  <c r="M18" i="113" s="1"/>
  <c r="I7" i="113"/>
  <c r="I22" i="113"/>
  <c r="K22" i="113" s="1"/>
  <c r="L22" i="113" s="1"/>
  <c r="M22" i="113" s="1"/>
  <c r="J23" i="113"/>
  <c r="J11" i="113"/>
  <c r="J15" i="113"/>
  <c r="J13" i="113"/>
  <c r="J12" i="113"/>
  <c r="K12" i="113" s="1"/>
  <c r="L12" i="113" s="1"/>
  <c r="M12" i="113" s="1"/>
  <c r="J16" i="113"/>
  <c r="K16" i="113" s="1"/>
  <c r="L16" i="113" s="1"/>
  <c r="M16" i="113" s="1"/>
  <c r="J17" i="113"/>
  <c r="J10" i="113"/>
  <c r="J8" i="113"/>
  <c r="J14" i="113"/>
  <c r="J7" i="113"/>
  <c r="J9" i="113"/>
  <c r="J18" i="113"/>
  <c r="J22" i="113"/>
  <c r="C25" i="83"/>
  <c r="I20" i="113" l="1"/>
  <c r="K7" i="113"/>
  <c r="K11" i="113"/>
  <c r="L11" i="113" s="1"/>
  <c r="M11" i="113" s="1"/>
  <c r="K13" i="113"/>
  <c r="L13" i="113" s="1"/>
  <c r="M13" i="113" s="1"/>
  <c r="K15" i="113"/>
  <c r="L15" i="113" s="1"/>
  <c r="M15" i="113" s="1"/>
  <c r="K9" i="113"/>
  <c r="L9" i="113" s="1"/>
  <c r="M9" i="113" s="1"/>
  <c r="J20" i="113"/>
  <c r="K23" i="113"/>
  <c r="L23" i="113" s="1"/>
  <c r="M23" i="113" s="1"/>
  <c r="C31" i="83"/>
  <c r="C35" i="83" s="1"/>
  <c r="K20" i="113" l="1"/>
  <c r="L20" i="113" s="1"/>
  <c r="M20" i="113" s="1"/>
  <c r="L7" i="113"/>
  <c r="M7" i="113" s="1"/>
  <c r="A10" i="83"/>
  <c r="A11" i="83" s="1"/>
  <c r="A12" i="83" s="1"/>
  <c r="A13" i="83" s="1"/>
  <c r="A14" i="83" s="1"/>
  <c r="A15" i="83" s="1"/>
  <c r="A16" i="83" l="1"/>
  <c r="A17" i="83" s="1"/>
  <c r="A18" i="83" s="1"/>
  <c r="A19" i="83" s="1"/>
  <c r="A20" i="83" s="1"/>
  <c r="H26" i="72"/>
  <c r="D32" i="33"/>
  <c r="H19" i="72"/>
  <c r="I19" i="72" s="1"/>
  <c r="D24" i="33"/>
  <c r="D16" i="33" l="1"/>
  <c r="F16" i="33" s="1"/>
  <c r="H25" i="72"/>
  <c r="D33" i="33"/>
  <c r="G20" i="33"/>
  <c r="H18" i="72"/>
  <c r="D25" i="33"/>
  <c r="I18" i="72" l="1"/>
  <c r="G24" i="33" s="1"/>
  <c r="D27" i="33"/>
  <c r="F27" i="33" s="1"/>
  <c r="D22" i="33"/>
  <c r="F22" i="33" s="1"/>
  <c r="H5" i="72"/>
  <c r="A8" i="72" l="1"/>
  <c r="A9" i="72" s="1"/>
  <c r="A10" i="72" s="1"/>
  <c r="A11" i="72" s="1"/>
  <c r="A12" i="72" s="1"/>
  <c r="A13" i="72" s="1"/>
  <c r="A14" i="72" s="1"/>
  <c r="A15" i="72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16" i="72" l="1"/>
  <c r="A17" i="72" s="1"/>
  <c r="A27" i="33"/>
  <c r="A28" i="33" s="1"/>
  <c r="A29" i="33" s="1"/>
  <c r="A18" i="72" l="1"/>
  <c r="A19" i="72" s="1"/>
  <c r="A20" i="72" s="1"/>
  <c r="A21" i="72" s="1"/>
  <c r="A22" i="72" s="1"/>
  <c r="A23" i="72" s="1"/>
  <c r="A24" i="72" s="1"/>
  <c r="G9" i="33"/>
  <c r="A25" i="72" l="1"/>
  <c r="A26" i="72" s="1"/>
  <c r="A27" i="72" s="1"/>
  <c r="A28" i="72" s="1"/>
  <c r="A29" i="72" s="1"/>
  <c r="A30" i="33"/>
  <c r="A31" i="33" s="1"/>
  <c r="A32" i="33" s="1"/>
  <c r="A33" i="33" s="1"/>
  <c r="A34" i="33" s="1"/>
  <c r="A35" i="33" s="1"/>
  <c r="A36" i="33" s="1"/>
  <c r="G18" i="33"/>
  <c r="G14" i="33"/>
  <c r="G19" i="33"/>
  <c r="G13" i="33"/>
  <c r="G25" i="33"/>
  <c r="G27" i="33" l="1"/>
  <c r="G22" i="33"/>
  <c r="G12" i="33" l="1"/>
  <c r="H22" i="72"/>
  <c r="I22" i="72" s="1"/>
  <c r="H29" i="72" l="1"/>
  <c r="D9" i="33"/>
  <c r="D29" i="33" l="1"/>
  <c r="G11" i="33"/>
  <c r="F29" i="33" l="1"/>
  <c r="D36" i="33"/>
  <c r="H33" i="72" s="1"/>
  <c r="G16" i="33"/>
  <c r="I34" i="33" l="1"/>
  <c r="H34" i="33"/>
  <c r="J34" i="33" l="1"/>
  <c r="E33" i="33" l="1"/>
  <c r="H33" i="33" l="1"/>
  <c r="I33" i="33"/>
  <c r="J33" i="33" l="1"/>
  <c r="I13" i="33" l="1"/>
  <c r="J13" i="33" l="1"/>
  <c r="K13" i="33" s="1"/>
  <c r="I12" i="33" l="1"/>
  <c r="J12" i="33" l="1"/>
  <c r="K12" i="33" s="1"/>
  <c r="AB10" i="83"/>
  <c r="AB31" i="83" s="1"/>
  <c r="E9" i="33"/>
  <c r="H9" i="33" s="1"/>
  <c r="I11" i="33"/>
  <c r="J11" i="33" l="1"/>
  <c r="I9" i="33"/>
  <c r="J9" i="33" l="1"/>
  <c r="K11" i="33"/>
  <c r="K9" i="33" l="1"/>
  <c r="E25" i="33" l="1"/>
  <c r="H25" i="33" s="1"/>
  <c r="E24" i="33"/>
  <c r="H24" i="33" s="1"/>
  <c r="E27" i="33" l="1"/>
  <c r="I24" i="33"/>
  <c r="I20" i="33"/>
  <c r="E16" i="33"/>
  <c r="I19" i="33"/>
  <c r="I25" i="33"/>
  <c r="E32" i="33"/>
  <c r="I14" i="33"/>
  <c r="I16" i="33" s="1"/>
  <c r="AB35" i="83"/>
  <c r="E22" i="33" l="1"/>
  <c r="E29" i="33" s="1"/>
  <c r="E36" i="33" s="1"/>
  <c r="J24" i="33"/>
  <c r="K24" i="33" s="1"/>
  <c r="H27" i="33"/>
  <c r="I27" i="33"/>
  <c r="J20" i="33"/>
  <c r="H32" i="33"/>
  <c r="J19" i="33"/>
  <c r="K19" i="33" s="1"/>
  <c r="J25" i="33"/>
  <c r="K25" i="33" s="1"/>
  <c r="I32" i="33"/>
  <c r="J14" i="33"/>
  <c r="J16" i="33" s="1"/>
  <c r="H22" i="33"/>
  <c r="I18" i="33"/>
  <c r="I22" i="33" s="1"/>
  <c r="K20" i="33" l="1"/>
  <c r="J27" i="33"/>
  <c r="K27" i="33" s="1"/>
  <c r="H29" i="33"/>
  <c r="H36" i="33" s="1"/>
  <c r="I29" i="33"/>
  <c r="I36" i="33" s="1"/>
  <c r="J32" i="33"/>
  <c r="K16" i="33"/>
  <c r="J18" i="33"/>
  <c r="J22" i="33" s="1"/>
  <c r="K22" i="33" s="1"/>
  <c r="K14" i="33"/>
  <c r="K18" i="33" l="1"/>
  <c r="H34" i="72"/>
  <c r="J29" i="33" l="1"/>
  <c r="J36" i="33" s="1"/>
  <c r="G29" i="33"/>
  <c r="K29" i="33" l="1"/>
</calcChain>
</file>

<file path=xl/sharedStrings.xml><?xml version="1.0" encoding="utf-8"?>
<sst xmlns="http://schemas.openxmlformats.org/spreadsheetml/2006/main" count="439" uniqueCount="248">
  <si>
    <t>Line No.</t>
  </si>
  <si>
    <t>Residential</t>
  </si>
  <si>
    <t>Sec Gen Svc - Small</t>
  </si>
  <si>
    <t>Sec Gen Svc - Medium</t>
  </si>
  <si>
    <t>Sec Gen Svc - Large</t>
  </si>
  <si>
    <t>Sec Irrigation Svc</t>
  </si>
  <si>
    <t>Pri Gen Svc</t>
  </si>
  <si>
    <t>Pri Irrigation Svc</t>
  </si>
  <si>
    <t>Pri Interruptible Svc</t>
  </si>
  <si>
    <t>Lights</t>
  </si>
  <si>
    <t>Subtotal</t>
  </si>
  <si>
    <t>Transportation</t>
  </si>
  <si>
    <t>Total</t>
  </si>
  <si>
    <t>Puget Sound Energy</t>
  </si>
  <si>
    <t>a</t>
  </si>
  <si>
    <t>b</t>
  </si>
  <si>
    <t>c</t>
  </si>
  <si>
    <t>CUSTOMER CLASS</t>
  </si>
  <si>
    <t>SCHEDULE</t>
  </si>
  <si>
    <t>Increase / Decrease 
$</t>
  </si>
  <si>
    <t>Increase / Decrease
%</t>
  </si>
  <si>
    <t>Secondary Service Total</t>
  </si>
  <si>
    <t>Primary Service Total</t>
  </si>
  <si>
    <t>HV Interruptible Svc</t>
  </si>
  <si>
    <t>HV Gen Svc</t>
  </si>
  <si>
    <t>High Voltage Service Total</t>
  </si>
  <si>
    <t>Small Firm Resale</t>
  </si>
  <si>
    <t>005</t>
  </si>
  <si>
    <t>Excluded Schedules</t>
  </si>
  <si>
    <t>$ / kWh</t>
  </si>
  <si>
    <t>kWh</t>
  </si>
  <si>
    <t>Residential Customer Impacts</t>
  </si>
  <si>
    <t>Month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</si>
  <si>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</si>
  <si>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</si>
  <si>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</si>
  <si>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</si>
  <si>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</si>
  <si>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</si>
  <si>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</si>
  <si>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</si>
  <si>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</si>
  <si>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</si>
  <si>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</si>
  <si>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</si>
  <si>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</si>
  <si>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</si>
  <si>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</si>
  <si>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Customer Monthly Charge:</t>
  </si>
  <si>
    <t>per Month</t>
  </si>
  <si>
    <t>Energy Charge:</t>
  </si>
  <si>
    <t>Schedule 7 first 600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</si>
  <si>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</si>
  <si>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</si>
  <si>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</si>
  <si>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</si>
  <si>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</si>
  <si>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50-59</t>
  </si>
  <si>
    <t>Customer Class</t>
  </si>
  <si>
    <t>Firm Resale - Small</t>
  </si>
  <si>
    <t>d</t>
  </si>
  <si>
    <t>g = f - e</t>
  </si>
  <si>
    <t>h = g / e</t>
  </si>
  <si>
    <t>Total Secondary Voltage</t>
  </si>
  <si>
    <t>Total Primary Voltage</t>
  </si>
  <si>
    <t>Total High Voltage</t>
  </si>
  <si>
    <t>Schedule 95A - Wind Power Production Credit</t>
  </si>
  <si>
    <t>Schedule 140 - Property Tax Rider</t>
  </si>
  <si>
    <t>Schedule 142 - Decoupling Rider</t>
  </si>
  <si>
    <t>Subtotal Base Monthly Charge</t>
  </si>
  <si>
    <t>Subtotal Base First 600 kWh Charge</t>
  </si>
  <si>
    <t>Subtotal Base Over 600 kWh Charge</t>
  </si>
  <si>
    <t>11, 25 &amp; 7A</t>
  </si>
  <si>
    <t>10 &amp; 31</t>
  </si>
  <si>
    <t>12, 26 &amp; 26P</t>
  </si>
  <si>
    <t>HV - Interruptible Svc</t>
  </si>
  <si>
    <t>HV - General Svc</t>
  </si>
  <si>
    <t>e = 
b + (a * c)</t>
  </si>
  <si>
    <t>f = 
b + (a * d)</t>
  </si>
  <si>
    <t>f</t>
  </si>
  <si>
    <t>j</t>
  </si>
  <si>
    <t xml:space="preserve">Typical Residential </t>
  </si>
  <si>
    <t>Residential Schedule 7 Rates</t>
  </si>
  <si>
    <t>One Phase Basic Charge</t>
  </si>
  <si>
    <t>Other Electric Charges and Credits</t>
  </si>
  <si>
    <t>Subtotal Other Charges</t>
  </si>
  <si>
    <t>Total Block 1 Energy Charge</t>
  </si>
  <si>
    <t>Total Block 2 Energy Charge</t>
  </si>
  <si>
    <t>Tariff</t>
  </si>
  <si>
    <t>All Sales</t>
  </si>
  <si>
    <t>Schedules</t>
  </si>
  <si>
    <t>8/24</t>
  </si>
  <si>
    <t>7A/11/25</t>
  </si>
  <si>
    <t>12/26</t>
  </si>
  <si>
    <t>10/31</t>
  </si>
  <si>
    <t>e</t>
  </si>
  <si>
    <t>h</t>
  </si>
  <si>
    <t>i</t>
  </si>
  <si>
    <t>k</t>
  </si>
  <si>
    <t>l</t>
  </si>
  <si>
    <t>g</t>
  </si>
  <si>
    <t>Transportation/Special Contract</t>
  </si>
  <si>
    <t>449 / 459 / SC</t>
  </si>
  <si>
    <t>m</t>
  </si>
  <si>
    <t>449-459-SC</t>
  </si>
  <si>
    <t>Schedule 141Z - EDIT Rider</t>
  </si>
  <si>
    <t>Bill</t>
  </si>
  <si>
    <t>Over 600 kWh</t>
  </si>
  <si>
    <t>First 600 kWh</t>
  </si>
  <si>
    <t>Basic Charge</t>
  </si>
  <si>
    <t>Proposed Customer Bill in Notice</t>
  </si>
  <si>
    <t>Current Customer Bill in Notice</t>
  </si>
  <si>
    <t>n</t>
  </si>
  <si>
    <t>Tariff Sheet No. Reference</t>
  </si>
  <si>
    <t>Schedule 142 - Decoupling Rider - Supplemental</t>
  </si>
  <si>
    <t>Schedule 95 - Power Cost Adjustment Clause-Supplemental</t>
  </si>
  <si>
    <t>o</t>
  </si>
  <si>
    <t>p</t>
  </si>
  <si>
    <t>Cross check</t>
  </si>
  <si>
    <t>Base</t>
  </si>
  <si>
    <t>q</t>
  </si>
  <si>
    <t>s</t>
  </si>
  <si>
    <t>x</t>
  </si>
  <si>
    <t>Schedule 141 TEP Removal</t>
  </si>
  <si>
    <t>Allocation of Revenue Requirement to Rate Schedule 141TEP</t>
  </si>
  <si>
    <t>YearMo</t>
  </si>
  <si>
    <t>_NAME_</t>
  </si>
  <si>
    <t>SCH_7</t>
  </si>
  <si>
    <t>SCH_24</t>
  </si>
  <si>
    <t>SCH_25</t>
  </si>
  <si>
    <t>SCH_26</t>
  </si>
  <si>
    <t>SCH_29</t>
  </si>
  <si>
    <t>SCH_31</t>
  </si>
  <si>
    <t>SCH_35</t>
  </si>
  <si>
    <t>SCH_43</t>
  </si>
  <si>
    <t>SCH_46</t>
  </si>
  <si>
    <t>SCH_49</t>
  </si>
  <si>
    <t>SCH_50</t>
  </si>
  <si>
    <t>SCH_55</t>
  </si>
  <si>
    <t>SCH_5</t>
  </si>
  <si>
    <t>SCH_449HV</t>
  </si>
  <si>
    <t>SCH_449PV</t>
  </si>
  <si>
    <t>SCH_459HV</t>
  </si>
  <si>
    <t>SCH_SC</t>
  </si>
  <si>
    <t>System</t>
  </si>
  <si>
    <t>202007</t>
  </si>
  <si>
    <t>Load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</si>
  <si>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</si>
  <si>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</si>
  <si>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</si>
  <si>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</si>
  <si>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</si>
  <si>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</si>
  <si>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</si>
  <si>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</si>
  <si>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</si>
  <si>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</si>
  <si>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</si>
  <si>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Average 12NCP, Including Retail Wheeling &amp; Special Contract</t>
  </si>
  <si>
    <t>Average 12NCP, Primary &amp; Secondary Voltage Only</t>
  </si>
  <si>
    <t>DEM-4</t>
  </si>
  <si>
    <t>12NCP,  Excluding Interruptibles, Includes Retail Wheeling &amp; Special Contract</t>
  </si>
  <si>
    <t>Special Contract</t>
  </si>
  <si>
    <t>Lighting</t>
  </si>
  <si>
    <t>Transportation (Non-Retail Wheeling)</t>
  </si>
  <si>
    <t>Firm Resale</t>
  </si>
  <si>
    <t>12 NCP (Excluding Non-TEP Eligible Classes)*</t>
  </si>
  <si>
    <t>*Excluded :</t>
  </si>
  <si>
    <t>Proposed Rider Rate Effective Start Date</t>
  </si>
  <si>
    <t>Proposed Rider Rate Effective End Date</t>
  </si>
  <si>
    <t>Current Rider Rate Effective Date</t>
  </si>
  <si>
    <t>Budget Forecast</t>
  </si>
  <si>
    <t>Forecasted Test Period Start Date</t>
  </si>
  <si>
    <t>Forecasted Test Period End Date</t>
  </si>
  <si>
    <t>Base Revenue Rate Effective Date</t>
  </si>
  <si>
    <t>Estimated Net Annual Proforma Base Revenue (Excluding Sch 141TEP)</t>
  </si>
  <si>
    <t>r</t>
  </si>
  <si>
    <t>u</t>
  </si>
  <si>
    <t>Schedule 141A - Energy Charge Credit Recovery Adjustment</t>
  </si>
  <si>
    <t>Schedule 141COL - Colstrip Adjustment Rider</t>
  </si>
  <si>
    <t>Schedule 141N - Rates Not Subject to Refund Rate Adjustment</t>
  </si>
  <si>
    <t>Schedule 141R - Rates Subject to Refund Rate Adjustment</t>
  </si>
  <si>
    <t>Schedule 141TEP - TEP Rider</t>
  </si>
  <si>
    <t>Subtotal
Rider
Rates</t>
  </si>
  <si>
    <t>12NCP, Lighting, Retail Wheeling &amp; Special Contract</t>
  </si>
  <si>
    <t>F2023</t>
  </si>
  <si>
    <t>Transportation 449-459</t>
  </si>
  <si>
    <t>Retail Sales</t>
  </si>
  <si>
    <t>t</t>
  </si>
  <si>
    <t>v</t>
  </si>
  <si>
    <t>w = ∑
(c to v)</t>
  </si>
  <si>
    <t>z                                            x + y</t>
  </si>
  <si>
    <t>y = (r)</t>
  </si>
  <si>
    <t>8 &amp; 24, 324</t>
  </si>
  <si>
    <t>2023 Revenue Requirement</t>
  </si>
  <si>
    <t>Allocated 2023 Revenue Requirement</t>
  </si>
  <si>
    <t>c = a * b</t>
  </si>
  <si>
    <t>e = c / d</t>
  </si>
  <si>
    <t>Current
Rate
$ per kWh</t>
  </si>
  <si>
    <t>2024 Revenue Requirement</t>
  </si>
  <si>
    <t>Allocated 2024 Revenue Requirement</t>
  </si>
  <si>
    <t>Rate Impacts for Sch. 141TEP Transportation Electrification Plan (TEP)</t>
  </si>
  <si>
    <t>7, 307, 317, 327</t>
  </si>
  <si>
    <t>*Note 1:  Sch 141TEP Transportation Electrification Plan revenue is excluded, all other applicable revenue is included.</t>
  </si>
  <si>
    <t>141TEP-A</t>
  </si>
  <si>
    <t>141TEP-B</t>
  </si>
  <si>
    <t>Riders &amp; Trackers</t>
  </si>
  <si>
    <t>Statement of Proforma and Proposed Revenues for Transportation Electrification Plan (TEP)</t>
  </si>
  <si>
    <t>24 (8), 324</t>
  </si>
  <si>
    <t>25 (11, 7A)</t>
  </si>
  <si>
    <t>26 (12, 26P)</t>
  </si>
  <si>
    <t>31 (10)</t>
  </si>
  <si>
    <t>Average</t>
  </si>
  <si>
    <t>Average Use per Customer</t>
  </si>
  <si>
    <t>Forecast Customer Count</t>
  </si>
  <si>
    <t>Forecast kWh</t>
  </si>
  <si>
    <t>Month No.</t>
  </si>
  <si>
    <t>Year</t>
  </si>
  <si>
    <t>Schedule 137 Renewable Energy Credit (REC)</t>
  </si>
  <si>
    <t>Schedule 141CEI Clean Energy Implementation Plan</t>
  </si>
  <si>
    <t>Schedule 129D - Bill Discount Rate Rider</t>
  </si>
  <si>
    <t>Twelve Months Ended February 28, 2025</t>
  </si>
  <si>
    <t>Present Rates Effective 01/01/2024</t>
  </si>
  <si>
    <t>Proposed Rates Effective 03/01/2024</t>
  </si>
  <si>
    <t>Average Residential Usage Test Year Ended February 28, 2025</t>
  </si>
  <si>
    <t>Annual kWh Delivered Sales  03/01/24 to 02/28/25 (F2023)</t>
  </si>
  <si>
    <t>Estimated Annual
Base Revenue
Rates Effective
01/11/23</t>
  </si>
  <si>
    <t>Schedule 95
PCA Supplemental</t>
  </si>
  <si>
    <t>Schedule 95</t>
  </si>
  <si>
    <t>Schedule 95A
Federal Incentive Credit</t>
  </si>
  <si>
    <t>Schedule 120
Conservation</t>
  </si>
  <si>
    <t>Schedule 129
Low Income</t>
  </si>
  <si>
    <t>Schedule 129D
Bill Discount</t>
  </si>
  <si>
    <t xml:space="preserve">Schedule 139 Green Direct </t>
  </si>
  <si>
    <t>Schedule 139 Green Direct Supplemental</t>
  </si>
  <si>
    <t>Schedule 140
Property Tax</t>
  </si>
  <si>
    <t>Schedule 141A
Energy Charge Credit</t>
  </si>
  <si>
    <t>Schedule 141COL
Colstrip Adjustment</t>
  </si>
  <si>
    <t>Schedule 141N
Rates Not Subject to Refund</t>
  </si>
  <si>
    <t>Schedule 141R
Rates Subject to Refund</t>
  </si>
  <si>
    <t>Schedule 141TEP</t>
  </si>
  <si>
    <t>Schedule 141Z (Unprotected)
EDIT</t>
  </si>
  <si>
    <t>Schedule 142
 Deferral</t>
  </si>
  <si>
    <t>Schedule 142
Supplemental</t>
  </si>
  <si>
    <t>Schedule 194
BPA Res &amp; Farm Credit</t>
  </si>
  <si>
    <t>Annual Estimated Revenue @ Rates Effective 01/01/24</t>
  </si>
  <si>
    <t>Annual kWh Delivered Sales  03/01/23 to 02/29/24 (F2022)</t>
  </si>
  <si>
    <t>$ per kWh Proposed Eff  March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</si>
</sst>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\ \¢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????_);_(@_)"/>
    <numFmt numFmtId="170" formatCode="m/d/yyyy;@"/>
    <numFmt numFmtId="171" formatCode="mm/dd/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8080"/>
      <name val="Arial"/>
      <family val="2"/>
    </font>
    <font>
      <b/>
      <sz val="8"/>
      <color rgb="FF0033CC"/>
      <name val="Arial"/>
      <family val="2"/>
    </font>
    <font>
      <u val="singleAccounting"/>
      <sz val="8"/>
      <name val="Arial"/>
      <family val="2"/>
    </font>
    <font>
      <u val="singleAccounting"/>
      <sz val="8"/>
      <color rgb="FF00808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8"/>
      <color rgb="FF0033CC"/>
      <name val="Arial"/>
      <family val="2"/>
    </font>
    <font>
      <b/>
      <sz val="8"/>
      <color rgb="FF00808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/>
      <right/>
      <top/>
      <bottom style="medium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6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/>
    <xf numFmtId="164" fontId="2" fillId="0" borderId="4" xfId="0" applyNumberFormat="1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Alignment="1">
      <alignment horizontal="centerContinuous"/>
    </xf>
    <xf numFmtId="164" fontId="2" fillId="0" borderId="0" xfId="0" applyNumberFormat="1" applyFont="1" applyFill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2" fillId="0" borderId="9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3" fillId="0" borderId="3" xfId="0" quotePrefix="1" applyNumberFormat="1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164" fontId="2" fillId="0" borderId="3" xfId="0" applyNumberFormat="1" applyFont="1" applyFill="1" applyBorder="1"/>
    <xf numFmtId="0" fontId="2" fillId="0" borderId="12" xfId="0" applyFont="1" applyFill="1" applyBorder="1"/>
    <xf numFmtId="0" fontId="3" fillId="0" borderId="1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indent="1"/>
    </xf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165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165" fontId="2" fillId="0" borderId="0" xfId="0" applyNumberFormat="1" applyFont="1" applyFill="1" applyBorder="1"/>
    <xf numFmtId="165" fontId="2" fillId="0" borderId="4" xfId="0" applyNumberFormat="1" applyFont="1" applyFill="1" applyBorder="1"/>
    <xf numFmtId="0" fontId="3" fillId="0" borderId="0" xfId="0" applyFont="1" applyFill="1"/>
    <xf numFmtId="0" fontId="3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17" fontId="3" fillId="0" borderId="18" xfId="0" quotePrefix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9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7" fillId="0" borderId="3" xfId="0" quotePrefix="1" applyFont="1" applyFill="1" applyBorder="1" applyAlignment="1">
      <alignment horizontal="center" wrapText="1"/>
    </xf>
    <xf numFmtId="168" fontId="2" fillId="0" borderId="0" xfId="0" applyNumberFormat="1" applyFont="1" applyFill="1" applyBorder="1"/>
    <xf numFmtId="167" fontId="2" fillId="0" borderId="10" xfId="0" applyNumberFormat="1" applyFont="1" applyFill="1" applyBorder="1" applyAlignment="1">
      <alignment horizontal="center"/>
    </xf>
    <xf numFmtId="16" fontId="2" fillId="0" borderId="0" xfId="0" applyNumberFormat="1" applyFont="1" applyFill="1" applyBorder="1"/>
    <xf numFmtId="166" fontId="2" fillId="0" borderId="10" xfId="0" applyNumberFormat="1" applyFont="1" applyFill="1" applyBorder="1" applyAlignment="1">
      <alignment horizontal="center"/>
    </xf>
    <xf numFmtId="165" fontId="2" fillId="0" borderId="1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left" indent="1"/>
    </xf>
    <xf numFmtId="10" fontId="6" fillId="0" borderId="0" xfId="0" applyNumberFormat="1" applyFont="1" applyFill="1" applyBorder="1"/>
    <xf numFmtId="10" fontId="2" fillId="0" borderId="0" xfId="0" applyNumberFormat="1" applyFont="1" applyFill="1" applyBorder="1"/>
    <xf numFmtId="164" fontId="8" fillId="0" borderId="0" xfId="0" applyNumberFormat="1" applyFont="1" applyFill="1" applyBorder="1"/>
    <xf numFmtId="0" fontId="3" fillId="0" borderId="0" xfId="0" applyFont="1" applyFill="1" applyAlignment="1"/>
    <xf numFmtId="0" fontId="3" fillId="0" borderId="0" xfId="0" quotePrefix="1" applyFont="1" applyFill="1" applyAlignment="1"/>
    <xf numFmtId="0" fontId="3" fillId="0" borderId="2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164" fontId="2" fillId="0" borderId="0" xfId="0" applyNumberFormat="1" applyFont="1" applyFill="1" applyBorder="1"/>
    <xf numFmtId="0" fontId="2" fillId="0" borderId="3" xfId="0" applyFont="1" applyFill="1" applyBorder="1"/>
    <xf numFmtId="164" fontId="5" fillId="0" borderId="0" xfId="0" applyNumberFormat="1" applyFont="1" applyFill="1"/>
    <xf numFmtId="0" fontId="3" fillId="0" borderId="1" xfId="0" applyFont="1" applyFill="1" applyBorder="1" applyAlignment="1">
      <alignment horizontal="centerContinuous"/>
    </xf>
    <xf numFmtId="0" fontId="3" fillId="0" borderId="21" xfId="0" applyFont="1" applyFill="1" applyBorder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0" fontId="11" fillId="0" borderId="0" xfId="0" quotePrefix="1" applyFont="1" applyAlignment="1">
      <alignment horizontal="left"/>
    </xf>
    <xf numFmtId="164" fontId="11" fillId="0" borderId="0" xfId="0" applyNumberFormat="1" applyFont="1"/>
    <xf numFmtId="10" fontId="11" fillId="0" borderId="0" xfId="0" applyNumberFormat="1" applyFont="1"/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/>
    <xf numFmtId="4" fontId="11" fillId="0" borderId="27" xfId="0" applyNumberFormat="1" applyFont="1" applyBorder="1"/>
    <xf numFmtId="0" fontId="11" fillId="0" borderId="27" xfId="0" applyFont="1" applyBorder="1"/>
    <xf numFmtId="164" fontId="11" fillId="0" borderId="27" xfId="0" applyNumberFormat="1" applyFont="1" applyBorder="1"/>
    <xf numFmtId="10" fontId="11" fillId="0" borderId="28" xfId="0" applyNumberFormat="1" applyFont="1" applyBorder="1"/>
    <xf numFmtId="0" fontId="10" fillId="0" borderId="29" xfId="0" applyFont="1" applyBorder="1"/>
    <xf numFmtId="0" fontId="10" fillId="0" borderId="30" xfId="0" applyFont="1" applyBorder="1"/>
    <xf numFmtId="4" fontId="11" fillId="0" borderId="31" xfId="0" applyNumberFormat="1" applyFont="1" applyBorder="1"/>
    <xf numFmtId="4" fontId="11" fillId="0" borderId="32" xfId="0" applyNumberFormat="1" applyFont="1" applyBorder="1"/>
    <xf numFmtId="0" fontId="11" fillId="0" borderId="31" xfId="0" applyFont="1" applyBorder="1"/>
    <xf numFmtId="0" fontId="11" fillId="0" borderId="32" xfId="0" applyFont="1" applyBorder="1"/>
    <xf numFmtId="164" fontId="11" fillId="0" borderId="31" xfId="0" applyNumberFormat="1" applyFont="1" applyBorder="1"/>
    <xf numFmtId="164" fontId="11" fillId="0" borderId="32" xfId="0" applyNumberFormat="1" applyFont="1" applyBorder="1"/>
    <xf numFmtId="10" fontId="11" fillId="0" borderId="33" xfId="0" applyNumberFormat="1" applyFont="1" applyBorder="1"/>
    <xf numFmtId="10" fontId="11" fillId="0" borderId="34" xfId="0" applyNumberFormat="1" applyFont="1" applyBorder="1"/>
    <xf numFmtId="0" fontId="10" fillId="0" borderId="35" xfId="0" applyFont="1" applyBorder="1"/>
    <xf numFmtId="4" fontId="11" fillId="0" borderId="0" xfId="0" applyNumberFormat="1" applyFont="1" applyBorder="1"/>
    <xf numFmtId="0" fontId="11" fillId="0" borderId="0" xfId="0" applyFont="1" applyBorder="1"/>
    <xf numFmtId="164" fontId="11" fillId="0" borderId="0" xfId="0" applyNumberFormat="1" applyFont="1" applyBorder="1"/>
    <xf numFmtId="10" fontId="11" fillId="0" borderId="36" xfId="0" applyNumberFormat="1" applyFont="1" applyBorder="1"/>
    <xf numFmtId="0" fontId="10" fillId="0" borderId="27" xfId="0" applyFont="1" applyBorder="1"/>
    <xf numFmtId="0" fontId="12" fillId="0" borderId="0" xfId="0" applyFont="1" applyFill="1" applyBorder="1"/>
    <xf numFmtId="0" fontId="1" fillId="0" borderId="0" xfId="1"/>
    <xf numFmtId="0" fontId="2" fillId="0" borderId="0" xfId="1" quotePrefix="1" applyFont="1" applyAlignment="1">
      <alignment horizontal="left"/>
    </xf>
    <xf numFmtId="170" fontId="3" fillId="0" borderId="0" xfId="1" quotePrefix="1" applyNumberFormat="1" applyFont="1" applyFill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0" fillId="0" borderId="0" xfId="0" applyAlignment="1">
      <alignment wrapText="1"/>
    </xf>
    <xf numFmtId="0" fontId="2" fillId="0" borderId="0" xfId="3" applyFont="1"/>
    <xf numFmtId="0" fontId="2" fillId="0" borderId="0" xfId="3" applyFont="1" applyFill="1"/>
    <xf numFmtId="0" fontId="3" fillId="0" borderId="0" xfId="0" quotePrefix="1" applyFont="1" applyFill="1" applyAlignment="1">
      <alignment horizontal="centerContinuous"/>
    </xf>
    <xf numFmtId="165" fontId="9" fillId="0" borderId="0" xfId="0" applyNumberFormat="1" applyFont="1" applyFill="1" applyBorder="1"/>
    <xf numFmtId="165" fontId="2" fillId="0" borderId="0" xfId="2" applyNumberFormat="1" applyFont="1" applyFill="1" applyBorder="1"/>
    <xf numFmtId="0" fontId="3" fillId="0" borderId="9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 wrapText="1"/>
    </xf>
    <xf numFmtId="0" fontId="3" fillId="0" borderId="12" xfId="0" quotePrefix="1" applyFont="1" applyFill="1" applyBorder="1" applyAlignment="1">
      <alignment horizont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0" fontId="2" fillId="0" borderId="0" xfId="3" quotePrefix="1" applyFont="1" applyFill="1" applyAlignment="1">
      <alignment horizontal="left" indent="2"/>
    </xf>
    <xf numFmtId="0" fontId="3" fillId="0" borderId="0" xfId="0" quotePrefix="1" applyFont="1" applyAlignment="1">
      <alignment horizontal="centerContinuous"/>
    </xf>
    <xf numFmtId="0" fontId="3" fillId="0" borderId="16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64" fontId="2" fillId="0" borderId="0" xfId="0" quotePrefix="1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10" xfId="0" quotePrefix="1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wrapText="1"/>
    </xf>
    <xf numFmtId="10" fontId="2" fillId="0" borderId="10" xfId="0" applyNumberFormat="1" applyFont="1" applyFill="1" applyBorder="1"/>
    <xf numFmtId="165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5" fontId="2" fillId="0" borderId="2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wrapText="1"/>
    </xf>
    <xf numFmtId="167" fontId="15" fillId="0" borderId="0" xfId="0" applyNumberFormat="1" applyFont="1" applyFill="1" applyBorder="1"/>
    <xf numFmtId="167" fontId="6" fillId="0" borderId="0" xfId="0" applyNumberFormat="1" applyFont="1" applyFill="1" applyBorder="1"/>
    <xf numFmtId="0" fontId="2" fillId="0" borderId="0" xfId="0" quotePrefix="1" applyFont="1" applyFill="1" applyBorder="1" applyAlignment="1"/>
    <xf numFmtId="0" fontId="2" fillId="0" borderId="3" xfId="0" applyFont="1" applyFill="1" applyBorder="1" applyAlignment="1">
      <alignment horizontal="center"/>
    </xf>
    <xf numFmtId="165" fontId="2" fillId="0" borderId="3" xfId="0" applyNumberFormat="1" applyFont="1" applyFill="1" applyBorder="1"/>
    <xf numFmtId="0" fontId="2" fillId="0" borderId="6" xfId="0" applyFont="1" applyBorder="1" applyAlignment="1">
      <alignment horizontal="centerContinuous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3" xfId="0" applyFont="1" applyBorder="1" applyAlignment="1"/>
    <xf numFmtId="0" fontId="2" fillId="0" borderId="12" xfId="0" applyFont="1" applyBorder="1" applyAlignment="1"/>
    <xf numFmtId="0" fontId="2" fillId="0" borderId="0" xfId="0" applyFont="1" applyAlignment="1">
      <alignment wrapText="1"/>
    </xf>
    <xf numFmtId="164" fontId="2" fillId="2" borderId="12" xfId="3" applyNumberFormat="1" applyFont="1" applyFill="1" applyBorder="1"/>
    <xf numFmtId="164" fontId="2" fillId="2" borderId="3" xfId="3" applyNumberFormat="1" applyFont="1" applyFill="1" applyBorder="1"/>
    <xf numFmtId="0" fontId="2" fillId="2" borderId="3" xfId="3" applyFont="1" applyFill="1" applyBorder="1"/>
    <xf numFmtId="164" fontId="2" fillId="2" borderId="10" xfId="3" applyNumberFormat="1" applyFont="1" applyFill="1" applyBorder="1"/>
    <xf numFmtId="0" fontId="2" fillId="2" borderId="0" xfId="3" applyFont="1" applyFill="1"/>
    <xf numFmtId="164" fontId="2" fillId="2" borderId="37" xfId="3" applyNumberFormat="1" applyFont="1" applyFill="1" applyBorder="1"/>
    <xf numFmtId="164" fontId="2" fillId="2" borderId="38" xfId="3" applyNumberFormat="1" applyFont="1" applyFill="1" applyBorder="1"/>
    <xf numFmtId="164" fontId="6" fillId="2" borderId="18" xfId="3" applyNumberFormat="1" applyFont="1" applyFill="1" applyBorder="1"/>
    <xf numFmtId="0" fontId="14" fillId="2" borderId="0" xfId="3" applyFont="1" applyFill="1"/>
    <xf numFmtId="164" fontId="6" fillId="2" borderId="0" xfId="3" applyNumberFormat="1" applyFont="1" applyFill="1" applyBorder="1"/>
    <xf numFmtId="164" fontId="6" fillId="2" borderId="7" xfId="3" applyNumberFormat="1" applyFont="1" applyFill="1" applyBorder="1"/>
    <xf numFmtId="0" fontId="2" fillId="0" borderId="0" xfId="3" applyFont="1" applyAlignment="1">
      <alignment horizont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39" xfId="3" quotePrefix="1" applyFont="1" applyFill="1" applyBorder="1" applyAlignment="1">
      <alignment horizontal="centerContinuous"/>
    </xf>
    <xf numFmtId="0" fontId="3" fillId="2" borderId="40" xfId="3" quotePrefix="1" applyFont="1" applyFill="1" applyBorder="1" applyAlignment="1">
      <alignment horizontal="centerContinuous"/>
    </xf>
    <xf numFmtId="0" fontId="16" fillId="2" borderId="41" xfId="3" quotePrefix="1" applyFont="1" applyFill="1" applyBorder="1" applyAlignment="1">
      <alignment horizontal="centerContinuous"/>
    </xf>
    <xf numFmtId="169" fontId="2" fillId="0" borderId="0" xfId="3" applyNumberFormat="1" applyFont="1"/>
    <xf numFmtId="10" fontId="2" fillId="0" borderId="0" xfId="4" applyNumberFormat="1" applyFont="1"/>
    <xf numFmtId="167" fontId="2" fillId="0" borderId="15" xfId="3" applyNumberFormat="1" applyFont="1" applyBorder="1"/>
    <xf numFmtId="167" fontId="2" fillId="0" borderId="14" xfId="3" applyNumberFormat="1" applyFont="1" applyBorder="1"/>
    <xf numFmtId="167" fontId="2" fillId="0" borderId="17" xfId="3" quotePrefix="1" applyNumberFormat="1" applyFont="1" applyBorder="1"/>
    <xf numFmtId="10" fontId="2" fillId="0" borderId="0" xfId="4" applyNumberFormat="1" applyFont="1" applyFill="1"/>
    <xf numFmtId="169" fontId="2" fillId="0" borderId="0" xfId="3" applyNumberFormat="1" applyFont="1" applyFill="1"/>
    <xf numFmtId="167" fontId="2" fillId="0" borderId="14" xfId="3" quotePrefix="1" applyNumberFormat="1" applyFont="1" applyFill="1" applyBorder="1"/>
    <xf numFmtId="167" fontId="6" fillId="0" borderId="14" xfId="3" quotePrefix="1" applyNumberFormat="1" applyFont="1" applyFill="1" applyBorder="1"/>
    <xf numFmtId="167" fontId="2" fillId="0" borderId="14" xfId="3" quotePrefix="1" applyNumberFormat="1" applyFont="1" applyBorder="1"/>
    <xf numFmtId="167" fontId="6" fillId="0" borderId="14" xfId="3" quotePrefix="1" applyNumberFormat="1" applyFont="1" applyBorder="1"/>
    <xf numFmtId="167" fontId="2" fillId="2" borderId="14" xfId="3" quotePrefix="1" applyNumberFormat="1" applyFont="1" applyFill="1" applyBorder="1"/>
    <xf numFmtId="167" fontId="14" fillId="0" borderId="14" xfId="3" quotePrefix="1" applyNumberFormat="1" applyFont="1" applyBorder="1"/>
    <xf numFmtId="167" fontId="6" fillId="2" borderId="14" xfId="3" quotePrefix="1" applyNumberFormat="1" applyFont="1" applyFill="1" applyBorder="1"/>
    <xf numFmtId="0" fontId="2" fillId="0" borderId="0" xfId="3" quotePrefix="1" applyFont="1" applyAlignment="1">
      <alignment horizontal="left" indent="2"/>
    </xf>
    <xf numFmtId="167" fontId="14" fillId="0" borderId="14" xfId="5" quotePrefix="1" applyNumberFormat="1" applyFont="1" applyFill="1" applyBorder="1" applyAlignment="1">
      <alignment horizontal="right"/>
    </xf>
    <xf numFmtId="0" fontId="2" fillId="0" borderId="18" xfId="3" quotePrefix="1" applyFont="1" applyBorder="1" applyAlignment="1">
      <alignment horizontal="left"/>
    </xf>
    <xf numFmtId="0" fontId="2" fillId="0" borderId="0" xfId="3" applyFont="1" applyAlignment="1">
      <alignment horizontal="left"/>
    </xf>
    <xf numFmtId="0" fontId="2" fillId="0" borderId="0" xfId="3" quotePrefix="1" applyFont="1" applyAlignment="1">
      <alignment horizontal="left"/>
    </xf>
    <xf numFmtId="0" fontId="14" fillId="0" borderId="0" xfId="3" applyFont="1"/>
    <xf numFmtId="0" fontId="2" fillId="0" borderId="18" xfId="3" applyFont="1" applyBorder="1" applyAlignment="1">
      <alignment horizontal="center" wrapText="1"/>
    </xf>
    <xf numFmtId="0" fontId="3" fillId="0" borderId="0" xfId="3" applyFont="1" applyAlignment="1">
      <alignment horizontal="centerContinuous" vertical="center"/>
    </xf>
    <xf numFmtId="0" fontId="3" fillId="0" borderId="0" xfId="3" applyFont="1"/>
    <xf numFmtId="0" fontId="2" fillId="0" borderId="0" xfId="3" quotePrefix="1" applyFont="1" applyFill="1" applyAlignment="1">
      <alignment horizontal="left" indent="2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Continuous"/>
    </xf>
    <xf numFmtId="164" fontId="6" fillId="0" borderId="0" xfId="0" applyNumberFormat="1" applyFont="1" applyFill="1" applyBorder="1"/>
    <xf numFmtId="165" fontId="6" fillId="0" borderId="0" xfId="0" applyNumberFormat="1" applyFont="1" applyFill="1" applyBorder="1"/>
    <xf numFmtId="167" fontId="2" fillId="0" borderId="0" xfId="0" applyNumberFormat="1" applyFont="1" applyFill="1" applyBorder="1"/>
    <xf numFmtId="0" fontId="2" fillId="0" borderId="7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0" fontId="2" fillId="0" borderId="0" xfId="1" applyFont="1" applyFill="1"/>
    <xf numFmtId="171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1" fillId="0" borderId="0" xfId="1" applyFill="1"/>
    <xf numFmtId="0" fontId="10" fillId="0" borderId="0" xfId="0" applyFont="1" applyFill="1"/>
    <xf numFmtId="0" fontId="11" fillId="0" borderId="0" xfId="0" applyFont="1" applyFill="1"/>
    <xf numFmtId="4" fontId="11" fillId="0" borderId="0" xfId="0" applyNumberFormat="1" applyFont="1" applyFill="1"/>
    <xf numFmtId="164" fontId="11" fillId="0" borderId="0" xfId="0" applyNumberFormat="1" applyFont="1" applyFill="1"/>
    <xf numFmtId="164" fontId="11" fillId="0" borderId="0" xfId="0" quotePrefix="1" applyNumberFormat="1" applyFont="1" applyFill="1" applyAlignment="1">
      <alignment horizontal="left"/>
    </xf>
    <xf numFmtId="10" fontId="11" fillId="0" borderId="0" xfId="0" applyNumberFormat="1" applyFont="1" applyFill="1"/>
    <xf numFmtId="0" fontId="0" fillId="0" borderId="0" xfId="0" applyFill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10" fillId="0" borderId="29" xfId="0" applyFont="1" applyFill="1" applyBorder="1"/>
    <xf numFmtId="0" fontId="10" fillId="0" borderId="30" xfId="0" applyFont="1" applyFill="1" applyBorder="1"/>
    <xf numFmtId="4" fontId="11" fillId="0" borderId="0" xfId="0" applyNumberFormat="1" applyFont="1" applyFill="1" applyBorder="1"/>
    <xf numFmtId="4" fontId="11" fillId="0" borderId="31" xfId="0" applyNumberFormat="1" applyFont="1" applyFill="1" applyBorder="1"/>
    <xf numFmtId="4" fontId="11" fillId="0" borderId="32" xfId="0" applyNumberFormat="1" applyFont="1" applyFill="1" applyBorder="1"/>
    <xf numFmtId="0" fontId="11" fillId="0" borderId="0" xfId="0" applyFont="1" applyFill="1" applyBorder="1"/>
    <xf numFmtId="0" fontId="11" fillId="0" borderId="31" xfId="0" applyFont="1" applyFill="1" applyBorder="1"/>
    <xf numFmtId="0" fontId="11" fillId="0" borderId="32" xfId="0" applyFont="1" applyFill="1" applyBorder="1"/>
    <xf numFmtId="164" fontId="11" fillId="0" borderId="0" xfId="0" applyNumberFormat="1" applyFont="1" applyFill="1" applyBorder="1"/>
    <xf numFmtId="164" fontId="11" fillId="0" borderId="31" xfId="0" applyNumberFormat="1" applyFont="1" applyFill="1" applyBorder="1"/>
    <xf numFmtId="164" fontId="11" fillId="0" borderId="32" xfId="0" applyNumberFormat="1" applyFont="1" applyFill="1" applyBorder="1"/>
    <xf numFmtId="10" fontId="11" fillId="0" borderId="0" xfId="0" applyNumberFormat="1" applyFont="1" applyFill="1" applyBorder="1"/>
    <xf numFmtId="10" fontId="11" fillId="0" borderId="33" xfId="0" applyNumberFormat="1" applyFont="1" applyFill="1" applyBorder="1"/>
    <xf numFmtId="10" fontId="11" fillId="0" borderId="34" xfId="0" applyNumberFormat="1" applyFont="1" applyFill="1" applyBorder="1"/>
    <xf numFmtId="164" fontId="6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64" fontId="6" fillId="0" borderId="1" xfId="0" applyNumberFormat="1" applyFont="1" applyFill="1" applyBorder="1"/>
    <xf numFmtId="37" fontId="6" fillId="0" borderId="0" xfId="0" applyNumberFormat="1" applyFont="1" applyFill="1" applyBorder="1"/>
    <xf numFmtId="164" fontId="5" fillId="0" borderId="0" xfId="0" applyNumberFormat="1" applyFont="1" applyFill="1" applyBorder="1"/>
    <xf numFmtId="37" fontId="5" fillId="0" borderId="0" xfId="0" applyNumberFormat="1" applyFont="1" applyFill="1" applyBorder="1"/>
    <xf numFmtId="0" fontId="3" fillId="0" borderId="0" xfId="3" applyFont="1" applyFill="1" applyAlignment="1">
      <alignment horizontal="centerContinuous"/>
    </xf>
    <xf numFmtId="0" fontId="2" fillId="0" borderId="0" xfId="3" applyFont="1" applyFill="1" applyAlignment="1">
      <alignment horizontal="centerContinuous" vertical="center"/>
    </xf>
    <xf numFmtId="0" fontId="2" fillId="0" borderId="0" xfId="3" quotePrefix="1" applyFont="1" applyFill="1" applyAlignment="1">
      <alignment horizontal="center"/>
    </xf>
    <xf numFmtId="0" fontId="2" fillId="0" borderId="18" xfId="3" applyFont="1" applyFill="1" applyBorder="1" applyAlignment="1">
      <alignment horizontal="center" wrapText="1"/>
    </xf>
    <xf numFmtId="0" fontId="2" fillId="0" borderId="18" xfId="3" quotePrefix="1" applyFont="1" applyFill="1" applyBorder="1" applyAlignment="1">
      <alignment horizontal="center" wrapText="1"/>
    </xf>
    <xf numFmtId="164" fontId="2" fillId="0" borderId="0" xfId="3" applyNumberFormat="1" applyFont="1" applyFill="1"/>
    <xf numFmtId="44" fontId="2" fillId="0" borderId="0" xfId="5" applyFont="1" applyFill="1"/>
    <xf numFmtId="44" fontId="2" fillId="0" borderId="0" xfId="3" applyNumberFormat="1" applyFont="1" applyFill="1"/>
    <xf numFmtId="164" fontId="2" fillId="0" borderId="4" xfId="3" applyNumberFormat="1" applyFont="1" applyFill="1" applyBorder="1"/>
    <xf numFmtId="44" fontId="2" fillId="0" borderId="4" xfId="5" applyFont="1" applyFill="1" applyBorder="1"/>
    <xf numFmtId="10" fontId="2" fillId="0" borderId="4" xfId="4" applyNumberFormat="1" applyFont="1" applyFill="1" applyBorder="1"/>
    <xf numFmtId="44" fontId="2" fillId="0" borderId="4" xfId="3" applyNumberFormat="1" applyFont="1" applyFill="1" applyBorder="1"/>
    <xf numFmtId="164" fontId="14" fillId="0" borderId="4" xfId="3" applyNumberFormat="1" applyFont="1" applyFill="1" applyBorder="1"/>
    <xf numFmtId="0" fontId="2" fillId="0" borderId="18" xfId="3" applyFont="1" applyFill="1" applyBorder="1"/>
    <xf numFmtId="0" fontId="16" fillId="0" borderId="2" xfId="3" quotePrefix="1" applyFont="1" applyFill="1" applyBorder="1" applyAlignment="1">
      <alignment horizontal="center" wrapText="1"/>
    </xf>
    <xf numFmtId="10" fontId="2" fillId="0" borderId="0" xfId="3" applyNumberFormat="1" applyFont="1" applyFill="1"/>
    <xf numFmtId="0" fontId="2" fillId="0" borderId="13" xfId="3" quotePrefix="1" applyFont="1" applyFill="1" applyBorder="1" applyAlignment="1">
      <alignment horizontal="center" wrapText="1"/>
    </xf>
    <xf numFmtId="167" fontId="14" fillId="0" borderId="13" xfId="3" applyNumberFormat="1" applyFont="1" applyFill="1" applyBorder="1"/>
    <xf numFmtId="167" fontId="2" fillId="0" borderId="13" xfId="3" applyNumberFormat="1" applyFont="1" applyFill="1" applyBorder="1"/>
    <xf numFmtId="167" fontId="2" fillId="0" borderId="17" xfId="3" applyNumberFormat="1" applyFont="1" applyFill="1" applyBorder="1"/>
    <xf numFmtId="0" fontId="2" fillId="0" borderId="13" xfId="3" applyFont="1" applyFill="1" applyBorder="1"/>
    <xf numFmtId="0" fontId="2" fillId="0" borderId="0" xfId="3" quotePrefix="1" applyFont="1" applyFill="1" applyAlignment="1">
      <alignment horizontal="left" indent="2"/>
    </xf>
    <xf numFmtId="0" fontId="2" fillId="0" borderId="0" xfId="3" quotePrefix="1" applyFont="1" applyAlignment="1">
      <alignment horizontal="left" indent="1"/>
    </xf>
    <xf numFmtId="0" fontId="2" fillId="0" borderId="0" xfId="3" quotePrefix="1" applyFont="1" applyFill="1" applyAlignment="1">
      <alignment horizontal="left" indent="1"/>
    </xf>
    <xf numFmtId="0" fontId="2" fillId="0" borderId="0" xfId="3" quotePrefix="1" applyFont="1" applyAlignment="1">
      <alignment horizontal="left" indent="2"/>
    </xf>
    <xf numFmtId="0" fontId="2" fillId="2" borderId="0" xfId="3" quotePrefix="1" applyFont="1" applyFill="1" applyAlignment="1">
      <alignment horizontal="left" indent="2"/>
    </xf>
    <xf numFmtId="0" fontId="2" fillId="0" borderId="0" xfId="3" quotePrefix="1" applyFont="1" applyAlignment="1">
      <alignment horizontal="left" indent="3"/>
    </xf>
    <xf numFmtId="0" fontId="2" fillId="0" borderId="18" xfId="3" quotePrefix="1" applyFont="1" applyFill="1" applyBorder="1" applyAlignment="1">
      <alignment horizontal="center"/>
    </xf>
    <xf numFmtId="0" fontId="2" fillId="0" borderId="0" xfId="3" quotePrefix="1" applyFont="1" applyFill="1" applyAlignment="1">
      <alignment horizontal="left" indent="3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</cellXfs>
  <cellStyles count="6">
    <cellStyle name="Currency" xfId="2" builtinId="4"/>
    <cellStyle name="Currency 2 12" xfId="5"/>
    <cellStyle name="Normal" xfId="0" builtinId="0"/>
    <cellStyle name="Normal 2" xfId="1"/>
    <cellStyle name="Normal 2 10" xfId="3"/>
    <cellStyle name="Percent 2" xfId="4"/>
  </cellStyles>
  <dxfs count="0"/>
  <tableStyles count="0" defaultTableStyle="TableStyleMedium9" defaultPivotStyle="PivotStyleLight16"/>
  <colors>
    <mruColors>
      <color rgb="FF0033CC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72144</xdr:colOff>
      <xdr:row>26</xdr:row>
      <xdr:rowOff>9525</xdr:rowOff>
    </xdr:from>
    <xdr:ext cx="8726853" cy="6924675"/>
    <xdr:pic>
      <xdr:nvPicPr>
        <xdr:cNvPr id="2" name="Picture 1">
          <a:extLst>
            <a:ext uri="{FF2B5EF4-FFF2-40B4-BE49-F238E27FC236}">
              <a16:creationId xmlns:a16="http://schemas.microsoft.com/office/drawing/2014/main" id="{8F1F5269-F8EF-A53E-60B9-96DDB7F02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4144" y="4219575"/>
          <a:ext cx="8726853" cy="69246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50"/>
  <sheetViews>
    <sheetView tabSelected="1" zoomScaleNormal="100" workbookViewId="0">
      <pane xSplit="3" ySplit="7" topLeftCell="D8" activePane="bottomRight" state="frozen"/>
      <selection activeCell="C28" sqref="C28"/>
      <selection pane="topRight" activeCell="C28" sqref="C28"/>
      <selection pane="bottomLeft" activeCell="C28" sqref="C28"/>
      <selection pane="bottomRight" activeCell="Q24" sqref="Q24"/>
    </sheetView>
  </sheetViews>
  <sheetFormatPr defaultColWidth="9.140625" defaultRowHeight="12.75" x14ac:dyDescent="0.2"/>
  <cols>
    <col min="1" max="1" width="5.7109375" style="2" customWidth="1"/>
    <col min="2" max="2" width="30.85546875" style="1" bestFit="1" customWidth="1"/>
    <col min="3" max="3" width="24.42578125" style="2" customWidth="1"/>
    <col min="4" max="4" width="16.28515625" style="5" bestFit="1" customWidth="1"/>
    <col min="5" max="5" width="20.7109375" style="5" bestFit="1" customWidth="1"/>
    <col min="6" max="6" width="14.7109375" style="5" bestFit="1" customWidth="1"/>
    <col min="7" max="7" width="14.28515625" style="1" customWidth="1"/>
    <col min="8" max="8" width="20.7109375" style="1" bestFit="1" customWidth="1"/>
    <col min="9" max="9" width="16.28515625" style="5" bestFit="1" customWidth="1"/>
    <col min="10" max="10" width="14.42578125" style="1" customWidth="1"/>
    <col min="11" max="11" width="10.5703125" style="1" customWidth="1"/>
    <col min="12" max="13" width="1.42578125" style="1" customWidth="1"/>
    <col min="14" max="14" width="16.42578125" style="1" bestFit="1" customWidth="1"/>
    <col min="15" max="16384" width="9.140625" style="1"/>
  </cols>
  <sheetData>
    <row r="1" spans="1:15" x14ac:dyDescent="0.2">
      <c r="A1" s="11" t="s">
        <v>13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67"/>
      <c r="M1" s="67"/>
      <c r="N1" s="67"/>
      <c r="O1" s="67"/>
    </row>
    <row r="2" spans="1:15" x14ac:dyDescent="0.2">
      <c r="A2" s="125" t="s">
        <v>201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67"/>
      <c r="M2" s="67"/>
      <c r="N2" s="67"/>
      <c r="O2" s="67"/>
    </row>
    <row r="3" spans="1:15" x14ac:dyDescent="0.2">
      <c r="A3" s="11" t="str">
        <f>"Rate Year Ended "&amp;TEXT(Inputs!B8,"mmmm d, yyyy")</f>
        <v>Rate Year Ended February 28, 2025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67"/>
      <c r="M3" s="67"/>
      <c r="N3" s="67"/>
      <c r="O3" s="67"/>
    </row>
    <row r="4" spans="1:15" x14ac:dyDescent="0.2">
      <c r="A4" s="11" t="str">
        <f>"Proposed Effective date "&amp;TEXT(Inputs!B1,"mmmm d, yyyy")</f>
        <v>Proposed Effective date March 1, 2024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67"/>
      <c r="M4" s="67"/>
      <c r="N4" s="67"/>
      <c r="O4" s="67"/>
    </row>
    <row r="5" spans="1:15" s="3" customFormat="1" ht="13.5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16"/>
      <c r="M5" s="16"/>
      <c r="N5" s="16"/>
      <c r="O5" s="16"/>
    </row>
    <row r="6" spans="1:15" s="3" customFormat="1" ht="90.75" customHeight="1" thickBot="1" x14ac:dyDescent="0.25">
      <c r="A6" s="27" t="s">
        <v>0</v>
      </c>
      <c r="B6" s="28" t="s">
        <v>17</v>
      </c>
      <c r="C6" s="28" t="s">
        <v>18</v>
      </c>
      <c r="D6" s="121" t="str">
        <f>"Annual kWh Delivered Sales  "&amp;TEXT(Inputs!B7,"MM/DD/YY")&amp;" to "&amp;TEXT(Inputs!B8,"MM/DD/YY")&amp;" ("&amp;Inputs!B6&amp;")"</f>
        <v>Annual kWh Delivered Sales  03/01/24 to 02/28/25 (F2023)</v>
      </c>
      <c r="E6" s="17" t="str">
        <f>"Annual Estimated Net Revenue @ Rates Effective "&amp;TEXT(Inputs!B4,"MM/DD/YY")&amp;"
[*Note 1]"</f>
        <v>Annual Estimated Net Revenue @ Rates Effective 01/01/24
[*Note 1]</v>
      </c>
      <c r="F6" s="17" t="s">
        <v>198</v>
      </c>
      <c r="G6" s="17" t="str">
        <f>"Proposed
 Effective 
"&amp;TEXT(Inputs!B7,"mmmm d, yyyy")
&amp;"   $ per kWh"</f>
        <v>Proposed
 Effective 
March 1, 2024   $ per kWh</v>
      </c>
      <c r="H6" s="17" t="str">
        <f>E6</f>
        <v>Annual Estimated Net Revenue @ Rates Effective 01/01/24
[*Note 1]</v>
      </c>
      <c r="I6" s="17" t="str">
        <f>"Revenue Including 
Sch 141TEP 
Proposed    "
&amp;TEXT(Inputs!B7,"mmmm d, yyyy")</f>
        <v>Revenue Including 
Sch 141TEP 
Proposed    March 1, 2024</v>
      </c>
      <c r="J6" s="28" t="s">
        <v>19</v>
      </c>
      <c r="K6" s="28" t="s">
        <v>20</v>
      </c>
      <c r="L6" s="16"/>
      <c r="M6" s="16"/>
      <c r="N6" s="126" t="s">
        <v>113</v>
      </c>
      <c r="O6" s="16"/>
    </row>
    <row r="7" spans="1:15" s="4" customFormat="1" ht="22.5" x14ac:dyDescent="0.2">
      <c r="A7" s="127"/>
      <c r="B7" s="128"/>
      <c r="C7" s="128"/>
      <c r="D7" s="129" t="s">
        <v>14</v>
      </c>
      <c r="E7" s="129" t="s">
        <v>15</v>
      </c>
      <c r="F7" s="130" t="s">
        <v>16</v>
      </c>
      <c r="G7" s="128" t="s">
        <v>60</v>
      </c>
      <c r="H7" s="129" t="s">
        <v>77</v>
      </c>
      <c r="I7" s="129" t="s">
        <v>78</v>
      </c>
      <c r="J7" s="128" t="s">
        <v>61</v>
      </c>
      <c r="K7" s="131" t="s">
        <v>62</v>
      </c>
      <c r="L7" s="128"/>
      <c r="M7" s="128"/>
      <c r="N7" s="132"/>
      <c r="O7" s="128"/>
    </row>
    <row r="8" spans="1:15" x14ac:dyDescent="0.2">
      <c r="A8" s="68"/>
      <c r="B8" s="67"/>
      <c r="C8" s="69"/>
      <c r="D8" s="72"/>
      <c r="E8" s="72"/>
      <c r="F8" s="72"/>
      <c r="G8" s="67"/>
      <c r="H8" s="67"/>
      <c r="I8" s="72"/>
      <c r="J8" s="67"/>
      <c r="K8" s="71"/>
      <c r="L8" s="67"/>
      <c r="M8" s="16"/>
      <c r="N8" s="133"/>
      <c r="O8" s="67"/>
    </row>
    <row r="9" spans="1:15" x14ac:dyDescent="0.2">
      <c r="A9" s="68">
        <v>1</v>
      </c>
      <c r="B9" s="67" t="s">
        <v>1</v>
      </c>
      <c r="C9" s="69" t="s">
        <v>202</v>
      </c>
      <c r="D9" s="197">
        <f>+'Estimated Proforma Net Revenue'!C9</f>
        <v>11195647814.277042</v>
      </c>
      <c r="E9" s="198">
        <f>+'Estimated Proforma Net Revenue'!AB9</f>
        <v>1555172294.9498048</v>
      </c>
      <c r="F9" s="143">
        <f>'Prior RY Rate Design'!H7</f>
        <v>3.1856041326506503E-4</v>
      </c>
      <c r="G9" s="143">
        <f>ROUND(+Allocation!I7,6)</f>
        <v>3.7800000000000003E-4</v>
      </c>
      <c r="H9" s="41">
        <f>+E9+ROUND(F9,6)*D9</f>
        <v>1558743706.6025591</v>
      </c>
      <c r="I9" s="41">
        <f>+G9*$D9+$E9</f>
        <v>1559404249.8236015</v>
      </c>
      <c r="J9" s="41">
        <f>+I9-H9</f>
        <v>660543.22104239464</v>
      </c>
      <c r="K9" s="134">
        <f>+J9/H9</f>
        <v>4.2376640768103949E-4</v>
      </c>
      <c r="L9" s="67"/>
      <c r="M9" s="135"/>
      <c r="N9" s="139" t="s">
        <v>204</v>
      </c>
      <c r="O9" s="67"/>
    </row>
    <row r="10" spans="1:15" x14ac:dyDescent="0.2">
      <c r="A10" s="68">
        <f t="shared" ref="A10:A36" si="0">+A9+1</f>
        <v>2</v>
      </c>
      <c r="B10" s="67"/>
      <c r="C10" s="69"/>
      <c r="D10" s="72"/>
      <c r="E10" s="41"/>
      <c r="F10" s="41"/>
      <c r="G10" s="41"/>
      <c r="H10" s="136"/>
      <c r="I10" s="41"/>
      <c r="J10" s="41"/>
      <c r="K10" s="134"/>
      <c r="L10" s="67"/>
      <c r="M10" s="135"/>
      <c r="N10" s="133"/>
      <c r="O10" s="67"/>
    </row>
    <row r="11" spans="1:15" x14ac:dyDescent="0.2">
      <c r="A11" s="68">
        <f t="shared" si="0"/>
        <v>3</v>
      </c>
      <c r="B11" s="137" t="s">
        <v>2</v>
      </c>
      <c r="C11" s="69" t="s">
        <v>193</v>
      </c>
      <c r="D11" s="197">
        <f>'Estimated Proforma Net Revenue'!C12</f>
        <v>2757991003.037375</v>
      </c>
      <c r="E11" s="198">
        <f>'Estimated Proforma Net Revenue'!AB12</f>
        <v>368838652.01554179</v>
      </c>
      <c r="F11" s="143">
        <f>'Prior RY Rate Design'!H9</f>
        <v>2.7734775944396111E-4</v>
      </c>
      <c r="G11" s="143">
        <f>ROUND(+Allocation!I9,6)</f>
        <v>3.39E-4</v>
      </c>
      <c r="H11" s="41">
        <f>+E11+ROUND(F11,6)*D11</f>
        <v>369602615.52338314</v>
      </c>
      <c r="I11" s="41">
        <f t="shared" ref="I11:I14" si="1">+G11*$D11+$E11</f>
        <v>369773610.96557146</v>
      </c>
      <c r="J11" s="41">
        <f>+I11-H11</f>
        <v>170995.44218832254</v>
      </c>
      <c r="K11" s="134">
        <f>+J11/H11</f>
        <v>4.626467319398729E-4</v>
      </c>
      <c r="L11" s="67"/>
      <c r="M11" s="135"/>
      <c r="N11" s="139" t="s">
        <v>204</v>
      </c>
      <c r="O11" s="67"/>
    </row>
    <row r="12" spans="1:15" x14ac:dyDescent="0.2">
      <c r="A12" s="68">
        <f t="shared" si="0"/>
        <v>4</v>
      </c>
      <c r="B12" s="138" t="s">
        <v>3</v>
      </c>
      <c r="C12" s="22" t="s">
        <v>72</v>
      </c>
      <c r="D12" s="197">
        <f>'Estimated Proforma Net Revenue'!C13</f>
        <v>2956724370.1064401</v>
      </c>
      <c r="E12" s="198">
        <f>'Estimated Proforma Net Revenue'!AB13</f>
        <v>389813630.26363748</v>
      </c>
      <c r="F12" s="143">
        <f>'Prior RY Rate Design'!H10</f>
        <v>2.8741685848301577E-4</v>
      </c>
      <c r="G12" s="143">
        <f>ROUND(+Allocation!I10,6)</f>
        <v>3.4600000000000001E-4</v>
      </c>
      <c r="H12" s="41">
        <f t="shared" ref="H12:H20" si="2">+E12+ROUND(F12,6)*D12</f>
        <v>390662210.15785801</v>
      </c>
      <c r="I12" s="41">
        <f t="shared" si="1"/>
        <v>390836656.89569432</v>
      </c>
      <c r="J12" s="41">
        <f>+I12-H12</f>
        <v>174446.73783630133</v>
      </c>
      <c r="K12" s="134">
        <f>+J12/H12</f>
        <v>4.4654111224582289E-4</v>
      </c>
      <c r="L12" s="67"/>
      <c r="M12" s="135"/>
      <c r="N12" s="139" t="s">
        <v>204</v>
      </c>
      <c r="O12" s="67"/>
    </row>
    <row r="13" spans="1:15" x14ac:dyDescent="0.2">
      <c r="A13" s="68">
        <f t="shared" si="0"/>
        <v>5</v>
      </c>
      <c r="B13" s="138" t="s">
        <v>4</v>
      </c>
      <c r="C13" s="69" t="s">
        <v>74</v>
      </c>
      <c r="D13" s="197">
        <f>'Estimated Proforma Net Revenue'!C14</f>
        <v>1967882542.4145269</v>
      </c>
      <c r="E13" s="198">
        <f>'Estimated Proforma Net Revenue'!AB14</f>
        <v>235248049.70287231</v>
      </c>
      <c r="F13" s="143">
        <f>'Prior RY Rate Design'!H11</f>
        <v>2.4292874999965868E-4</v>
      </c>
      <c r="G13" s="143">
        <f>ROUND(+Allocation!I11,6)</f>
        <v>2.7799999999999998E-4</v>
      </c>
      <c r="H13" s="41">
        <f t="shared" si="2"/>
        <v>235726245.16067904</v>
      </c>
      <c r="I13" s="41">
        <f t="shared" si="1"/>
        <v>235795121.04966354</v>
      </c>
      <c r="J13" s="41">
        <f>+I13-H13</f>
        <v>68875.888984501362</v>
      </c>
      <c r="K13" s="134">
        <f>+J13/H13</f>
        <v>2.9218591649628667E-4</v>
      </c>
      <c r="L13" s="67"/>
      <c r="M13" s="135"/>
      <c r="N13" s="139" t="s">
        <v>205</v>
      </c>
      <c r="O13" s="67"/>
    </row>
    <row r="14" spans="1:15" x14ac:dyDescent="0.2">
      <c r="A14" s="68">
        <f t="shared" si="0"/>
        <v>6</v>
      </c>
      <c r="B14" s="138" t="s">
        <v>5</v>
      </c>
      <c r="C14" s="69">
        <v>29</v>
      </c>
      <c r="D14" s="197">
        <f>'Estimated Proforma Net Revenue'!C15</f>
        <v>15032044.886787532</v>
      </c>
      <c r="E14" s="198">
        <f>'Estimated Proforma Net Revenue'!AB15</f>
        <v>1797149.5938118498</v>
      </c>
      <c r="F14" s="143">
        <f>'Prior RY Rate Design'!H12</f>
        <v>3.7033303833853751E-4</v>
      </c>
      <c r="G14" s="143">
        <f>ROUND(+Allocation!I12,6)</f>
        <v>4.5399999999999998E-4</v>
      </c>
      <c r="H14" s="41">
        <f t="shared" si="2"/>
        <v>1802711.4504199612</v>
      </c>
      <c r="I14" s="41">
        <f t="shared" si="1"/>
        <v>1803974.1421904513</v>
      </c>
      <c r="J14" s="41">
        <f>+I14-H14</f>
        <v>1262.6917704900261</v>
      </c>
      <c r="K14" s="134">
        <f>+J14/H14</f>
        <v>7.0044031184018289E-4</v>
      </c>
      <c r="L14" s="67"/>
      <c r="M14" s="135"/>
      <c r="N14" s="139" t="s">
        <v>205</v>
      </c>
      <c r="O14" s="67"/>
    </row>
    <row r="15" spans="1:15" x14ac:dyDescent="0.2">
      <c r="A15" s="68">
        <f t="shared" si="0"/>
        <v>7</v>
      </c>
      <c r="B15" s="67"/>
      <c r="C15" s="69"/>
      <c r="D15" s="72"/>
      <c r="E15" s="41"/>
      <c r="F15" s="199"/>
      <c r="G15" s="136"/>
      <c r="H15" s="136"/>
      <c r="I15" s="41"/>
      <c r="J15" s="41"/>
      <c r="K15" s="134"/>
      <c r="L15" s="67"/>
      <c r="M15" s="135"/>
      <c r="N15" s="133"/>
      <c r="O15" s="67"/>
    </row>
    <row r="16" spans="1:15" x14ac:dyDescent="0.2">
      <c r="A16" s="68">
        <f t="shared" si="0"/>
        <v>8</v>
      </c>
      <c r="B16" s="67" t="s">
        <v>21</v>
      </c>
      <c r="C16" s="69"/>
      <c r="D16" s="72">
        <f>SUM(D11:D14)</f>
        <v>7697629960.4451294</v>
      </c>
      <c r="E16" s="72">
        <f>SUM(E11:E14)</f>
        <v>995697481.57586348</v>
      </c>
      <c r="F16" s="199">
        <f>SUMPRODUCT(D11:D14,F11:F14)/D16</f>
        <v>2.725978223073899E-4</v>
      </c>
      <c r="G16" s="199">
        <f>SUMPRODUCT(D11:D14,G11:G14)/D16</f>
        <v>3.2631881373407619E-4</v>
      </c>
      <c r="H16" s="41">
        <f>SUM(H11:H14)</f>
        <v>997793782.29234004</v>
      </c>
      <c r="I16" s="41">
        <f>SUM(I11:I14)</f>
        <v>998209363.05311978</v>
      </c>
      <c r="J16" s="41">
        <f>SUM(J11:J14)</f>
        <v>415580.76077961526</v>
      </c>
      <c r="K16" s="134">
        <f>+J16/H16</f>
        <v>4.1649964968197778E-4</v>
      </c>
      <c r="L16" s="67"/>
      <c r="M16" s="135"/>
      <c r="N16" s="139"/>
      <c r="O16" s="67"/>
    </row>
    <row r="17" spans="1:15" x14ac:dyDescent="0.2">
      <c r="A17" s="68">
        <f t="shared" si="0"/>
        <v>9</v>
      </c>
      <c r="B17" s="67"/>
      <c r="C17" s="69"/>
      <c r="D17" s="72"/>
      <c r="E17" s="41"/>
      <c r="F17" s="41"/>
      <c r="G17" s="136"/>
      <c r="H17" s="136"/>
      <c r="I17" s="41"/>
      <c r="J17" s="41"/>
      <c r="K17" s="134"/>
      <c r="L17" s="67"/>
      <c r="M17" s="41"/>
      <c r="N17" s="133"/>
      <c r="O17" s="67"/>
    </row>
    <row r="18" spans="1:15" x14ac:dyDescent="0.2">
      <c r="A18" s="68">
        <f t="shared" si="0"/>
        <v>10</v>
      </c>
      <c r="B18" s="138" t="s">
        <v>6</v>
      </c>
      <c r="C18" s="69" t="s">
        <v>73</v>
      </c>
      <c r="D18" s="197">
        <f>'Estimated Proforma Net Revenue'!C18</f>
        <v>1413812398.374563</v>
      </c>
      <c r="E18" s="198">
        <f>'Estimated Proforma Net Revenue'!AB18</f>
        <v>162396271.34139109</v>
      </c>
      <c r="F18" s="143">
        <f>'Prior RY Rate Design'!H14</f>
        <v>2.523665889005058E-4</v>
      </c>
      <c r="G18" s="143">
        <f>ROUND(+Allocation!I14,6)</f>
        <v>2.9100000000000003E-4</v>
      </c>
      <c r="H18" s="41">
        <f t="shared" si="2"/>
        <v>162752552.06578147</v>
      </c>
      <c r="I18" s="41">
        <f t="shared" ref="I18:I19" si="3">+G18*$D18+$E18</f>
        <v>162807690.74931809</v>
      </c>
      <c r="J18" s="41">
        <f>+I18-H18</f>
        <v>55138.683536618948</v>
      </c>
      <c r="K18" s="134">
        <f>+J18/H18</f>
        <v>3.3878844194303601E-4</v>
      </c>
      <c r="L18" s="67"/>
      <c r="M18" s="135"/>
      <c r="N18" s="139" t="s">
        <v>205</v>
      </c>
      <c r="O18" s="67"/>
    </row>
    <row r="19" spans="1:15" x14ac:dyDescent="0.2">
      <c r="A19" s="68">
        <f t="shared" si="0"/>
        <v>11</v>
      </c>
      <c r="B19" s="138" t="s">
        <v>7</v>
      </c>
      <c r="C19" s="69">
        <v>35</v>
      </c>
      <c r="D19" s="197">
        <f>'Estimated Proforma Net Revenue'!C19</f>
        <v>4440266.6219169199</v>
      </c>
      <c r="E19" s="198">
        <f>'Estimated Proforma Net Revenue'!AB19</f>
        <v>417879.08826439432</v>
      </c>
      <c r="F19" s="143">
        <f>'Prior RY Rate Design'!H15</f>
        <v>5.9227960964028208E-4</v>
      </c>
      <c r="G19" s="143">
        <f>ROUND(+Allocation!I15,6)</f>
        <v>7.7099999999999998E-4</v>
      </c>
      <c r="H19" s="41">
        <f t="shared" si="2"/>
        <v>420507.72610456916</v>
      </c>
      <c r="I19" s="41">
        <f t="shared" si="3"/>
        <v>421302.53382989229</v>
      </c>
      <c r="J19" s="41">
        <f>+I19-H19</f>
        <v>794.80772532313131</v>
      </c>
      <c r="K19" s="134">
        <f>+J19/H19</f>
        <v>1.8901144401933857E-3</v>
      </c>
      <c r="L19" s="67"/>
      <c r="M19" s="135"/>
      <c r="N19" s="139" t="s">
        <v>205</v>
      </c>
      <c r="O19" s="67"/>
    </row>
    <row r="20" spans="1:15" x14ac:dyDescent="0.2">
      <c r="A20" s="68">
        <f t="shared" si="0"/>
        <v>12</v>
      </c>
      <c r="B20" s="138" t="s">
        <v>8</v>
      </c>
      <c r="C20" s="69">
        <v>43</v>
      </c>
      <c r="D20" s="197">
        <f>'Estimated Proforma Net Revenue'!C20</f>
        <v>122800461.4598608</v>
      </c>
      <c r="E20" s="198">
        <f>'Estimated Proforma Net Revenue'!AB20</f>
        <v>14387614.462208118</v>
      </c>
      <c r="F20" s="143">
        <f>'Prior RY Rate Design'!H16</f>
        <v>4.2962790451908281E-4</v>
      </c>
      <c r="G20" s="143">
        <f>ROUND(+Allocation!I16,6)</f>
        <v>5.1800000000000001E-4</v>
      </c>
      <c r="H20" s="41">
        <f t="shared" si="2"/>
        <v>14440418.660635859</v>
      </c>
      <c r="I20" s="41">
        <f>+G20*$D20+$E20</f>
        <v>14451225.101244327</v>
      </c>
      <c r="J20" s="41">
        <f>+I20-H20</f>
        <v>10806.440608467907</v>
      </c>
      <c r="K20" s="134">
        <f>+J20/H20</f>
        <v>7.4834676628357977E-4</v>
      </c>
      <c r="L20" s="67"/>
      <c r="M20" s="135"/>
      <c r="N20" s="139" t="s">
        <v>205</v>
      </c>
      <c r="O20" s="67"/>
    </row>
    <row r="21" spans="1:15" x14ac:dyDescent="0.2">
      <c r="A21" s="68">
        <f t="shared" si="0"/>
        <v>13</v>
      </c>
      <c r="B21" s="67"/>
      <c r="C21" s="67"/>
      <c r="D21" s="72"/>
      <c r="E21" s="41"/>
      <c r="F21" s="199"/>
      <c r="G21" s="136"/>
      <c r="H21" s="136"/>
      <c r="I21" s="41"/>
      <c r="J21" s="41"/>
      <c r="K21" s="134"/>
      <c r="L21" s="67"/>
      <c r="M21" s="135"/>
      <c r="N21" s="133"/>
      <c r="O21" s="67"/>
    </row>
    <row r="22" spans="1:15" x14ac:dyDescent="0.2">
      <c r="A22" s="68">
        <f t="shared" si="0"/>
        <v>14</v>
      </c>
      <c r="B22" s="23" t="s">
        <v>22</v>
      </c>
      <c r="C22" s="69"/>
      <c r="D22" s="72">
        <f>SUM(D18:D21)</f>
        <v>1541053126.4563408</v>
      </c>
      <c r="E22" s="41">
        <f>SUM(E18:E21)</f>
        <v>177201764.89186361</v>
      </c>
      <c r="F22" s="199">
        <f>SUMPRODUCT(D18:D20,F18:F20)/D22</f>
        <v>2.6747124389109317E-4</v>
      </c>
      <c r="G22" s="199">
        <f>SUMPRODUCT(D18:D20,G18:G20)/D22</f>
        <v>3.1047177045019202E-4</v>
      </c>
      <c r="H22" s="41">
        <f>SUM(H18:H21)</f>
        <v>177613478.45252189</v>
      </c>
      <c r="I22" s="41">
        <f>SUM(I18:I21)</f>
        <v>177680218.38439232</v>
      </c>
      <c r="J22" s="41">
        <f>SUM(J18:J21)</f>
        <v>66739.931870409986</v>
      </c>
      <c r="K22" s="134">
        <f>+J22/H22</f>
        <v>3.7575938747379652E-4</v>
      </c>
      <c r="L22" s="67"/>
      <c r="M22" s="41"/>
      <c r="N22" s="133"/>
      <c r="O22" s="67"/>
    </row>
    <row r="23" spans="1:15" x14ac:dyDescent="0.2">
      <c r="A23" s="68">
        <f t="shared" si="0"/>
        <v>15</v>
      </c>
      <c r="B23" s="23"/>
      <c r="C23" s="69"/>
      <c r="D23" s="72"/>
      <c r="E23" s="41"/>
      <c r="F23" s="199"/>
      <c r="G23" s="136"/>
      <c r="H23" s="136"/>
      <c r="I23" s="41"/>
      <c r="J23" s="41"/>
      <c r="K23" s="134"/>
      <c r="L23" s="67"/>
      <c r="M23" s="41"/>
      <c r="N23" s="133"/>
      <c r="O23" s="67"/>
    </row>
    <row r="24" spans="1:15" x14ac:dyDescent="0.2">
      <c r="A24" s="68">
        <f t="shared" si="0"/>
        <v>16</v>
      </c>
      <c r="B24" s="138" t="s">
        <v>23</v>
      </c>
      <c r="C24" s="69">
        <v>46</v>
      </c>
      <c r="D24" s="197">
        <f>+'Estimated Proforma Net Revenue'!C23</f>
        <v>96945507.414515108</v>
      </c>
      <c r="E24" s="198">
        <f>+'Estimated Proforma Net Revenue'!AB23</f>
        <v>8532625.0457368065</v>
      </c>
      <c r="F24" s="143">
        <f>'Prior RY Rate Design'!H18</f>
        <v>3.180678589938473E-4</v>
      </c>
      <c r="G24" s="143">
        <f>ROUND(+Allocation!I18,6)</f>
        <v>3.6099999999999999E-4</v>
      </c>
      <c r="H24" s="41">
        <f t="shared" ref="H24:H25" si="4">+E24+ROUND(F24,6)*D24</f>
        <v>8563453.7170946226</v>
      </c>
      <c r="I24" s="41">
        <f>+G24*$D24+$E24</f>
        <v>8567622.3739134464</v>
      </c>
      <c r="J24" s="41">
        <f>+I24-H24</f>
        <v>4168.6568188238889</v>
      </c>
      <c r="K24" s="134">
        <f>+J24/H24</f>
        <v>4.8679621056423663E-4</v>
      </c>
      <c r="L24" s="67"/>
      <c r="M24" s="41"/>
      <c r="N24" s="139" t="s">
        <v>205</v>
      </c>
      <c r="O24" s="67"/>
    </row>
    <row r="25" spans="1:15" x14ac:dyDescent="0.2">
      <c r="A25" s="68">
        <f t="shared" si="0"/>
        <v>17</v>
      </c>
      <c r="B25" s="137" t="s">
        <v>24</v>
      </c>
      <c r="C25" s="69">
        <v>49</v>
      </c>
      <c r="D25" s="197">
        <f>+'Estimated Proforma Net Revenue'!C24</f>
        <v>534799649.92296755</v>
      </c>
      <c r="E25" s="198">
        <f>+'Estimated Proforma Net Revenue'!AB24</f>
        <v>48707095.517855786</v>
      </c>
      <c r="F25" s="143">
        <f>'Prior RY Rate Design'!H19</f>
        <v>2.1956453453109338E-4</v>
      </c>
      <c r="G25" s="143">
        <f>ROUND(+Allocation!I19,6)</f>
        <v>2.5500000000000002E-4</v>
      </c>
      <c r="H25" s="41">
        <f t="shared" si="4"/>
        <v>48824751.440838836</v>
      </c>
      <c r="I25" s="41">
        <f t="shared" ref="I25" si="5">+G25*$D25+$E25</f>
        <v>48843469.42858614</v>
      </c>
      <c r="J25" s="41">
        <f>+I25-H25</f>
        <v>18717.987747304142</v>
      </c>
      <c r="K25" s="134">
        <f>+J25/H25</f>
        <v>3.8337087634710866E-4</v>
      </c>
      <c r="L25" s="67"/>
      <c r="M25" s="135"/>
      <c r="N25" s="139" t="s">
        <v>205</v>
      </c>
      <c r="O25" s="67"/>
    </row>
    <row r="26" spans="1:15" x14ac:dyDescent="0.2">
      <c r="A26" s="68">
        <f t="shared" si="0"/>
        <v>18</v>
      </c>
      <c r="B26" s="67"/>
      <c r="C26" s="69"/>
      <c r="D26" s="72"/>
      <c r="E26" s="41"/>
      <c r="F26" s="199"/>
      <c r="G26" s="136"/>
      <c r="H26" s="136"/>
      <c r="I26" s="41"/>
      <c r="J26" s="41"/>
      <c r="K26" s="134"/>
      <c r="L26" s="67"/>
      <c r="M26" s="135"/>
      <c r="N26" s="133"/>
      <c r="O26" s="67"/>
    </row>
    <row r="27" spans="1:15" x14ac:dyDescent="0.2">
      <c r="A27" s="68">
        <f t="shared" si="0"/>
        <v>19</v>
      </c>
      <c r="B27" s="140" t="s">
        <v>25</v>
      </c>
      <c r="C27" s="69"/>
      <c r="D27" s="72">
        <f>SUM(D24:D26)</f>
        <v>631745157.33748269</v>
      </c>
      <c r="E27" s="41">
        <f>SUM(E24:E26)</f>
        <v>57239720.56359259</v>
      </c>
      <c r="F27" s="199">
        <f>SUMPRODUCT(D24:D25,F24:F25)/D27</f>
        <v>2.3468052657494995E-4</v>
      </c>
      <c r="G27" s="199">
        <f>SUMPRODUCT(D24:D25,G24:G25)/D27</f>
        <v>2.7126640689933924E-4</v>
      </c>
      <c r="H27" s="72">
        <f>SUM(H24:H26)</f>
        <v>57388205.157933459</v>
      </c>
      <c r="I27" s="72">
        <f>SUM(I24:I26)</f>
        <v>57411091.802499585</v>
      </c>
      <c r="J27" s="41">
        <f>SUM(J24:J26)</f>
        <v>22886.64456612803</v>
      </c>
      <c r="K27" s="134">
        <f>+J27/H27</f>
        <v>3.9880397902571687E-4</v>
      </c>
      <c r="L27" s="67"/>
      <c r="M27" s="135"/>
      <c r="N27" s="133"/>
      <c r="O27" s="67"/>
    </row>
    <row r="28" spans="1:15" ht="13.5" thickBot="1" x14ac:dyDescent="0.25">
      <c r="A28" s="68">
        <f t="shared" si="0"/>
        <v>20</v>
      </c>
      <c r="B28" s="67"/>
      <c r="C28" s="69"/>
      <c r="D28" s="72"/>
      <c r="E28" s="41"/>
      <c r="F28" s="199"/>
      <c r="G28" s="136"/>
      <c r="H28" s="136"/>
      <c r="I28" s="41"/>
      <c r="J28" s="41"/>
      <c r="K28" s="134"/>
      <c r="L28" s="67"/>
      <c r="M28" s="41"/>
      <c r="N28" s="141"/>
      <c r="O28" s="67"/>
    </row>
    <row r="29" spans="1:15" x14ac:dyDescent="0.2">
      <c r="A29" s="68">
        <f t="shared" si="0"/>
        <v>21</v>
      </c>
      <c r="B29" s="138" t="s">
        <v>10</v>
      </c>
      <c r="C29" s="69"/>
      <c r="D29" s="72">
        <f>SUM(D9,D16,D22,D27)</f>
        <v>21066076058.515995</v>
      </c>
      <c r="E29" s="72">
        <f>SUM(E9,E16,E22,E27)</f>
        <v>2785311261.9811244</v>
      </c>
      <c r="F29" s="199">
        <f>(F9*D9+F16*D16+F22*D22+F27*D27)/D29</f>
        <v>2.9551270128144079E-4</v>
      </c>
      <c r="G29" s="199">
        <f>+Allocation!I22</f>
        <v>3.5086103489770116E-4</v>
      </c>
      <c r="H29" s="72">
        <f>SUM(H9,H16,H22,H27)</f>
        <v>2791539172.5053544</v>
      </c>
      <c r="I29" s="72">
        <f>SUM(I9,I16,I22,I27)</f>
        <v>2792704923.0636134</v>
      </c>
      <c r="J29" s="72">
        <f>SUM(J9,J16,J22,J27)</f>
        <v>1165750.5582585479</v>
      </c>
      <c r="K29" s="134">
        <f>+J29/H29</f>
        <v>4.1760136119182897E-4</v>
      </c>
      <c r="L29" s="67"/>
      <c r="M29" s="16"/>
      <c r="N29" s="16"/>
      <c r="O29" s="67"/>
    </row>
    <row r="30" spans="1:15" x14ac:dyDescent="0.2">
      <c r="A30" s="68">
        <f t="shared" si="0"/>
        <v>22</v>
      </c>
      <c r="B30" s="140"/>
      <c r="C30" s="69"/>
      <c r="D30" s="72"/>
      <c r="E30" s="41"/>
      <c r="F30" s="136"/>
      <c r="G30" s="136"/>
      <c r="H30" s="136"/>
      <c r="I30" s="41"/>
      <c r="J30" s="41"/>
      <c r="K30" s="134"/>
      <c r="L30" s="67"/>
      <c r="M30" s="16"/>
      <c r="N30" s="16"/>
      <c r="O30" s="67"/>
    </row>
    <row r="31" spans="1:15" x14ac:dyDescent="0.2">
      <c r="A31" s="68">
        <f t="shared" si="0"/>
        <v>23</v>
      </c>
      <c r="B31" s="140" t="s">
        <v>28</v>
      </c>
      <c r="C31" s="69"/>
      <c r="D31" s="72"/>
      <c r="E31" s="41"/>
      <c r="F31" s="41"/>
      <c r="G31" s="136"/>
      <c r="H31" s="136"/>
      <c r="I31" s="41"/>
      <c r="J31" s="41"/>
      <c r="K31" s="134"/>
      <c r="L31" s="67"/>
      <c r="M31" s="16"/>
      <c r="N31" s="16"/>
      <c r="O31" s="67"/>
    </row>
    <row r="32" spans="1:15" x14ac:dyDescent="0.2">
      <c r="A32" s="68">
        <f t="shared" si="0"/>
        <v>24</v>
      </c>
      <c r="B32" s="67" t="s">
        <v>9</v>
      </c>
      <c r="C32" s="69" t="s">
        <v>57</v>
      </c>
      <c r="D32" s="197">
        <f>+'Estimated Proforma Net Revenue'!C27</f>
        <v>67439960.315186232</v>
      </c>
      <c r="E32" s="198">
        <f>+'Estimated Proforma Net Revenue'!AB27</f>
        <v>23246903.124389734</v>
      </c>
      <c r="F32" s="142"/>
      <c r="G32" s="143"/>
      <c r="H32" s="41">
        <f>+E32+ROUND(F32,6)*D32</f>
        <v>23246903.124389734</v>
      </c>
      <c r="I32" s="41">
        <f>+G32*$D32+$E32</f>
        <v>23246903.124389734</v>
      </c>
      <c r="J32" s="41">
        <f>+I32-H32</f>
        <v>0</v>
      </c>
      <c r="K32" s="134"/>
      <c r="L32" s="67"/>
      <c r="M32" s="135"/>
      <c r="N32" s="65"/>
      <c r="O32" s="67"/>
    </row>
    <row r="33" spans="1:15" x14ac:dyDescent="0.2">
      <c r="A33" s="68">
        <f t="shared" si="0"/>
        <v>25</v>
      </c>
      <c r="B33" s="144" t="s">
        <v>26</v>
      </c>
      <c r="C33" s="22" t="s">
        <v>27</v>
      </c>
      <c r="D33" s="197">
        <f>+'Estimated Proforma Net Revenue'!C33</f>
        <v>6739048.8092775671</v>
      </c>
      <c r="E33" s="198">
        <f>+'Estimated Proforma Net Revenue'!AB33</f>
        <v>489761.12462857249</v>
      </c>
      <c r="F33" s="142"/>
      <c r="G33" s="143"/>
      <c r="H33" s="41">
        <f>+E33+ROUND(F33,6)*D33</f>
        <v>489761.12462857249</v>
      </c>
      <c r="I33" s="41">
        <f>+G33*$D33+$E33</f>
        <v>489761.12462857249</v>
      </c>
      <c r="J33" s="41">
        <f>+I33-H33</f>
        <v>0</v>
      </c>
      <c r="K33" s="134"/>
      <c r="L33" s="67"/>
      <c r="M33" s="16"/>
      <c r="N33" s="65"/>
      <c r="O33" s="67"/>
    </row>
    <row r="34" spans="1:15" x14ac:dyDescent="0.2">
      <c r="A34" s="68">
        <f t="shared" si="0"/>
        <v>26</v>
      </c>
      <c r="B34" s="138" t="s">
        <v>101</v>
      </c>
      <c r="C34" s="22" t="s">
        <v>102</v>
      </c>
      <c r="D34" s="197">
        <f>+'Estimated Proforma Net Revenue'!C29+'Estimated Proforma Net Revenue'!C28</f>
        <v>2277172207.2348356</v>
      </c>
      <c r="E34" s="198">
        <f>+'Estimated Proforma Net Revenue'!AB29+'Estimated Proforma Net Revenue'!AB28</f>
        <v>18448062.692395113</v>
      </c>
      <c r="F34" s="41"/>
      <c r="G34" s="136"/>
      <c r="H34" s="41">
        <f>+E34+ROUND(F34,6)*D34</f>
        <v>18448062.692395113</v>
      </c>
      <c r="I34" s="41">
        <f>+G34*$D34+$E34</f>
        <v>18448062.692395113</v>
      </c>
      <c r="J34" s="41">
        <f>+I34-H34</f>
        <v>0</v>
      </c>
      <c r="K34" s="134"/>
      <c r="L34" s="67"/>
      <c r="M34" s="16"/>
      <c r="N34" s="16"/>
      <c r="O34" s="67"/>
    </row>
    <row r="35" spans="1:15" x14ac:dyDescent="0.2">
      <c r="A35" s="68">
        <f t="shared" si="0"/>
        <v>27</v>
      </c>
      <c r="B35" s="140"/>
      <c r="C35" s="69"/>
      <c r="D35" s="72"/>
      <c r="E35" s="41"/>
      <c r="F35" s="41"/>
      <c r="G35" s="136"/>
      <c r="H35" s="136"/>
      <c r="I35" s="41"/>
      <c r="J35" s="41"/>
      <c r="K35" s="134"/>
      <c r="L35" s="67"/>
      <c r="M35" s="16"/>
      <c r="N35" s="67"/>
      <c r="O35" s="67"/>
    </row>
    <row r="36" spans="1:15" x14ac:dyDescent="0.2">
      <c r="A36" s="68">
        <f t="shared" si="0"/>
        <v>28</v>
      </c>
      <c r="B36" s="140" t="s">
        <v>12</v>
      </c>
      <c r="C36" s="69"/>
      <c r="D36" s="72">
        <f>SUM(D29:D34)</f>
        <v>23417427274.875294</v>
      </c>
      <c r="E36" s="41">
        <f>SUM(E29:E34)</f>
        <v>2827495988.9225378</v>
      </c>
      <c r="F36" s="41"/>
      <c r="G36" s="136"/>
      <c r="H36" s="41">
        <f>SUM(H29:H34)</f>
        <v>2833723899.4467678</v>
      </c>
      <c r="I36" s="41">
        <f>SUM(I29:I34)</f>
        <v>2834889650.0050268</v>
      </c>
      <c r="J36" s="41">
        <f>SUM(J29:J34)</f>
        <v>1165750.5582585479</v>
      </c>
      <c r="K36" s="134"/>
      <c r="L36" s="67"/>
      <c r="M36" s="16"/>
      <c r="N36" s="67"/>
      <c r="O36" s="67"/>
    </row>
    <row r="37" spans="1:15" ht="13.5" thickBot="1" x14ac:dyDescent="0.25">
      <c r="A37" s="24"/>
      <c r="B37" s="73"/>
      <c r="C37" s="145"/>
      <c r="D37" s="25"/>
      <c r="E37" s="146"/>
      <c r="F37" s="146"/>
      <c r="G37" s="73"/>
      <c r="H37" s="73"/>
      <c r="I37" s="25"/>
      <c r="J37" s="73"/>
      <c r="K37" s="26"/>
      <c r="L37" s="67"/>
      <c r="M37" s="135"/>
      <c r="N37" s="135"/>
      <c r="O37" s="67"/>
    </row>
    <row r="38" spans="1:15" ht="13.5" thickBot="1" x14ac:dyDescent="0.25">
      <c r="A38" s="69"/>
      <c r="B38" s="67"/>
      <c r="C38" s="69"/>
      <c r="D38" s="72"/>
      <c r="E38" s="72"/>
      <c r="F38" s="72"/>
      <c r="G38" s="67"/>
      <c r="H38" s="67"/>
      <c r="I38" s="72"/>
      <c r="J38" s="41"/>
      <c r="K38" s="67"/>
      <c r="L38" s="67"/>
      <c r="M38" s="67"/>
      <c r="N38" s="67"/>
      <c r="O38" s="67"/>
    </row>
    <row r="39" spans="1:15" ht="13.15" customHeight="1" x14ac:dyDescent="0.2">
      <c r="A39" s="147" t="s">
        <v>203</v>
      </c>
      <c r="B39" s="200"/>
      <c r="C39" s="200"/>
      <c r="D39" s="200"/>
      <c r="E39" s="200"/>
      <c r="F39" s="200"/>
      <c r="G39" s="200"/>
      <c r="H39" s="200"/>
      <c r="I39" s="200"/>
      <c r="J39" s="200"/>
      <c r="K39" s="201"/>
      <c r="L39" s="67"/>
      <c r="M39" s="67"/>
      <c r="N39" s="67"/>
      <c r="O39" s="67"/>
    </row>
    <row r="40" spans="1:15" ht="13.15" customHeight="1" x14ac:dyDescent="0.2">
      <c r="A40" s="148"/>
      <c r="B40" s="202"/>
      <c r="C40" s="202"/>
      <c r="D40" s="202"/>
      <c r="E40" s="202"/>
      <c r="F40" s="202"/>
      <c r="G40" s="202"/>
      <c r="H40" s="202"/>
      <c r="I40" s="202"/>
      <c r="J40" s="202"/>
      <c r="K40" s="203"/>
      <c r="L40" s="67"/>
      <c r="M40" s="67"/>
      <c r="N40" s="67"/>
      <c r="O40" s="67"/>
    </row>
    <row r="41" spans="1:15" ht="13.15" customHeight="1" x14ac:dyDescent="0.2">
      <c r="A41" s="148"/>
      <c r="B41" s="8"/>
      <c r="C41" s="8"/>
      <c r="D41" s="8"/>
      <c r="E41" s="8"/>
      <c r="F41" s="8"/>
      <c r="G41" s="8"/>
      <c r="H41" s="8"/>
      <c r="I41" s="8"/>
      <c r="J41" s="8"/>
      <c r="K41" s="149"/>
      <c r="L41" s="67"/>
      <c r="M41" s="67"/>
      <c r="N41" s="67"/>
      <c r="O41" s="67"/>
    </row>
    <row r="42" spans="1:15" x14ac:dyDescent="0.2">
      <c r="A42" s="148"/>
      <c r="B42" s="8"/>
      <c r="C42" s="8"/>
      <c r="D42" s="8"/>
      <c r="E42" s="8"/>
      <c r="F42" s="8"/>
      <c r="G42" s="8"/>
      <c r="H42" s="8"/>
      <c r="I42" s="8"/>
      <c r="J42" s="8"/>
      <c r="K42" s="149"/>
      <c r="L42" s="67"/>
      <c r="M42" s="67"/>
      <c r="N42" s="67"/>
      <c r="O42" s="67"/>
    </row>
    <row r="43" spans="1:15" ht="13.5" thickBot="1" x14ac:dyDescent="0.25">
      <c r="A43" s="150"/>
      <c r="B43" s="151"/>
      <c r="C43" s="151"/>
      <c r="D43" s="151"/>
      <c r="E43" s="151"/>
      <c r="F43" s="151"/>
      <c r="G43" s="151"/>
      <c r="H43" s="151"/>
      <c r="I43" s="151"/>
      <c r="J43" s="151"/>
      <c r="K43" s="152"/>
      <c r="L43" s="67"/>
      <c r="M43" s="67"/>
      <c r="N43" s="67"/>
      <c r="O43" s="67"/>
    </row>
    <row r="44" spans="1:15" x14ac:dyDescent="0.2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67"/>
      <c r="M44" s="67"/>
      <c r="N44" s="67"/>
      <c r="O44" s="67"/>
    </row>
    <row r="45" spans="1:15" x14ac:dyDescent="0.2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67"/>
      <c r="M45" s="67"/>
      <c r="N45" s="67"/>
      <c r="O45" s="67"/>
    </row>
    <row r="46" spans="1:15" x14ac:dyDescent="0.2">
      <c r="A46" s="114"/>
      <c r="B46" s="114"/>
      <c r="C46" s="114"/>
      <c r="D46" s="114"/>
      <c r="E46" s="114"/>
      <c r="F46" s="114"/>
      <c r="G46" s="114"/>
      <c r="H46" s="114"/>
      <c r="I46" s="114"/>
      <c r="J46" s="114"/>
      <c r="K46" s="114"/>
    </row>
    <row r="47" spans="1:15" x14ac:dyDescent="0.2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</row>
    <row r="48" spans="1:15" x14ac:dyDescent="0.2">
      <c r="A48" s="114"/>
      <c r="B48" s="114"/>
      <c r="C48" s="114"/>
      <c r="D48" s="114"/>
      <c r="E48" s="114"/>
      <c r="F48" s="153"/>
      <c r="G48" s="114"/>
      <c r="H48" s="114"/>
      <c r="I48" s="114"/>
      <c r="J48" s="114"/>
      <c r="K48" s="114"/>
    </row>
    <row r="49" spans="1:3" x14ac:dyDescent="0.2">
      <c r="A49" s="6"/>
      <c r="C49" s="6"/>
    </row>
    <row r="50" spans="1:3" x14ac:dyDescent="0.2">
      <c r="A50" s="6"/>
      <c r="C50" s="6"/>
    </row>
  </sheetData>
  <phoneticPr fontId="2" type="noConversion"/>
  <printOptions horizontalCentered="1"/>
  <pageMargins left="0.7" right="0.7" top="0.75" bottom="0.75" header="0.3" footer="0.3"/>
  <pageSetup scale="59" orientation="landscape" r:id="rId1"/>
  <headerFooter alignWithMargins="0">
    <oddFooter>&amp;L&amp;F
&amp;A&amp;RSchedule 95A Filing Eff 1-1-21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R24" sqref="R24"/>
    </sheetView>
  </sheetViews>
  <sheetFormatPr defaultColWidth="9.140625" defaultRowHeight="11.25" x14ac:dyDescent="0.2"/>
  <cols>
    <col min="1" max="1" width="29.7109375" style="112" bestFit="1" customWidth="1"/>
    <col min="2" max="2" width="8.7109375" style="113" bestFit="1" customWidth="1"/>
    <col min="3" max="16384" width="9.140625" style="112"/>
  </cols>
  <sheetData>
    <row r="1" spans="1:14" x14ac:dyDescent="0.2">
      <c r="A1" s="110" t="s">
        <v>168</v>
      </c>
      <c r="B1" s="111">
        <v>45352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x14ac:dyDescent="0.2">
      <c r="A2" s="110" t="s">
        <v>169</v>
      </c>
      <c r="B2" s="205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x14ac:dyDescent="0.2">
      <c r="B3" s="206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</row>
    <row r="4" spans="1:14" x14ac:dyDescent="0.2">
      <c r="A4" s="110" t="s">
        <v>170</v>
      </c>
      <c r="B4" s="111">
        <v>45292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4" x14ac:dyDescent="0.2">
      <c r="B5" s="206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4" x14ac:dyDescent="0.2">
      <c r="A6" s="112" t="s">
        <v>171</v>
      </c>
      <c r="B6" s="206" t="s">
        <v>185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4" x14ac:dyDescent="0.2">
      <c r="A7" s="112" t="s">
        <v>172</v>
      </c>
      <c r="B7" s="111">
        <v>45352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</row>
    <row r="8" spans="1:14" x14ac:dyDescent="0.2">
      <c r="A8" s="112" t="s">
        <v>173</v>
      </c>
      <c r="B8" s="111">
        <f>B7+364</f>
        <v>45716</v>
      </c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</row>
    <row r="9" spans="1:14" x14ac:dyDescent="0.2">
      <c r="B9" s="206"/>
      <c r="C9" s="204"/>
      <c r="D9" s="111"/>
      <c r="E9" s="204"/>
      <c r="F9" s="204"/>
      <c r="G9" s="204"/>
      <c r="H9" s="204"/>
      <c r="I9" s="204"/>
      <c r="J9" s="204"/>
      <c r="K9" s="204"/>
      <c r="L9" s="204"/>
      <c r="M9" s="204"/>
      <c r="N9" s="204"/>
    </row>
    <row r="10" spans="1:14" x14ac:dyDescent="0.2">
      <c r="A10" s="110" t="s">
        <v>174</v>
      </c>
      <c r="B10" s="111">
        <v>44937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</row>
    <row r="11" spans="1:14" x14ac:dyDescent="0.2">
      <c r="B11" s="206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</row>
    <row r="12" spans="1:14" x14ac:dyDescent="0.2">
      <c r="B12" s="206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</row>
    <row r="13" spans="1:14" x14ac:dyDescent="0.2">
      <c r="B13" s="206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</row>
    <row r="14" spans="1:14" x14ac:dyDescent="0.2">
      <c r="B14" s="206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</row>
    <row r="15" spans="1:14" x14ac:dyDescent="0.2">
      <c r="B15" s="206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</row>
    <row r="16" spans="1:14" x14ac:dyDescent="0.2">
      <c r="B16" s="206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</row>
    <row r="17" spans="1:14" x14ac:dyDescent="0.2">
      <c r="B17" s="206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</row>
    <row r="18" spans="1:14" x14ac:dyDescent="0.2">
      <c r="B18" s="206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</row>
    <row r="19" spans="1:14" x14ac:dyDescent="0.2">
      <c r="B19" s="206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</row>
    <row r="20" spans="1:14" x14ac:dyDescent="0.2">
      <c r="B20" s="206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</row>
    <row r="21" spans="1:14" x14ac:dyDescent="0.2">
      <c r="B21" s="206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</row>
    <row r="22" spans="1:14" x14ac:dyDescent="0.2">
      <c r="B22" s="206"/>
      <c r="C22" s="204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</row>
    <row r="23" spans="1:14" ht="12.75" x14ac:dyDescent="0.2">
      <c r="A23"/>
      <c r="B23" s="206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</row>
    <row r="24" spans="1:14" x14ac:dyDescent="0.2">
      <c r="B24" s="206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</row>
    <row r="25" spans="1:14" x14ac:dyDescent="0.2">
      <c r="B25" s="206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</row>
    <row r="26" spans="1:14" x14ac:dyDescent="0.2">
      <c r="B26" s="206"/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</row>
    <row r="27" spans="1:14" x14ac:dyDescent="0.2">
      <c r="B27" s="206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</row>
    <row r="28" spans="1:14" x14ac:dyDescent="0.2">
      <c r="B28" s="206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</row>
    <row r="29" spans="1:14" x14ac:dyDescent="0.2">
      <c r="B29" s="206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</row>
    <row r="30" spans="1:14" x14ac:dyDescent="0.2">
      <c r="B30" s="206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</row>
    <row r="31" spans="1:14" x14ac:dyDescent="0.2">
      <c r="B31" s="206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</row>
    <row r="32" spans="1:14" x14ac:dyDescent="0.2">
      <c r="B32" s="206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</row>
    <row r="33" spans="2:14" x14ac:dyDescent="0.2">
      <c r="B33" s="206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</row>
    <row r="34" spans="2:14" x14ac:dyDescent="0.2">
      <c r="B34" s="206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</row>
    <row r="35" spans="2:14" x14ac:dyDescent="0.2">
      <c r="B35" s="206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</row>
    <row r="36" spans="2:14" x14ac:dyDescent="0.2">
      <c r="B36" s="206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</row>
    <row r="37" spans="2:14" x14ac:dyDescent="0.2">
      <c r="B37" s="206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</row>
    <row r="38" spans="2:14" x14ac:dyDescent="0.2">
      <c r="B38" s="206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</row>
    <row r="39" spans="2:14" x14ac:dyDescent="0.2">
      <c r="B39" s="206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</row>
    <row r="40" spans="2:14" x14ac:dyDescent="0.2">
      <c r="B40" s="206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</row>
  </sheetData>
  <printOptions horizontalCentered="1"/>
  <pageMargins left="0.7" right="0.7" top="0.75" bottom="0.75" header="0.3" footer="0.3"/>
  <pageSetup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zoomScaleNormal="100" workbookViewId="0">
      <pane ySplit="6" topLeftCell="A7" activePane="bottomLeft" state="frozen"/>
      <selection activeCell="R24" sqref="R24"/>
      <selection pane="bottomLeft" activeCell="R24" sqref="R24"/>
    </sheetView>
  </sheetViews>
  <sheetFormatPr defaultColWidth="8.5703125" defaultRowHeight="11.25" x14ac:dyDescent="0.2"/>
  <cols>
    <col min="1" max="1" width="21.5703125" style="115" customWidth="1"/>
    <col min="2" max="2" width="7.5703125" style="115" bestFit="1" customWidth="1"/>
    <col min="3" max="3" width="12.5703125" style="115" bestFit="1" customWidth="1"/>
    <col min="4" max="4" width="9.5703125" style="115" bestFit="1" customWidth="1"/>
    <col min="5" max="5" width="10.5703125" style="115" customWidth="1"/>
    <col min="6" max="6" width="10" style="115" bestFit="1" customWidth="1"/>
    <col min="7" max="7" width="2" style="115" customWidth="1"/>
    <col min="8" max="8" width="7.5703125" style="115" bestFit="1" customWidth="1"/>
    <col min="9" max="10" width="10" style="115" bestFit="1" customWidth="1"/>
    <col min="11" max="11" width="9" style="115" bestFit="1" customWidth="1"/>
    <col min="12" max="13" width="9" style="115" customWidth="1"/>
    <col min="14" max="14" width="4" style="115" customWidth="1"/>
    <col min="15" max="16384" width="8.5703125" style="115"/>
  </cols>
  <sheetData>
    <row r="1" spans="1:15" s="193" customFormat="1" x14ac:dyDescent="0.2">
      <c r="A1" s="192" t="s">
        <v>13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115"/>
    </row>
    <row r="2" spans="1:15" s="193" customFormat="1" x14ac:dyDescent="0.2">
      <c r="A2" s="192" t="s">
        <v>31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5" x14ac:dyDescent="0.2">
      <c r="A3" s="192" t="s">
        <v>221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5" x14ac:dyDescent="0.2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1:15" x14ac:dyDescent="0.2">
      <c r="B5" s="116"/>
      <c r="C5" s="264" t="s">
        <v>111</v>
      </c>
      <c r="D5" s="264"/>
      <c r="E5" s="264"/>
      <c r="F5" s="264"/>
      <c r="G5" s="116"/>
      <c r="H5" s="264" t="s">
        <v>110</v>
      </c>
      <c r="I5" s="264"/>
      <c r="J5" s="264"/>
      <c r="K5" s="264"/>
      <c r="L5" s="239"/>
      <c r="M5" s="239"/>
      <c r="N5" s="116"/>
    </row>
    <row r="6" spans="1:15" ht="22.5" x14ac:dyDescent="0.2">
      <c r="A6" s="191" t="s">
        <v>32</v>
      </c>
      <c r="B6" s="240" t="s">
        <v>30</v>
      </c>
      <c r="C6" s="240" t="s">
        <v>109</v>
      </c>
      <c r="D6" s="240" t="s">
        <v>108</v>
      </c>
      <c r="E6" s="240" t="s">
        <v>107</v>
      </c>
      <c r="F6" s="240" t="s">
        <v>106</v>
      </c>
      <c r="G6" s="116"/>
      <c r="H6" s="240" t="s">
        <v>109</v>
      </c>
      <c r="I6" s="240" t="s">
        <v>108</v>
      </c>
      <c r="J6" s="240" t="s">
        <v>107</v>
      </c>
      <c r="K6" s="240" t="s">
        <v>106</v>
      </c>
      <c r="L6" s="241" t="s">
        <v>33</v>
      </c>
      <c r="M6" s="240" t="s">
        <v>34</v>
      </c>
      <c r="N6" s="116"/>
    </row>
    <row r="7" spans="1:15" x14ac:dyDescent="0.2">
      <c r="A7" s="190" t="s">
        <v>35</v>
      </c>
      <c r="B7" s="242">
        <f t="shared" ref="B7:B18" si="0">ROUND(+E79,0)</f>
        <v>959</v>
      </c>
      <c r="C7" s="243">
        <f t="shared" ref="C7:C18" si="1">ROUND(+$E$27,2)</f>
        <v>7.49</v>
      </c>
      <c r="D7" s="243">
        <f t="shared" ref="D7:D18" si="2">ROUND(IF($B7&gt;600,600*$E$73,$B7*$E$46),2)</f>
        <v>73.28</v>
      </c>
      <c r="E7" s="243">
        <f t="shared" ref="E7:E18" si="3">ROUND(IF($B7&gt;600,($B7-600)*$E$74,0),2)</f>
        <v>50.82</v>
      </c>
      <c r="F7" s="244">
        <f t="shared" ref="F7:F18" si="4">SUM(C7:E7)</f>
        <v>131.59</v>
      </c>
      <c r="G7" s="116"/>
      <c r="H7" s="243">
        <f t="shared" ref="H7:H18" si="5">ROUND(+$F$27,2)</f>
        <v>7.49</v>
      </c>
      <c r="I7" s="243">
        <f t="shared" ref="I7:I18" si="6">ROUND(IF($B7&gt;600,600*$F$73,$B7*$F$46),2)</f>
        <v>73.319999999999993</v>
      </c>
      <c r="J7" s="243">
        <f t="shared" ref="J7:J18" si="7">ROUND(IF($B7&gt;600,($B7-600)*$F$74,0),2)</f>
        <v>50.84</v>
      </c>
      <c r="K7" s="244">
        <f t="shared" ref="K7:K18" si="8">SUM(H7:J7)</f>
        <v>131.64999999999998</v>
      </c>
      <c r="L7" s="244">
        <f t="shared" ref="L7:L18" si="9">+K7-F7</f>
        <v>5.9999999999973852E-2</v>
      </c>
      <c r="M7" s="176">
        <f t="shared" ref="M7:M18" si="10">+L7/F7</f>
        <v>4.5596169921706701E-4</v>
      </c>
      <c r="N7" s="116"/>
    </row>
    <row r="8" spans="1:15" x14ac:dyDescent="0.2">
      <c r="A8" s="190" t="s">
        <v>36</v>
      </c>
      <c r="B8" s="242">
        <f t="shared" si="0"/>
        <v>803</v>
      </c>
      <c r="C8" s="243">
        <f t="shared" si="1"/>
        <v>7.49</v>
      </c>
      <c r="D8" s="243">
        <f t="shared" si="2"/>
        <v>73.28</v>
      </c>
      <c r="E8" s="243">
        <f t="shared" si="3"/>
        <v>28.74</v>
      </c>
      <c r="F8" s="244">
        <f t="shared" si="4"/>
        <v>109.50999999999999</v>
      </c>
      <c r="G8" s="116"/>
      <c r="H8" s="243">
        <f t="shared" si="5"/>
        <v>7.49</v>
      </c>
      <c r="I8" s="243">
        <f t="shared" si="6"/>
        <v>73.319999999999993</v>
      </c>
      <c r="J8" s="243">
        <f t="shared" si="7"/>
        <v>28.75</v>
      </c>
      <c r="K8" s="244">
        <f t="shared" si="8"/>
        <v>109.55999999999999</v>
      </c>
      <c r="L8" s="244">
        <f t="shared" si="9"/>
        <v>4.9999999999997158E-2</v>
      </c>
      <c r="M8" s="176">
        <f t="shared" si="10"/>
        <v>4.5657930782574345E-4</v>
      </c>
      <c r="N8" s="116"/>
    </row>
    <row r="9" spans="1:15" x14ac:dyDescent="0.2">
      <c r="A9" s="190" t="s">
        <v>37</v>
      </c>
      <c r="B9" s="242">
        <f t="shared" si="0"/>
        <v>700</v>
      </c>
      <c r="C9" s="243">
        <f t="shared" si="1"/>
        <v>7.49</v>
      </c>
      <c r="D9" s="243">
        <f t="shared" si="2"/>
        <v>73.28</v>
      </c>
      <c r="E9" s="243">
        <f t="shared" si="3"/>
        <v>14.16</v>
      </c>
      <c r="F9" s="244">
        <f t="shared" si="4"/>
        <v>94.929999999999993</v>
      </c>
      <c r="G9" s="116"/>
      <c r="H9" s="243">
        <f t="shared" si="5"/>
        <v>7.49</v>
      </c>
      <c r="I9" s="243">
        <f t="shared" si="6"/>
        <v>73.319999999999993</v>
      </c>
      <c r="J9" s="243">
        <f t="shared" si="7"/>
        <v>14.16</v>
      </c>
      <c r="K9" s="244">
        <f t="shared" si="8"/>
        <v>94.969999999999985</v>
      </c>
      <c r="L9" s="244">
        <f t="shared" si="9"/>
        <v>3.9999999999992042E-2</v>
      </c>
      <c r="M9" s="176">
        <f t="shared" si="10"/>
        <v>4.2136310965966547E-4</v>
      </c>
      <c r="N9" s="116"/>
    </row>
    <row r="10" spans="1:15" x14ac:dyDescent="0.2">
      <c r="A10" s="190" t="s">
        <v>38</v>
      </c>
      <c r="B10" s="242">
        <f t="shared" si="0"/>
        <v>669</v>
      </c>
      <c r="C10" s="243">
        <f t="shared" si="1"/>
        <v>7.49</v>
      </c>
      <c r="D10" s="243">
        <f t="shared" si="2"/>
        <v>73.28</v>
      </c>
      <c r="E10" s="243">
        <f t="shared" si="3"/>
        <v>9.77</v>
      </c>
      <c r="F10" s="244">
        <f t="shared" si="4"/>
        <v>90.539999999999992</v>
      </c>
      <c r="G10" s="116"/>
      <c r="H10" s="243">
        <f t="shared" si="5"/>
        <v>7.49</v>
      </c>
      <c r="I10" s="243">
        <f t="shared" si="6"/>
        <v>73.319999999999993</v>
      </c>
      <c r="J10" s="243">
        <f t="shared" si="7"/>
        <v>9.77</v>
      </c>
      <c r="K10" s="244">
        <f t="shared" si="8"/>
        <v>90.579999999999984</v>
      </c>
      <c r="L10" s="244">
        <f t="shared" si="9"/>
        <v>3.9999999999992042E-2</v>
      </c>
      <c r="M10" s="176">
        <f t="shared" si="10"/>
        <v>4.4179368235025454E-4</v>
      </c>
      <c r="N10" s="116"/>
    </row>
    <row r="11" spans="1:15" x14ac:dyDescent="0.2">
      <c r="A11" s="190" t="s">
        <v>39</v>
      </c>
      <c r="B11" s="242">
        <f t="shared" si="0"/>
        <v>745</v>
      </c>
      <c r="C11" s="243">
        <f t="shared" si="1"/>
        <v>7.49</v>
      </c>
      <c r="D11" s="243">
        <f t="shared" si="2"/>
        <v>73.28</v>
      </c>
      <c r="E11" s="243">
        <f t="shared" si="3"/>
        <v>20.53</v>
      </c>
      <c r="F11" s="244">
        <f t="shared" si="4"/>
        <v>101.3</v>
      </c>
      <c r="G11" s="116"/>
      <c r="H11" s="243">
        <f t="shared" si="5"/>
        <v>7.49</v>
      </c>
      <c r="I11" s="243">
        <f t="shared" si="6"/>
        <v>73.319999999999993</v>
      </c>
      <c r="J11" s="243">
        <f t="shared" si="7"/>
        <v>20.53</v>
      </c>
      <c r="K11" s="244">
        <f t="shared" si="8"/>
        <v>101.33999999999999</v>
      </c>
      <c r="L11" s="244">
        <f t="shared" si="9"/>
        <v>3.9999999999992042E-2</v>
      </c>
      <c r="M11" s="176">
        <f t="shared" si="10"/>
        <v>3.9486673247771022E-4</v>
      </c>
      <c r="N11" s="116"/>
    </row>
    <row r="12" spans="1:15" x14ac:dyDescent="0.2">
      <c r="A12" s="190" t="s">
        <v>40</v>
      </c>
      <c r="B12" s="242">
        <f t="shared" si="0"/>
        <v>750</v>
      </c>
      <c r="C12" s="243">
        <f t="shared" si="1"/>
        <v>7.49</v>
      </c>
      <c r="D12" s="243">
        <f t="shared" si="2"/>
        <v>73.28</v>
      </c>
      <c r="E12" s="243">
        <f t="shared" si="3"/>
        <v>21.23</v>
      </c>
      <c r="F12" s="244">
        <f t="shared" si="4"/>
        <v>102</v>
      </c>
      <c r="G12" s="116"/>
      <c r="H12" s="243">
        <f t="shared" si="5"/>
        <v>7.49</v>
      </c>
      <c r="I12" s="243">
        <f t="shared" si="6"/>
        <v>73.319999999999993</v>
      </c>
      <c r="J12" s="243">
        <f t="shared" si="7"/>
        <v>21.24</v>
      </c>
      <c r="K12" s="244">
        <f t="shared" si="8"/>
        <v>102.04999999999998</v>
      </c>
      <c r="L12" s="244">
        <f t="shared" si="9"/>
        <v>4.9999999999982947E-2</v>
      </c>
      <c r="M12" s="176">
        <f t="shared" si="10"/>
        <v>4.9019607843120536E-4</v>
      </c>
      <c r="N12" s="116"/>
    </row>
    <row r="13" spans="1:15" x14ac:dyDescent="0.2">
      <c r="A13" s="190" t="s">
        <v>41</v>
      </c>
      <c r="B13" s="242">
        <f t="shared" si="0"/>
        <v>685</v>
      </c>
      <c r="C13" s="243">
        <f t="shared" si="1"/>
        <v>7.49</v>
      </c>
      <c r="D13" s="243">
        <f t="shared" si="2"/>
        <v>73.28</v>
      </c>
      <c r="E13" s="243">
        <f t="shared" si="3"/>
        <v>12.03</v>
      </c>
      <c r="F13" s="244">
        <f t="shared" si="4"/>
        <v>92.8</v>
      </c>
      <c r="G13" s="116"/>
      <c r="H13" s="243">
        <f t="shared" si="5"/>
        <v>7.49</v>
      </c>
      <c r="I13" s="243">
        <f t="shared" si="6"/>
        <v>73.319999999999993</v>
      </c>
      <c r="J13" s="243">
        <f t="shared" si="7"/>
        <v>12.04</v>
      </c>
      <c r="K13" s="244">
        <f t="shared" si="8"/>
        <v>92.85</v>
      </c>
      <c r="L13" s="244">
        <f t="shared" si="9"/>
        <v>4.9999999999997158E-2</v>
      </c>
      <c r="M13" s="176">
        <f t="shared" si="10"/>
        <v>5.3879310344824528E-4</v>
      </c>
      <c r="N13" s="116"/>
    </row>
    <row r="14" spans="1:15" x14ac:dyDescent="0.2">
      <c r="A14" s="190" t="s">
        <v>42</v>
      </c>
      <c r="B14" s="242">
        <f t="shared" si="0"/>
        <v>800</v>
      </c>
      <c r="C14" s="243">
        <f t="shared" si="1"/>
        <v>7.49</v>
      </c>
      <c r="D14" s="243">
        <f t="shared" si="2"/>
        <v>73.28</v>
      </c>
      <c r="E14" s="243">
        <f t="shared" si="3"/>
        <v>28.31</v>
      </c>
      <c r="F14" s="244">
        <f t="shared" si="4"/>
        <v>109.08</v>
      </c>
      <c r="G14" s="116"/>
      <c r="H14" s="243">
        <f t="shared" si="5"/>
        <v>7.49</v>
      </c>
      <c r="I14" s="243">
        <f t="shared" si="6"/>
        <v>73.319999999999993</v>
      </c>
      <c r="J14" s="243">
        <f t="shared" si="7"/>
        <v>28.32</v>
      </c>
      <c r="K14" s="244">
        <f t="shared" si="8"/>
        <v>109.13</v>
      </c>
      <c r="L14" s="244">
        <f t="shared" si="9"/>
        <v>4.9999999999997158E-2</v>
      </c>
      <c r="M14" s="176">
        <f t="shared" si="10"/>
        <v>4.5837917125043232E-4</v>
      </c>
      <c r="N14" s="116"/>
    </row>
    <row r="15" spans="1:15" x14ac:dyDescent="0.2">
      <c r="A15" s="190" t="s">
        <v>43</v>
      </c>
      <c r="B15" s="242">
        <f t="shared" si="0"/>
        <v>964</v>
      </c>
      <c r="C15" s="243">
        <f t="shared" si="1"/>
        <v>7.49</v>
      </c>
      <c r="D15" s="243">
        <f t="shared" si="2"/>
        <v>73.28</v>
      </c>
      <c r="E15" s="243">
        <f t="shared" si="3"/>
        <v>51.53</v>
      </c>
      <c r="F15" s="244">
        <f t="shared" si="4"/>
        <v>132.30000000000001</v>
      </c>
      <c r="G15" s="116"/>
      <c r="H15" s="243">
        <f t="shared" si="5"/>
        <v>7.49</v>
      </c>
      <c r="I15" s="243">
        <f t="shared" si="6"/>
        <v>73.319999999999993</v>
      </c>
      <c r="J15" s="243">
        <f t="shared" si="7"/>
        <v>51.55</v>
      </c>
      <c r="K15" s="244">
        <f t="shared" si="8"/>
        <v>132.35999999999999</v>
      </c>
      <c r="L15" s="244">
        <f t="shared" si="9"/>
        <v>5.9999999999973852E-2</v>
      </c>
      <c r="M15" s="176">
        <f t="shared" si="10"/>
        <v>4.5351473922882726E-4</v>
      </c>
      <c r="N15" s="116"/>
    </row>
    <row r="16" spans="1:15" x14ac:dyDescent="0.2">
      <c r="A16" s="190" t="s">
        <v>44</v>
      </c>
      <c r="B16" s="242">
        <f t="shared" si="0"/>
        <v>1157</v>
      </c>
      <c r="C16" s="243">
        <f t="shared" si="1"/>
        <v>7.49</v>
      </c>
      <c r="D16" s="243">
        <f t="shared" si="2"/>
        <v>73.28</v>
      </c>
      <c r="E16" s="243">
        <f t="shared" si="3"/>
        <v>78.849999999999994</v>
      </c>
      <c r="F16" s="244">
        <f t="shared" si="4"/>
        <v>159.62</v>
      </c>
      <c r="G16" s="116"/>
      <c r="H16" s="243">
        <f t="shared" si="5"/>
        <v>7.49</v>
      </c>
      <c r="I16" s="243">
        <f t="shared" si="6"/>
        <v>73.319999999999993</v>
      </c>
      <c r="J16" s="243">
        <f t="shared" si="7"/>
        <v>78.88</v>
      </c>
      <c r="K16" s="244">
        <f t="shared" si="8"/>
        <v>159.69</v>
      </c>
      <c r="L16" s="244">
        <f t="shared" si="9"/>
        <v>6.9999999999993179E-2</v>
      </c>
      <c r="M16" s="176">
        <f t="shared" si="10"/>
        <v>4.3854153614830959E-4</v>
      </c>
      <c r="N16" s="116"/>
    </row>
    <row r="17" spans="1:14" x14ac:dyDescent="0.2">
      <c r="A17" s="190" t="s">
        <v>45</v>
      </c>
      <c r="B17" s="242">
        <f t="shared" si="0"/>
        <v>1090</v>
      </c>
      <c r="C17" s="243">
        <f t="shared" si="1"/>
        <v>7.49</v>
      </c>
      <c r="D17" s="243">
        <f t="shared" si="2"/>
        <v>73.28</v>
      </c>
      <c r="E17" s="243">
        <f t="shared" si="3"/>
        <v>69.36</v>
      </c>
      <c r="F17" s="244">
        <f t="shared" si="4"/>
        <v>150.13</v>
      </c>
      <c r="G17" s="116"/>
      <c r="H17" s="243">
        <f t="shared" si="5"/>
        <v>7.49</v>
      </c>
      <c r="I17" s="243">
        <f t="shared" si="6"/>
        <v>73.319999999999993</v>
      </c>
      <c r="J17" s="243">
        <f t="shared" si="7"/>
        <v>69.39</v>
      </c>
      <c r="K17" s="244">
        <f t="shared" si="8"/>
        <v>150.19999999999999</v>
      </c>
      <c r="L17" s="244">
        <f t="shared" si="9"/>
        <v>6.9999999999993179E-2</v>
      </c>
      <c r="M17" s="176">
        <f t="shared" si="10"/>
        <v>4.6626257243717568E-4</v>
      </c>
      <c r="N17" s="116"/>
    </row>
    <row r="18" spans="1:14" x14ac:dyDescent="0.2">
      <c r="A18" s="190" t="s">
        <v>46</v>
      </c>
      <c r="B18" s="242">
        <f t="shared" si="0"/>
        <v>949</v>
      </c>
      <c r="C18" s="243">
        <f t="shared" si="1"/>
        <v>7.49</v>
      </c>
      <c r="D18" s="243">
        <f t="shared" si="2"/>
        <v>73.28</v>
      </c>
      <c r="E18" s="243">
        <f t="shared" si="3"/>
        <v>49.4</v>
      </c>
      <c r="F18" s="244">
        <f t="shared" si="4"/>
        <v>130.16999999999999</v>
      </c>
      <c r="G18" s="116"/>
      <c r="H18" s="243">
        <f t="shared" si="5"/>
        <v>7.49</v>
      </c>
      <c r="I18" s="243">
        <f t="shared" si="6"/>
        <v>73.319999999999993</v>
      </c>
      <c r="J18" s="243">
        <f t="shared" si="7"/>
        <v>49.42</v>
      </c>
      <c r="K18" s="244">
        <f t="shared" si="8"/>
        <v>130.22999999999999</v>
      </c>
      <c r="L18" s="244">
        <f t="shared" si="9"/>
        <v>6.0000000000002274E-2</v>
      </c>
      <c r="M18" s="176">
        <f t="shared" si="10"/>
        <v>4.6093569946994143E-4</v>
      </c>
      <c r="N18" s="116"/>
    </row>
    <row r="19" spans="1:14" x14ac:dyDescent="0.2">
      <c r="B19" s="116"/>
      <c r="C19" s="243"/>
      <c r="D19" s="116"/>
      <c r="E19" s="116"/>
      <c r="F19" s="116"/>
      <c r="G19" s="116"/>
      <c r="H19" s="243"/>
      <c r="I19" s="116"/>
      <c r="J19" s="116"/>
      <c r="K19" s="116"/>
      <c r="L19" s="116"/>
      <c r="M19" s="176"/>
      <c r="N19" s="116"/>
    </row>
    <row r="20" spans="1:14" ht="12" thickBot="1" x14ac:dyDescent="0.25">
      <c r="A20" s="189" t="s">
        <v>47</v>
      </c>
      <c r="B20" s="245">
        <f>SUM(B7:B19)</f>
        <v>10271</v>
      </c>
      <c r="C20" s="246">
        <f>SUM(C7:C19)</f>
        <v>89.88</v>
      </c>
      <c r="D20" s="246">
        <f>SUM(D7:D19)</f>
        <v>879.35999999999979</v>
      </c>
      <c r="E20" s="246">
        <f>SUM(E7:E19)</f>
        <v>434.73</v>
      </c>
      <c r="F20" s="246">
        <f>SUM(F7:F19)</f>
        <v>1403.9700000000003</v>
      </c>
      <c r="G20" s="116"/>
      <c r="H20" s="246">
        <f>SUM(H7:H19)</f>
        <v>89.88</v>
      </c>
      <c r="I20" s="246">
        <f>SUM(I7:I19)</f>
        <v>879.83999999999969</v>
      </c>
      <c r="J20" s="246">
        <f>SUM(J7:J19)</f>
        <v>434.89</v>
      </c>
      <c r="K20" s="246">
        <f>SUM(K7:K19)</f>
        <v>1404.61</v>
      </c>
      <c r="L20" s="246">
        <f>+K20-F20</f>
        <v>0.6399999999996453</v>
      </c>
      <c r="M20" s="247">
        <f>+L20/F20</f>
        <v>4.5585019622901144E-4</v>
      </c>
      <c r="N20" s="116"/>
    </row>
    <row r="21" spans="1:14" ht="12" thickTop="1" x14ac:dyDescent="0.2"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76"/>
      <c r="N21" s="116"/>
    </row>
    <row r="22" spans="1:14" ht="12" thickBot="1" x14ac:dyDescent="0.25">
      <c r="A22" s="188" t="s">
        <v>81</v>
      </c>
      <c r="B22" s="245">
        <f>ROUND(AVERAGE(B7:B18),-2)</f>
        <v>900</v>
      </c>
      <c r="C22" s="248">
        <f>ROUND(+$E$27,2)</f>
        <v>7.49</v>
      </c>
      <c r="D22" s="248">
        <f>ROUND(IF($B22&gt;600,600*$E$73,$B22*$E$46),2)</f>
        <v>73.28</v>
      </c>
      <c r="E22" s="248">
        <f>ROUND(IF($B22&gt;600,($B22-600)*$E$74,0),2)</f>
        <v>42.47</v>
      </c>
      <c r="F22" s="248">
        <f>SUM(C22:E22)</f>
        <v>123.24</v>
      </c>
      <c r="G22" s="116"/>
      <c r="H22" s="248">
        <f>ROUND(+$F$27,2)</f>
        <v>7.49</v>
      </c>
      <c r="I22" s="248">
        <f>ROUND(IF($B22&gt;600,600*$F$73,$B22*$F$46),2)</f>
        <v>73.319999999999993</v>
      </c>
      <c r="J22" s="248">
        <f>ROUND(IF($B22&gt;600,($B22-600)*$F$74,0),2)</f>
        <v>42.48</v>
      </c>
      <c r="K22" s="248">
        <f>SUM(H22:J22)</f>
        <v>123.28999999999999</v>
      </c>
      <c r="L22" s="248">
        <f>+K22-F22</f>
        <v>4.9999999999997158E-2</v>
      </c>
      <c r="M22" s="247">
        <f>+L22/F22</f>
        <v>4.0571243102886366E-4</v>
      </c>
      <c r="N22" s="116"/>
    </row>
    <row r="23" spans="1:14" ht="12.75" thickTop="1" thickBot="1" x14ac:dyDescent="0.25">
      <c r="A23" s="188" t="s">
        <v>81</v>
      </c>
      <c r="B23" s="249">
        <v>800</v>
      </c>
      <c r="C23" s="248">
        <f>ROUND(+$E$27,2)</f>
        <v>7.49</v>
      </c>
      <c r="D23" s="248">
        <f>ROUND(IF($B23&gt;600,600*$E$73,$B23*$E$46),2)</f>
        <v>73.28</v>
      </c>
      <c r="E23" s="248">
        <f>ROUND(IF($B23&gt;600,($B23-600)*$E$74,0),2)</f>
        <v>28.31</v>
      </c>
      <c r="F23" s="248">
        <f>SUM(C23:E23)</f>
        <v>109.08</v>
      </c>
      <c r="G23" s="116"/>
      <c r="H23" s="248">
        <f>ROUND(+$F$27,2)</f>
        <v>7.49</v>
      </c>
      <c r="I23" s="248">
        <f>ROUND(IF($B23&gt;600,600*$F$73,$B23*$F$46),2)</f>
        <v>73.319999999999993</v>
      </c>
      <c r="J23" s="248">
        <f>ROUND(IF($B23&gt;600,($B23-600)*$F$74,0),2)</f>
        <v>28.32</v>
      </c>
      <c r="K23" s="248">
        <f>SUM(H23:J23)</f>
        <v>109.13</v>
      </c>
      <c r="L23" s="248">
        <f>+K23-F23</f>
        <v>4.9999999999997158E-2</v>
      </c>
      <c r="M23" s="247">
        <f>+L23/F23</f>
        <v>4.5837917125043232E-4</v>
      </c>
      <c r="N23" s="116"/>
    </row>
    <row r="24" spans="1:14" ht="12" thickTop="1" x14ac:dyDescent="0.2"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</row>
    <row r="25" spans="1:14" ht="45" x14ac:dyDescent="0.2">
      <c r="A25" s="187" t="s">
        <v>82</v>
      </c>
      <c r="B25" s="250"/>
      <c r="C25" s="250"/>
      <c r="D25" s="250"/>
      <c r="E25" s="251" t="s">
        <v>222</v>
      </c>
      <c r="F25" s="251" t="s">
        <v>223</v>
      </c>
      <c r="G25" s="116"/>
      <c r="H25" s="116"/>
      <c r="I25" s="116"/>
      <c r="J25" s="116"/>
      <c r="K25" s="116"/>
      <c r="L25" s="116"/>
      <c r="M25" s="252"/>
      <c r="N25" s="116"/>
    </row>
    <row r="26" spans="1:14" x14ac:dyDescent="0.2">
      <c r="A26" s="259" t="s">
        <v>48</v>
      </c>
      <c r="B26" s="260"/>
      <c r="C26" s="260"/>
      <c r="D26" s="260"/>
      <c r="E26" s="253"/>
      <c r="F26" s="253"/>
      <c r="G26" s="116"/>
      <c r="H26" s="116"/>
      <c r="I26" s="116"/>
      <c r="J26" s="116"/>
      <c r="K26" s="116"/>
      <c r="L26" s="116"/>
      <c r="M26" s="116"/>
      <c r="N26" s="116"/>
    </row>
    <row r="27" spans="1:14" x14ac:dyDescent="0.2">
      <c r="A27" s="261" t="s">
        <v>83</v>
      </c>
      <c r="B27" s="258"/>
      <c r="C27" s="258"/>
      <c r="D27" s="258"/>
      <c r="E27" s="254">
        <v>7.49</v>
      </c>
      <c r="F27" s="255">
        <f>E27</f>
        <v>7.49</v>
      </c>
      <c r="G27" s="116" t="s">
        <v>49</v>
      </c>
      <c r="H27" s="116"/>
      <c r="I27" s="116"/>
      <c r="J27" s="116"/>
      <c r="K27" s="177"/>
      <c r="L27" s="176"/>
      <c r="M27" s="116"/>
      <c r="N27" s="116"/>
    </row>
    <row r="28" spans="1:14" ht="12" thickBot="1" x14ac:dyDescent="0.25">
      <c r="A28" s="263" t="s">
        <v>69</v>
      </c>
      <c r="B28" s="265"/>
      <c r="C28" s="265"/>
      <c r="D28" s="265"/>
      <c r="E28" s="256">
        <f>SUM(E27)</f>
        <v>7.49</v>
      </c>
      <c r="F28" s="256">
        <f>SUM(F27:F27)</f>
        <v>7.49</v>
      </c>
      <c r="G28" s="116"/>
      <c r="H28" s="116"/>
      <c r="I28" s="116"/>
      <c r="J28" s="116"/>
      <c r="K28" s="177"/>
      <c r="L28" s="176"/>
      <c r="M28" s="116"/>
      <c r="N28" s="116"/>
    </row>
    <row r="29" spans="1:14" ht="12" thickTop="1" x14ac:dyDescent="0.2">
      <c r="A29" s="259" t="s">
        <v>50</v>
      </c>
      <c r="B29" s="260"/>
      <c r="C29" s="260"/>
      <c r="D29" s="260"/>
      <c r="E29" s="257"/>
      <c r="F29" s="257"/>
      <c r="G29" s="116"/>
      <c r="H29" s="116"/>
      <c r="I29" s="116"/>
      <c r="J29" s="116"/>
      <c r="K29" s="177"/>
      <c r="L29" s="176"/>
      <c r="M29" s="116"/>
      <c r="N29" s="116"/>
    </row>
    <row r="30" spans="1:14" x14ac:dyDescent="0.2">
      <c r="A30" s="261" t="s">
        <v>51</v>
      </c>
      <c r="B30" s="258"/>
      <c r="C30" s="258"/>
      <c r="D30" s="258"/>
      <c r="E30" s="186">
        <v>8.9437000000000003E-2</v>
      </c>
      <c r="F30" s="178">
        <f t="shared" ref="F30:F41" si="11">E30</f>
        <v>8.9437000000000003E-2</v>
      </c>
      <c r="G30" s="116" t="s">
        <v>29</v>
      </c>
      <c r="H30" s="116"/>
      <c r="I30" s="116"/>
      <c r="J30" s="116"/>
      <c r="K30" s="177"/>
      <c r="L30" s="176"/>
      <c r="M30" s="116"/>
      <c r="N30" s="116"/>
    </row>
    <row r="31" spans="1:14" s="116" customFormat="1" x14ac:dyDescent="0.2">
      <c r="A31" s="258" t="s">
        <v>53</v>
      </c>
      <c r="B31" s="258"/>
      <c r="C31" s="258"/>
      <c r="D31" s="258"/>
      <c r="E31" s="179">
        <v>7.8630000000000002E-3</v>
      </c>
      <c r="F31" s="178">
        <f t="shared" si="11"/>
        <v>7.8630000000000002E-3</v>
      </c>
      <c r="G31" s="116" t="s">
        <v>29</v>
      </c>
      <c r="K31" s="177"/>
      <c r="L31" s="176"/>
    </row>
    <row r="32" spans="1:14" x14ac:dyDescent="0.2">
      <c r="A32" s="261" t="s">
        <v>115</v>
      </c>
      <c r="B32" s="258"/>
      <c r="C32" s="258"/>
      <c r="D32" s="258"/>
      <c r="E32" s="179">
        <v>3.4810000000000002E-3</v>
      </c>
      <c r="F32" s="178">
        <f t="shared" si="11"/>
        <v>3.4810000000000002E-3</v>
      </c>
      <c r="G32" s="116" t="s">
        <v>29</v>
      </c>
      <c r="H32" s="116"/>
      <c r="I32" s="116"/>
      <c r="J32" s="116"/>
      <c r="K32" s="177"/>
      <c r="L32" s="176"/>
      <c r="M32" s="116"/>
      <c r="N32" s="116"/>
    </row>
    <row r="33" spans="1:14" x14ac:dyDescent="0.2">
      <c r="A33" s="261" t="s">
        <v>54</v>
      </c>
      <c r="B33" s="258"/>
      <c r="C33" s="258"/>
      <c r="D33" s="258"/>
      <c r="E33" s="179">
        <v>5.0439999999999999E-3</v>
      </c>
      <c r="F33" s="178">
        <f t="shared" si="11"/>
        <v>5.0439999999999999E-3</v>
      </c>
      <c r="G33" s="116" t="s">
        <v>29</v>
      </c>
      <c r="H33" s="116"/>
      <c r="I33" s="116"/>
      <c r="J33" s="116"/>
      <c r="K33" s="177"/>
      <c r="L33" s="176"/>
      <c r="M33" s="116"/>
      <c r="N33" s="116"/>
    </row>
    <row r="34" spans="1:14" x14ac:dyDescent="0.2">
      <c r="A34" s="261" t="s">
        <v>55</v>
      </c>
      <c r="B34" s="258"/>
      <c r="C34" s="258"/>
      <c r="D34" s="258"/>
      <c r="E34" s="179">
        <v>1.428E-3</v>
      </c>
      <c r="F34" s="178">
        <f t="shared" si="11"/>
        <v>1.428E-3</v>
      </c>
      <c r="G34" s="116" t="s">
        <v>29</v>
      </c>
      <c r="H34" s="116"/>
      <c r="I34" s="116"/>
      <c r="J34" s="116"/>
      <c r="K34" s="177"/>
      <c r="L34" s="176"/>
      <c r="M34" s="116"/>
      <c r="N34" s="116"/>
    </row>
    <row r="35" spans="1:14" x14ac:dyDescent="0.2">
      <c r="A35" s="261" t="s">
        <v>220</v>
      </c>
      <c r="B35" s="258"/>
      <c r="C35" s="258"/>
      <c r="D35" s="258"/>
      <c r="E35" s="179">
        <v>6.0700000000000001E-4</v>
      </c>
      <c r="F35" s="178">
        <f t="shared" si="11"/>
        <v>6.0700000000000001E-4</v>
      </c>
      <c r="G35" s="116" t="s">
        <v>29</v>
      </c>
      <c r="H35" s="116"/>
      <c r="I35" s="116"/>
      <c r="J35" s="116"/>
      <c r="K35" s="177"/>
      <c r="L35" s="176"/>
      <c r="M35" s="116"/>
      <c r="N35" s="116"/>
    </row>
    <row r="36" spans="1:14" x14ac:dyDescent="0.2">
      <c r="A36" s="261" t="s">
        <v>67</v>
      </c>
      <c r="B36" s="258"/>
      <c r="C36" s="258"/>
      <c r="D36" s="258"/>
      <c r="E36" s="179">
        <v>2.6120000000000002E-3</v>
      </c>
      <c r="F36" s="178">
        <f t="shared" si="11"/>
        <v>2.6120000000000002E-3</v>
      </c>
      <c r="G36" s="116" t="s">
        <v>29</v>
      </c>
      <c r="H36" s="116"/>
      <c r="I36" s="116"/>
      <c r="J36" s="116"/>
      <c r="K36" s="177"/>
      <c r="L36" s="176"/>
      <c r="M36" s="116"/>
      <c r="N36" s="116"/>
    </row>
    <row r="37" spans="1:14" s="116" customFormat="1" x14ac:dyDescent="0.2">
      <c r="A37" s="258" t="s">
        <v>178</v>
      </c>
      <c r="B37" s="258"/>
      <c r="C37" s="258"/>
      <c r="D37" s="258"/>
      <c r="E37" s="179">
        <v>1.7420000000000001E-3</v>
      </c>
      <c r="F37" s="178">
        <f t="shared" si="11"/>
        <v>1.7420000000000001E-3</v>
      </c>
      <c r="G37" s="116" t="s">
        <v>29</v>
      </c>
      <c r="K37" s="177"/>
      <c r="L37" s="176"/>
    </row>
    <row r="38" spans="1:14" x14ac:dyDescent="0.2">
      <c r="A38" s="185" t="s">
        <v>219</v>
      </c>
      <c r="B38" s="194"/>
      <c r="C38" s="194"/>
      <c r="D38" s="194"/>
      <c r="E38" s="179">
        <v>1.25E-3</v>
      </c>
      <c r="F38" s="178">
        <f t="shared" si="11"/>
        <v>1.25E-3</v>
      </c>
      <c r="G38" s="116" t="s">
        <v>29</v>
      </c>
      <c r="H38" s="116"/>
      <c r="I38" s="116"/>
      <c r="J38" s="116"/>
      <c r="K38" s="177"/>
      <c r="L38" s="176"/>
      <c r="M38" s="116"/>
      <c r="N38" s="116"/>
    </row>
    <row r="39" spans="1:14" s="116" customFormat="1" x14ac:dyDescent="0.2">
      <c r="A39" s="258" t="s">
        <v>179</v>
      </c>
      <c r="B39" s="258"/>
      <c r="C39" s="258"/>
      <c r="D39" s="258"/>
      <c r="E39" s="179">
        <v>2.7260000000000001E-3</v>
      </c>
      <c r="F39" s="178">
        <f t="shared" si="11"/>
        <v>2.7260000000000001E-3</v>
      </c>
      <c r="G39" s="116" t="s">
        <v>29</v>
      </c>
      <c r="K39" s="177"/>
      <c r="L39" s="176"/>
    </row>
    <row r="40" spans="1:14" x14ac:dyDescent="0.2">
      <c r="A40" s="261" t="s">
        <v>180</v>
      </c>
      <c r="B40" s="258"/>
      <c r="C40" s="258"/>
      <c r="D40" s="258"/>
      <c r="E40" s="179">
        <v>8.5280000000000009E-3</v>
      </c>
      <c r="F40" s="178">
        <f t="shared" si="11"/>
        <v>8.5280000000000009E-3</v>
      </c>
      <c r="G40" s="116" t="s">
        <v>29</v>
      </c>
      <c r="H40" s="116"/>
      <c r="I40" s="116"/>
      <c r="J40" s="116"/>
      <c r="K40" s="177"/>
      <c r="L40" s="176"/>
      <c r="M40" s="116"/>
      <c r="N40" s="116"/>
    </row>
    <row r="41" spans="1:14" x14ac:dyDescent="0.2">
      <c r="A41" s="261" t="s">
        <v>181</v>
      </c>
      <c r="B41" s="261"/>
      <c r="C41" s="261"/>
      <c r="D41" s="261"/>
      <c r="E41" s="179">
        <v>8.1049999999999994E-3</v>
      </c>
      <c r="F41" s="180">
        <f t="shared" si="11"/>
        <v>8.1049999999999994E-3</v>
      </c>
      <c r="G41" s="115" t="s">
        <v>29</v>
      </c>
      <c r="K41" s="171"/>
      <c r="L41" s="172"/>
    </row>
    <row r="42" spans="1:14" x14ac:dyDescent="0.2">
      <c r="A42" s="262" t="s">
        <v>182</v>
      </c>
      <c r="B42" s="262"/>
      <c r="C42" s="262"/>
      <c r="D42" s="262"/>
      <c r="E42" s="184">
        <f>'Prior RY Rate Design'!H7</f>
        <v>3.1856041326506503E-4</v>
      </c>
      <c r="F42" s="184">
        <f>Allocation!I7</f>
        <v>3.7778164912570007E-4</v>
      </c>
      <c r="G42" s="158" t="s">
        <v>29</v>
      </c>
      <c r="H42" s="158"/>
      <c r="K42" s="171"/>
      <c r="L42" s="172"/>
    </row>
    <row r="43" spans="1:14" x14ac:dyDescent="0.2">
      <c r="A43" s="261" t="s">
        <v>105</v>
      </c>
      <c r="B43" s="261"/>
      <c r="C43" s="261"/>
      <c r="D43" s="261"/>
      <c r="E43" s="181">
        <v>0</v>
      </c>
      <c r="F43" s="180">
        <f>E43</f>
        <v>0</v>
      </c>
      <c r="G43" s="115" t="s">
        <v>29</v>
      </c>
      <c r="K43" s="171"/>
      <c r="L43" s="172"/>
    </row>
    <row r="44" spans="1:14" x14ac:dyDescent="0.2">
      <c r="A44" s="261" t="s">
        <v>68</v>
      </c>
      <c r="B44" s="261"/>
      <c r="C44" s="261"/>
      <c r="D44" s="261"/>
      <c r="E44" s="181">
        <v>-3.4759999999999999E-3</v>
      </c>
      <c r="F44" s="180">
        <f>E44</f>
        <v>-3.4759999999999999E-3</v>
      </c>
      <c r="G44" s="115" t="s">
        <v>29</v>
      </c>
      <c r="K44" s="171"/>
      <c r="L44" s="172"/>
    </row>
    <row r="45" spans="1:14" x14ac:dyDescent="0.2">
      <c r="A45" s="261" t="s">
        <v>114</v>
      </c>
      <c r="B45" s="261"/>
      <c r="C45" s="261"/>
      <c r="D45" s="261"/>
      <c r="E45" s="181">
        <v>0</v>
      </c>
      <c r="F45" s="180">
        <f>E45</f>
        <v>0</v>
      </c>
      <c r="G45" s="115" t="s">
        <v>29</v>
      </c>
      <c r="K45" s="171"/>
      <c r="L45" s="172"/>
    </row>
    <row r="46" spans="1:14" ht="12" thickBot="1" x14ac:dyDescent="0.25">
      <c r="A46" s="263" t="s">
        <v>70</v>
      </c>
      <c r="B46" s="263"/>
      <c r="C46" s="263"/>
      <c r="D46" s="263"/>
      <c r="E46" s="175">
        <f>SUM(E30:E45)</f>
        <v>0.12966556041326505</v>
      </c>
      <c r="F46" s="175">
        <f>SUM(F30:F45)</f>
        <v>0.12972478164912568</v>
      </c>
      <c r="G46" s="115" t="s">
        <v>29</v>
      </c>
      <c r="K46" s="171"/>
      <c r="L46" s="172"/>
    </row>
    <row r="47" spans="1:14" ht="12" thickTop="1" x14ac:dyDescent="0.2">
      <c r="A47" s="259"/>
      <c r="B47" s="259"/>
      <c r="C47" s="259"/>
      <c r="D47" s="259"/>
      <c r="E47" s="180"/>
      <c r="F47" s="180"/>
      <c r="K47" s="171"/>
      <c r="L47" s="172"/>
    </row>
    <row r="48" spans="1:14" x14ac:dyDescent="0.2">
      <c r="A48" s="259" t="s">
        <v>52</v>
      </c>
      <c r="B48" s="259"/>
      <c r="C48" s="259"/>
      <c r="D48" s="259"/>
      <c r="E48" s="183">
        <v>0.10885400000000001</v>
      </c>
      <c r="F48" s="180">
        <f>E48</f>
        <v>0.10885400000000001</v>
      </c>
      <c r="G48" s="115" t="s">
        <v>29</v>
      </c>
      <c r="K48" s="171"/>
      <c r="L48" s="172"/>
    </row>
    <row r="49" spans="1:12" s="116" customFormat="1" x14ac:dyDescent="0.2">
      <c r="A49" s="258" t="s">
        <v>53</v>
      </c>
      <c r="B49" s="258"/>
      <c r="C49" s="258"/>
      <c r="D49" s="258"/>
      <c r="E49" s="178">
        <f t="shared" ref="E49:F63" si="12">E31</f>
        <v>7.8630000000000002E-3</v>
      </c>
      <c r="F49" s="178">
        <f t="shared" si="12"/>
        <v>7.8630000000000002E-3</v>
      </c>
      <c r="G49" s="116" t="s">
        <v>29</v>
      </c>
      <c r="K49" s="177"/>
      <c r="L49" s="176"/>
    </row>
    <row r="50" spans="1:12" s="116" customFormat="1" x14ac:dyDescent="0.2">
      <c r="A50" s="258" t="s">
        <v>115</v>
      </c>
      <c r="B50" s="258"/>
      <c r="C50" s="258"/>
      <c r="D50" s="258"/>
      <c r="E50" s="178">
        <f t="shared" si="12"/>
        <v>3.4810000000000002E-3</v>
      </c>
      <c r="F50" s="178">
        <f t="shared" si="12"/>
        <v>3.4810000000000002E-3</v>
      </c>
      <c r="G50" s="116" t="s">
        <v>29</v>
      </c>
      <c r="K50" s="177"/>
      <c r="L50" s="176"/>
    </row>
    <row r="51" spans="1:12" s="116" customFormat="1" x14ac:dyDescent="0.2">
      <c r="A51" s="258" t="s">
        <v>54</v>
      </c>
      <c r="B51" s="258"/>
      <c r="C51" s="258"/>
      <c r="D51" s="258"/>
      <c r="E51" s="178">
        <f t="shared" si="12"/>
        <v>5.0439999999999999E-3</v>
      </c>
      <c r="F51" s="178">
        <f t="shared" si="12"/>
        <v>5.0439999999999999E-3</v>
      </c>
      <c r="G51" s="116" t="s">
        <v>29</v>
      </c>
      <c r="K51" s="177"/>
      <c r="L51" s="176"/>
    </row>
    <row r="52" spans="1:12" s="116" customFormat="1" x14ac:dyDescent="0.2">
      <c r="A52" s="258" t="s">
        <v>55</v>
      </c>
      <c r="B52" s="258"/>
      <c r="C52" s="258"/>
      <c r="D52" s="258"/>
      <c r="E52" s="178">
        <f t="shared" si="12"/>
        <v>1.428E-3</v>
      </c>
      <c r="F52" s="178">
        <f t="shared" si="12"/>
        <v>1.428E-3</v>
      </c>
      <c r="G52" s="116" t="s">
        <v>29</v>
      </c>
      <c r="K52" s="177"/>
      <c r="L52" s="176"/>
    </row>
    <row r="53" spans="1:12" s="116" customFormat="1" x14ac:dyDescent="0.2">
      <c r="A53" s="258" t="s">
        <v>220</v>
      </c>
      <c r="B53" s="258"/>
      <c r="C53" s="258"/>
      <c r="D53" s="258"/>
      <c r="E53" s="178">
        <f t="shared" si="12"/>
        <v>6.0700000000000001E-4</v>
      </c>
      <c r="F53" s="178">
        <f t="shared" si="12"/>
        <v>6.0700000000000001E-4</v>
      </c>
      <c r="G53" s="116" t="s">
        <v>29</v>
      </c>
      <c r="K53" s="177"/>
      <c r="L53" s="176"/>
    </row>
    <row r="54" spans="1:12" s="116" customFormat="1" x14ac:dyDescent="0.2">
      <c r="A54" s="258" t="s">
        <v>67</v>
      </c>
      <c r="B54" s="258"/>
      <c r="C54" s="258"/>
      <c r="D54" s="258"/>
      <c r="E54" s="178">
        <f t="shared" si="12"/>
        <v>2.6120000000000002E-3</v>
      </c>
      <c r="F54" s="178">
        <f t="shared" si="12"/>
        <v>2.6120000000000002E-3</v>
      </c>
      <c r="G54" s="116" t="s">
        <v>29</v>
      </c>
      <c r="K54" s="177"/>
      <c r="L54" s="176"/>
    </row>
    <row r="55" spans="1:12" s="116" customFormat="1" x14ac:dyDescent="0.2">
      <c r="A55" s="258" t="s">
        <v>178</v>
      </c>
      <c r="B55" s="258"/>
      <c r="C55" s="258"/>
      <c r="D55" s="258"/>
      <c r="E55" s="178">
        <f t="shared" si="12"/>
        <v>1.7420000000000001E-3</v>
      </c>
      <c r="F55" s="178">
        <f t="shared" si="12"/>
        <v>1.7420000000000001E-3</v>
      </c>
      <c r="G55" s="116" t="s">
        <v>29</v>
      </c>
      <c r="K55" s="177"/>
      <c r="L55" s="176"/>
    </row>
    <row r="56" spans="1:12" s="116" customFormat="1" x14ac:dyDescent="0.2">
      <c r="A56" s="124" t="s">
        <v>219</v>
      </c>
      <c r="B56" s="124"/>
      <c r="C56" s="124"/>
      <c r="D56" s="124"/>
      <c r="E56" s="178">
        <f t="shared" si="12"/>
        <v>1.25E-3</v>
      </c>
      <c r="F56" s="178">
        <f t="shared" si="12"/>
        <v>1.25E-3</v>
      </c>
      <c r="G56" s="116" t="s">
        <v>29</v>
      </c>
      <c r="K56" s="177"/>
      <c r="L56" s="176"/>
    </row>
    <row r="57" spans="1:12" s="116" customFormat="1" x14ac:dyDescent="0.2">
      <c r="A57" s="258" t="s">
        <v>179</v>
      </c>
      <c r="B57" s="258"/>
      <c r="C57" s="258"/>
      <c r="D57" s="258"/>
      <c r="E57" s="178">
        <f t="shared" si="12"/>
        <v>2.7260000000000001E-3</v>
      </c>
      <c r="F57" s="178">
        <f t="shared" si="12"/>
        <v>2.7260000000000001E-3</v>
      </c>
      <c r="G57" s="116" t="s">
        <v>29</v>
      </c>
      <c r="K57" s="177"/>
      <c r="L57" s="176"/>
    </row>
    <row r="58" spans="1:12" s="116" customFormat="1" x14ac:dyDescent="0.2">
      <c r="A58" s="258" t="s">
        <v>180</v>
      </c>
      <c r="B58" s="258"/>
      <c r="C58" s="258"/>
      <c r="D58" s="258"/>
      <c r="E58" s="178">
        <f t="shared" si="12"/>
        <v>8.5280000000000009E-3</v>
      </c>
      <c r="F58" s="178">
        <f t="shared" si="12"/>
        <v>8.5280000000000009E-3</v>
      </c>
      <c r="G58" s="116" t="s">
        <v>29</v>
      </c>
      <c r="K58" s="177"/>
      <c r="L58" s="176"/>
    </row>
    <row r="59" spans="1:12" s="116" customFormat="1" x14ac:dyDescent="0.2">
      <c r="A59" s="258" t="s">
        <v>181</v>
      </c>
      <c r="B59" s="258"/>
      <c r="C59" s="258"/>
      <c r="D59" s="258"/>
      <c r="E59" s="178">
        <f t="shared" si="12"/>
        <v>8.1049999999999994E-3</v>
      </c>
      <c r="F59" s="178">
        <f t="shared" si="12"/>
        <v>8.1049999999999994E-3</v>
      </c>
      <c r="G59" s="116" t="s">
        <v>29</v>
      </c>
      <c r="K59" s="177"/>
      <c r="L59" s="176"/>
    </row>
    <row r="60" spans="1:12" s="116" customFormat="1" x14ac:dyDescent="0.2">
      <c r="A60" s="262" t="s">
        <v>182</v>
      </c>
      <c r="B60" s="262"/>
      <c r="C60" s="262"/>
      <c r="D60" s="262"/>
      <c r="E60" s="182">
        <f t="shared" si="12"/>
        <v>3.1856041326506503E-4</v>
      </c>
      <c r="F60" s="182">
        <f t="shared" si="12"/>
        <v>3.7778164912570007E-4</v>
      </c>
      <c r="G60" s="158" t="s">
        <v>29</v>
      </c>
      <c r="H60" s="158"/>
      <c r="K60" s="177"/>
      <c r="L60" s="176"/>
    </row>
    <row r="61" spans="1:12" x14ac:dyDescent="0.2">
      <c r="A61" s="261" t="s">
        <v>105</v>
      </c>
      <c r="B61" s="261"/>
      <c r="C61" s="261"/>
      <c r="D61" s="261"/>
      <c r="E61" s="180">
        <f t="shared" si="12"/>
        <v>0</v>
      </c>
      <c r="F61" s="180">
        <f t="shared" si="12"/>
        <v>0</v>
      </c>
      <c r="G61" s="115" t="s">
        <v>29</v>
      </c>
      <c r="K61" s="171"/>
      <c r="L61" s="172"/>
    </row>
    <row r="62" spans="1:12" x14ac:dyDescent="0.2">
      <c r="A62" s="261" t="s">
        <v>68</v>
      </c>
      <c r="B62" s="261"/>
      <c r="C62" s="261"/>
      <c r="D62" s="261"/>
      <c r="E62" s="180">
        <f t="shared" si="12"/>
        <v>-3.4759999999999999E-3</v>
      </c>
      <c r="F62" s="180">
        <f t="shared" si="12"/>
        <v>-3.4759999999999999E-3</v>
      </c>
      <c r="G62" s="115" t="s">
        <v>29</v>
      </c>
      <c r="K62" s="171"/>
      <c r="L62" s="172"/>
    </row>
    <row r="63" spans="1:12" x14ac:dyDescent="0.2">
      <c r="A63" s="261" t="s">
        <v>114</v>
      </c>
      <c r="B63" s="261"/>
      <c r="C63" s="261"/>
      <c r="D63" s="261"/>
      <c r="E63" s="180">
        <f t="shared" si="12"/>
        <v>0</v>
      </c>
      <c r="F63" s="180">
        <f t="shared" si="12"/>
        <v>0</v>
      </c>
      <c r="G63" s="115" t="s">
        <v>29</v>
      </c>
      <c r="K63" s="171"/>
      <c r="L63" s="172"/>
    </row>
    <row r="64" spans="1:12" ht="12" thickBot="1" x14ac:dyDescent="0.25">
      <c r="A64" s="263" t="s">
        <v>71</v>
      </c>
      <c r="B64" s="263"/>
      <c r="C64" s="263"/>
      <c r="D64" s="263"/>
      <c r="E64" s="175">
        <f>SUM(E48:E63)</f>
        <v>0.14908256041326506</v>
      </c>
      <c r="F64" s="175">
        <f>SUM(F48:F63)</f>
        <v>0.1491417816491257</v>
      </c>
      <c r="G64" s="115" t="s">
        <v>29</v>
      </c>
      <c r="K64" s="171"/>
      <c r="L64" s="172"/>
    </row>
    <row r="65" spans="1:14" ht="12" thickTop="1" x14ac:dyDescent="0.2">
      <c r="A65" s="259"/>
      <c r="B65" s="259"/>
      <c r="C65" s="259"/>
      <c r="D65" s="259"/>
      <c r="E65" s="180"/>
      <c r="F65" s="180"/>
      <c r="K65" s="171"/>
      <c r="L65" s="172"/>
    </row>
    <row r="66" spans="1:14" x14ac:dyDescent="0.2">
      <c r="A66" s="263" t="s">
        <v>56</v>
      </c>
      <c r="B66" s="263"/>
      <c r="C66" s="263"/>
      <c r="D66" s="263"/>
      <c r="E66" s="181">
        <v>-7.5339999999999999E-3</v>
      </c>
      <c r="F66" s="180">
        <f>E66</f>
        <v>-7.5339999999999999E-3</v>
      </c>
      <c r="G66" s="115" t="s">
        <v>29</v>
      </c>
      <c r="K66" s="171"/>
      <c r="L66" s="172"/>
    </row>
    <row r="67" spans="1:14" x14ac:dyDescent="0.2">
      <c r="A67" s="259"/>
      <c r="B67" s="259"/>
      <c r="C67" s="259"/>
      <c r="D67" s="259"/>
      <c r="E67" s="180"/>
      <c r="F67" s="180"/>
      <c r="K67" s="171"/>
      <c r="L67" s="172"/>
    </row>
    <row r="68" spans="1:14" x14ac:dyDescent="0.2">
      <c r="A68" s="259" t="s">
        <v>84</v>
      </c>
      <c r="B68" s="259"/>
      <c r="C68" s="259"/>
      <c r="D68" s="259"/>
      <c r="E68" s="180"/>
      <c r="F68" s="180"/>
      <c r="G68" s="115" t="s">
        <v>29</v>
      </c>
      <c r="K68" s="171"/>
      <c r="L68" s="172"/>
    </row>
    <row r="69" spans="1:14" s="116" customFormat="1" x14ac:dyDescent="0.2">
      <c r="A69" s="258" t="s">
        <v>66</v>
      </c>
      <c r="B69" s="258"/>
      <c r="C69" s="258"/>
      <c r="D69" s="258"/>
      <c r="E69" s="179">
        <v>0</v>
      </c>
      <c r="F69" s="178">
        <f>E69</f>
        <v>0</v>
      </c>
      <c r="G69" s="116" t="s">
        <v>29</v>
      </c>
      <c r="K69" s="177"/>
      <c r="L69" s="176"/>
    </row>
    <row r="70" spans="1:14" s="116" customFormat="1" x14ac:dyDescent="0.2">
      <c r="A70" s="258" t="s">
        <v>218</v>
      </c>
      <c r="B70" s="258"/>
      <c r="C70" s="258"/>
      <c r="D70" s="258"/>
      <c r="E70" s="179">
        <v>6.9999999999999999E-6</v>
      </c>
      <c r="F70" s="178">
        <f>E70</f>
        <v>6.9999999999999999E-6</v>
      </c>
      <c r="G70" s="116" t="s">
        <v>29</v>
      </c>
      <c r="K70" s="177"/>
      <c r="L70" s="176"/>
    </row>
    <row r="71" spans="1:14" ht="12" thickBot="1" x14ac:dyDescent="0.25">
      <c r="A71" s="263" t="s">
        <v>85</v>
      </c>
      <c r="B71" s="263"/>
      <c r="C71" s="263"/>
      <c r="D71" s="263"/>
      <c r="E71" s="175">
        <f>SUM(E69:E70)</f>
        <v>6.9999999999999999E-6</v>
      </c>
      <c r="F71" s="175">
        <f>SUM(F69:F70)</f>
        <v>6.9999999999999999E-6</v>
      </c>
      <c r="G71" s="115" t="s">
        <v>29</v>
      </c>
      <c r="K71" s="171"/>
      <c r="L71" s="172"/>
    </row>
    <row r="72" spans="1:14" ht="12" thickTop="1" x14ac:dyDescent="0.2">
      <c r="A72" s="259"/>
      <c r="B72" s="259"/>
      <c r="C72" s="259"/>
      <c r="D72" s="259"/>
      <c r="E72" s="174"/>
      <c r="F72" s="174"/>
      <c r="K72" s="171"/>
      <c r="L72" s="172"/>
    </row>
    <row r="73" spans="1:14" x14ac:dyDescent="0.2">
      <c r="A73" s="263" t="s">
        <v>86</v>
      </c>
      <c r="B73" s="263"/>
      <c r="C73" s="263"/>
      <c r="D73" s="263"/>
      <c r="E73" s="174">
        <f>SUM(E46,E66,E71)</f>
        <v>0.12213856041326504</v>
      </c>
      <c r="F73" s="174">
        <f>SUM(F46,F66,F71)</f>
        <v>0.12219778164912568</v>
      </c>
      <c r="G73" s="115" t="s">
        <v>29</v>
      </c>
      <c r="I73" s="171"/>
      <c r="J73" s="171"/>
      <c r="K73" s="171"/>
      <c r="L73" s="172"/>
    </row>
    <row r="74" spans="1:14" x14ac:dyDescent="0.2">
      <c r="A74" s="263" t="s">
        <v>87</v>
      </c>
      <c r="B74" s="263"/>
      <c r="C74" s="263"/>
      <c r="D74" s="263"/>
      <c r="E74" s="173">
        <f>SUM(E64,E66,E71)</f>
        <v>0.14155556041326506</v>
      </c>
      <c r="F74" s="173">
        <f>SUM(F64,F66,F71)</f>
        <v>0.14161478164912569</v>
      </c>
      <c r="G74" s="115" t="s">
        <v>29</v>
      </c>
      <c r="I74" s="171"/>
      <c r="K74" s="171"/>
      <c r="L74" s="172"/>
    </row>
    <row r="75" spans="1:14" x14ac:dyDescent="0.2">
      <c r="I75" s="172"/>
      <c r="K75" s="171"/>
    </row>
    <row r="76" spans="1:14" ht="12" thickBot="1" x14ac:dyDescent="0.25"/>
    <row r="77" spans="1:14" ht="12" thickBot="1" x14ac:dyDescent="0.25">
      <c r="A77" s="170" t="s">
        <v>224</v>
      </c>
      <c r="B77" s="169"/>
      <c r="C77" s="169"/>
      <c r="D77" s="169"/>
      <c r="E77" s="168"/>
    </row>
    <row r="78" spans="1:14" ht="34.5" thickBot="1" x14ac:dyDescent="0.25">
      <c r="A78" s="167" t="s">
        <v>217</v>
      </c>
      <c r="B78" s="167" t="s">
        <v>216</v>
      </c>
      <c r="C78" s="167" t="s">
        <v>215</v>
      </c>
      <c r="D78" s="167" t="s">
        <v>214</v>
      </c>
      <c r="E78" s="166" t="s">
        <v>213</v>
      </c>
      <c r="F78" s="165"/>
      <c r="G78" s="165"/>
      <c r="H78" s="165"/>
      <c r="I78" s="165"/>
      <c r="J78" s="165"/>
      <c r="K78" s="165"/>
      <c r="L78" s="165"/>
      <c r="M78" s="165"/>
      <c r="N78" s="165"/>
    </row>
    <row r="79" spans="1:14" x14ac:dyDescent="0.2">
      <c r="A79" s="162">
        <v>2024</v>
      </c>
      <c r="B79" s="162">
        <v>3</v>
      </c>
      <c r="C79" s="164">
        <v>1040534573.62798</v>
      </c>
      <c r="D79" s="164">
        <v>1085188</v>
      </c>
      <c r="E79" s="157">
        <f t="shared" ref="E79:E90" si="13">ROUND(+C79/D79,0)</f>
        <v>959</v>
      </c>
    </row>
    <row r="80" spans="1:14" x14ac:dyDescent="0.2">
      <c r="A80" s="162">
        <v>2024</v>
      </c>
      <c r="B80" s="162">
        <v>4</v>
      </c>
      <c r="C80" s="163">
        <v>871564901.43307793</v>
      </c>
      <c r="D80" s="163">
        <v>1085582</v>
      </c>
      <c r="E80" s="157">
        <f t="shared" si="13"/>
        <v>803</v>
      </c>
    </row>
    <row r="81" spans="1:5" x14ac:dyDescent="0.2">
      <c r="A81" s="162">
        <v>2024</v>
      </c>
      <c r="B81" s="162">
        <v>5</v>
      </c>
      <c r="C81" s="163">
        <v>760468027.59418297</v>
      </c>
      <c r="D81" s="163">
        <v>1086150</v>
      </c>
      <c r="E81" s="157">
        <f t="shared" si="13"/>
        <v>700</v>
      </c>
    </row>
    <row r="82" spans="1:5" x14ac:dyDescent="0.2">
      <c r="A82" s="162">
        <v>2024</v>
      </c>
      <c r="B82" s="162">
        <v>6</v>
      </c>
      <c r="C82" s="163">
        <v>726612130.99855494</v>
      </c>
      <c r="D82" s="163">
        <v>1086798</v>
      </c>
      <c r="E82" s="157">
        <f t="shared" si="13"/>
        <v>669</v>
      </c>
    </row>
    <row r="83" spans="1:5" x14ac:dyDescent="0.2">
      <c r="A83" s="162">
        <v>2024</v>
      </c>
      <c r="B83" s="162">
        <v>7</v>
      </c>
      <c r="C83" s="163">
        <v>810211528.78052795</v>
      </c>
      <c r="D83" s="163">
        <v>1087219</v>
      </c>
      <c r="E83" s="157">
        <f t="shared" si="13"/>
        <v>745</v>
      </c>
    </row>
    <row r="84" spans="1:5" x14ac:dyDescent="0.2">
      <c r="A84" s="162">
        <v>2024</v>
      </c>
      <c r="B84" s="162">
        <v>8</v>
      </c>
      <c r="C84" s="163">
        <v>816258861.42774105</v>
      </c>
      <c r="D84" s="163">
        <v>1088254</v>
      </c>
      <c r="E84" s="157">
        <f t="shared" si="13"/>
        <v>750</v>
      </c>
    </row>
    <row r="85" spans="1:5" x14ac:dyDescent="0.2">
      <c r="A85" s="162">
        <v>2024</v>
      </c>
      <c r="B85" s="162">
        <v>9</v>
      </c>
      <c r="C85" s="163">
        <v>745804121.61066496</v>
      </c>
      <c r="D85" s="163">
        <v>1089539</v>
      </c>
      <c r="E85" s="157">
        <f t="shared" si="13"/>
        <v>685</v>
      </c>
    </row>
    <row r="86" spans="1:5" x14ac:dyDescent="0.2">
      <c r="A86" s="162">
        <v>2024</v>
      </c>
      <c r="B86" s="162">
        <v>10</v>
      </c>
      <c r="C86" s="163">
        <v>873182303.91732109</v>
      </c>
      <c r="D86" s="163">
        <v>1090984</v>
      </c>
      <c r="E86" s="157">
        <f t="shared" si="13"/>
        <v>800</v>
      </c>
    </row>
    <row r="87" spans="1:5" x14ac:dyDescent="0.2">
      <c r="A87" s="162">
        <v>2024</v>
      </c>
      <c r="B87" s="162">
        <v>11</v>
      </c>
      <c r="C87" s="163">
        <v>1052963379.7510201</v>
      </c>
      <c r="D87" s="163">
        <v>1092516</v>
      </c>
      <c r="E87" s="157">
        <f t="shared" si="13"/>
        <v>964</v>
      </c>
    </row>
    <row r="88" spans="1:5" x14ac:dyDescent="0.2">
      <c r="A88" s="162">
        <v>2024</v>
      </c>
      <c r="B88" s="162">
        <v>12</v>
      </c>
      <c r="C88" s="163">
        <v>1265288171.70892</v>
      </c>
      <c r="D88" s="163">
        <v>1093821</v>
      </c>
      <c r="E88" s="157">
        <f t="shared" si="13"/>
        <v>1157</v>
      </c>
    </row>
    <row r="89" spans="1:5" x14ac:dyDescent="0.2">
      <c r="A89" s="162">
        <v>2025</v>
      </c>
      <c r="B89" s="162">
        <v>1</v>
      </c>
      <c r="C89" s="163">
        <v>1193134476.79845</v>
      </c>
      <c r="D89" s="163">
        <v>1094795</v>
      </c>
      <c r="E89" s="157">
        <f t="shared" si="13"/>
        <v>1090</v>
      </c>
    </row>
    <row r="90" spans="1:5" x14ac:dyDescent="0.2">
      <c r="A90" s="162">
        <v>2025</v>
      </c>
      <c r="B90" s="162">
        <v>2</v>
      </c>
      <c r="C90" s="161">
        <v>1039625336.6286</v>
      </c>
      <c r="D90" s="161">
        <v>1095575</v>
      </c>
      <c r="E90" s="157">
        <f t="shared" si="13"/>
        <v>949</v>
      </c>
    </row>
    <row r="91" spans="1:5" x14ac:dyDescent="0.2">
      <c r="A91" s="158"/>
      <c r="B91" s="158" t="s">
        <v>12</v>
      </c>
      <c r="C91" s="160">
        <f>SUM(C79:C90)</f>
        <v>11195647814.277042</v>
      </c>
      <c r="D91" s="160">
        <f>SUM(D79:D90)</f>
        <v>13076421</v>
      </c>
      <c r="E91" s="159">
        <f>SUM(E79:E90)</f>
        <v>10271</v>
      </c>
    </row>
    <row r="92" spans="1:5" x14ac:dyDescent="0.2">
      <c r="A92" s="158"/>
      <c r="B92" s="158"/>
      <c r="C92" s="158"/>
      <c r="D92" s="158"/>
      <c r="E92" s="157"/>
    </row>
    <row r="93" spans="1:5" ht="12" thickBot="1" x14ac:dyDescent="0.25">
      <c r="A93" s="156"/>
      <c r="B93" s="156" t="s">
        <v>212</v>
      </c>
      <c r="C93" s="155"/>
      <c r="D93" s="155"/>
      <c r="E93" s="154">
        <f>ROUND(AVERAGE(E79:E90),0)</f>
        <v>856</v>
      </c>
    </row>
  </sheetData>
  <mergeCells count="49">
    <mergeCell ref="A73:D73"/>
    <mergeCell ref="A49:D49"/>
    <mergeCell ref="A50:D50"/>
    <mergeCell ref="A51:D51"/>
    <mergeCell ref="A52:D52"/>
    <mergeCell ref="A70:D70"/>
    <mergeCell ref="A53:D53"/>
    <mergeCell ref="A63:D63"/>
    <mergeCell ref="A61:D61"/>
    <mergeCell ref="A64:D64"/>
    <mergeCell ref="A69:D69"/>
    <mergeCell ref="A54:D54"/>
    <mergeCell ref="A62:D62"/>
    <mergeCell ref="A55:D55"/>
    <mergeCell ref="A57:D57"/>
    <mergeCell ref="A58:D58"/>
    <mergeCell ref="H5:K5"/>
    <mergeCell ref="A26:D26"/>
    <mergeCell ref="A27:D27"/>
    <mergeCell ref="A28:D28"/>
    <mergeCell ref="C5:F5"/>
    <mergeCell ref="A74:D74"/>
    <mergeCell ref="A31:D31"/>
    <mergeCell ref="A33:D33"/>
    <mergeCell ref="A71:D71"/>
    <mergeCell ref="A72:D72"/>
    <mergeCell ref="A60:D60"/>
    <mergeCell ref="A66:D66"/>
    <mergeCell ref="A68:D68"/>
    <mergeCell ref="A67:D67"/>
    <mergeCell ref="A46:D46"/>
    <mergeCell ref="A41:D41"/>
    <mergeCell ref="A48:D48"/>
    <mergeCell ref="A47:D47"/>
    <mergeCell ref="A65:D65"/>
    <mergeCell ref="A36:D36"/>
    <mergeCell ref="A35:D35"/>
    <mergeCell ref="A59:D59"/>
    <mergeCell ref="A29:D29"/>
    <mergeCell ref="A30:D30"/>
    <mergeCell ref="A45:D45"/>
    <mergeCell ref="A43:D43"/>
    <mergeCell ref="A44:D44"/>
    <mergeCell ref="A42:D42"/>
    <mergeCell ref="A34:D34"/>
    <mergeCell ref="A37:D37"/>
    <mergeCell ref="A39:D39"/>
    <mergeCell ref="A40:D40"/>
    <mergeCell ref="A32:D32"/>
  </mergeCells>
  <printOptions horizontalCentered="1"/>
  <pageMargins left="0.25" right="0.25" top="0.75" bottom="0.75" header="0.3" footer="0.3"/>
  <pageSetup scale="52" orientation="landscape" r:id="rId1"/>
  <headerFooter>
    <oddFooter>&amp;L&amp;"Times New Roman,Regular"&amp;F
&amp;A&amp;R&amp;"Times New Roman,Regular"Page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0"/>
  <sheetViews>
    <sheetView zoomScaleNormal="100" workbookViewId="0">
      <selection activeCell="R24" sqref="R24"/>
    </sheetView>
  </sheetViews>
  <sheetFormatPr defaultColWidth="9.140625" defaultRowHeight="11.25" x14ac:dyDescent="0.2"/>
  <cols>
    <col min="1" max="1" width="8.28515625" style="19" bestFit="1" customWidth="1"/>
    <col min="2" max="2" width="16.85546875" style="14" bestFit="1" customWidth="1"/>
    <col min="3" max="3" width="19.28515625" style="14" customWidth="1"/>
    <col min="4" max="4" width="13.28515625" style="13" bestFit="1" customWidth="1"/>
    <col min="5" max="5" width="17.42578125" style="14" bestFit="1" customWidth="1"/>
    <col min="6" max="6" width="12" style="67" customWidth="1"/>
    <col min="7" max="7" width="1" style="67" customWidth="1"/>
    <col min="8" max="8" width="13.140625" style="14" bestFit="1" customWidth="1"/>
    <col min="9" max="9" width="10.5703125" style="14" customWidth="1"/>
    <col min="10" max="10" width="8.42578125" style="14" customWidth="1"/>
    <col min="11" max="16384" width="9.140625" style="14"/>
  </cols>
  <sheetData>
    <row r="1" spans="1:14" s="20" customFormat="1" x14ac:dyDescent="0.2">
      <c r="A1" s="266" t="s">
        <v>13</v>
      </c>
      <c r="B1" s="267"/>
      <c r="C1" s="267"/>
      <c r="D1" s="267"/>
      <c r="E1" s="267"/>
      <c r="F1" s="267"/>
      <c r="G1" s="267"/>
      <c r="H1" s="267"/>
      <c r="I1" s="268"/>
    </row>
    <row r="2" spans="1:14" s="20" customFormat="1" x14ac:dyDescent="0.2">
      <c r="A2" s="269" t="s">
        <v>124</v>
      </c>
      <c r="B2" s="270"/>
      <c r="C2" s="270"/>
      <c r="D2" s="270"/>
      <c r="E2" s="270"/>
      <c r="F2" s="270"/>
      <c r="G2" s="270"/>
      <c r="H2" s="270"/>
      <c r="I2" s="271"/>
    </row>
    <row r="3" spans="1:14" s="20" customFormat="1" x14ac:dyDescent="0.2">
      <c r="A3" s="48"/>
      <c r="D3" s="49"/>
      <c r="I3" s="21"/>
    </row>
    <row r="4" spans="1:14" s="20" customFormat="1" ht="12.75" customHeight="1" x14ac:dyDescent="0.2">
      <c r="A4" s="48"/>
      <c r="D4" s="49"/>
      <c r="I4" s="21"/>
    </row>
    <row r="5" spans="1:14" s="29" customFormat="1" ht="44.25" customHeight="1" thickBot="1" x14ac:dyDescent="0.25">
      <c r="A5" s="27" t="s">
        <v>0</v>
      </c>
      <c r="B5" s="28" t="s">
        <v>58</v>
      </c>
      <c r="C5" s="28" t="s">
        <v>90</v>
      </c>
      <c r="D5" s="17" t="s">
        <v>166</v>
      </c>
      <c r="E5" s="50" t="s">
        <v>199</v>
      </c>
      <c r="F5" s="50" t="s">
        <v>200</v>
      </c>
      <c r="G5" s="50"/>
      <c r="H5" s="121" t="str">
        <f>+'Rate Impacts'!D6</f>
        <v>Annual kWh Delivered Sales  03/01/24 to 02/28/25 (F2023)</v>
      </c>
      <c r="I5" s="122" t="str">
        <f>"$ per kWh Proposed Eff  "
&amp;TEXT(Inputs!B7,"mmmm d, yyyy")</f>
        <v>$ per kWh Proposed Eff  March 1, 2024</v>
      </c>
    </row>
    <row r="6" spans="1:14" s="16" customFormat="1" ht="39" customHeight="1" x14ac:dyDescent="0.2">
      <c r="A6" s="15"/>
      <c r="D6" s="32" t="s">
        <v>14</v>
      </c>
      <c r="E6" s="34" t="s">
        <v>15</v>
      </c>
      <c r="F6" s="35" t="s">
        <v>196</v>
      </c>
      <c r="G6" s="35"/>
      <c r="H6" s="34" t="s">
        <v>60</v>
      </c>
      <c r="I6" s="123" t="s">
        <v>197</v>
      </c>
      <c r="J6" s="67"/>
      <c r="K6" s="67"/>
      <c r="L6" s="67"/>
      <c r="M6" s="67"/>
      <c r="N6" s="67"/>
    </row>
    <row r="7" spans="1:14" x14ac:dyDescent="0.2">
      <c r="A7" s="18">
        <v>1</v>
      </c>
      <c r="B7" s="67" t="s">
        <v>1</v>
      </c>
      <c r="C7" s="69" t="s">
        <v>202</v>
      </c>
      <c r="D7" s="58">
        <f>'TEP 12NCP'!C19</f>
        <v>0.57223089050328813</v>
      </c>
      <c r="E7" s="119"/>
      <c r="F7" s="41">
        <f>D7*$E$22</f>
        <v>4229510.2943081204</v>
      </c>
      <c r="G7" s="41"/>
      <c r="H7" s="72">
        <f>+'Estimated Proforma Net Revenue'!C9</f>
        <v>11195647814.277042</v>
      </c>
      <c r="I7" s="52">
        <f>(F7/H7)</f>
        <v>3.7778164912570007E-4</v>
      </c>
      <c r="J7" s="67"/>
      <c r="K7" s="67"/>
      <c r="L7" s="67"/>
      <c r="M7" s="67"/>
      <c r="N7" s="67"/>
    </row>
    <row r="8" spans="1:14" x14ac:dyDescent="0.2">
      <c r="A8" s="18">
        <f t="shared" ref="A8:A29" si="0">+A7+1</f>
        <v>2</v>
      </c>
      <c r="B8" s="67"/>
      <c r="C8" s="53"/>
      <c r="D8" s="58"/>
      <c r="E8" s="119"/>
      <c r="F8" s="41"/>
      <c r="G8" s="41"/>
      <c r="H8" s="72"/>
      <c r="I8" s="54"/>
      <c r="J8" s="67"/>
      <c r="K8" s="67"/>
      <c r="L8" s="67"/>
      <c r="M8" s="67"/>
      <c r="N8" s="67"/>
    </row>
    <row r="9" spans="1:14" x14ac:dyDescent="0.2">
      <c r="A9" s="18">
        <f t="shared" si="0"/>
        <v>3</v>
      </c>
      <c r="B9" s="23" t="s">
        <v>2</v>
      </c>
      <c r="C9" s="69" t="s">
        <v>193</v>
      </c>
      <c r="D9" s="58">
        <f>'TEP 12NCP'!D19</f>
        <v>0.1264093688446058</v>
      </c>
      <c r="E9" s="119"/>
      <c r="F9" s="41">
        <f>D9*$E$22</f>
        <v>934325.17485209089</v>
      </c>
      <c r="G9" s="41"/>
      <c r="H9" s="72">
        <f>'Estimated Proforma Net Revenue'!C12</f>
        <v>2757991003.037375</v>
      </c>
      <c r="I9" s="52">
        <f>(F9/H9)</f>
        <v>3.3877020404458126E-4</v>
      </c>
      <c r="J9" s="67"/>
      <c r="K9" s="67"/>
      <c r="L9" s="67"/>
      <c r="M9" s="67"/>
      <c r="N9" s="67"/>
    </row>
    <row r="10" spans="1:14" x14ac:dyDescent="0.2">
      <c r="A10" s="18">
        <f t="shared" si="0"/>
        <v>4</v>
      </c>
      <c r="B10" s="67" t="s">
        <v>3</v>
      </c>
      <c r="C10" s="22" t="s">
        <v>92</v>
      </c>
      <c r="D10" s="58">
        <f>'TEP 12NCP'!E19</f>
        <v>0.13854255085763822</v>
      </c>
      <c r="E10" s="119"/>
      <c r="F10" s="41">
        <f t="shared" ref="F10:F19" si="1">D10*$E$22</f>
        <v>1024004.7414020549</v>
      </c>
      <c r="G10" s="41"/>
      <c r="H10" s="72">
        <f>'Estimated Proforma Net Revenue'!C13</f>
        <v>2956724370.1064401</v>
      </c>
      <c r="I10" s="52">
        <f>(F10/H10)</f>
        <v>3.4633080842946188E-4</v>
      </c>
      <c r="J10" s="67"/>
      <c r="K10" s="67"/>
      <c r="L10" s="67"/>
      <c r="M10" s="67"/>
      <c r="N10" s="67"/>
    </row>
    <row r="11" spans="1:14" x14ac:dyDescent="0.2">
      <c r="A11" s="18">
        <f t="shared" si="0"/>
        <v>5</v>
      </c>
      <c r="B11" s="67" t="s">
        <v>4</v>
      </c>
      <c r="C11" s="22" t="s">
        <v>93</v>
      </c>
      <c r="D11" s="58">
        <f>'TEP 12NCP'!F19</f>
        <v>7.3896354052064794E-2</v>
      </c>
      <c r="E11" s="119"/>
      <c r="F11" s="41">
        <f t="shared" si="1"/>
        <v>546187.5535942422</v>
      </c>
      <c r="G11" s="41"/>
      <c r="H11" s="72">
        <f>'Estimated Proforma Net Revenue'!C14</f>
        <v>1967882542.4145269</v>
      </c>
      <c r="I11" s="52">
        <f>(F11/H11)</f>
        <v>2.7755089128647285E-4</v>
      </c>
      <c r="J11" s="67"/>
      <c r="K11" s="67"/>
      <c r="L11" s="67"/>
      <c r="M11" s="67"/>
      <c r="N11" s="67"/>
    </row>
    <row r="12" spans="1:14" x14ac:dyDescent="0.2">
      <c r="A12" s="18">
        <f t="shared" si="0"/>
        <v>6</v>
      </c>
      <c r="B12" s="67" t="s">
        <v>5</v>
      </c>
      <c r="C12" s="22">
        <v>29</v>
      </c>
      <c r="D12" s="58">
        <f>'TEP 12NCP'!G19</f>
        <v>9.2314119066839312E-4</v>
      </c>
      <c r="E12" s="119"/>
      <c r="F12" s="41">
        <f t="shared" si="1"/>
        <v>6823.1814007765252</v>
      </c>
      <c r="G12" s="41"/>
      <c r="H12" s="72">
        <f>'Estimated Proforma Net Revenue'!C15</f>
        <v>15032044.886787532</v>
      </c>
      <c r="I12" s="52">
        <f>(F12/H12)</f>
        <v>4.5390906241730186E-4</v>
      </c>
      <c r="J12" s="67"/>
      <c r="K12" s="67"/>
      <c r="L12" s="67"/>
      <c r="M12" s="67"/>
      <c r="N12" s="67"/>
    </row>
    <row r="13" spans="1:14" x14ac:dyDescent="0.2">
      <c r="A13" s="18">
        <f t="shared" si="0"/>
        <v>7</v>
      </c>
      <c r="B13" s="67"/>
      <c r="C13" s="22"/>
      <c r="D13" s="58"/>
      <c r="E13" s="119"/>
      <c r="F13" s="41"/>
      <c r="G13" s="41"/>
      <c r="H13" s="72"/>
      <c r="I13" s="54"/>
      <c r="J13" s="67"/>
      <c r="K13" s="67"/>
      <c r="L13" s="67"/>
      <c r="M13" s="67"/>
      <c r="N13" s="67"/>
    </row>
    <row r="14" spans="1:14" x14ac:dyDescent="0.2">
      <c r="A14" s="18">
        <f t="shared" si="0"/>
        <v>8</v>
      </c>
      <c r="B14" s="67" t="s">
        <v>6</v>
      </c>
      <c r="C14" s="22" t="s">
        <v>94</v>
      </c>
      <c r="D14" s="58">
        <f>'TEP 12NCP'!H19</f>
        <v>5.5727249089061744E-2</v>
      </c>
      <c r="E14" s="119"/>
      <c r="F14" s="41">
        <f t="shared" si="1"/>
        <v>411894.87950983853</v>
      </c>
      <c r="G14" s="41"/>
      <c r="H14" s="72">
        <f>'Estimated Proforma Net Revenue'!C18</f>
        <v>1413812398.374563</v>
      </c>
      <c r="I14" s="52">
        <f>(F14/H14)</f>
        <v>2.9133630457859E-4</v>
      </c>
      <c r="J14" s="67"/>
      <c r="K14" s="67"/>
      <c r="L14" s="67"/>
      <c r="M14" s="67"/>
      <c r="N14" s="67"/>
    </row>
    <row r="15" spans="1:14" x14ac:dyDescent="0.2">
      <c r="A15" s="18">
        <f t="shared" si="0"/>
        <v>9</v>
      </c>
      <c r="B15" s="67" t="s">
        <v>7</v>
      </c>
      <c r="C15" s="22">
        <v>35</v>
      </c>
      <c r="D15" s="58">
        <f>'TEP 12NCP'!I19</f>
        <v>4.6313082149665945E-4</v>
      </c>
      <c r="E15" s="119"/>
      <c r="F15" s="41">
        <f t="shared" si="1"/>
        <v>3423.1227458005292</v>
      </c>
      <c r="G15" s="41"/>
      <c r="H15" s="72">
        <f>'Estimated Proforma Net Revenue'!C19</f>
        <v>4440266.6219169199</v>
      </c>
      <c r="I15" s="52">
        <f>(F15/H15)</f>
        <v>7.7092729722674249E-4</v>
      </c>
      <c r="J15" s="67"/>
      <c r="K15" s="67"/>
      <c r="L15" s="67"/>
      <c r="M15" s="67"/>
      <c r="N15" s="67"/>
    </row>
    <row r="16" spans="1:14" s="67" customFormat="1" x14ac:dyDescent="0.2">
      <c r="A16" s="68">
        <f t="shared" si="0"/>
        <v>10</v>
      </c>
      <c r="B16" s="67" t="s">
        <v>8</v>
      </c>
      <c r="C16" s="22">
        <v>43</v>
      </c>
      <c r="D16" s="58">
        <f>'TEP 12NCP'!J19</f>
        <v>8.5993047363658384E-3</v>
      </c>
      <c r="E16" s="119"/>
      <c r="F16" s="41">
        <f t="shared" si="1"/>
        <v>63559.742247334856</v>
      </c>
      <c r="G16" s="41"/>
      <c r="H16" s="72">
        <f>'Estimated Proforma Net Revenue'!C20</f>
        <v>122800461.4598608</v>
      </c>
      <c r="I16" s="52">
        <f>(F16/H16)</f>
        <v>5.1758553259272826E-4</v>
      </c>
    </row>
    <row r="17" spans="1:14" x14ac:dyDescent="0.2">
      <c r="A17" s="68">
        <f t="shared" si="0"/>
        <v>11</v>
      </c>
      <c r="B17" s="67"/>
      <c r="C17" s="22"/>
      <c r="D17" s="58"/>
      <c r="E17" s="119"/>
      <c r="F17" s="41"/>
      <c r="G17" s="41"/>
      <c r="H17" s="67"/>
      <c r="I17" s="54"/>
      <c r="J17" s="67"/>
      <c r="K17" s="67"/>
      <c r="L17" s="67"/>
      <c r="M17" s="67"/>
      <c r="N17" s="67"/>
    </row>
    <row r="18" spans="1:14" s="67" customFormat="1" x14ac:dyDescent="0.2">
      <c r="A18" s="68">
        <f t="shared" si="0"/>
        <v>12</v>
      </c>
      <c r="B18" s="23" t="s">
        <v>75</v>
      </c>
      <c r="C18" s="22">
        <v>46</v>
      </c>
      <c r="D18" s="58">
        <f>'TEP 12NCP'!K19</f>
        <v>4.7310681094302753E-3</v>
      </c>
      <c r="E18" s="119"/>
      <c r="F18" s="41">
        <f t="shared" si="1"/>
        <v>34968.579299011515</v>
      </c>
      <c r="G18" s="41"/>
      <c r="H18" s="72">
        <f>+'Estimated Proforma Net Revenue'!C23</f>
        <v>96945507.414515108</v>
      </c>
      <c r="I18" s="52">
        <f>(F18/H18)</f>
        <v>3.6070345322444374E-4</v>
      </c>
    </row>
    <row r="19" spans="1:14" x14ac:dyDescent="0.2">
      <c r="A19" s="68">
        <f t="shared" si="0"/>
        <v>13</v>
      </c>
      <c r="B19" s="23" t="s">
        <v>76</v>
      </c>
      <c r="C19" s="22">
        <v>49</v>
      </c>
      <c r="D19" s="58">
        <f>'TEP 12NCP'!L19</f>
        <v>1.8476941795380175E-2</v>
      </c>
      <c r="E19" s="119"/>
      <c r="F19" s="41">
        <f t="shared" si="1"/>
        <v>136567.97776533765</v>
      </c>
      <c r="G19" s="41"/>
      <c r="H19" s="72">
        <f>+'Estimated Proforma Net Revenue'!C24</f>
        <v>534799649.92296755</v>
      </c>
      <c r="I19" s="52">
        <f>(F19/H19)</f>
        <v>2.553628780142412E-4</v>
      </c>
      <c r="J19" s="67"/>
      <c r="K19" s="67"/>
      <c r="L19" s="67"/>
      <c r="M19" s="67"/>
      <c r="N19" s="67"/>
    </row>
    <row r="20" spans="1:14" x14ac:dyDescent="0.2">
      <c r="A20" s="68">
        <f t="shared" si="0"/>
        <v>14</v>
      </c>
      <c r="B20" s="23"/>
      <c r="C20" s="22"/>
      <c r="D20" s="58"/>
      <c r="E20" s="51"/>
      <c r="F20" s="41"/>
      <c r="G20" s="41"/>
      <c r="H20" s="72"/>
      <c r="I20" s="54"/>
      <c r="J20" s="67"/>
      <c r="K20" s="67"/>
      <c r="L20" s="67"/>
      <c r="M20" s="67"/>
      <c r="N20" s="67"/>
    </row>
    <row r="21" spans="1:14" x14ac:dyDescent="0.2">
      <c r="A21" s="68">
        <f t="shared" si="0"/>
        <v>15</v>
      </c>
      <c r="B21" s="67"/>
      <c r="C21" s="22"/>
      <c r="D21" s="59"/>
      <c r="E21" s="67"/>
      <c r="F21" s="41"/>
      <c r="G21" s="41"/>
      <c r="H21" s="67"/>
      <c r="I21" s="54"/>
      <c r="J21" s="67"/>
      <c r="K21" s="67"/>
      <c r="L21" s="67"/>
      <c r="M21" s="67"/>
      <c r="N21" s="67"/>
    </row>
    <row r="22" spans="1:14" ht="13.5" x14ac:dyDescent="0.35">
      <c r="A22" s="68">
        <f t="shared" si="0"/>
        <v>16</v>
      </c>
      <c r="B22" s="67" t="s">
        <v>10</v>
      </c>
      <c r="C22" s="22"/>
      <c r="D22" s="59">
        <f>SUM(D7:D19)</f>
        <v>1</v>
      </c>
      <c r="E22" s="118">
        <v>7391265.2471246077</v>
      </c>
      <c r="F22" s="41">
        <f>SUM(F7:F19)</f>
        <v>7391265.2471246077</v>
      </c>
      <c r="G22" s="41"/>
      <c r="H22" s="60">
        <f>SUM(H7:H19)</f>
        <v>21066076058.515995</v>
      </c>
      <c r="I22" s="52">
        <f>(+F22/H22)</f>
        <v>3.5086103489770116E-4</v>
      </c>
      <c r="J22" s="67"/>
      <c r="K22" s="67"/>
      <c r="L22" s="67"/>
      <c r="M22" s="67"/>
      <c r="N22" s="67"/>
    </row>
    <row r="23" spans="1:14" x14ac:dyDescent="0.2">
      <c r="A23" s="68">
        <f t="shared" si="0"/>
        <v>17</v>
      </c>
      <c r="B23" s="67"/>
      <c r="C23" s="22"/>
      <c r="D23" s="72"/>
      <c r="E23" s="195"/>
      <c r="F23" s="41"/>
      <c r="G23" s="41"/>
      <c r="H23" s="67"/>
      <c r="I23" s="70"/>
      <c r="J23" s="67"/>
      <c r="K23" s="67"/>
      <c r="L23" s="67"/>
      <c r="M23" s="67"/>
      <c r="N23" s="67"/>
    </row>
    <row r="24" spans="1:14" s="67" customFormat="1" x14ac:dyDescent="0.2">
      <c r="A24" s="68">
        <f t="shared" si="0"/>
        <v>18</v>
      </c>
      <c r="B24" s="108" t="s">
        <v>167</v>
      </c>
      <c r="C24" s="22"/>
      <c r="D24" s="72"/>
      <c r="F24" s="41"/>
      <c r="G24" s="41"/>
      <c r="I24" s="70"/>
    </row>
    <row r="25" spans="1:14" x14ac:dyDescent="0.2">
      <c r="A25" s="68">
        <f t="shared" si="0"/>
        <v>19</v>
      </c>
      <c r="B25" s="67" t="s">
        <v>9</v>
      </c>
      <c r="C25" s="22" t="s">
        <v>57</v>
      </c>
      <c r="D25" s="58"/>
      <c r="E25" s="51"/>
      <c r="F25" s="41"/>
      <c r="G25" s="41"/>
      <c r="H25" s="72">
        <f>+'Estimated Proforma Net Revenue'!C27</f>
        <v>67439960.315186232</v>
      </c>
      <c r="I25" s="52"/>
      <c r="J25" s="67"/>
      <c r="K25" s="67"/>
      <c r="L25" s="67"/>
      <c r="M25" s="67"/>
      <c r="N25" s="67"/>
    </row>
    <row r="26" spans="1:14" x14ac:dyDescent="0.2">
      <c r="A26" s="68">
        <f t="shared" si="0"/>
        <v>20</v>
      </c>
      <c r="B26" s="23" t="s">
        <v>59</v>
      </c>
      <c r="C26" s="22">
        <v>5</v>
      </c>
      <c r="D26" s="58"/>
      <c r="E26" s="51"/>
      <c r="F26" s="41"/>
      <c r="G26" s="41"/>
      <c r="H26" s="72">
        <f>+'Estimated Proforma Net Revenue'!C33</f>
        <v>6739048.8092775671</v>
      </c>
      <c r="I26" s="52"/>
      <c r="J26" s="67"/>
      <c r="K26" s="67"/>
      <c r="L26" s="67"/>
      <c r="M26" s="67"/>
      <c r="N26" s="67"/>
    </row>
    <row r="27" spans="1:14" x14ac:dyDescent="0.2">
      <c r="A27" s="68">
        <f t="shared" si="0"/>
        <v>21</v>
      </c>
      <c r="B27" s="67" t="s">
        <v>11</v>
      </c>
      <c r="C27" s="22" t="s">
        <v>104</v>
      </c>
      <c r="D27" s="72"/>
      <c r="E27" s="72"/>
      <c r="F27" s="41"/>
      <c r="G27" s="41"/>
      <c r="H27" s="72">
        <f>+'Estimated Proforma Net Revenue'!C29+'Estimated Proforma Net Revenue'!C28</f>
        <v>2277172207.2348356</v>
      </c>
      <c r="I27" s="55"/>
      <c r="J27" s="67"/>
      <c r="K27" s="67"/>
      <c r="L27" s="67"/>
      <c r="M27" s="67"/>
      <c r="N27" s="67"/>
    </row>
    <row r="28" spans="1:14" x14ac:dyDescent="0.2">
      <c r="A28" s="68">
        <f t="shared" si="0"/>
        <v>22</v>
      </c>
      <c r="B28" s="67"/>
      <c r="C28" s="67"/>
      <c r="D28" s="72"/>
      <c r="E28" s="67"/>
      <c r="H28" s="67"/>
      <c r="I28" s="71"/>
      <c r="J28" s="67"/>
      <c r="K28" s="67"/>
      <c r="L28" s="67"/>
      <c r="M28" s="67"/>
      <c r="N28" s="67"/>
    </row>
    <row r="29" spans="1:14" x14ac:dyDescent="0.2">
      <c r="A29" s="18">
        <f t="shared" si="0"/>
        <v>23</v>
      </c>
      <c r="B29" s="67" t="s">
        <v>12</v>
      </c>
      <c r="C29" s="67"/>
      <c r="D29" s="72"/>
      <c r="E29" s="67"/>
      <c r="F29" s="41"/>
      <c r="G29" s="41"/>
      <c r="H29" s="72">
        <f>SUM(H25:H27)+H22</f>
        <v>23417427274.875294</v>
      </c>
      <c r="I29" s="54"/>
      <c r="J29" s="67"/>
      <c r="K29" s="67"/>
      <c r="L29" s="67"/>
      <c r="M29" s="67"/>
      <c r="N29" s="67"/>
    </row>
    <row r="30" spans="1:14" x14ac:dyDescent="0.2">
      <c r="A30" s="18"/>
      <c r="B30" s="67"/>
      <c r="C30" s="67"/>
      <c r="D30" s="72"/>
      <c r="E30" s="67"/>
      <c r="F30" s="41"/>
      <c r="G30" s="41"/>
      <c r="H30" s="72"/>
      <c r="I30" s="71"/>
      <c r="J30" s="67"/>
      <c r="K30" s="67"/>
      <c r="L30" s="67"/>
      <c r="M30" s="67"/>
      <c r="N30" s="67"/>
    </row>
    <row r="31" spans="1:14" ht="12" thickBot="1" x14ac:dyDescent="0.25">
      <c r="A31" s="24"/>
      <c r="B31" s="73"/>
      <c r="C31" s="73"/>
      <c r="D31" s="25"/>
      <c r="E31" s="73"/>
      <c r="F31" s="73"/>
      <c r="G31" s="73"/>
      <c r="H31" s="73"/>
      <c r="I31" s="26"/>
      <c r="J31" s="67"/>
      <c r="K31" s="67"/>
      <c r="L31" s="67"/>
      <c r="M31" s="67"/>
      <c r="N31" s="67"/>
    </row>
    <row r="32" spans="1:14" x14ac:dyDescent="0.2">
      <c r="B32" s="67"/>
      <c r="C32" s="67"/>
      <c r="D32" s="72"/>
      <c r="E32" s="67"/>
      <c r="H32" s="67"/>
      <c r="I32" s="67"/>
      <c r="J32" s="67"/>
      <c r="K32" s="67"/>
      <c r="L32" s="67"/>
      <c r="M32" s="67"/>
      <c r="N32" s="67"/>
    </row>
    <row r="33" spans="2:14" x14ac:dyDescent="0.2">
      <c r="B33" s="67"/>
      <c r="C33" s="67"/>
      <c r="D33" s="197"/>
      <c r="E33" s="67"/>
      <c r="H33" s="234">
        <f>'Rate Impacts'!D36</f>
        <v>23417427274.875294</v>
      </c>
      <c r="I33" s="67"/>
      <c r="J33" s="67"/>
      <c r="K33" s="67"/>
      <c r="L33" s="67"/>
      <c r="M33" s="67"/>
      <c r="N33" s="67"/>
    </row>
    <row r="34" spans="2:14" x14ac:dyDescent="0.2">
      <c r="B34" s="67"/>
      <c r="C34" s="56"/>
      <c r="D34" s="235"/>
      <c r="E34" s="56"/>
      <c r="F34" s="56"/>
      <c r="G34" s="56"/>
      <c r="H34" s="236">
        <f>+H29-H33</f>
        <v>0</v>
      </c>
      <c r="I34" s="67"/>
      <c r="J34" s="67"/>
      <c r="K34" s="67"/>
      <c r="L34" s="67"/>
      <c r="M34" s="67"/>
      <c r="N34" s="67"/>
    </row>
    <row r="35" spans="2:14" x14ac:dyDescent="0.2">
      <c r="B35" s="67"/>
      <c r="C35" s="67"/>
      <c r="D35" s="72"/>
      <c r="E35" s="67"/>
      <c r="H35" s="67"/>
      <c r="I35" s="67"/>
      <c r="J35" s="67"/>
      <c r="K35" s="67"/>
      <c r="L35" s="67"/>
      <c r="M35" s="67"/>
      <c r="N35" s="67"/>
    </row>
    <row r="36" spans="2:14" x14ac:dyDescent="0.2">
      <c r="B36" s="67"/>
      <c r="C36" s="67"/>
      <c r="D36" s="72"/>
      <c r="E36" s="67"/>
      <c r="H36" s="67"/>
      <c r="I36" s="67"/>
      <c r="J36" s="67"/>
      <c r="K36" s="67"/>
      <c r="L36" s="67"/>
      <c r="M36" s="67"/>
      <c r="N36" s="67"/>
    </row>
    <row r="37" spans="2:14" x14ac:dyDescent="0.2">
      <c r="B37" s="67"/>
      <c r="C37" s="67"/>
      <c r="D37" s="72"/>
      <c r="E37" s="67"/>
      <c r="H37" s="67"/>
      <c r="I37" s="67"/>
      <c r="J37" s="67"/>
      <c r="K37" s="67"/>
      <c r="L37" s="67"/>
      <c r="M37" s="67"/>
      <c r="N37" s="67"/>
    </row>
    <row r="38" spans="2:14" x14ac:dyDescent="0.2">
      <c r="B38" s="67"/>
      <c r="C38" s="67"/>
      <c r="D38" s="72"/>
      <c r="E38" s="67"/>
      <c r="H38" s="67"/>
      <c r="I38" s="67"/>
      <c r="J38" s="67"/>
      <c r="K38" s="67"/>
      <c r="L38" s="67"/>
      <c r="M38" s="67"/>
      <c r="N38" s="67"/>
    </row>
    <row r="39" spans="2:14" x14ac:dyDescent="0.2">
      <c r="B39" s="67"/>
      <c r="C39" s="67"/>
      <c r="D39" s="72"/>
      <c r="E39" s="67"/>
      <c r="H39" s="67"/>
      <c r="I39" s="67"/>
      <c r="J39" s="67"/>
      <c r="K39" s="67"/>
      <c r="L39" s="67"/>
      <c r="M39" s="67"/>
      <c r="N39" s="67"/>
    </row>
    <row r="40" spans="2:14" x14ac:dyDescent="0.2">
      <c r="B40" s="67"/>
      <c r="C40" s="67"/>
      <c r="D40" s="72"/>
      <c r="E40" s="67"/>
      <c r="H40" s="67"/>
      <c r="I40" s="67"/>
      <c r="J40" s="67"/>
      <c r="K40" s="67"/>
      <c r="L40" s="67"/>
      <c r="M40" s="67"/>
      <c r="N40" s="67"/>
    </row>
  </sheetData>
  <mergeCells count="2">
    <mergeCell ref="A1:I1"/>
    <mergeCell ref="A2:I2"/>
  </mergeCells>
  <phoneticPr fontId="4" type="noConversion"/>
  <printOptions horizontalCentered="1"/>
  <pageMargins left="0.7" right="0.7" top="0.75" bottom="0.75" header="0.3" footer="0.3"/>
  <pageSetup fitToHeight="6" orientation="landscape" r:id="rId1"/>
  <headerFooter alignWithMargins="0">
    <oddFooter>&amp;L&amp;F
&amp;A&amp;RSchedule 95A Filing Eff 1-1-21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zoomScaleNormal="100" workbookViewId="0">
      <pane xSplit="2" ySplit="8" topLeftCell="C9" activePane="bottomRight" state="frozen"/>
      <selection activeCell="R24" sqref="R24"/>
      <selection pane="topRight" activeCell="R24" sqref="R24"/>
      <selection pane="bottomLeft" activeCell="R24" sqref="R24"/>
      <selection pane="bottomRight" activeCell="A2" sqref="A2"/>
    </sheetView>
  </sheetViews>
  <sheetFormatPr defaultColWidth="6.42578125" defaultRowHeight="11.25" x14ac:dyDescent="0.2"/>
  <cols>
    <col min="1" max="1" width="4.42578125" style="7" bestFit="1" customWidth="1"/>
    <col min="2" max="2" width="22.7109375" style="7" bestFit="1" customWidth="1"/>
    <col min="3" max="3" width="13.28515625" style="7" bestFit="1" customWidth="1"/>
    <col min="4" max="4" width="14.85546875" style="7" bestFit="1" customWidth="1"/>
    <col min="5" max="5" width="13.85546875" style="7" customWidth="1"/>
    <col min="6" max="6" width="11.7109375" style="7" customWidth="1"/>
    <col min="7" max="8" width="11.5703125" style="7" bestFit="1" customWidth="1"/>
    <col min="9" max="10" width="11.28515625" style="7" bestFit="1" customWidth="1"/>
    <col min="11" max="11" width="11.85546875" style="7" bestFit="1" customWidth="1"/>
    <col min="12" max="12" width="11.28515625" style="7" bestFit="1" customWidth="1"/>
    <col min="13" max="13" width="12.140625" style="65" customWidth="1"/>
    <col min="14" max="16" width="11.28515625" style="65" customWidth="1"/>
    <col min="17" max="17" width="11.5703125" style="7" customWidth="1"/>
    <col min="18" max="18" width="12.28515625" style="7" bestFit="1" customWidth="1"/>
    <col min="19" max="19" width="11.28515625" style="7" bestFit="1" customWidth="1"/>
    <col min="20" max="20" width="11.85546875" style="7" bestFit="1" customWidth="1"/>
    <col min="21" max="21" width="12.28515625" style="7" customWidth="1"/>
    <col min="22" max="22" width="11.28515625" style="65" customWidth="1"/>
    <col min="23" max="23" width="12.140625" style="65" customWidth="1"/>
    <col min="24" max="24" width="11.28515625" style="65" customWidth="1"/>
    <col min="25" max="25" width="14.42578125" style="7" customWidth="1"/>
    <col min="26" max="26" width="12.85546875" style="7" bestFit="1" customWidth="1"/>
    <col min="27" max="27" width="11.28515625" style="7" customWidth="1"/>
    <col min="28" max="28" width="18.28515625" style="7" customWidth="1"/>
    <col min="29" max="16384" width="6.42578125" style="7"/>
  </cols>
  <sheetData>
    <row r="1" spans="1:29" s="43" customFormat="1" x14ac:dyDescent="0.2">
      <c r="A1" s="77" t="s">
        <v>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66"/>
    </row>
    <row r="2" spans="1:29" s="43" customFormat="1" x14ac:dyDescent="0.2">
      <c r="A2" s="117" t="s">
        <v>207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7"/>
      <c r="V2" s="77"/>
      <c r="W2" s="77"/>
      <c r="X2" s="77"/>
      <c r="Y2" s="77"/>
      <c r="Z2" s="77"/>
      <c r="AA2" s="77"/>
      <c r="AB2" s="78"/>
      <c r="AC2" s="66"/>
    </row>
    <row r="3" spans="1:29" s="43" customFormat="1" x14ac:dyDescent="0.2">
      <c r="A3" s="117" t="str">
        <f>"Rate Year Ended "&amp;TEXT(Inputs!B8,"mmmm d, yyyy")&amp;" ("&amp;Inputs!B6&amp;")"</f>
        <v>Rate Year Ended February 28, 2025 (F2023)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7"/>
      <c r="V3" s="77"/>
      <c r="W3" s="77"/>
      <c r="X3" s="77"/>
      <c r="Y3" s="77"/>
      <c r="Z3" s="77"/>
      <c r="AA3" s="77"/>
      <c r="AB3" s="78"/>
      <c r="AC3" s="66"/>
    </row>
    <row r="4" spans="1:29" s="43" customFormat="1" x14ac:dyDescent="0.2">
      <c r="A4" s="62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6"/>
      <c r="V4" s="66"/>
      <c r="W4" s="66"/>
      <c r="X4" s="66"/>
      <c r="Y4" s="66"/>
      <c r="Z4" s="66"/>
      <c r="AA4" s="66"/>
      <c r="AB4" s="61"/>
      <c r="AC4" s="66"/>
    </row>
    <row r="5" spans="1:29" s="43" customFormat="1" x14ac:dyDescent="0.2">
      <c r="A5" s="44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66"/>
      <c r="V5" s="66"/>
      <c r="W5" s="66"/>
      <c r="X5" s="66"/>
      <c r="Y5" s="66"/>
      <c r="Z5" s="66"/>
      <c r="AA5" s="66"/>
      <c r="AB5" s="79"/>
      <c r="AC5" s="66"/>
    </row>
    <row r="6" spans="1:29" s="43" customFormat="1" x14ac:dyDescent="0.2">
      <c r="A6" s="44"/>
      <c r="B6" s="79"/>
      <c r="C6" s="79"/>
      <c r="D6" s="63" t="s">
        <v>119</v>
      </c>
      <c r="E6" s="75" t="s">
        <v>206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66"/>
      <c r="AA6" s="66"/>
      <c r="AB6" s="79"/>
      <c r="AC6" s="66"/>
    </row>
    <row r="7" spans="1:29" s="47" customFormat="1" ht="56.25" x14ac:dyDescent="0.2">
      <c r="A7" s="45" t="s">
        <v>0</v>
      </c>
      <c r="B7" s="45" t="s">
        <v>88</v>
      </c>
      <c r="C7" s="46" t="s">
        <v>225</v>
      </c>
      <c r="D7" s="46" t="s">
        <v>226</v>
      </c>
      <c r="E7" s="46" t="s">
        <v>227</v>
      </c>
      <c r="F7" s="46" t="s">
        <v>228</v>
      </c>
      <c r="G7" s="46" t="s">
        <v>229</v>
      </c>
      <c r="H7" s="46" t="s">
        <v>230</v>
      </c>
      <c r="I7" s="46" t="s">
        <v>231</v>
      </c>
      <c r="J7" s="46" t="s">
        <v>232</v>
      </c>
      <c r="K7" s="46" t="s">
        <v>218</v>
      </c>
      <c r="L7" s="46" t="s">
        <v>233</v>
      </c>
      <c r="M7" s="46" t="s">
        <v>234</v>
      </c>
      <c r="N7" s="46" t="s">
        <v>235</v>
      </c>
      <c r="O7" s="46" t="s">
        <v>236</v>
      </c>
      <c r="P7" s="46" t="s">
        <v>219</v>
      </c>
      <c r="Q7" s="46" t="s">
        <v>237</v>
      </c>
      <c r="R7" s="46" t="s">
        <v>238</v>
      </c>
      <c r="S7" s="46" t="s">
        <v>239</v>
      </c>
      <c r="T7" s="46" t="s">
        <v>240</v>
      </c>
      <c r="U7" s="46" t="s">
        <v>241</v>
      </c>
      <c r="V7" s="46" t="s">
        <v>242</v>
      </c>
      <c r="W7" s="46" t="s">
        <v>243</v>
      </c>
      <c r="X7" s="46" t="s">
        <v>244</v>
      </c>
      <c r="Y7" s="46" t="s">
        <v>183</v>
      </c>
      <c r="Z7" s="46" t="s">
        <v>245</v>
      </c>
      <c r="AA7" s="46" t="s">
        <v>123</v>
      </c>
      <c r="AB7" s="46" t="s">
        <v>175</v>
      </c>
    </row>
    <row r="8" spans="1:29" s="31" customFormat="1" ht="30.75" customHeight="1" x14ac:dyDescent="0.2">
      <c r="A8" s="16"/>
      <c r="B8" s="16"/>
      <c r="C8" s="32" t="s">
        <v>14</v>
      </c>
      <c r="D8" s="32" t="s">
        <v>15</v>
      </c>
      <c r="E8" s="33" t="s">
        <v>16</v>
      </c>
      <c r="F8" s="34" t="s">
        <v>60</v>
      </c>
      <c r="G8" s="34" t="s">
        <v>95</v>
      </c>
      <c r="H8" s="35" t="s">
        <v>79</v>
      </c>
      <c r="I8" s="35" t="s">
        <v>100</v>
      </c>
      <c r="J8" s="35" t="s">
        <v>96</v>
      </c>
      <c r="K8" s="34" t="s">
        <v>97</v>
      </c>
      <c r="L8" s="34" t="s">
        <v>80</v>
      </c>
      <c r="M8" s="34" t="s">
        <v>98</v>
      </c>
      <c r="N8" s="34" t="s">
        <v>99</v>
      </c>
      <c r="O8" s="34" t="s">
        <v>103</v>
      </c>
      <c r="P8" s="34" t="s">
        <v>112</v>
      </c>
      <c r="Q8" s="35" t="s">
        <v>116</v>
      </c>
      <c r="R8" s="34" t="s">
        <v>117</v>
      </c>
      <c r="S8" s="34" t="s">
        <v>120</v>
      </c>
      <c r="T8" s="35" t="s">
        <v>176</v>
      </c>
      <c r="U8" s="35" t="s">
        <v>121</v>
      </c>
      <c r="V8" s="35" t="s">
        <v>188</v>
      </c>
      <c r="W8" s="35" t="s">
        <v>177</v>
      </c>
      <c r="X8" s="35" t="s">
        <v>189</v>
      </c>
      <c r="Y8" s="33" t="s">
        <v>190</v>
      </c>
      <c r="Z8" s="35" t="s">
        <v>122</v>
      </c>
      <c r="AA8" s="35" t="s">
        <v>192</v>
      </c>
      <c r="AB8" s="33" t="s">
        <v>191</v>
      </c>
    </row>
    <row r="9" spans="1:29" s="31" customFormat="1" x14ac:dyDescent="0.2">
      <c r="A9" s="30">
        <v>1</v>
      </c>
      <c r="B9" s="30" t="s">
        <v>202</v>
      </c>
      <c r="C9" s="231">
        <v>11195647814.277042</v>
      </c>
      <c r="D9" s="231">
        <v>1192623631.7800713</v>
      </c>
      <c r="E9" s="231">
        <v>38972050.041498385</v>
      </c>
      <c r="F9" s="231">
        <v>88031378.763660386</v>
      </c>
      <c r="G9" s="231">
        <v>0</v>
      </c>
      <c r="H9" s="231">
        <v>56470847.575213403</v>
      </c>
      <c r="I9" s="231">
        <v>15987385.078787617</v>
      </c>
      <c r="J9" s="231">
        <v>6795758.2232661648</v>
      </c>
      <c r="K9" s="231">
        <v>78369.534699939293</v>
      </c>
      <c r="L9" s="231">
        <v>0</v>
      </c>
      <c r="M9" s="231">
        <v>0</v>
      </c>
      <c r="N9" s="231">
        <v>29243032.090891637</v>
      </c>
      <c r="O9" s="231">
        <v>19502818.492470607</v>
      </c>
      <c r="P9" s="231">
        <v>13994559.767846303</v>
      </c>
      <c r="Q9" s="231">
        <v>30519335.941719219</v>
      </c>
      <c r="R9" s="231">
        <v>95476484.560154632</v>
      </c>
      <c r="S9" s="231">
        <v>90740725.534715414</v>
      </c>
      <c r="T9" s="231">
        <v>3571411.6527543766</v>
      </c>
      <c r="U9" s="231">
        <v>0</v>
      </c>
      <c r="V9" s="231">
        <v>-38916071.802427001</v>
      </c>
      <c r="W9" s="231">
        <v>0</v>
      </c>
      <c r="X9" s="231">
        <v>-84348010.632763237</v>
      </c>
      <c r="Y9" s="39">
        <f>SUM(E9:X9)</f>
        <v>366120074.82248783</v>
      </c>
      <c r="Z9" s="39">
        <f>SUM(D9,Y9)</f>
        <v>1558743706.6025591</v>
      </c>
      <c r="AA9" s="39">
        <f>-T9</f>
        <v>-3571411.6527543766</v>
      </c>
      <c r="AB9" s="39">
        <f>SUM(Z9:AA9)</f>
        <v>1555172294.9498048</v>
      </c>
    </row>
    <row r="10" spans="1:29" x14ac:dyDescent="0.2">
      <c r="A10" s="30">
        <f>+A9+1</f>
        <v>2</v>
      </c>
      <c r="B10" s="36" t="s">
        <v>1</v>
      </c>
      <c r="C10" s="37">
        <f t="shared" ref="C10" si="0">SUM(C9:C9)</f>
        <v>11195647814.277042</v>
      </c>
      <c r="D10" s="38">
        <f t="shared" ref="D10" si="1">SUM(D9:D9)</f>
        <v>1192623631.7800713</v>
      </c>
      <c r="E10" s="38">
        <f t="shared" ref="E10:X10" si="2">SUM(E9:E9)</f>
        <v>38972050.041498385</v>
      </c>
      <c r="F10" s="38">
        <f t="shared" si="2"/>
        <v>88031378.763660386</v>
      </c>
      <c r="G10" s="38">
        <f t="shared" si="2"/>
        <v>0</v>
      </c>
      <c r="H10" s="38">
        <f t="shared" si="2"/>
        <v>56470847.575213403</v>
      </c>
      <c r="I10" s="38">
        <f t="shared" si="2"/>
        <v>15987385.078787617</v>
      </c>
      <c r="J10" s="38">
        <f t="shared" si="2"/>
        <v>6795758.2232661648</v>
      </c>
      <c r="K10" s="38">
        <f t="shared" si="2"/>
        <v>78369.534699939293</v>
      </c>
      <c r="L10" s="38">
        <f t="shared" si="2"/>
        <v>0</v>
      </c>
      <c r="M10" s="38">
        <f t="shared" si="2"/>
        <v>0</v>
      </c>
      <c r="N10" s="38">
        <f t="shared" si="2"/>
        <v>29243032.090891637</v>
      </c>
      <c r="O10" s="38">
        <f t="shared" si="2"/>
        <v>19502818.492470607</v>
      </c>
      <c r="P10" s="38">
        <f t="shared" si="2"/>
        <v>13994559.767846303</v>
      </c>
      <c r="Q10" s="38">
        <f t="shared" si="2"/>
        <v>30519335.941719219</v>
      </c>
      <c r="R10" s="38">
        <f t="shared" si="2"/>
        <v>95476484.560154632</v>
      </c>
      <c r="S10" s="38">
        <f t="shared" si="2"/>
        <v>90740725.534715414</v>
      </c>
      <c r="T10" s="38">
        <f t="shared" si="2"/>
        <v>3571411.6527543766</v>
      </c>
      <c r="U10" s="38">
        <f t="shared" si="2"/>
        <v>0</v>
      </c>
      <c r="V10" s="38">
        <f t="shared" si="2"/>
        <v>-38916071.802427001</v>
      </c>
      <c r="W10" s="38">
        <f t="shared" si="2"/>
        <v>0</v>
      </c>
      <c r="X10" s="38">
        <f t="shared" si="2"/>
        <v>-84348010.632763237</v>
      </c>
      <c r="Y10" s="38">
        <f t="shared" ref="Y10:AA10" si="3">SUM(Y9:Y9)</f>
        <v>366120074.82248783</v>
      </c>
      <c r="Z10" s="38">
        <f t="shared" si="3"/>
        <v>1558743706.6025591</v>
      </c>
      <c r="AA10" s="38">
        <f t="shared" si="3"/>
        <v>-3571411.6527543766</v>
      </c>
      <c r="AB10" s="38">
        <f>SUM(AB9:AB9)</f>
        <v>1555172294.9498048</v>
      </c>
      <c r="AC10" s="65"/>
    </row>
    <row r="11" spans="1:29" x14ac:dyDescent="0.2">
      <c r="A11" s="30">
        <f t="shared" ref="A11:A35" si="4">+A10+1</f>
        <v>3</v>
      </c>
      <c r="B11" s="30"/>
      <c r="C11" s="12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65"/>
    </row>
    <row r="12" spans="1:29" x14ac:dyDescent="0.2">
      <c r="A12" s="30">
        <f t="shared" si="4"/>
        <v>4</v>
      </c>
      <c r="B12" s="30" t="s">
        <v>208</v>
      </c>
      <c r="C12" s="231">
        <v>2757991003.037375</v>
      </c>
      <c r="D12" s="231">
        <v>275536110.81143129</v>
      </c>
      <c r="E12" s="231">
        <v>8880731.0297803488</v>
      </c>
      <c r="F12" s="231">
        <v>20698722.477795497</v>
      </c>
      <c r="G12" s="231">
        <v>0</v>
      </c>
      <c r="H12" s="231">
        <v>11793169.528987817</v>
      </c>
      <c r="I12" s="231">
        <v>3626758.1689941483</v>
      </c>
      <c r="J12" s="231">
        <v>1541716.9706978926</v>
      </c>
      <c r="K12" s="231">
        <v>19305.937021261623</v>
      </c>
      <c r="L12" s="231">
        <v>-156549.03513952065</v>
      </c>
      <c r="M12" s="231">
        <v>-281992.70181910403</v>
      </c>
      <c r="N12" s="231">
        <v>5772475.1693572262</v>
      </c>
      <c r="O12" s="231">
        <v>4441245.3901190255</v>
      </c>
      <c r="P12" s="231">
        <v>2733169.0840100381</v>
      </c>
      <c r="Q12" s="231">
        <v>6608146.4432775509</v>
      </c>
      <c r="R12" s="231">
        <v>18288238.341140833</v>
      </c>
      <c r="S12" s="231">
        <v>17380859.301141538</v>
      </c>
      <c r="T12" s="231">
        <v>763963.50784135284</v>
      </c>
      <c r="U12" s="231">
        <v>0</v>
      </c>
      <c r="V12" s="231">
        <v>-6108950.0717277853</v>
      </c>
      <c r="W12" s="231">
        <v>0</v>
      </c>
      <c r="X12" s="231">
        <v>-1934504.8295263061</v>
      </c>
      <c r="Y12" s="39">
        <f>SUM(E12:X12)</f>
        <v>94066504.711951822</v>
      </c>
      <c r="Z12" s="39">
        <f>SUM(D12,Y12)</f>
        <v>369602615.52338314</v>
      </c>
      <c r="AA12" s="39">
        <f>-T12</f>
        <v>-763963.50784135284</v>
      </c>
      <c r="AB12" s="39">
        <f t="shared" ref="AB12:AB15" si="5">SUM(Z12:AA12)</f>
        <v>368838652.01554179</v>
      </c>
      <c r="AC12" s="65"/>
    </row>
    <row r="13" spans="1:29" x14ac:dyDescent="0.2">
      <c r="A13" s="30">
        <f t="shared" si="4"/>
        <v>5</v>
      </c>
      <c r="B13" s="232" t="s">
        <v>209</v>
      </c>
      <c r="C13" s="231">
        <v>2956724370.1064401</v>
      </c>
      <c r="D13" s="231">
        <v>270735104.81378698</v>
      </c>
      <c r="E13" s="231">
        <v>9712839.5557996556</v>
      </c>
      <c r="F13" s="231">
        <v>22246394.160680857</v>
      </c>
      <c r="G13" s="231">
        <v>0</v>
      </c>
      <c r="H13" s="231">
        <v>12855837.561222803</v>
      </c>
      <c r="I13" s="231">
        <v>3613117.1802700697</v>
      </c>
      <c r="J13" s="231">
        <v>1537496.6724553488</v>
      </c>
      <c r="K13" s="231">
        <v>20697.070590745083</v>
      </c>
      <c r="L13" s="231">
        <v>743341.87149714772</v>
      </c>
      <c r="M13" s="231">
        <v>-273140.04027007206</v>
      </c>
      <c r="N13" s="231">
        <v>5854314.2528107511</v>
      </c>
      <c r="O13" s="231">
        <v>4715171.7766035171</v>
      </c>
      <c r="P13" s="231">
        <v>3060129.1612601974</v>
      </c>
      <c r="Q13" s="231">
        <v>7118185.8596626893</v>
      </c>
      <c r="R13" s="231">
        <v>20269300.267564908</v>
      </c>
      <c r="S13" s="231">
        <v>19273203.995816041</v>
      </c>
      <c r="T13" s="231">
        <v>848579.89422054822</v>
      </c>
      <c r="U13" s="231">
        <v>0</v>
      </c>
      <c r="V13" s="231">
        <v>9346205.7339064553</v>
      </c>
      <c r="W13" s="231">
        <v>0</v>
      </c>
      <c r="X13" s="231">
        <v>-1014569.6300205878</v>
      </c>
      <c r="Y13" s="39">
        <f t="shared" ref="Y13:Y15" si="6">SUM(E13:X13)</f>
        <v>119927105.34407106</v>
      </c>
      <c r="Z13" s="39">
        <f>SUM(D13,Y13)</f>
        <v>390662210.15785801</v>
      </c>
      <c r="AA13" s="39">
        <f t="shared" ref="AA13:AA15" si="7">-T13</f>
        <v>-848579.89422054822</v>
      </c>
      <c r="AB13" s="39">
        <f t="shared" si="5"/>
        <v>389813630.26363748</v>
      </c>
      <c r="AC13" s="65"/>
    </row>
    <row r="14" spans="1:29" x14ac:dyDescent="0.2">
      <c r="A14" s="30">
        <f t="shared" si="4"/>
        <v>6</v>
      </c>
      <c r="B14" s="232" t="s">
        <v>210</v>
      </c>
      <c r="C14" s="231">
        <v>1967882542.4145269</v>
      </c>
      <c r="D14" s="231">
        <v>164583472.92592531</v>
      </c>
      <c r="E14" s="231">
        <v>6348389.0818292648</v>
      </c>
      <c r="F14" s="231">
        <v>13800760.269953078</v>
      </c>
      <c r="G14" s="231">
        <v>0</v>
      </c>
      <c r="H14" s="231">
        <v>7834140.4013522314</v>
      </c>
      <c r="I14" s="231">
        <v>2209932.0951315141</v>
      </c>
      <c r="J14" s="231">
        <v>940647.85527414386</v>
      </c>
      <c r="K14" s="231">
        <v>11807.295254487162</v>
      </c>
      <c r="L14" s="231">
        <v>1280556.035166746</v>
      </c>
      <c r="M14" s="231">
        <v>-455534.03108758503</v>
      </c>
      <c r="N14" s="231">
        <v>3374918.5602409136</v>
      </c>
      <c r="O14" s="231">
        <v>2672105.2910221429</v>
      </c>
      <c r="P14" s="231">
        <v>1717310.8259622066</v>
      </c>
      <c r="Q14" s="231">
        <v>4115292.758106451</v>
      </c>
      <c r="R14" s="231">
        <v>11944009.964354381</v>
      </c>
      <c r="S14" s="231">
        <v>11385487.666239513</v>
      </c>
      <c r="T14" s="231">
        <v>478195.45780673</v>
      </c>
      <c r="U14" s="231">
        <v>0</v>
      </c>
      <c r="V14" s="231">
        <v>3611747.0625871085</v>
      </c>
      <c r="W14" s="231">
        <v>0</v>
      </c>
      <c r="X14" s="231">
        <v>-126994.35443960159</v>
      </c>
      <c r="Y14" s="39">
        <f t="shared" si="6"/>
        <v>71142772.234753743</v>
      </c>
      <c r="Z14" s="39">
        <f>SUM(D14,Y14)</f>
        <v>235726245.16067904</v>
      </c>
      <c r="AA14" s="39">
        <f t="shared" si="7"/>
        <v>-478195.45780673</v>
      </c>
      <c r="AB14" s="39">
        <f t="shared" si="5"/>
        <v>235248049.70287231</v>
      </c>
      <c r="AC14" s="65"/>
    </row>
    <row r="15" spans="1:29" s="65" customFormat="1" x14ac:dyDescent="0.2">
      <c r="A15" s="30">
        <f t="shared" si="4"/>
        <v>7</v>
      </c>
      <c r="B15" s="232">
        <v>29</v>
      </c>
      <c r="C15" s="231">
        <v>15032044.886787532</v>
      </c>
      <c r="D15" s="231">
        <v>1290402.3002296225</v>
      </c>
      <c r="E15" s="231">
        <v>54160.457727095476</v>
      </c>
      <c r="F15" s="231">
        <v>118903.47505448938</v>
      </c>
      <c r="G15" s="231">
        <v>0</v>
      </c>
      <c r="H15" s="231">
        <v>68095.163337147518</v>
      </c>
      <c r="I15" s="231">
        <v>17346.979799352812</v>
      </c>
      <c r="J15" s="231">
        <v>7380.7340394126786</v>
      </c>
      <c r="K15" s="231">
        <v>105.22431420751272</v>
      </c>
      <c r="L15" s="231">
        <v>0</v>
      </c>
      <c r="M15" s="231">
        <v>0</v>
      </c>
      <c r="N15" s="231">
        <v>29763.448875839313</v>
      </c>
      <c r="O15" s="231">
        <v>23973.1590546359</v>
      </c>
      <c r="P15" s="231">
        <v>12955.167783898807</v>
      </c>
      <c r="Q15" s="231">
        <v>38134.716592715522</v>
      </c>
      <c r="R15" s="231">
        <v>103400.82955300187</v>
      </c>
      <c r="S15" s="231">
        <v>98263.069740352352</v>
      </c>
      <c r="T15" s="231">
        <v>5561.8566081113868</v>
      </c>
      <c r="U15" s="231">
        <v>0</v>
      </c>
      <c r="V15" s="231">
        <v>47516.293887135384</v>
      </c>
      <c r="W15" s="231">
        <v>0</v>
      </c>
      <c r="X15" s="231">
        <v>-113251.42617705726</v>
      </c>
      <c r="Y15" s="39">
        <f t="shared" si="6"/>
        <v>512309.15019033867</v>
      </c>
      <c r="Z15" s="39">
        <f t="shared" ref="Z15" si="8">SUM(D15,Y15)</f>
        <v>1802711.4504199612</v>
      </c>
      <c r="AA15" s="39">
        <f t="shared" si="7"/>
        <v>-5561.8566081113868</v>
      </c>
      <c r="AB15" s="39">
        <f t="shared" si="5"/>
        <v>1797149.5938118498</v>
      </c>
    </row>
    <row r="16" spans="1:29" x14ac:dyDescent="0.2">
      <c r="A16" s="30">
        <f t="shared" si="4"/>
        <v>8</v>
      </c>
      <c r="B16" s="40" t="s">
        <v>63</v>
      </c>
      <c r="C16" s="37">
        <f t="shared" ref="C16:AB16" si="9">SUM(C12:C15)</f>
        <v>7697629960.4451294</v>
      </c>
      <c r="D16" s="38">
        <f t="shared" si="9"/>
        <v>712145090.85137331</v>
      </c>
      <c r="E16" s="38">
        <f t="shared" si="9"/>
        <v>24996120.125136368</v>
      </c>
      <c r="F16" s="38">
        <f t="shared" si="9"/>
        <v>56864780.383483924</v>
      </c>
      <c r="G16" s="38">
        <f t="shared" si="9"/>
        <v>0</v>
      </c>
      <c r="H16" s="38">
        <f t="shared" si="9"/>
        <v>32551242.654899999</v>
      </c>
      <c r="I16" s="38">
        <f t="shared" si="9"/>
        <v>9467154.4241950847</v>
      </c>
      <c r="J16" s="38">
        <f t="shared" si="9"/>
        <v>4027242.2324667983</v>
      </c>
      <c r="K16" s="38">
        <f t="shared" si="9"/>
        <v>51915.527180701385</v>
      </c>
      <c r="L16" s="38">
        <f t="shared" si="9"/>
        <v>1867348.8715243731</v>
      </c>
      <c r="M16" s="38">
        <f t="shared" si="9"/>
        <v>-1010666.7731767611</v>
      </c>
      <c r="N16" s="38">
        <f t="shared" si="9"/>
        <v>15031471.431284729</v>
      </c>
      <c r="O16" s="38">
        <f t="shared" si="9"/>
        <v>11852495.616799321</v>
      </c>
      <c r="P16" s="38">
        <f t="shared" si="9"/>
        <v>7523564.239016341</v>
      </c>
      <c r="Q16" s="38">
        <f t="shared" si="9"/>
        <v>17879759.777639404</v>
      </c>
      <c r="R16" s="38">
        <f t="shared" si="9"/>
        <v>50604949.402613126</v>
      </c>
      <c r="S16" s="38">
        <f t="shared" si="9"/>
        <v>48137814.032937452</v>
      </c>
      <c r="T16" s="38">
        <f t="shared" si="9"/>
        <v>2096300.7164767424</v>
      </c>
      <c r="U16" s="38">
        <f t="shared" si="9"/>
        <v>0</v>
      </c>
      <c r="V16" s="38">
        <f t="shared" si="9"/>
        <v>6896519.0186529141</v>
      </c>
      <c r="W16" s="38">
        <f t="shared" si="9"/>
        <v>0</v>
      </c>
      <c r="X16" s="38">
        <f t="shared" si="9"/>
        <v>-3189320.240163553</v>
      </c>
      <c r="Y16" s="38">
        <f t="shared" si="9"/>
        <v>285648691.44096696</v>
      </c>
      <c r="Z16" s="38">
        <f t="shared" si="9"/>
        <v>997793782.29234004</v>
      </c>
      <c r="AA16" s="38">
        <f t="shared" si="9"/>
        <v>-2096300.7164767424</v>
      </c>
      <c r="AB16" s="38">
        <f t="shared" si="9"/>
        <v>995697481.57586348</v>
      </c>
      <c r="AC16" s="65"/>
    </row>
    <row r="17" spans="1:29" x14ac:dyDescent="0.2">
      <c r="A17" s="30">
        <f t="shared" si="4"/>
        <v>9</v>
      </c>
      <c r="B17" s="30"/>
      <c r="C17" s="12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65"/>
    </row>
    <row r="18" spans="1:29" x14ac:dyDescent="0.2">
      <c r="A18" s="30">
        <f t="shared" si="4"/>
        <v>10</v>
      </c>
      <c r="B18" s="30" t="s">
        <v>211</v>
      </c>
      <c r="C18" s="231">
        <v>1413812398.374563</v>
      </c>
      <c r="D18" s="231">
        <v>115247091.84919684</v>
      </c>
      <c r="E18" s="231">
        <v>4490268.1772376122</v>
      </c>
      <c r="F18" s="231">
        <v>9718546.426426746</v>
      </c>
      <c r="G18" s="231">
        <v>0</v>
      </c>
      <c r="H18" s="231">
        <v>5426211.984961573</v>
      </c>
      <c r="I18" s="231">
        <v>1556607.4506103939</v>
      </c>
      <c r="J18" s="231">
        <v>661664.20243929548</v>
      </c>
      <c r="K18" s="231">
        <v>8482.874390247378</v>
      </c>
      <c r="L18" s="231">
        <v>557156.35249099927</v>
      </c>
      <c r="M18" s="231">
        <v>-201374.64947077501</v>
      </c>
      <c r="N18" s="231">
        <v>2440240.1995944958</v>
      </c>
      <c r="O18" s="231">
        <v>1978765.9292588665</v>
      </c>
      <c r="P18" s="231">
        <v>1206980.000591587</v>
      </c>
      <c r="Q18" s="231">
        <v>2868625.6008281503</v>
      </c>
      <c r="R18" s="231">
        <v>8257246.827059865</v>
      </c>
      <c r="S18" s="231">
        <v>7868947.3993301308</v>
      </c>
      <c r="T18" s="231">
        <v>356280.72439038986</v>
      </c>
      <c r="U18" s="231">
        <v>0</v>
      </c>
      <c r="V18" s="231">
        <v>488513.96413452388</v>
      </c>
      <c r="W18" s="231">
        <v>0</v>
      </c>
      <c r="X18" s="231">
        <v>-177703.24768946753</v>
      </c>
      <c r="Y18" s="39">
        <f t="shared" ref="Y18:Y20" si="10">SUM(E18:X18)</f>
        <v>47505460.21658463</v>
      </c>
      <c r="Z18" s="39">
        <f>SUM(D18,Y18)</f>
        <v>162752552.06578147</v>
      </c>
      <c r="AA18" s="39">
        <f t="shared" ref="AA18:AA20" si="11">-T18</f>
        <v>-356280.72439038986</v>
      </c>
      <c r="AB18" s="39">
        <f t="shared" ref="AB18:AB20" si="12">SUM(Z18:AA18)</f>
        <v>162396271.34139109</v>
      </c>
      <c r="AC18" s="65"/>
    </row>
    <row r="19" spans="1:29" x14ac:dyDescent="0.2">
      <c r="A19" s="30">
        <f t="shared" si="4"/>
        <v>11</v>
      </c>
      <c r="B19" s="30">
        <v>35</v>
      </c>
      <c r="C19" s="231">
        <v>4440266.6219169199</v>
      </c>
      <c r="D19" s="231">
        <v>273910.58897433063</v>
      </c>
      <c r="E19" s="231">
        <v>14217.733723377978</v>
      </c>
      <c r="F19" s="231">
        <v>32662.601270820862</v>
      </c>
      <c r="G19" s="231">
        <v>0</v>
      </c>
      <c r="H19" s="231">
        <v>11651.259615909998</v>
      </c>
      <c r="I19" s="231">
        <v>4049.5231591882311</v>
      </c>
      <c r="J19" s="231">
        <v>1722.8234493037648</v>
      </c>
      <c r="K19" s="231">
        <v>17.76106648766768</v>
      </c>
      <c r="L19" s="231">
        <v>0</v>
      </c>
      <c r="M19" s="231">
        <v>0</v>
      </c>
      <c r="N19" s="231">
        <v>7663.9001894286039</v>
      </c>
      <c r="O19" s="231">
        <v>7237.6345937245796</v>
      </c>
      <c r="P19" s="231">
        <v>5527.0378327727894</v>
      </c>
      <c r="Q19" s="231">
        <v>6912.6574463128709</v>
      </c>
      <c r="R19" s="231">
        <v>36793.399768219373</v>
      </c>
      <c r="S19" s="231">
        <v>34929.453112159674</v>
      </c>
      <c r="T19" s="231">
        <v>2628.6378401748166</v>
      </c>
      <c r="U19" s="231">
        <v>0</v>
      </c>
      <c r="V19" s="231">
        <v>14035.682791879382</v>
      </c>
      <c r="W19" s="231">
        <v>0</v>
      </c>
      <c r="X19" s="231">
        <v>-33452.968729522072</v>
      </c>
      <c r="Y19" s="39">
        <f t="shared" si="10"/>
        <v>146597.13713023849</v>
      </c>
      <c r="Z19" s="39">
        <f>SUM(D19,Y19)</f>
        <v>420507.72610456916</v>
      </c>
      <c r="AA19" s="39">
        <f t="shared" si="11"/>
        <v>-2628.6378401748166</v>
      </c>
      <c r="AB19" s="39">
        <f t="shared" si="12"/>
        <v>417879.08826439432</v>
      </c>
      <c r="AC19" s="65"/>
    </row>
    <row r="20" spans="1:29" x14ac:dyDescent="0.2">
      <c r="A20" s="30">
        <f t="shared" si="4"/>
        <v>12</v>
      </c>
      <c r="B20" s="30">
        <v>43</v>
      </c>
      <c r="C20" s="231">
        <v>122800461.4598608</v>
      </c>
      <c r="D20" s="231">
        <v>10740325.941777267</v>
      </c>
      <c r="E20" s="231">
        <v>355507.335926297</v>
      </c>
      <c r="F20" s="231">
        <v>830499.52085303864</v>
      </c>
      <c r="G20" s="231">
        <v>0</v>
      </c>
      <c r="H20" s="231">
        <v>100082.37608978654</v>
      </c>
      <c r="I20" s="231">
        <v>138396.12006526312</v>
      </c>
      <c r="J20" s="231">
        <v>58821.421039273322</v>
      </c>
      <c r="K20" s="231">
        <v>122.8004614598608</v>
      </c>
      <c r="L20" s="231">
        <v>43677.179999999993</v>
      </c>
      <c r="M20" s="231">
        <v>-14924.789999999999</v>
      </c>
      <c r="N20" s="231">
        <v>187761.90557212717</v>
      </c>
      <c r="O20" s="231">
        <v>172305.18391401946</v>
      </c>
      <c r="P20" s="231">
        <v>96956.477604233107</v>
      </c>
      <c r="Q20" s="231">
        <v>51645.312638213669</v>
      </c>
      <c r="R20" s="231">
        <v>636141.67536478618</v>
      </c>
      <c r="S20" s="231">
        <v>602123.74222773546</v>
      </c>
      <c r="T20" s="231">
        <v>52804.198427740143</v>
      </c>
      <c r="U20" s="231">
        <v>0</v>
      </c>
      <c r="V20" s="231">
        <v>388172.25867461995</v>
      </c>
      <c r="W20" s="231">
        <v>0</v>
      </c>
      <c r="X20" s="231">
        <v>0</v>
      </c>
      <c r="Y20" s="39">
        <f t="shared" si="10"/>
        <v>3700092.7188585931</v>
      </c>
      <c r="Z20" s="39">
        <f>SUM(D20,Y20)</f>
        <v>14440418.660635859</v>
      </c>
      <c r="AA20" s="39">
        <f t="shared" si="11"/>
        <v>-52804.198427740143</v>
      </c>
      <c r="AB20" s="39">
        <f t="shared" si="12"/>
        <v>14387614.462208118</v>
      </c>
      <c r="AC20" s="65"/>
    </row>
    <row r="21" spans="1:29" x14ac:dyDescent="0.2">
      <c r="A21" s="30">
        <f t="shared" si="4"/>
        <v>13</v>
      </c>
      <c r="B21" s="36" t="s">
        <v>64</v>
      </c>
      <c r="C21" s="37">
        <f t="shared" ref="C21:AB21" si="13">SUM(C18:C20)</f>
        <v>1541053126.4563408</v>
      </c>
      <c r="D21" s="37">
        <f t="shared" si="13"/>
        <v>126261328.37994844</v>
      </c>
      <c r="E21" s="37">
        <f t="shared" si="13"/>
        <v>4859993.2468872871</v>
      </c>
      <c r="F21" s="37">
        <f t="shared" si="13"/>
        <v>10581708.548550606</v>
      </c>
      <c r="G21" s="37">
        <f t="shared" si="13"/>
        <v>0</v>
      </c>
      <c r="H21" s="37">
        <f t="shared" si="13"/>
        <v>5537945.6206672695</v>
      </c>
      <c r="I21" s="37">
        <f t="shared" si="13"/>
        <v>1699053.0938348453</v>
      </c>
      <c r="J21" s="37">
        <f t="shared" si="13"/>
        <v>722208.44692787249</v>
      </c>
      <c r="K21" s="37">
        <f t="shared" si="13"/>
        <v>8623.4359181949076</v>
      </c>
      <c r="L21" s="37">
        <f t="shared" si="13"/>
        <v>600833.53249099921</v>
      </c>
      <c r="M21" s="37">
        <f t="shared" si="13"/>
        <v>-216299.43947077502</v>
      </c>
      <c r="N21" s="37">
        <f t="shared" si="13"/>
        <v>2635666.0053560515</v>
      </c>
      <c r="O21" s="37">
        <f t="shared" si="13"/>
        <v>2158308.7477666102</v>
      </c>
      <c r="P21" s="37">
        <f t="shared" si="13"/>
        <v>1309463.5160285931</v>
      </c>
      <c r="Q21" s="37">
        <f t="shared" si="13"/>
        <v>2927183.5709126769</v>
      </c>
      <c r="R21" s="37">
        <f t="shared" si="13"/>
        <v>8930181.9021928702</v>
      </c>
      <c r="S21" s="37">
        <f t="shared" si="13"/>
        <v>8506000.5946700256</v>
      </c>
      <c r="T21" s="37">
        <f t="shared" si="13"/>
        <v>411713.56065830484</v>
      </c>
      <c r="U21" s="37">
        <f t="shared" si="13"/>
        <v>0</v>
      </c>
      <c r="V21" s="37">
        <f t="shared" si="13"/>
        <v>890721.90560102323</v>
      </c>
      <c r="W21" s="37">
        <f t="shared" si="13"/>
        <v>0</v>
      </c>
      <c r="X21" s="37">
        <f t="shared" si="13"/>
        <v>-211156.21641898961</v>
      </c>
      <c r="Y21" s="38">
        <f t="shared" si="13"/>
        <v>51352150.072573461</v>
      </c>
      <c r="Z21" s="38">
        <f t="shared" si="13"/>
        <v>177613478.45252189</v>
      </c>
      <c r="AA21" s="38">
        <f t="shared" si="13"/>
        <v>-411713.56065830484</v>
      </c>
      <c r="AB21" s="38">
        <f t="shared" si="13"/>
        <v>177201764.89186361</v>
      </c>
      <c r="AC21" s="65"/>
    </row>
    <row r="22" spans="1:29" x14ac:dyDescent="0.2">
      <c r="A22" s="30">
        <f t="shared" si="4"/>
        <v>14</v>
      </c>
      <c r="B22" s="30"/>
      <c r="C22" s="12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65"/>
    </row>
    <row r="23" spans="1:29" x14ac:dyDescent="0.2">
      <c r="A23" s="30">
        <f t="shared" si="4"/>
        <v>15</v>
      </c>
      <c r="B23" s="30">
        <v>46</v>
      </c>
      <c r="C23" s="231">
        <v>96945507.414515108</v>
      </c>
      <c r="D23" s="231">
        <v>6273144.5093940143</v>
      </c>
      <c r="E23" s="231">
        <v>352978.59249624953</v>
      </c>
      <c r="F23" s="231">
        <v>731841.63547217462</v>
      </c>
      <c r="G23" s="231">
        <v>0</v>
      </c>
      <c r="H23" s="231">
        <v>94327.978714323195</v>
      </c>
      <c r="I23" s="231">
        <v>78719.752020586267</v>
      </c>
      <c r="J23" s="231">
        <v>33446.200058007707</v>
      </c>
      <c r="K23" s="231">
        <v>96.945507414515106</v>
      </c>
      <c r="L23" s="231">
        <v>66112.663426560059</v>
      </c>
      <c r="M23" s="231">
        <v>-26126.360827200006</v>
      </c>
      <c r="N23" s="231">
        <v>92098.23204378935</v>
      </c>
      <c r="O23" s="231">
        <v>115415.816777249</v>
      </c>
      <c r="P23" s="231">
        <v>43624.167314168255</v>
      </c>
      <c r="Q23" s="231">
        <v>46043.871932440503</v>
      </c>
      <c r="R23" s="231">
        <v>323981.39760040113</v>
      </c>
      <c r="S23" s="231">
        <v>306919.64380662824</v>
      </c>
      <c r="T23" s="231">
        <v>30828.671357815801</v>
      </c>
      <c r="U23" s="231">
        <v>0</v>
      </c>
      <c r="V23" s="231">
        <v>0</v>
      </c>
      <c r="W23" s="231">
        <v>0</v>
      </c>
      <c r="X23" s="231">
        <v>0</v>
      </c>
      <c r="Y23" s="39">
        <f t="shared" ref="Y23:Y24" si="14">SUM(E23:X23)</f>
        <v>2290309.2077006078</v>
      </c>
      <c r="Z23" s="39">
        <f>SUM(D23,Y23)</f>
        <v>8563453.7170946226</v>
      </c>
      <c r="AA23" s="39">
        <f t="shared" ref="AA23:AA24" si="15">-T23</f>
        <v>-30828.671357815801</v>
      </c>
      <c r="AB23" s="39">
        <f t="shared" ref="AB23:AB24" si="16">SUM(Z23:AA23)</f>
        <v>8532625.0457368065</v>
      </c>
      <c r="AC23" s="65"/>
    </row>
    <row r="24" spans="1:29" x14ac:dyDescent="0.2">
      <c r="A24" s="30">
        <f t="shared" si="4"/>
        <v>16</v>
      </c>
      <c r="B24" s="30">
        <v>49</v>
      </c>
      <c r="C24" s="231">
        <v>534799649.92296755</v>
      </c>
      <c r="D24" s="231">
        <v>34465890.457685128</v>
      </c>
      <c r="E24" s="231">
        <v>1729007.2682009542</v>
      </c>
      <c r="F24" s="231">
        <v>3725414.3613633919</v>
      </c>
      <c r="G24" s="231">
        <v>0</v>
      </c>
      <c r="H24" s="231">
        <v>1908699.9505750712</v>
      </c>
      <c r="I24" s="231">
        <v>447627.30698552384</v>
      </c>
      <c r="J24" s="231">
        <v>190388.67537257643</v>
      </c>
      <c r="K24" s="231">
        <v>2673.9982496148382</v>
      </c>
      <c r="L24" s="231">
        <v>726532.59202114865</v>
      </c>
      <c r="M24" s="231">
        <v>-268768.30364225997</v>
      </c>
      <c r="N24" s="231">
        <v>508059.66742681916</v>
      </c>
      <c r="O24" s="231">
        <v>636661.52226781473</v>
      </c>
      <c r="P24" s="231">
        <v>243487.59579218176</v>
      </c>
      <c r="Q24" s="231">
        <v>1011912.8040698632</v>
      </c>
      <c r="R24" s="231">
        <v>1730083.5537415752</v>
      </c>
      <c r="S24" s="231">
        <v>1649424.0677463796</v>
      </c>
      <c r="T24" s="231">
        <v>117655.92298305286</v>
      </c>
      <c r="U24" s="231">
        <v>0</v>
      </c>
      <c r="V24" s="231">
        <v>0</v>
      </c>
      <c r="W24" s="231">
        <v>0</v>
      </c>
      <c r="X24" s="231">
        <v>0</v>
      </c>
      <c r="Y24" s="39">
        <f t="shared" si="14"/>
        <v>14358860.983153708</v>
      </c>
      <c r="Z24" s="39">
        <f>SUM(D24,Y24)</f>
        <v>48824751.440838836</v>
      </c>
      <c r="AA24" s="39">
        <f t="shared" si="15"/>
        <v>-117655.92298305286</v>
      </c>
      <c r="AB24" s="39">
        <f t="shared" si="16"/>
        <v>48707095.517855786</v>
      </c>
      <c r="AC24" s="65"/>
    </row>
    <row r="25" spans="1:29" x14ac:dyDescent="0.2">
      <c r="A25" s="30">
        <f t="shared" si="4"/>
        <v>17</v>
      </c>
      <c r="B25" s="36" t="s">
        <v>65</v>
      </c>
      <c r="C25" s="37">
        <f t="shared" ref="C25:X25" si="17">SUM(C23:C24)</f>
        <v>631745157.33748269</v>
      </c>
      <c r="D25" s="37">
        <f t="shared" si="17"/>
        <v>40739034.96707914</v>
      </c>
      <c r="E25" s="37">
        <f t="shared" si="17"/>
        <v>2081985.8606972038</v>
      </c>
      <c r="F25" s="37">
        <f t="shared" si="17"/>
        <v>4457255.9968355661</v>
      </c>
      <c r="G25" s="37">
        <f t="shared" si="17"/>
        <v>0</v>
      </c>
      <c r="H25" s="37">
        <f t="shared" si="17"/>
        <v>2003027.9292893943</v>
      </c>
      <c r="I25" s="37">
        <f t="shared" si="17"/>
        <v>526347.05900611007</v>
      </c>
      <c r="J25" s="37">
        <f t="shared" si="17"/>
        <v>223834.87543058413</v>
      </c>
      <c r="K25" s="37">
        <f t="shared" si="17"/>
        <v>2770.9437570293535</v>
      </c>
      <c r="L25" s="37">
        <f t="shared" si="17"/>
        <v>792645.25544770877</v>
      </c>
      <c r="M25" s="37">
        <f t="shared" si="17"/>
        <v>-294894.66446945997</v>
      </c>
      <c r="N25" s="37">
        <f t="shared" si="17"/>
        <v>600157.89947060845</v>
      </c>
      <c r="O25" s="37">
        <f t="shared" si="17"/>
        <v>752077.33904506371</v>
      </c>
      <c r="P25" s="37">
        <f t="shared" si="17"/>
        <v>287111.76310635003</v>
      </c>
      <c r="Q25" s="37">
        <f t="shared" si="17"/>
        <v>1057956.6760023036</v>
      </c>
      <c r="R25" s="37">
        <f t="shared" si="17"/>
        <v>2054064.9513419764</v>
      </c>
      <c r="S25" s="37">
        <f t="shared" si="17"/>
        <v>1956343.7115530078</v>
      </c>
      <c r="T25" s="37">
        <f t="shared" si="17"/>
        <v>148484.59434086867</v>
      </c>
      <c r="U25" s="37">
        <f t="shared" si="17"/>
        <v>0</v>
      </c>
      <c r="V25" s="37">
        <f t="shared" si="17"/>
        <v>0</v>
      </c>
      <c r="W25" s="37">
        <f t="shared" si="17"/>
        <v>0</v>
      </c>
      <c r="X25" s="37">
        <f t="shared" si="17"/>
        <v>0</v>
      </c>
      <c r="Y25" s="38">
        <f t="shared" ref="Y25:AB25" si="18">SUM(Y23:Y24)</f>
        <v>16649170.190854317</v>
      </c>
      <c r="Z25" s="38">
        <f t="shared" si="18"/>
        <v>57388205.157933459</v>
      </c>
      <c r="AA25" s="38">
        <f t="shared" si="18"/>
        <v>-148484.59434086867</v>
      </c>
      <c r="AB25" s="38">
        <f t="shared" si="18"/>
        <v>57239720.56359259</v>
      </c>
      <c r="AC25" s="65"/>
    </row>
    <row r="26" spans="1:29" x14ac:dyDescent="0.2">
      <c r="A26" s="30">
        <f t="shared" si="4"/>
        <v>18</v>
      </c>
      <c r="B26" s="10"/>
      <c r="C26" s="12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65"/>
    </row>
    <row r="27" spans="1:29" x14ac:dyDescent="0.2">
      <c r="A27" s="30">
        <f t="shared" si="4"/>
        <v>19</v>
      </c>
      <c r="B27" s="30" t="s">
        <v>57</v>
      </c>
      <c r="C27" s="197">
        <v>67439960.315186232</v>
      </c>
      <c r="D27" s="197">
        <v>16829276.451694641</v>
      </c>
      <c r="E27" s="197">
        <v>264904.16411805153</v>
      </c>
      <c r="F27" s="197">
        <v>546465.99843395408</v>
      </c>
      <c r="G27" s="197">
        <v>0</v>
      </c>
      <c r="H27" s="197">
        <v>156663.02781217761</v>
      </c>
      <c r="I27" s="197">
        <v>234286.42213495699</v>
      </c>
      <c r="J27" s="197">
        <v>99608.821385530071</v>
      </c>
      <c r="K27" s="197">
        <v>202.31988094555871</v>
      </c>
      <c r="L27" s="197">
        <v>0</v>
      </c>
      <c r="M27" s="197">
        <v>0</v>
      </c>
      <c r="N27" s="197">
        <v>579106.93922650418</v>
      </c>
      <c r="O27" s="197">
        <v>121122.16872607448</v>
      </c>
      <c r="P27" s="197">
        <v>282640.87368094554</v>
      </c>
      <c r="Q27" s="197">
        <v>80186.11281475643</v>
      </c>
      <c r="R27" s="197">
        <v>2084501.7333820912</v>
      </c>
      <c r="S27" s="197">
        <v>1981116.2742189106</v>
      </c>
      <c r="T27" s="197">
        <v>0</v>
      </c>
      <c r="U27" s="197">
        <v>0</v>
      </c>
      <c r="V27" s="197">
        <v>0</v>
      </c>
      <c r="W27" s="197">
        <v>0</v>
      </c>
      <c r="X27" s="197">
        <v>-13178.183119805764</v>
      </c>
      <c r="Y27" s="39">
        <f t="shared" ref="Y27:Y29" si="19">SUM(E27:X27)</f>
        <v>6417626.6726950929</v>
      </c>
      <c r="Z27" s="41">
        <f>SUM(D27,Y27)</f>
        <v>23246903.124389734</v>
      </c>
      <c r="AA27" s="39">
        <f t="shared" ref="AA27:AA29" si="20">-T27</f>
        <v>0</v>
      </c>
      <c r="AB27" s="41">
        <f>SUM(Z27:AA27)</f>
        <v>23246903.124389734</v>
      </c>
      <c r="AC27" s="65"/>
    </row>
    <row r="28" spans="1:29" x14ac:dyDescent="0.2">
      <c r="A28" s="30">
        <f t="shared" si="4"/>
        <v>20</v>
      </c>
      <c r="B28" s="30" t="s">
        <v>186</v>
      </c>
      <c r="C28" s="197">
        <v>1972508956.2683523</v>
      </c>
      <c r="D28" s="197">
        <v>9197506</v>
      </c>
      <c r="E28" s="197">
        <v>0</v>
      </c>
      <c r="F28" s="197">
        <v>0</v>
      </c>
      <c r="G28" s="197">
        <v>0</v>
      </c>
      <c r="H28" s="197">
        <v>2664859.5999185438</v>
      </c>
      <c r="I28" s="197">
        <v>108487.99259475937</v>
      </c>
      <c r="J28" s="197">
        <v>45367.705994172102</v>
      </c>
      <c r="K28" s="197">
        <v>0</v>
      </c>
      <c r="L28" s="197">
        <v>0</v>
      </c>
      <c r="M28" s="197">
        <v>0</v>
      </c>
      <c r="N28" s="197">
        <v>33532.652256561989</v>
      </c>
      <c r="O28" s="197">
        <v>0</v>
      </c>
      <c r="P28" s="197">
        <v>0</v>
      </c>
      <c r="Q28" s="197">
        <v>0</v>
      </c>
      <c r="R28" s="197">
        <v>99840</v>
      </c>
      <c r="S28" s="197">
        <v>95040</v>
      </c>
      <c r="T28" s="197">
        <v>0</v>
      </c>
      <c r="U28" s="197">
        <v>0</v>
      </c>
      <c r="V28" s="197">
        <v>0</v>
      </c>
      <c r="W28" s="197">
        <v>0</v>
      </c>
      <c r="X28" s="197">
        <v>0</v>
      </c>
      <c r="Y28" s="39">
        <f t="shared" si="19"/>
        <v>3047127.9507640372</v>
      </c>
      <c r="Z28" s="41">
        <f>SUM(D28,Y28)</f>
        <v>12244633.950764038</v>
      </c>
      <c r="AA28" s="39">
        <f t="shared" si="20"/>
        <v>0</v>
      </c>
      <c r="AB28" s="41">
        <f>SUM(Z28:AA28)</f>
        <v>12244633.950764038</v>
      </c>
      <c r="AC28" s="65"/>
    </row>
    <row r="29" spans="1:29" x14ac:dyDescent="0.2">
      <c r="A29" s="30">
        <f t="shared" si="4"/>
        <v>21</v>
      </c>
      <c r="B29" s="30" t="s">
        <v>162</v>
      </c>
      <c r="C29" s="197">
        <v>304663250.96648341</v>
      </c>
      <c r="D29" s="197">
        <v>3261600.3902987121</v>
      </c>
      <c r="E29" s="197">
        <v>0</v>
      </c>
      <c r="F29" s="197">
        <v>0</v>
      </c>
      <c r="G29" s="197">
        <v>0</v>
      </c>
      <c r="H29" s="197">
        <v>1289030.2148391914</v>
      </c>
      <c r="I29" s="197">
        <v>187063.2360934208</v>
      </c>
      <c r="J29" s="197">
        <v>19803.11131282142</v>
      </c>
      <c r="K29" s="197">
        <v>0</v>
      </c>
      <c r="L29" s="197">
        <v>0</v>
      </c>
      <c r="M29" s="197">
        <v>0</v>
      </c>
      <c r="N29" s="197">
        <v>156901.57424773899</v>
      </c>
      <c r="O29" s="197">
        <v>0</v>
      </c>
      <c r="P29" s="197">
        <v>0</v>
      </c>
      <c r="Q29" s="197">
        <v>0</v>
      </c>
      <c r="R29" s="197">
        <v>472532.7022490158</v>
      </c>
      <c r="S29" s="197">
        <v>449073.63192459656</v>
      </c>
      <c r="T29" s="197">
        <v>0</v>
      </c>
      <c r="U29" s="197">
        <v>0</v>
      </c>
      <c r="V29" s="197">
        <v>367423.880665579</v>
      </c>
      <c r="W29" s="197">
        <v>0</v>
      </c>
      <c r="X29" s="197">
        <v>0</v>
      </c>
      <c r="Y29" s="39">
        <f t="shared" si="19"/>
        <v>2941828.3513323641</v>
      </c>
      <c r="Z29" s="41">
        <f>SUM(D29,Y29)</f>
        <v>6203428.7416310757</v>
      </c>
      <c r="AA29" s="39">
        <f t="shared" si="20"/>
        <v>0</v>
      </c>
      <c r="AB29" s="41">
        <f>SUM(Z29:AA29)</f>
        <v>6203428.7416310757</v>
      </c>
      <c r="AC29" s="65"/>
    </row>
    <row r="30" spans="1:29" x14ac:dyDescent="0.2">
      <c r="A30" s="30">
        <f t="shared" si="4"/>
        <v>22</v>
      </c>
      <c r="B30" s="10"/>
      <c r="C30" s="12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65"/>
    </row>
    <row r="31" spans="1:29" ht="12" thickBot="1" x14ac:dyDescent="0.25">
      <c r="A31" s="30">
        <f t="shared" si="4"/>
        <v>23</v>
      </c>
      <c r="B31" s="36" t="s">
        <v>187</v>
      </c>
      <c r="C31" s="9">
        <f t="shared" ref="C31:AB31" si="21">SUM(C10,C16,C21,C25,C27,C28,C29)</f>
        <v>23410688226.066017</v>
      </c>
      <c r="D31" s="9">
        <f t="shared" si="21"/>
        <v>2101057468.8204653</v>
      </c>
      <c r="E31" s="9">
        <f t="shared" si="21"/>
        <v>71175053.438337296</v>
      </c>
      <c r="F31" s="9">
        <f t="shared" si="21"/>
        <v>160481589.69096443</v>
      </c>
      <c r="G31" s="9">
        <f t="shared" si="21"/>
        <v>0</v>
      </c>
      <c r="H31" s="9">
        <f t="shared" si="21"/>
        <v>100673616.62263998</v>
      </c>
      <c r="I31" s="9">
        <f t="shared" si="21"/>
        <v>28209777.306646794</v>
      </c>
      <c r="J31" s="9">
        <f t="shared" si="21"/>
        <v>11933823.416783944</v>
      </c>
      <c r="K31" s="9">
        <f t="shared" si="21"/>
        <v>141881.76143681051</v>
      </c>
      <c r="L31" s="9">
        <f t="shared" si="21"/>
        <v>3260827.6594630815</v>
      </c>
      <c r="M31" s="9">
        <f t="shared" si="21"/>
        <v>-1521860.8771169961</v>
      </c>
      <c r="N31" s="9">
        <f t="shared" si="21"/>
        <v>48279868.59273383</v>
      </c>
      <c r="O31" s="9">
        <f t="shared" si="21"/>
        <v>34386822.364807673</v>
      </c>
      <c r="P31" s="9">
        <f t="shared" si="21"/>
        <v>23397340.159678534</v>
      </c>
      <c r="Q31" s="9">
        <f t="shared" si="21"/>
        <v>52464422.079088353</v>
      </c>
      <c r="R31" s="9">
        <f t="shared" si="21"/>
        <v>159722555.25193372</v>
      </c>
      <c r="S31" s="9">
        <f t="shared" si="21"/>
        <v>151866113.78001943</v>
      </c>
      <c r="T31" s="9">
        <f t="shared" si="21"/>
        <v>6227910.5242302921</v>
      </c>
      <c r="U31" s="9">
        <f t="shared" si="21"/>
        <v>0</v>
      </c>
      <c r="V31" s="9">
        <f t="shared" si="21"/>
        <v>-30761406.997507483</v>
      </c>
      <c r="W31" s="9">
        <f t="shared" si="21"/>
        <v>0</v>
      </c>
      <c r="X31" s="9">
        <f t="shared" si="21"/>
        <v>-87761665.272465587</v>
      </c>
      <c r="Y31" s="42">
        <f t="shared" si="21"/>
        <v>732176669.50167394</v>
      </c>
      <c r="Z31" s="42">
        <f t="shared" si="21"/>
        <v>2833234138.3221393</v>
      </c>
      <c r="AA31" s="42">
        <f t="shared" si="21"/>
        <v>-6227910.5242302921</v>
      </c>
      <c r="AB31" s="42">
        <f t="shared" si="21"/>
        <v>2827006227.7979093</v>
      </c>
      <c r="AC31" s="65"/>
    </row>
    <row r="32" spans="1:29" ht="12" thickTop="1" x14ac:dyDescent="0.2">
      <c r="A32" s="30">
        <f t="shared" si="4"/>
        <v>24</v>
      </c>
      <c r="B32" s="10"/>
      <c r="C32" s="7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65"/>
    </row>
    <row r="33" spans="1:29" x14ac:dyDescent="0.2">
      <c r="A33" s="30">
        <f t="shared" si="4"/>
        <v>25</v>
      </c>
      <c r="B33" s="30">
        <v>5</v>
      </c>
      <c r="C33" s="233">
        <v>6739048.8092775671</v>
      </c>
      <c r="D33" s="233">
        <v>308263.23810508661</v>
      </c>
      <c r="E33" s="233">
        <v>21854.735288487147</v>
      </c>
      <c r="F33" s="233">
        <v>53871.956181364869</v>
      </c>
      <c r="G33" s="233">
        <v>0</v>
      </c>
      <c r="H33" s="233">
        <v>0</v>
      </c>
      <c r="I33" s="233">
        <v>0</v>
      </c>
      <c r="J33" s="233">
        <v>0</v>
      </c>
      <c r="K33" s="233">
        <v>40.434292855665404</v>
      </c>
      <c r="L33" s="233">
        <v>0</v>
      </c>
      <c r="M33" s="233">
        <v>0</v>
      </c>
      <c r="N33" s="233">
        <v>0</v>
      </c>
      <c r="O33" s="233">
        <v>11941.594490039848</v>
      </c>
      <c r="P33" s="233">
        <v>6294.964186756044</v>
      </c>
      <c r="Q33" s="233">
        <v>14866.341673266314</v>
      </c>
      <c r="R33" s="233">
        <v>37223.796239913732</v>
      </c>
      <c r="S33" s="233">
        <v>35404.064170802209</v>
      </c>
      <c r="T33" s="233">
        <v>0</v>
      </c>
      <c r="U33" s="233">
        <v>0</v>
      </c>
      <c r="V33" s="233">
        <v>0</v>
      </c>
      <c r="W33" s="233">
        <v>0</v>
      </c>
      <c r="X33" s="233">
        <v>0</v>
      </c>
      <c r="Y33" s="38">
        <f>SUM(E33:U33)</f>
        <v>181497.88652348585</v>
      </c>
      <c r="Z33" s="38">
        <f>SUM(D33,Y33)</f>
        <v>489761.12462857249</v>
      </c>
      <c r="AA33" s="38">
        <f>-T33</f>
        <v>0</v>
      </c>
      <c r="AB33" s="38">
        <f t="shared" ref="AB33" si="22">SUM(Z33:AA33)</f>
        <v>489761.12462857249</v>
      </c>
      <c r="AC33" s="65"/>
    </row>
    <row r="34" spans="1:29" x14ac:dyDescent="0.2">
      <c r="A34" s="30">
        <f t="shared" si="4"/>
        <v>26</v>
      </c>
      <c r="B34" s="10"/>
      <c r="C34" s="72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65"/>
    </row>
    <row r="35" spans="1:29" ht="12" thickBot="1" x14ac:dyDescent="0.25">
      <c r="A35" s="30">
        <f t="shared" si="4"/>
        <v>27</v>
      </c>
      <c r="B35" s="36" t="s">
        <v>89</v>
      </c>
      <c r="C35" s="9">
        <f>+C33+C31</f>
        <v>23417427274.875294</v>
      </c>
      <c r="D35" s="42">
        <f>+D33+D31</f>
        <v>2101365732.0585704</v>
      </c>
      <c r="E35" s="42">
        <f t="shared" ref="E35:X35" si="23">+E33+E31</f>
        <v>71196908.173625782</v>
      </c>
      <c r="F35" s="42">
        <f t="shared" si="23"/>
        <v>160535461.64714581</v>
      </c>
      <c r="G35" s="42">
        <f t="shared" si="23"/>
        <v>0</v>
      </c>
      <c r="H35" s="42">
        <f t="shared" si="23"/>
        <v>100673616.62263998</v>
      </c>
      <c r="I35" s="42">
        <f t="shared" si="23"/>
        <v>28209777.306646794</v>
      </c>
      <c r="J35" s="42">
        <f t="shared" si="23"/>
        <v>11933823.416783944</v>
      </c>
      <c r="K35" s="42">
        <f t="shared" si="23"/>
        <v>141922.19572966619</v>
      </c>
      <c r="L35" s="42">
        <f t="shared" si="23"/>
        <v>3260827.6594630815</v>
      </c>
      <c r="M35" s="42">
        <f t="shared" si="23"/>
        <v>-1521860.8771169961</v>
      </c>
      <c r="N35" s="42">
        <f t="shared" si="23"/>
        <v>48279868.59273383</v>
      </c>
      <c r="O35" s="42">
        <f t="shared" si="23"/>
        <v>34398763.959297709</v>
      </c>
      <c r="P35" s="42">
        <f t="shared" si="23"/>
        <v>23403635.123865291</v>
      </c>
      <c r="Q35" s="42">
        <f t="shared" si="23"/>
        <v>52479288.420761622</v>
      </c>
      <c r="R35" s="42">
        <f t="shared" si="23"/>
        <v>159759779.04817364</v>
      </c>
      <c r="S35" s="42">
        <f t="shared" si="23"/>
        <v>151901517.84419024</v>
      </c>
      <c r="T35" s="42">
        <f t="shared" si="23"/>
        <v>6227910.5242302921</v>
      </c>
      <c r="U35" s="42">
        <f t="shared" si="23"/>
        <v>0</v>
      </c>
      <c r="V35" s="42">
        <f t="shared" si="23"/>
        <v>-30761406.997507483</v>
      </c>
      <c r="W35" s="42">
        <f t="shared" si="23"/>
        <v>0</v>
      </c>
      <c r="X35" s="42">
        <f t="shared" si="23"/>
        <v>-87761665.272465587</v>
      </c>
      <c r="Y35" s="42">
        <f>+Y33+Y31</f>
        <v>732358167.38819742</v>
      </c>
      <c r="Z35" s="42">
        <f t="shared" ref="Z35:AA35" si="24">+Z33+Z31</f>
        <v>2833723899.4467678</v>
      </c>
      <c r="AA35" s="42">
        <f t="shared" si="24"/>
        <v>-6227910.5242302921</v>
      </c>
      <c r="AB35" s="42">
        <f>+AB33+AB31</f>
        <v>2827495988.9225378</v>
      </c>
      <c r="AC35" s="65"/>
    </row>
    <row r="36" spans="1:29" ht="12" thickTop="1" x14ac:dyDescent="0.2">
      <c r="A36" s="30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Q36" s="65"/>
      <c r="R36" s="65"/>
      <c r="S36" s="65"/>
      <c r="T36" s="65"/>
      <c r="U36" s="65"/>
      <c r="Y36" s="65"/>
      <c r="Z36" s="65"/>
      <c r="AA36" s="65"/>
      <c r="AB36" s="65"/>
      <c r="AC36" s="65"/>
    </row>
    <row r="37" spans="1:29" x14ac:dyDescent="0.2">
      <c r="A37" s="30"/>
      <c r="B37" s="57" t="s">
        <v>118</v>
      </c>
      <c r="C37" s="74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74">
        <v>0</v>
      </c>
      <c r="U37" s="74">
        <v>0</v>
      </c>
      <c r="V37" s="74">
        <v>0</v>
      </c>
      <c r="W37" s="74">
        <v>0</v>
      </c>
      <c r="X37" s="74">
        <v>0</v>
      </c>
      <c r="Y37" s="74">
        <v>0</v>
      </c>
      <c r="Z37" s="74">
        <v>0</v>
      </c>
      <c r="AA37" s="74"/>
      <c r="AB37" s="65"/>
      <c r="AC37" s="65"/>
    </row>
    <row r="38" spans="1:29" x14ac:dyDescent="0.2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</row>
    <row r="39" spans="1:29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29" x14ac:dyDescent="0.2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8" spans="1:29" x14ac:dyDescent="0.2">
      <c r="F48" s="65"/>
    </row>
  </sheetData>
  <printOptions horizontalCentered="1"/>
  <pageMargins left="0.7" right="0.7" top="0.75" bottom="0.75" header="0.3" footer="0.3"/>
  <pageSetup scale="35" orientation="landscape" r:id="rId1"/>
  <headerFooter alignWithMargins="0">
    <oddFooter>&amp;L&amp;F
&amp;A&amp;RSchedule 95A Filing Eff 1-1-21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workbookViewId="0">
      <selection activeCell="R24" sqref="R24"/>
    </sheetView>
  </sheetViews>
  <sheetFormatPr defaultColWidth="9.140625" defaultRowHeight="11.25" x14ac:dyDescent="0.2"/>
  <cols>
    <col min="1" max="1" width="54" style="81" customWidth="1"/>
    <col min="2" max="2" width="8.42578125" style="81" bestFit="1" customWidth="1"/>
    <col min="3" max="3" width="10" style="81" bestFit="1" customWidth="1"/>
    <col min="4" max="6" width="8.7109375" style="81" bestFit="1" customWidth="1"/>
    <col min="7" max="7" width="7" style="81" bestFit="1" customWidth="1"/>
    <col min="8" max="8" width="8.7109375" style="81" bestFit="1" customWidth="1"/>
    <col min="9" max="9" width="7" style="81" bestFit="1" customWidth="1"/>
    <col min="10" max="10" width="10.85546875" style="81" customWidth="1"/>
    <col min="11" max="11" width="10.7109375" style="81" customWidth="1"/>
    <col min="12" max="13" width="7.85546875" style="81" bestFit="1" customWidth="1"/>
    <col min="14" max="15" width="7" style="81" bestFit="1" customWidth="1"/>
    <col min="16" max="16" width="9.5703125" style="81" bestFit="1" customWidth="1"/>
    <col min="17" max="17" width="9.42578125" style="81" bestFit="1" customWidth="1"/>
    <col min="18" max="18" width="9.5703125" style="81" bestFit="1" customWidth="1"/>
    <col min="19" max="19" width="7.85546875" style="81" bestFit="1" customWidth="1"/>
    <col min="20" max="20" width="10" style="81" bestFit="1" customWidth="1"/>
    <col min="21" max="16384" width="9.140625" style="81"/>
  </cols>
  <sheetData>
    <row r="1" spans="1:20" ht="23.25" thickBot="1" x14ac:dyDescent="0.25">
      <c r="B1" s="209"/>
      <c r="C1" s="209"/>
      <c r="D1" s="209"/>
      <c r="E1" s="209"/>
      <c r="F1" s="209"/>
      <c r="G1" s="209"/>
      <c r="H1" s="209"/>
      <c r="I1" s="209"/>
      <c r="J1" s="215"/>
      <c r="K1" s="215"/>
      <c r="L1" s="209"/>
      <c r="M1" s="274" t="s">
        <v>163</v>
      </c>
      <c r="N1" s="275"/>
      <c r="O1" s="86" t="s">
        <v>165</v>
      </c>
      <c r="P1" s="272" t="s">
        <v>164</v>
      </c>
      <c r="Q1" s="273"/>
      <c r="R1" s="273"/>
      <c r="S1" s="86" t="s">
        <v>162</v>
      </c>
    </row>
    <row r="2" spans="1:20" s="80" customFormat="1" x14ac:dyDescent="0.2">
      <c r="A2" s="80" t="s">
        <v>125</v>
      </c>
      <c r="B2" s="208" t="s">
        <v>126</v>
      </c>
      <c r="C2" s="208" t="s">
        <v>127</v>
      </c>
      <c r="D2" s="208" t="s">
        <v>128</v>
      </c>
      <c r="E2" s="208" t="s">
        <v>129</v>
      </c>
      <c r="F2" s="208" t="s">
        <v>130</v>
      </c>
      <c r="G2" s="208" t="s">
        <v>131</v>
      </c>
      <c r="H2" s="208" t="s">
        <v>132</v>
      </c>
      <c r="I2" s="208" t="s">
        <v>133</v>
      </c>
      <c r="J2" s="216" t="s">
        <v>134</v>
      </c>
      <c r="K2" s="216" t="s">
        <v>135</v>
      </c>
      <c r="L2" s="208" t="s">
        <v>136</v>
      </c>
      <c r="M2" s="217" t="s">
        <v>137</v>
      </c>
      <c r="N2" s="218" t="s">
        <v>138</v>
      </c>
      <c r="O2" s="87" t="s">
        <v>139</v>
      </c>
      <c r="P2" s="92" t="s">
        <v>140</v>
      </c>
      <c r="Q2" s="102" t="s">
        <v>141</v>
      </c>
      <c r="R2" s="93" t="s">
        <v>142</v>
      </c>
      <c r="S2" s="107" t="s">
        <v>143</v>
      </c>
      <c r="T2" s="80" t="s">
        <v>144</v>
      </c>
    </row>
    <row r="3" spans="1:20" x14ac:dyDescent="0.2">
      <c r="A3" s="81" t="s">
        <v>145</v>
      </c>
      <c r="B3" s="209" t="s">
        <v>146</v>
      </c>
      <c r="C3" s="210">
        <f>'2022 GRC Load Research - NCP'!C2</f>
        <v>2087281.596177585</v>
      </c>
      <c r="D3" s="210">
        <f>'2022 GRC Load Research - NCP'!D2</f>
        <v>439014.97368917638</v>
      </c>
      <c r="E3" s="210">
        <f>'2022 GRC Load Research - NCP'!E2</f>
        <v>488898.99827733717</v>
      </c>
      <c r="F3" s="210">
        <f>'2022 GRC Load Research - NCP'!F2</f>
        <v>320836.84517965955</v>
      </c>
      <c r="G3" s="210">
        <f>'2022 GRC Load Research - NCP'!G2</f>
        <v>8214.2841962024177</v>
      </c>
      <c r="H3" s="210">
        <f>'2022 GRC Load Research - NCP'!H2</f>
        <v>222186.30105248999</v>
      </c>
      <c r="I3" s="210">
        <f>'2022 GRC Load Research - NCP'!I2</f>
        <v>1531.797695616666</v>
      </c>
      <c r="J3" s="219">
        <f>'2022 GRC Load Research - NCP'!J2</f>
        <v>10304.680093691752</v>
      </c>
      <c r="K3" s="219">
        <f>'2022 GRC Load Research - NCP'!K2</f>
        <v>20210.935440219702</v>
      </c>
      <c r="L3" s="210">
        <f>'2022 GRC Load Research - NCP'!L2</f>
        <v>74027.064431777457</v>
      </c>
      <c r="M3" s="220">
        <f>'2022 GRC Load Research - NCP'!M2</f>
        <v>16112.776646952683</v>
      </c>
      <c r="N3" s="221">
        <f>'2022 GRC Load Research - NCP'!N2</f>
        <v>1557.3076735881295</v>
      </c>
      <c r="O3" s="88">
        <f>'2022 GRC Load Research - NCP'!O2</f>
        <v>644.06821724657721</v>
      </c>
      <c r="P3" s="94">
        <f>'2022 GRC Load Research - NCP'!P2</f>
        <v>208573.20076600311</v>
      </c>
      <c r="Q3" s="103">
        <f>'2022 GRC Load Research - NCP'!Q2</f>
        <v>2847.0212996986802</v>
      </c>
      <c r="R3" s="95">
        <f>'2022 GRC Load Research - NCP'!R2</f>
        <v>40582.123641423117</v>
      </c>
      <c r="S3" s="88">
        <f>'2022 GRC Load Research - NCP'!S2</f>
        <v>45651.924503561495</v>
      </c>
      <c r="T3" s="82">
        <f>'2022 GRC Load Research - NCP'!T2</f>
        <v>3414000</v>
      </c>
    </row>
    <row r="4" spans="1:20" x14ac:dyDescent="0.2">
      <c r="A4" s="81" t="s">
        <v>147</v>
      </c>
      <c r="B4" s="209" t="s">
        <v>146</v>
      </c>
      <c r="C4" s="210">
        <f>'2022 GRC Load Research - NCP'!C3</f>
        <v>2046287.0634689757</v>
      </c>
      <c r="D4" s="210">
        <f>'2022 GRC Load Research - NCP'!D3</f>
        <v>425282.53137800674</v>
      </c>
      <c r="E4" s="210">
        <f>'2022 GRC Load Research - NCP'!E3</f>
        <v>498187.58124620002</v>
      </c>
      <c r="F4" s="210">
        <f>'2022 GRC Load Research - NCP'!F3</f>
        <v>307514.53308364749</v>
      </c>
      <c r="G4" s="210">
        <f>'2022 GRC Load Research - NCP'!G3</f>
        <v>7825.8739007479044</v>
      </c>
      <c r="H4" s="210">
        <f>'2022 GRC Load Research - NCP'!H3</f>
        <v>220922.84938425315</v>
      </c>
      <c r="I4" s="210">
        <f>'2022 GRC Load Research - NCP'!I3</f>
        <v>1503.7919218269435</v>
      </c>
      <c r="J4" s="219">
        <f>'2022 GRC Load Research - NCP'!J3</f>
        <v>12888.939769993873</v>
      </c>
      <c r="K4" s="219">
        <f>'2022 GRC Load Research - NCP'!K3</f>
        <v>20018.834844736728</v>
      </c>
      <c r="L4" s="210">
        <f>'2022 GRC Load Research - NCP'!L3</f>
        <v>74425.014521139397</v>
      </c>
      <c r="M4" s="220">
        <f>'2022 GRC Load Research - NCP'!M3</f>
        <v>16112.776646952683</v>
      </c>
      <c r="N4" s="221">
        <f>'2022 GRC Load Research - NCP'!N3</f>
        <v>1557.3076735881295</v>
      </c>
      <c r="O4" s="88">
        <f>'2022 GRC Load Research - NCP'!O3</f>
        <v>637.00645692649539</v>
      </c>
      <c r="P4" s="94">
        <f>'2022 GRC Load Research - NCP'!P3</f>
        <v>209998.72183225755</v>
      </c>
      <c r="Q4" s="103">
        <f>'2022 GRC Load Research - NCP'!Q3</f>
        <v>2943.7455248513916</v>
      </c>
      <c r="R4" s="95">
        <f>'2022 GRC Load Research - NCP'!R3</f>
        <v>40657.359600358715</v>
      </c>
      <c r="S4" s="88">
        <f>'2022 GRC Load Research - NCP'!S3</f>
        <v>44039.400644464447</v>
      </c>
      <c r="T4" s="82">
        <f>'2022 GRC Load Research - NCP'!T3</f>
        <v>3361000</v>
      </c>
    </row>
    <row r="5" spans="1:20" x14ac:dyDescent="0.2">
      <c r="A5" s="81" t="s">
        <v>148</v>
      </c>
      <c r="B5" s="209" t="s">
        <v>146</v>
      </c>
      <c r="C5" s="210">
        <f>'2022 GRC Load Research - NCP'!C4</f>
        <v>1804022.0537038089</v>
      </c>
      <c r="D5" s="210">
        <f>'2022 GRC Load Research - NCP'!D4</f>
        <v>407777.05024818348</v>
      </c>
      <c r="E5" s="210">
        <f>'2022 GRC Load Research - NCP'!E4</f>
        <v>515999.84028456517</v>
      </c>
      <c r="F5" s="210">
        <f>'2022 GRC Load Research - NCP'!F4</f>
        <v>302300.4025045085</v>
      </c>
      <c r="G5" s="210">
        <f>'2022 GRC Load Research - NCP'!G4</f>
        <v>5546.4726596409737</v>
      </c>
      <c r="H5" s="210">
        <f>'2022 GRC Load Research - NCP'!H4</f>
        <v>212767.30826436865</v>
      </c>
      <c r="I5" s="210">
        <f>'2022 GRC Load Research - NCP'!I4</f>
        <v>1265.8211562446504</v>
      </c>
      <c r="J5" s="219">
        <f>'2022 GRC Load Research - NCP'!J4</f>
        <v>18459.086518457458</v>
      </c>
      <c r="K5" s="219">
        <f>'2022 GRC Load Research - NCP'!K4</f>
        <v>20024.502147921092</v>
      </c>
      <c r="L5" s="210">
        <f>'2022 GRC Load Research - NCP'!L4</f>
        <v>73885.990015239659</v>
      </c>
      <c r="M5" s="220">
        <f>'2022 GRC Load Research - NCP'!M4</f>
        <v>16112.776646952683</v>
      </c>
      <c r="N5" s="221">
        <f>'2022 GRC Load Research - NCP'!N4</f>
        <v>1557.3076735881295</v>
      </c>
      <c r="O5" s="88">
        <f>'2022 GRC Load Research - NCP'!O4</f>
        <v>650.7522311008006</v>
      </c>
      <c r="P5" s="94">
        <f>'2022 GRC Load Research - NCP'!P4</f>
        <v>207389.58970005956</v>
      </c>
      <c r="Q5" s="103">
        <f>'2022 GRC Load Research - NCP'!Q4</f>
        <v>2813.4062834826223</v>
      </c>
      <c r="R5" s="95">
        <f>'2022 GRC Load Research - NCP'!R4</f>
        <v>38510.562809853349</v>
      </c>
      <c r="S5" s="88">
        <f>'2022 GRC Load Research - NCP'!S4</f>
        <v>41336.582768715336</v>
      </c>
      <c r="T5" s="82">
        <f>'2022 GRC Load Research - NCP'!T4</f>
        <v>3124000</v>
      </c>
    </row>
    <row r="6" spans="1:20" x14ac:dyDescent="0.2">
      <c r="A6" s="81" t="s">
        <v>149</v>
      </c>
      <c r="B6" s="209" t="s">
        <v>146</v>
      </c>
      <c r="C6" s="210">
        <f>'2022 GRC Load Research - NCP'!C5</f>
        <v>2092990.5401669464</v>
      </c>
      <c r="D6" s="210">
        <f>'2022 GRC Load Research - NCP'!D5</f>
        <v>497715.72571607016</v>
      </c>
      <c r="E6" s="210">
        <f>'2022 GRC Load Research - NCP'!E5</f>
        <v>528847.48858373496</v>
      </c>
      <c r="F6" s="210">
        <f>'2022 GRC Load Research - NCP'!F5</f>
        <v>273709.67957035219</v>
      </c>
      <c r="G6" s="210">
        <f>'2022 GRC Load Research - NCP'!G5</f>
        <v>1549.6267376000044</v>
      </c>
      <c r="H6" s="210">
        <f>'2022 GRC Load Research - NCP'!H5</f>
        <v>212014.06551014649</v>
      </c>
      <c r="I6" s="210">
        <f>'2022 GRC Load Research - NCP'!I5</f>
        <v>782.62521807703445</v>
      </c>
      <c r="J6" s="219">
        <f>'2022 GRC Load Research - NCP'!J5</f>
        <v>37153.818660675461</v>
      </c>
      <c r="K6" s="219">
        <f>'2022 GRC Load Research - NCP'!K5</f>
        <v>19565.504574004535</v>
      </c>
      <c r="L6" s="210">
        <f>'2022 GRC Load Research - NCP'!L5</f>
        <v>71197.392382620877</v>
      </c>
      <c r="M6" s="220">
        <f>'2022 GRC Load Research - NCP'!M5</f>
        <v>16112.776646952683</v>
      </c>
      <c r="N6" s="221">
        <f>'2022 GRC Load Research - NCP'!N5</f>
        <v>1557.3076735881295</v>
      </c>
      <c r="O6" s="88">
        <f>'2022 GRC Load Research - NCP'!O5</f>
        <v>1368.3026289142915</v>
      </c>
      <c r="P6" s="94">
        <f>'2022 GRC Load Research - NCP'!P5</f>
        <v>204329.08878316308</v>
      </c>
      <c r="Q6" s="103">
        <f>'2022 GRC Load Research - NCP'!Q5</f>
        <v>2944.5405722308715</v>
      </c>
      <c r="R6" s="95">
        <f>'2022 GRC Load Research - NCP'!R5</f>
        <v>37613.219101983879</v>
      </c>
      <c r="S6" s="88">
        <f>'2022 GRC Load Research - NCP'!S5</f>
        <v>46979.344631272543</v>
      </c>
      <c r="T6" s="82">
        <f>'2022 GRC Load Research - NCP'!T5</f>
        <v>3463000</v>
      </c>
    </row>
    <row r="7" spans="1:20" x14ac:dyDescent="0.2">
      <c r="A7" s="81" t="s">
        <v>150</v>
      </c>
      <c r="B7" s="209" t="s">
        <v>146</v>
      </c>
      <c r="C7" s="210">
        <f>'2022 GRC Load Research - NCP'!C6</f>
        <v>2317772.7457320043</v>
      </c>
      <c r="D7" s="210">
        <f>'2022 GRC Load Research - NCP'!D6</f>
        <v>511456.46726271161</v>
      </c>
      <c r="E7" s="210">
        <f>'2022 GRC Load Research - NCP'!E6</f>
        <v>550774.65981149464</v>
      </c>
      <c r="F7" s="210">
        <f>'2022 GRC Load Research - NCP'!F6</f>
        <v>272538.45720258215</v>
      </c>
      <c r="G7" s="210">
        <f>'2022 GRC Load Research - NCP'!G6</f>
        <v>967.69016952306038</v>
      </c>
      <c r="H7" s="210">
        <f>'2022 GRC Load Research - NCP'!H6</f>
        <v>208631.8867612984</v>
      </c>
      <c r="I7" s="210">
        <f>'2022 GRC Load Research - NCP'!I6</f>
        <v>9.8873491384853285</v>
      </c>
      <c r="J7" s="219">
        <f>'2022 GRC Load Research - NCP'!J6</f>
        <v>41804.423072175472</v>
      </c>
      <c r="K7" s="219">
        <f>'2022 GRC Load Research - NCP'!K6</f>
        <v>20178.050006968395</v>
      </c>
      <c r="L7" s="210">
        <f>'2022 GRC Load Research - NCP'!L6</f>
        <v>71458.184385869201</v>
      </c>
      <c r="M7" s="220">
        <f>'2022 GRC Load Research - NCP'!M6</f>
        <v>16112.776646952683</v>
      </c>
      <c r="N7" s="221">
        <f>'2022 GRC Load Research - NCP'!N6</f>
        <v>1557.3076735881295</v>
      </c>
      <c r="O7" s="88">
        <f>'2022 GRC Load Research - NCP'!O6</f>
        <v>1623.7326905365112</v>
      </c>
      <c r="P7" s="94">
        <f>'2022 GRC Load Research - NCP'!P6</f>
        <v>207212.84678308776</v>
      </c>
      <c r="Q7" s="103">
        <f>'2022 GRC Load Research - NCP'!Q6</f>
        <v>3684.0471808156658</v>
      </c>
      <c r="R7" s="95">
        <f>'2022 GRC Load Research - NCP'!R6</f>
        <v>37035.68875427029</v>
      </c>
      <c r="S7" s="88">
        <f>'2022 GRC Load Research - NCP'!S6</f>
        <v>49863.643728035837</v>
      </c>
      <c r="T7" s="82">
        <f>'2022 GRC Load Research - NCP'!T6</f>
        <v>3691000</v>
      </c>
    </row>
    <row r="8" spans="1:20" x14ac:dyDescent="0.2">
      <c r="A8" s="81" t="s">
        <v>151</v>
      </c>
      <c r="B8" s="209" t="s">
        <v>146</v>
      </c>
      <c r="C8" s="210">
        <f>'2022 GRC Load Research - NCP'!C7</f>
        <v>2632803.5355816404</v>
      </c>
      <c r="D8" s="210">
        <f>'2022 GRC Load Research - NCP'!D7</f>
        <v>524380.79578742443</v>
      </c>
      <c r="E8" s="210">
        <f>'2022 GRC Load Research - NCP'!E7</f>
        <v>543175.10953058384</v>
      </c>
      <c r="F8" s="210">
        <f>'2022 GRC Load Research - NCP'!F7</f>
        <v>273359.2364270275</v>
      </c>
      <c r="G8" s="210">
        <f>'2022 GRC Load Research - NCP'!G7</f>
        <v>898.93058284353197</v>
      </c>
      <c r="H8" s="210">
        <f>'2022 GRC Load Research - NCP'!H7</f>
        <v>215700.30096996771</v>
      </c>
      <c r="I8" s="210">
        <f>'2022 GRC Load Research - NCP'!I7</f>
        <v>10.743981037038631</v>
      </c>
      <c r="J8" s="219">
        <f>'2022 GRC Load Research - NCP'!J7</f>
        <v>41685.167947530128</v>
      </c>
      <c r="K8" s="219">
        <f>'2022 GRC Load Research - NCP'!K7</f>
        <v>17252.599103717919</v>
      </c>
      <c r="L8" s="210">
        <f>'2022 GRC Load Research - NCP'!L7</f>
        <v>69436.232116018436</v>
      </c>
      <c r="M8" s="220">
        <f>'2022 GRC Load Research - NCP'!M7</f>
        <v>16112.776646952683</v>
      </c>
      <c r="N8" s="221">
        <f>'2022 GRC Load Research - NCP'!N7</f>
        <v>1557.3076735881295</v>
      </c>
      <c r="O8" s="88">
        <f>'2022 GRC Load Research - NCP'!O7</f>
        <v>2191.3387273188437</v>
      </c>
      <c r="P8" s="94">
        <f>'2022 GRC Load Research - NCP'!P7</f>
        <v>206742.90296482164</v>
      </c>
      <c r="Q8" s="103">
        <f>'2022 GRC Load Research - NCP'!Q7</f>
        <v>3890.8813379101575</v>
      </c>
      <c r="R8" s="95">
        <f>'2022 GRC Load Research - NCP'!R7</f>
        <v>35735.713122820547</v>
      </c>
      <c r="S8" s="88">
        <f>'2022 GRC Load Research - NCP'!S7</f>
        <v>51216.212984096739</v>
      </c>
      <c r="T8" s="82">
        <f>'2022 GRC Load Research - NCP'!T7</f>
        <v>3924000</v>
      </c>
    </row>
    <row r="9" spans="1:20" x14ac:dyDescent="0.2">
      <c r="A9" s="81" t="s">
        <v>152</v>
      </c>
      <c r="B9" s="209" t="s">
        <v>146</v>
      </c>
      <c r="C9" s="210">
        <f>'2022 GRC Load Research - NCP'!C8</f>
        <v>2476420.7888545343</v>
      </c>
      <c r="D9" s="210">
        <f>'2022 GRC Load Research - NCP'!D8</f>
        <v>543988.82813451975</v>
      </c>
      <c r="E9" s="210">
        <f>'2022 GRC Load Research - NCP'!E8</f>
        <v>552025.56326648837</v>
      </c>
      <c r="F9" s="210">
        <f>'2022 GRC Load Research - NCP'!F8</f>
        <v>268648.99452109111</v>
      </c>
      <c r="G9" s="210">
        <f>'2022 GRC Load Research - NCP'!G8</f>
        <v>935.12825204898274</v>
      </c>
      <c r="H9" s="210">
        <f>'2022 GRC Load Research - NCP'!H8</f>
        <v>212041.34423513885</v>
      </c>
      <c r="I9" s="210">
        <f>'2022 GRC Load Research - NCP'!I8</f>
        <v>32.930157050610461</v>
      </c>
      <c r="J9" s="219">
        <f>'2022 GRC Load Research - NCP'!J8</f>
        <v>44315.485181221309</v>
      </c>
      <c r="K9" s="219">
        <f>'2022 GRC Load Research - NCP'!K8</f>
        <v>17217.094936374771</v>
      </c>
      <c r="L9" s="210">
        <f>'2022 GRC Load Research - NCP'!L8</f>
        <v>71517.498194696163</v>
      </c>
      <c r="M9" s="220">
        <f>'2022 GRC Load Research - NCP'!M8</f>
        <v>16112.776646952683</v>
      </c>
      <c r="N9" s="221">
        <f>'2022 GRC Load Research - NCP'!N8</f>
        <v>1557.3076735881295</v>
      </c>
      <c r="O9" s="88">
        <f>'2022 GRC Load Research - NCP'!O8</f>
        <v>1858.7203725813397</v>
      </c>
      <c r="P9" s="94">
        <f>'2022 GRC Load Research - NCP'!P8</f>
        <v>203624.94795945377</v>
      </c>
      <c r="Q9" s="103">
        <f>'2022 GRC Load Research - NCP'!Q8</f>
        <v>3579.4602468386124</v>
      </c>
      <c r="R9" s="95">
        <f>'2022 GRC Load Research - NCP'!R8</f>
        <v>35790.160760607658</v>
      </c>
      <c r="S9" s="88">
        <f>'2022 GRC Load Research - NCP'!S8</f>
        <v>48821.36663037278</v>
      </c>
      <c r="T9" s="82">
        <f>'2022 GRC Load Research - NCP'!T8</f>
        <v>3833000</v>
      </c>
    </row>
    <row r="10" spans="1:20" x14ac:dyDescent="0.2">
      <c r="A10" s="81" t="s">
        <v>153</v>
      </c>
      <c r="B10" s="209" t="s">
        <v>146</v>
      </c>
      <c r="C10" s="210">
        <f>'2022 GRC Load Research - NCP'!C9</f>
        <v>2778468.0619862978</v>
      </c>
      <c r="D10" s="210">
        <f>'2022 GRC Load Research - NCP'!D9</f>
        <v>563963.56773502938</v>
      </c>
      <c r="E10" s="210">
        <f>'2022 GRC Load Research - NCP'!E9</f>
        <v>567744.9147070524</v>
      </c>
      <c r="F10" s="210">
        <f>'2022 GRC Load Research - NCP'!F9</f>
        <v>269439.02975479898</v>
      </c>
      <c r="G10" s="210">
        <f>'2022 GRC Load Research - NCP'!G9</f>
        <v>1048.8531486527611</v>
      </c>
      <c r="H10" s="210">
        <f>'2022 GRC Load Research - NCP'!H9</f>
        <v>220629.71973829615</v>
      </c>
      <c r="I10" s="210">
        <f>'2022 GRC Load Research - NCP'!I9</f>
        <v>40.11315163086924</v>
      </c>
      <c r="J10" s="219">
        <f>'2022 GRC Load Research - NCP'!J9</f>
        <v>44395.647893080895</v>
      </c>
      <c r="K10" s="219">
        <f>'2022 GRC Load Research - NCP'!K9</f>
        <v>14700.293872245211</v>
      </c>
      <c r="L10" s="210">
        <f>'2022 GRC Load Research - NCP'!L9</f>
        <v>71367.760712052404</v>
      </c>
      <c r="M10" s="220">
        <f>'2022 GRC Load Research - NCP'!M9</f>
        <v>16112.776646952683</v>
      </c>
      <c r="N10" s="221">
        <f>'2022 GRC Load Research - NCP'!N9</f>
        <v>1557.3076735881295</v>
      </c>
      <c r="O10" s="88">
        <f>'2022 GRC Load Research - NCP'!O9</f>
        <v>1851.8726685919112</v>
      </c>
      <c r="P10" s="94">
        <f>'2022 GRC Load Research - NCP'!P9</f>
        <v>208961.41979138745</v>
      </c>
      <c r="Q10" s="103">
        <f>'2022 GRC Load Research - NCP'!Q9</f>
        <v>4487.5251601057689</v>
      </c>
      <c r="R10" s="95">
        <f>'2022 GRC Load Research - NCP'!R9</f>
        <v>37455.53083987024</v>
      </c>
      <c r="S10" s="88">
        <f>'2022 GRC Load Research - NCP'!S9</f>
        <v>52138.648308229058</v>
      </c>
      <c r="T10" s="82">
        <f>'2022 GRC Load Research - NCP'!T9</f>
        <v>4182000</v>
      </c>
    </row>
    <row r="11" spans="1:20" x14ac:dyDescent="0.2">
      <c r="A11" s="81" t="s">
        <v>154</v>
      </c>
      <c r="B11" s="209" t="s">
        <v>146</v>
      </c>
      <c r="C11" s="210">
        <f>'2022 GRC Load Research - NCP'!C10</f>
        <v>2210152.8140009041</v>
      </c>
      <c r="D11" s="210">
        <f>'2022 GRC Load Research - NCP'!D10</f>
        <v>540806.57276389538</v>
      </c>
      <c r="E11" s="210">
        <f>'2022 GRC Load Research - NCP'!E10</f>
        <v>558392.68939826125</v>
      </c>
      <c r="F11" s="210">
        <f>'2022 GRC Load Research - NCP'!F10</f>
        <v>266998.17029931978</v>
      </c>
      <c r="G11" s="210">
        <f>'2022 GRC Load Research - NCP'!G10</f>
        <v>1039.4281379180793</v>
      </c>
      <c r="H11" s="210">
        <f>'2022 GRC Load Research - NCP'!H10</f>
        <v>219701.20809829599</v>
      </c>
      <c r="I11" s="210">
        <f>'2022 GRC Load Research - NCP'!I10</f>
        <v>19.050787449904991</v>
      </c>
      <c r="J11" s="219">
        <f>'2022 GRC Load Research - NCP'!J10</f>
        <v>45103.977347222397</v>
      </c>
      <c r="K11" s="219">
        <f>'2022 GRC Load Research - NCP'!K10</f>
        <v>15694.914748197723</v>
      </c>
      <c r="L11" s="210">
        <f>'2022 GRC Load Research - NCP'!L10</f>
        <v>68362.294356116763</v>
      </c>
      <c r="M11" s="220">
        <f>'2022 GRC Load Research - NCP'!M10</f>
        <v>16112.776646952683</v>
      </c>
      <c r="N11" s="221">
        <f>'2022 GRC Load Research - NCP'!N10</f>
        <v>1557.3076735881295</v>
      </c>
      <c r="O11" s="88">
        <f>'2022 GRC Load Research - NCP'!O10</f>
        <v>1537.0209892986315</v>
      </c>
      <c r="P11" s="94">
        <f>'2022 GRC Load Research - NCP'!P10</f>
        <v>209512.09467222221</v>
      </c>
      <c r="Q11" s="103">
        <f>'2022 GRC Load Research - NCP'!Q10</f>
        <v>2924.4671746925874</v>
      </c>
      <c r="R11" s="95">
        <f>'2022 GRC Load Research - NCP'!R10</f>
        <v>37751.766196667988</v>
      </c>
      <c r="S11" s="88">
        <f>'2022 GRC Load Research - NCP'!S10</f>
        <v>48299.116634767859</v>
      </c>
      <c r="T11" s="82">
        <f>'2022 GRC Load Research - NCP'!T10</f>
        <v>3697000</v>
      </c>
    </row>
    <row r="12" spans="1:20" x14ac:dyDescent="0.2">
      <c r="A12" s="81" t="s">
        <v>155</v>
      </c>
      <c r="B12" s="209" t="s">
        <v>146</v>
      </c>
      <c r="C12" s="210">
        <f>'2022 GRC Load Research - NCP'!C11</f>
        <v>1965272.5150975229</v>
      </c>
      <c r="D12" s="210">
        <f>'2022 GRC Load Research - NCP'!D11</f>
        <v>476477.44696452882</v>
      </c>
      <c r="E12" s="210">
        <f>'2022 GRC Load Research - NCP'!E11</f>
        <v>512335.06854376761</v>
      </c>
      <c r="F12" s="210">
        <f>'2022 GRC Load Research - NCP'!F11</f>
        <v>264198.82442481071</v>
      </c>
      <c r="G12" s="210">
        <f>'2022 GRC Load Research - NCP'!G11</f>
        <v>2732.9840523544872</v>
      </c>
      <c r="H12" s="210">
        <f>'2022 GRC Load Research - NCP'!H11</f>
        <v>211620.4430916328</v>
      </c>
      <c r="I12" s="210">
        <f>'2022 GRC Load Research - NCP'!I11</f>
        <v>5726.4868616266058</v>
      </c>
      <c r="J12" s="219">
        <f>'2022 GRC Load Research - NCP'!J11</f>
        <v>44270.813950225434</v>
      </c>
      <c r="K12" s="219">
        <f>'2022 GRC Load Research - NCP'!K11</f>
        <v>17961.086357106753</v>
      </c>
      <c r="L12" s="210">
        <f>'2022 GRC Load Research - NCP'!L11</f>
        <v>68102.61121737404</v>
      </c>
      <c r="M12" s="220">
        <f>'2022 GRC Load Research - NCP'!M11</f>
        <v>16112.776646952683</v>
      </c>
      <c r="N12" s="221">
        <f>'2022 GRC Load Research - NCP'!N11</f>
        <v>1557.3076735881295</v>
      </c>
      <c r="O12" s="88">
        <f>'2022 GRC Load Research - NCP'!O11</f>
        <v>1715.5691521612073</v>
      </c>
      <c r="P12" s="94">
        <f>'2022 GRC Load Research - NCP'!P11</f>
        <v>194752.76822589969</v>
      </c>
      <c r="Q12" s="103">
        <f>'2022 GRC Load Research - NCP'!Q11</f>
        <v>2933.156939297402</v>
      </c>
      <c r="R12" s="95">
        <f>'2022 GRC Load Research - NCP'!R11</f>
        <v>38681.614484010526</v>
      </c>
      <c r="S12" s="88">
        <f>'2022 GRC Load Research - NCP'!S11</f>
        <v>45377.730685335395</v>
      </c>
      <c r="T12" s="82">
        <f>'2022 GRC Load Research - NCP'!T11</f>
        <v>3383000</v>
      </c>
    </row>
    <row r="13" spans="1:20" x14ac:dyDescent="0.2">
      <c r="A13" s="81" t="s">
        <v>156</v>
      </c>
      <c r="B13" s="209" t="s">
        <v>146</v>
      </c>
      <c r="C13" s="210">
        <f>'2022 GRC Load Research - NCP'!C12</f>
        <v>1535583.7787791402</v>
      </c>
      <c r="D13" s="210">
        <f>'2022 GRC Load Research - NCP'!D12</f>
        <v>409915.95669724967</v>
      </c>
      <c r="E13" s="210">
        <f>'2022 GRC Load Research - NCP'!E12</f>
        <v>514223.99962331197</v>
      </c>
      <c r="F13" s="210">
        <f>'2022 GRC Load Research - NCP'!F12</f>
        <v>268781.90777653002</v>
      </c>
      <c r="G13" s="210">
        <f>'2022 GRC Load Research - NCP'!G12</f>
        <v>3830.9084720784358</v>
      </c>
      <c r="H13" s="210">
        <f>'2022 GRC Load Research - NCP'!H12</f>
        <v>207968.03347367205</v>
      </c>
      <c r="I13" s="210">
        <f>'2022 GRC Load Research - NCP'!I12</f>
        <v>4341.3254479065772</v>
      </c>
      <c r="J13" s="219">
        <f>'2022 GRC Load Research - NCP'!J12</f>
        <v>30714.224396764093</v>
      </c>
      <c r="K13" s="219">
        <f>'2022 GRC Load Research - NCP'!K12</f>
        <v>20003.062344770904</v>
      </c>
      <c r="L13" s="210">
        <f>'2022 GRC Load Research - NCP'!L12</f>
        <v>69082.547102121564</v>
      </c>
      <c r="M13" s="220">
        <f>'2022 GRC Load Research - NCP'!M12</f>
        <v>16112.776646952683</v>
      </c>
      <c r="N13" s="221">
        <f>'2022 GRC Load Research - NCP'!N12</f>
        <v>1557.3076735881295</v>
      </c>
      <c r="O13" s="88">
        <f>'2022 GRC Load Research - NCP'!O12</f>
        <v>1023.8524154295012</v>
      </c>
      <c r="P13" s="94">
        <f>'2022 GRC Load Research - NCP'!P12</f>
        <v>213276.44601702661</v>
      </c>
      <c r="Q13" s="103">
        <f>'2022 GRC Load Research - NCP'!Q12</f>
        <v>2307.5176359192319</v>
      </c>
      <c r="R13" s="95">
        <f>'2022 GRC Load Research - NCP'!R12</f>
        <v>39176.033260102638</v>
      </c>
      <c r="S13" s="88">
        <f>'2022 GRC Load Research - NCP'!S12</f>
        <v>37458.035585174024</v>
      </c>
      <c r="T13" s="82">
        <f>'2022 GRC Load Research - NCP'!T12</f>
        <v>2697000</v>
      </c>
    </row>
    <row r="14" spans="1:20" x14ac:dyDescent="0.2">
      <c r="A14" s="81" t="s">
        <v>157</v>
      </c>
      <c r="B14" s="209" t="s">
        <v>146</v>
      </c>
      <c r="C14" s="210">
        <f>'2022 GRC Load Research - NCP'!C13</f>
        <v>2500282.6908040401</v>
      </c>
      <c r="D14" s="210">
        <f>'2022 GRC Load Research - NCP'!D13</f>
        <v>501601.8616561158</v>
      </c>
      <c r="E14" s="210">
        <f>'2022 GRC Load Research - NCP'!E13</f>
        <v>572546.65374837222</v>
      </c>
      <c r="F14" s="210">
        <f>'2022 GRC Load Research - NCP'!F13</f>
        <v>327011.85126904596</v>
      </c>
      <c r="G14" s="210">
        <f>'2022 GRC Load Research - NCP'!G13</f>
        <v>8075.5122747944479</v>
      </c>
      <c r="H14" s="210">
        <f>'2022 GRC Load Research - NCP'!H13</f>
        <v>211415.70262857713</v>
      </c>
      <c r="I14" s="210">
        <f>'2022 GRC Load Research - NCP'!I13</f>
        <v>6140.3830179955021</v>
      </c>
      <c r="J14" s="219">
        <f>'2022 GRC Load Research - NCP'!J13</f>
        <v>26345.963974455532</v>
      </c>
      <c r="K14" s="219">
        <f>'2022 GRC Load Research - NCP'!K13</f>
        <v>15833.386806664195</v>
      </c>
      <c r="L14" s="210">
        <f>'2022 GRC Load Research - NCP'!L13</f>
        <v>71103.766427451643</v>
      </c>
      <c r="M14" s="220">
        <f>'2022 GRC Load Research - NCP'!M13</f>
        <v>16112.776646952683</v>
      </c>
      <c r="N14" s="221">
        <f>'2022 GRC Load Research - NCP'!N13</f>
        <v>1557.3076735881295</v>
      </c>
      <c r="O14" s="88">
        <f>'2022 GRC Load Research - NCP'!O13</f>
        <v>766.14957923769862</v>
      </c>
      <c r="P14" s="94">
        <f>'2022 GRC Load Research - NCP'!P13</f>
        <v>215859.39618734081</v>
      </c>
      <c r="Q14" s="103">
        <f>'2022 GRC Load Research - NCP'!Q13</f>
        <v>2734.7482193672749</v>
      </c>
      <c r="R14" s="95">
        <f>'2022 GRC Load Research - NCP'!R13</f>
        <v>40198.672563465741</v>
      </c>
      <c r="S14" s="88">
        <f>'2022 GRC Load Research - NCP'!S13</f>
        <v>52458.845744761362</v>
      </c>
      <c r="T14" s="82">
        <f>'2022 GRC Load Research - NCP'!T13</f>
        <v>4036000</v>
      </c>
    </row>
    <row r="15" spans="1:20" x14ac:dyDescent="0.2">
      <c r="B15" s="209"/>
      <c r="C15" s="209"/>
      <c r="D15" s="209"/>
      <c r="E15" s="209"/>
      <c r="F15" s="209"/>
      <c r="G15" s="209"/>
      <c r="H15" s="209"/>
      <c r="I15" s="209"/>
      <c r="J15" s="222"/>
      <c r="K15" s="222"/>
      <c r="L15" s="209"/>
      <c r="M15" s="223"/>
      <c r="N15" s="224"/>
      <c r="O15" s="89"/>
      <c r="P15" s="96"/>
      <c r="Q15" s="104"/>
      <c r="R15" s="97"/>
      <c r="S15" s="89"/>
    </row>
    <row r="16" spans="1:20" x14ac:dyDescent="0.2">
      <c r="B16" s="209"/>
      <c r="C16" s="209"/>
      <c r="D16" s="209"/>
      <c r="E16" s="209"/>
      <c r="F16" s="209"/>
      <c r="G16" s="209"/>
      <c r="H16" s="209"/>
      <c r="I16" s="209"/>
      <c r="J16" s="222"/>
      <c r="K16" s="222"/>
      <c r="L16" s="209"/>
      <c r="M16" s="223"/>
      <c r="N16" s="224"/>
      <c r="O16" s="89"/>
      <c r="P16" s="96"/>
      <c r="Q16" s="104"/>
      <c r="R16" s="97"/>
      <c r="S16" s="89"/>
    </row>
    <row r="17" spans="1:20" x14ac:dyDescent="0.2">
      <c r="A17" s="83" t="s">
        <v>158</v>
      </c>
      <c r="B17" s="211"/>
      <c r="C17" s="211">
        <f>SUM(C3:C14)/12</f>
        <v>2203944.8486961168</v>
      </c>
      <c r="D17" s="211">
        <f t="shared" ref="D17:S17" si="0">SUM(D3:D14)/12</f>
        <v>486865.14816940925</v>
      </c>
      <c r="E17" s="211">
        <f t="shared" si="0"/>
        <v>533596.0472517641</v>
      </c>
      <c r="F17" s="211">
        <f t="shared" si="0"/>
        <v>284611.49433444784</v>
      </c>
      <c r="G17" s="211">
        <f t="shared" si="0"/>
        <v>3555.4743820337571</v>
      </c>
      <c r="H17" s="211">
        <f t="shared" si="0"/>
        <v>214633.2636006781</v>
      </c>
      <c r="I17" s="211">
        <f t="shared" si="0"/>
        <v>1783.7463954667408</v>
      </c>
      <c r="J17" s="225">
        <f>SUM(J3:J14)/12</f>
        <v>33120.18573379115</v>
      </c>
      <c r="K17" s="225">
        <f t="shared" si="0"/>
        <v>18221.688765243995</v>
      </c>
      <c r="L17" s="211">
        <f t="shared" si="0"/>
        <v>71163.862988539797</v>
      </c>
      <c r="M17" s="226">
        <f t="shared" si="0"/>
        <v>16112.776646952678</v>
      </c>
      <c r="N17" s="227">
        <f t="shared" si="0"/>
        <v>1557.3076735881295</v>
      </c>
      <c r="O17" s="90">
        <f t="shared" si="0"/>
        <v>1322.365510778651</v>
      </c>
      <c r="P17" s="98">
        <f t="shared" si="0"/>
        <v>207519.45197356027</v>
      </c>
      <c r="Q17" s="105">
        <f t="shared" si="0"/>
        <v>3174.2097979341888</v>
      </c>
      <c r="R17" s="99">
        <f t="shared" si="0"/>
        <v>38265.703761286211</v>
      </c>
      <c r="S17" s="90">
        <f t="shared" si="0"/>
        <v>46970.071070732236</v>
      </c>
      <c r="T17" s="84">
        <f>SUM(C17:S17)</f>
        <v>4166417.646752323</v>
      </c>
    </row>
    <row r="18" spans="1:20" x14ac:dyDescent="0.2">
      <c r="A18" s="83" t="s">
        <v>159</v>
      </c>
      <c r="B18" s="212"/>
      <c r="C18" s="211">
        <f>+C17</f>
        <v>2203944.8486961168</v>
      </c>
      <c r="D18" s="211">
        <f t="shared" ref="D18:L18" si="1">+D17</f>
        <v>486865.14816940925</v>
      </c>
      <c r="E18" s="211">
        <f t="shared" si="1"/>
        <v>533596.0472517641</v>
      </c>
      <c r="F18" s="211">
        <f t="shared" si="1"/>
        <v>284611.49433444784</v>
      </c>
      <c r="G18" s="211">
        <f t="shared" si="1"/>
        <v>3555.4743820337571</v>
      </c>
      <c r="H18" s="211">
        <f t="shared" si="1"/>
        <v>214633.2636006781</v>
      </c>
      <c r="I18" s="211">
        <f t="shared" si="1"/>
        <v>1783.7463954667408</v>
      </c>
      <c r="J18" s="211">
        <f t="shared" si="1"/>
        <v>33120.18573379115</v>
      </c>
      <c r="K18" s="211">
        <f t="shared" si="1"/>
        <v>18221.688765243995</v>
      </c>
      <c r="L18" s="211">
        <f t="shared" si="1"/>
        <v>71163.862988539797</v>
      </c>
      <c r="M18" s="226">
        <v>0</v>
      </c>
      <c r="N18" s="227">
        <v>0</v>
      </c>
      <c r="O18" s="90">
        <v>0</v>
      </c>
      <c r="P18" s="98">
        <v>0</v>
      </c>
      <c r="Q18" s="105">
        <v>0</v>
      </c>
      <c r="R18" s="99">
        <v>0</v>
      </c>
      <c r="S18" s="90">
        <v>0</v>
      </c>
      <c r="T18" s="84">
        <f t="shared" ref="T18:T19" si="2">SUM(C18:S18)</f>
        <v>3851495.7603174914</v>
      </c>
    </row>
    <row r="19" spans="1:20" ht="12" thickBot="1" x14ac:dyDescent="0.25">
      <c r="A19" s="83" t="s">
        <v>184</v>
      </c>
      <c r="B19" s="212"/>
      <c r="C19" s="213">
        <f>+C18/$T$18</f>
        <v>0.57223089050328813</v>
      </c>
      <c r="D19" s="213">
        <f t="shared" ref="D19:S19" si="3">+D18/$T$18</f>
        <v>0.1264093688446058</v>
      </c>
      <c r="E19" s="213">
        <f t="shared" si="3"/>
        <v>0.13854255085763822</v>
      </c>
      <c r="F19" s="213">
        <f t="shared" si="3"/>
        <v>7.3896354052064794E-2</v>
      </c>
      <c r="G19" s="213">
        <f t="shared" si="3"/>
        <v>9.2314119066839312E-4</v>
      </c>
      <c r="H19" s="213">
        <f t="shared" si="3"/>
        <v>5.5727249089061744E-2</v>
      </c>
      <c r="I19" s="213">
        <f>+I18/$T$18</f>
        <v>4.6313082149665945E-4</v>
      </c>
      <c r="J19" s="228">
        <f>+J18/$T$18</f>
        <v>8.5993047363658384E-3</v>
      </c>
      <c r="K19" s="228">
        <f t="shared" si="3"/>
        <v>4.7310681094302753E-3</v>
      </c>
      <c r="L19" s="213">
        <f t="shared" si="3"/>
        <v>1.8476941795380175E-2</v>
      </c>
      <c r="M19" s="229">
        <f t="shared" si="3"/>
        <v>0</v>
      </c>
      <c r="N19" s="230">
        <f t="shared" si="3"/>
        <v>0</v>
      </c>
      <c r="O19" s="91">
        <f t="shared" si="3"/>
        <v>0</v>
      </c>
      <c r="P19" s="100">
        <f t="shared" si="3"/>
        <v>0</v>
      </c>
      <c r="Q19" s="106">
        <f t="shared" si="3"/>
        <v>0</v>
      </c>
      <c r="R19" s="101">
        <f t="shared" si="3"/>
        <v>0</v>
      </c>
      <c r="S19" s="91">
        <f t="shared" si="3"/>
        <v>0</v>
      </c>
      <c r="T19" s="85">
        <f t="shared" si="2"/>
        <v>1</v>
      </c>
    </row>
    <row r="20" spans="1:20" x14ac:dyDescent="0.2"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</row>
    <row r="21" spans="1:20" x14ac:dyDescent="0.2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</row>
    <row r="22" spans="1:20" x14ac:dyDescent="0.2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</row>
    <row r="23" spans="1:20" x14ac:dyDescent="0.2"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</row>
    <row r="24" spans="1:20" x14ac:dyDescent="0.2"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1:20" x14ac:dyDescent="0.2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</row>
    <row r="26" spans="1:20" x14ac:dyDescent="0.2"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1:20" x14ac:dyDescent="0.2"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</row>
    <row r="28" spans="1:20" x14ac:dyDescent="0.2"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</row>
    <row r="29" spans="1:20" x14ac:dyDescent="0.2"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</row>
    <row r="30" spans="1:20" x14ac:dyDescent="0.2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</row>
    <row r="31" spans="1:20" x14ac:dyDescent="0.2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</row>
    <row r="32" spans="1:20" x14ac:dyDescent="0.2"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</row>
    <row r="33" spans="2:14" x14ac:dyDescent="0.2"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</row>
    <row r="34" spans="2:14" x14ac:dyDescent="0.2"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</row>
    <row r="35" spans="2:14" x14ac:dyDescent="0.2"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</row>
    <row r="36" spans="2:14" x14ac:dyDescent="0.2"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</row>
    <row r="37" spans="2:14" x14ac:dyDescent="0.2"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</row>
    <row r="38" spans="2:14" x14ac:dyDescent="0.2"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</row>
    <row r="39" spans="2:14" x14ac:dyDescent="0.2"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</row>
    <row r="40" spans="2:14" x14ac:dyDescent="0.2"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</row>
    <row r="48" spans="2:14" x14ac:dyDescent="0.2">
      <c r="F48" s="64"/>
    </row>
  </sheetData>
  <mergeCells count="2">
    <mergeCell ref="P1:R1"/>
    <mergeCell ref="M1:N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R24" sqref="R24"/>
    </sheetView>
  </sheetViews>
  <sheetFormatPr defaultRowHeight="12.75" x14ac:dyDescent="0.2"/>
  <cols>
    <col min="5" max="5" width="12.140625" customWidth="1"/>
    <col min="6" max="6" width="16.28515625" customWidth="1"/>
    <col min="7" max="7" width="19.28515625" customWidth="1"/>
    <col min="8" max="8" width="16.42578125" customWidth="1"/>
  </cols>
  <sheetData>
    <row r="1" spans="1:14" x14ac:dyDescent="0.2">
      <c r="A1" s="266" t="s">
        <v>13</v>
      </c>
      <c r="B1" s="267"/>
      <c r="C1" s="267"/>
      <c r="D1" s="267"/>
      <c r="E1" s="267"/>
      <c r="F1" s="267"/>
      <c r="G1" s="267"/>
      <c r="H1" s="268"/>
      <c r="I1" s="214"/>
      <c r="J1" s="214"/>
      <c r="K1" s="214"/>
      <c r="L1" s="214"/>
      <c r="M1" s="214"/>
      <c r="N1" s="214"/>
    </row>
    <row r="2" spans="1:14" x14ac:dyDescent="0.2">
      <c r="A2" s="269" t="s">
        <v>124</v>
      </c>
      <c r="B2" s="270"/>
      <c r="C2" s="270"/>
      <c r="D2" s="270"/>
      <c r="E2" s="270"/>
      <c r="F2" s="270"/>
      <c r="G2" s="270"/>
      <c r="H2" s="271"/>
      <c r="I2" s="214"/>
      <c r="J2" s="214"/>
      <c r="K2" s="214"/>
      <c r="L2" s="214"/>
      <c r="M2" s="214"/>
      <c r="N2" s="214"/>
    </row>
    <row r="3" spans="1:14" x14ac:dyDescent="0.2">
      <c r="A3" s="120"/>
      <c r="B3" s="20"/>
      <c r="C3" s="20"/>
      <c r="D3" s="49"/>
      <c r="E3" s="20"/>
      <c r="F3" s="20"/>
      <c r="G3" s="20"/>
      <c r="H3" s="21"/>
      <c r="I3" s="214"/>
      <c r="J3" s="214"/>
      <c r="K3" s="214"/>
      <c r="L3" s="214"/>
      <c r="M3" s="214"/>
      <c r="N3" s="214"/>
    </row>
    <row r="4" spans="1:14" x14ac:dyDescent="0.2">
      <c r="A4" s="120"/>
      <c r="B4" s="20"/>
      <c r="C4" s="20"/>
      <c r="D4" s="49"/>
      <c r="E4" s="20"/>
      <c r="F4" s="20"/>
      <c r="G4" s="20"/>
      <c r="H4" s="21"/>
      <c r="I4" s="214"/>
      <c r="J4" s="214"/>
      <c r="K4" s="214"/>
      <c r="L4" s="214"/>
      <c r="M4" s="214"/>
      <c r="N4" s="214"/>
    </row>
    <row r="5" spans="1:14" ht="57" thickBot="1" x14ac:dyDescent="0.25">
      <c r="A5" s="27" t="s">
        <v>0</v>
      </c>
      <c r="B5" s="28" t="s">
        <v>58</v>
      </c>
      <c r="C5" s="28" t="s">
        <v>90</v>
      </c>
      <c r="D5" s="17" t="s">
        <v>166</v>
      </c>
      <c r="E5" s="50" t="s">
        <v>194</v>
      </c>
      <c r="F5" s="50" t="s">
        <v>195</v>
      </c>
      <c r="G5" s="121" t="s">
        <v>246</v>
      </c>
      <c r="H5" s="122" t="s">
        <v>247</v>
      </c>
      <c r="I5" s="214"/>
      <c r="J5" s="214"/>
      <c r="K5" s="214"/>
      <c r="L5" s="214"/>
      <c r="M5" s="214"/>
      <c r="N5" s="214"/>
    </row>
    <row r="6" spans="1:14" x14ac:dyDescent="0.2">
      <c r="A6" s="15"/>
      <c r="B6" s="16"/>
      <c r="C6" s="16"/>
      <c r="D6" s="32" t="s">
        <v>14</v>
      </c>
      <c r="E6" s="34" t="s">
        <v>15</v>
      </c>
      <c r="F6" s="35" t="s">
        <v>196</v>
      </c>
      <c r="G6" s="34" t="s">
        <v>60</v>
      </c>
      <c r="H6" s="123" t="s">
        <v>197</v>
      </c>
      <c r="I6" s="214"/>
      <c r="J6" s="214"/>
      <c r="K6" s="214"/>
      <c r="L6" s="214"/>
      <c r="M6" s="214"/>
      <c r="N6" s="214"/>
    </row>
    <row r="7" spans="1:14" x14ac:dyDescent="0.2">
      <c r="A7" s="68">
        <v>1</v>
      </c>
      <c r="B7" s="67" t="s">
        <v>1</v>
      </c>
      <c r="C7" s="69">
        <v>7</v>
      </c>
      <c r="D7" s="58">
        <v>0.57223089050328813</v>
      </c>
      <c r="E7" s="51"/>
      <c r="F7" s="41">
        <f>D7*($E$22)</f>
        <v>3444043.0435115644</v>
      </c>
      <c r="G7" s="72">
        <v>10811271269.433828</v>
      </c>
      <c r="H7" s="52">
        <f>(+F7/G7)</f>
        <v>3.1856041326506503E-4</v>
      </c>
      <c r="I7" s="214"/>
      <c r="J7" s="214"/>
      <c r="K7" s="214"/>
      <c r="L7" s="214"/>
      <c r="M7" s="214"/>
      <c r="N7" s="214"/>
    </row>
    <row r="8" spans="1:14" x14ac:dyDescent="0.2">
      <c r="A8" s="68">
        <f t="shared" ref="A8:A29" si="0">+A7+1</f>
        <v>2</v>
      </c>
      <c r="B8" s="67"/>
      <c r="C8" s="53"/>
      <c r="D8" s="58"/>
      <c r="E8" s="51"/>
      <c r="F8" s="41"/>
      <c r="G8" s="72"/>
      <c r="H8" s="54"/>
      <c r="I8" s="214"/>
      <c r="J8" s="214"/>
      <c r="K8" s="214"/>
      <c r="L8" s="214"/>
      <c r="M8" s="214"/>
      <c r="N8" s="214"/>
    </row>
    <row r="9" spans="1:14" x14ac:dyDescent="0.2">
      <c r="A9" s="68">
        <f t="shared" si="0"/>
        <v>3</v>
      </c>
      <c r="B9" s="23" t="s">
        <v>2</v>
      </c>
      <c r="C9" s="22" t="s">
        <v>91</v>
      </c>
      <c r="D9" s="58">
        <v>0.1264093688446058</v>
      </c>
      <c r="E9" s="51"/>
      <c r="F9" s="41">
        <f>D9*($E$22)</f>
        <v>760810.56550625071</v>
      </c>
      <c r="G9" s="72">
        <v>2743164635.732255</v>
      </c>
      <c r="H9" s="52">
        <f t="shared" ref="H9:H12" si="1">(+F9/G9)</f>
        <v>2.7734775944396111E-4</v>
      </c>
      <c r="I9" s="214"/>
      <c r="J9" s="214"/>
      <c r="K9" s="214"/>
      <c r="L9" s="214"/>
      <c r="M9" s="214"/>
      <c r="N9" s="214"/>
    </row>
    <row r="10" spans="1:14" x14ac:dyDescent="0.2">
      <c r="A10" s="68">
        <f t="shared" si="0"/>
        <v>4</v>
      </c>
      <c r="B10" s="67" t="s">
        <v>3</v>
      </c>
      <c r="C10" s="22" t="s">
        <v>92</v>
      </c>
      <c r="D10" s="58">
        <v>0.13854255085763822</v>
      </c>
      <c r="E10" s="51"/>
      <c r="F10" s="41">
        <f>D10*($E$22)</f>
        <v>833835.63598242041</v>
      </c>
      <c r="G10" s="72">
        <v>2901136837.913403</v>
      </c>
      <c r="H10" s="52">
        <f t="shared" si="1"/>
        <v>2.8741685848301577E-4</v>
      </c>
      <c r="I10" s="214"/>
      <c r="J10" s="214"/>
      <c r="K10" s="214"/>
      <c r="L10" s="214"/>
      <c r="M10" s="214"/>
      <c r="N10" s="214"/>
    </row>
    <row r="11" spans="1:14" x14ac:dyDescent="0.2">
      <c r="A11" s="68">
        <f t="shared" si="0"/>
        <v>5</v>
      </c>
      <c r="B11" s="67" t="s">
        <v>4</v>
      </c>
      <c r="C11" s="22" t="s">
        <v>93</v>
      </c>
      <c r="D11" s="58">
        <v>7.3896354052064794E-2</v>
      </c>
      <c r="E11" s="51"/>
      <c r="F11" s="41">
        <f>D11*($E$22)</f>
        <v>444754.4310130509</v>
      </c>
      <c r="G11" s="72">
        <v>1830801957.4203374</v>
      </c>
      <c r="H11" s="52">
        <f t="shared" si="1"/>
        <v>2.4292874999965868E-4</v>
      </c>
      <c r="I11" s="214"/>
      <c r="J11" s="214"/>
      <c r="K11" s="214"/>
      <c r="L11" s="214"/>
      <c r="M11" s="214"/>
      <c r="N11" s="214"/>
    </row>
    <row r="12" spans="1:14" x14ac:dyDescent="0.2">
      <c r="A12" s="68">
        <f t="shared" si="0"/>
        <v>6</v>
      </c>
      <c r="B12" s="67" t="s">
        <v>5</v>
      </c>
      <c r="C12" s="22">
        <v>29</v>
      </c>
      <c r="D12" s="58">
        <v>9.2314119066839312E-4</v>
      </c>
      <c r="E12" s="51"/>
      <c r="F12" s="41">
        <f>D12*($E$22)</f>
        <v>5556.0404876153625</v>
      </c>
      <c r="G12" s="72">
        <v>15002821.548252858</v>
      </c>
      <c r="H12" s="52">
        <f t="shared" si="1"/>
        <v>3.7033303833853751E-4</v>
      </c>
      <c r="I12" s="214"/>
      <c r="J12" s="214"/>
      <c r="K12" s="214"/>
      <c r="L12" s="214"/>
      <c r="M12" s="214"/>
      <c r="N12" s="214"/>
    </row>
    <row r="13" spans="1:14" x14ac:dyDescent="0.2">
      <c r="A13" s="68">
        <f t="shared" si="0"/>
        <v>7</v>
      </c>
      <c r="B13" s="67"/>
      <c r="C13" s="22"/>
      <c r="D13" s="58"/>
      <c r="E13" s="51"/>
      <c r="F13" s="41"/>
      <c r="G13" s="72"/>
      <c r="H13" s="54"/>
      <c r="I13" s="214"/>
      <c r="J13" s="214"/>
      <c r="K13" s="214"/>
      <c r="L13" s="214"/>
      <c r="M13" s="214"/>
      <c r="N13" s="214"/>
    </row>
    <row r="14" spans="1:14" x14ac:dyDescent="0.2">
      <c r="A14" s="68">
        <f t="shared" si="0"/>
        <v>8</v>
      </c>
      <c r="B14" s="67" t="s">
        <v>6</v>
      </c>
      <c r="C14" s="22" t="s">
        <v>94</v>
      </c>
      <c r="D14" s="58">
        <v>5.5727249089061744E-2</v>
      </c>
      <c r="E14" s="51"/>
      <c r="F14" s="41">
        <f>D14*($E$22)</f>
        <v>335401.40482527204</v>
      </c>
      <c r="G14" s="72">
        <v>1329024599.8352115</v>
      </c>
      <c r="H14" s="52">
        <f t="shared" ref="H14:H16" si="2">(+F14/G14)</f>
        <v>2.523665889005058E-4</v>
      </c>
      <c r="I14" s="214"/>
      <c r="J14" s="214"/>
      <c r="K14" s="214"/>
      <c r="L14" s="214"/>
      <c r="M14" s="214"/>
      <c r="N14" s="214"/>
    </row>
    <row r="15" spans="1:14" x14ac:dyDescent="0.2">
      <c r="A15" s="68">
        <f t="shared" si="0"/>
        <v>9</v>
      </c>
      <c r="B15" s="67" t="s">
        <v>7</v>
      </c>
      <c r="C15" s="22">
        <v>35</v>
      </c>
      <c r="D15" s="58">
        <v>4.6313082149665945E-4</v>
      </c>
      <c r="E15" s="51"/>
      <c r="F15" s="41">
        <f>D15*($E$22)</f>
        <v>2787.4106597225036</v>
      </c>
      <c r="G15" s="72">
        <v>4706241.1306298776</v>
      </c>
      <c r="H15" s="52">
        <f t="shared" si="2"/>
        <v>5.9227960964028208E-4</v>
      </c>
      <c r="I15" s="214"/>
      <c r="J15" s="214"/>
      <c r="K15" s="214"/>
      <c r="L15" s="214"/>
      <c r="M15" s="214"/>
      <c r="N15" s="214"/>
    </row>
    <row r="16" spans="1:14" x14ac:dyDescent="0.2">
      <c r="A16" s="68">
        <f t="shared" si="0"/>
        <v>10</v>
      </c>
      <c r="B16" s="67" t="s">
        <v>8</v>
      </c>
      <c r="C16" s="22">
        <v>43</v>
      </c>
      <c r="D16" s="58">
        <v>8.5993047363658384E-3</v>
      </c>
      <c r="E16" s="51"/>
      <c r="F16" s="41">
        <f>D16*($E$22)</f>
        <v>51755.988968488993</v>
      </c>
      <c r="G16" s="72">
        <v>120467009.7637714</v>
      </c>
      <c r="H16" s="52">
        <f t="shared" si="2"/>
        <v>4.2962790451908281E-4</v>
      </c>
      <c r="I16" s="214"/>
      <c r="J16" s="214"/>
      <c r="K16" s="214"/>
      <c r="L16" s="214"/>
      <c r="M16" s="214"/>
      <c r="N16" s="214"/>
    </row>
    <row r="17" spans="1:14" x14ac:dyDescent="0.2">
      <c r="A17" s="68">
        <f t="shared" si="0"/>
        <v>11</v>
      </c>
      <c r="B17" s="67"/>
      <c r="C17" s="22"/>
      <c r="D17" s="58"/>
      <c r="E17" s="51"/>
      <c r="F17" s="41"/>
      <c r="G17" s="67"/>
      <c r="H17" s="54"/>
      <c r="I17" s="214"/>
      <c r="J17" s="214"/>
      <c r="K17" s="214"/>
      <c r="L17" s="214"/>
      <c r="M17" s="214"/>
      <c r="N17" s="214"/>
    </row>
    <row r="18" spans="1:14" x14ac:dyDescent="0.2">
      <c r="A18" s="68">
        <f t="shared" si="0"/>
        <v>12</v>
      </c>
      <c r="B18" s="23" t="s">
        <v>75</v>
      </c>
      <c r="C18" s="22">
        <v>46</v>
      </c>
      <c r="D18" s="58">
        <v>4.7310681094302753E-3</v>
      </c>
      <c r="E18" s="51"/>
      <c r="F18" s="41">
        <f>D18*($E$22)</f>
        <v>28474.523974635234</v>
      </c>
      <c r="G18" s="72">
        <v>89523424.544402152</v>
      </c>
      <c r="H18" s="52">
        <f>(+F18/G18)</f>
        <v>3.180678589938473E-4</v>
      </c>
      <c r="I18" s="214"/>
      <c r="J18" s="214"/>
      <c r="K18" s="214"/>
      <c r="L18" s="214"/>
      <c r="M18" s="214"/>
      <c r="N18" s="214"/>
    </row>
    <row r="19" spans="1:14" x14ac:dyDescent="0.2">
      <c r="A19" s="68">
        <f t="shared" si="0"/>
        <v>13</v>
      </c>
      <c r="B19" s="23" t="s">
        <v>76</v>
      </c>
      <c r="C19" s="22">
        <v>49</v>
      </c>
      <c r="D19" s="58">
        <v>1.8476941795380175E-2</v>
      </c>
      <c r="E19" s="51"/>
      <c r="F19" s="41">
        <f t="shared" ref="F19" si="3">D19*($E$22)</f>
        <v>111205.78058933277</v>
      </c>
      <c r="G19" s="72">
        <v>506483348.17290127</v>
      </c>
      <c r="H19" s="52">
        <f t="shared" ref="H19" si="4">(+F19/G19)</f>
        <v>2.1956453453109338E-4</v>
      </c>
      <c r="I19" s="214"/>
      <c r="J19" s="214"/>
      <c r="K19" s="214"/>
      <c r="L19" s="214"/>
      <c r="M19" s="214"/>
      <c r="N19" s="214"/>
    </row>
    <row r="20" spans="1:14" x14ac:dyDescent="0.2">
      <c r="A20" s="68">
        <f t="shared" si="0"/>
        <v>14</v>
      </c>
      <c r="B20" s="23"/>
      <c r="C20" s="22"/>
      <c r="D20" s="58"/>
      <c r="E20" s="51"/>
      <c r="F20" s="41"/>
      <c r="G20" s="72"/>
      <c r="H20" s="54"/>
      <c r="I20" s="214"/>
      <c r="J20" s="214"/>
      <c r="K20" s="214"/>
      <c r="L20" s="214"/>
      <c r="M20" s="214"/>
      <c r="N20" s="214"/>
    </row>
    <row r="21" spans="1:14" x14ac:dyDescent="0.2">
      <c r="A21" s="68">
        <f t="shared" si="0"/>
        <v>15</v>
      </c>
      <c r="B21" s="67"/>
      <c r="C21" s="22"/>
      <c r="D21" s="59"/>
      <c r="E21" s="67"/>
      <c r="F21" s="41"/>
      <c r="G21" s="67"/>
      <c r="H21" s="54"/>
      <c r="I21" s="214"/>
      <c r="J21" s="214"/>
      <c r="K21" s="214"/>
      <c r="L21" s="214"/>
      <c r="M21" s="214"/>
      <c r="N21" s="214"/>
    </row>
    <row r="22" spans="1:14" ht="15" x14ac:dyDescent="0.35">
      <c r="A22" s="68">
        <f t="shared" si="0"/>
        <v>16</v>
      </c>
      <c r="B22" s="67" t="s">
        <v>10</v>
      </c>
      <c r="C22" s="22"/>
      <c r="D22" s="59">
        <f>SUM(D7:D19)</f>
        <v>1</v>
      </c>
      <c r="E22" s="118">
        <v>6018624.8255183529</v>
      </c>
      <c r="F22" s="41">
        <f>SUM(F7:F19)</f>
        <v>6018624.8255183529</v>
      </c>
      <c r="G22" s="60">
        <f>SUM(G7:G19)</f>
        <v>20351582145.494995</v>
      </c>
      <c r="H22" s="52">
        <f>(+F22/G22)</f>
        <v>2.9573252745121979E-4</v>
      </c>
      <c r="I22" s="214"/>
      <c r="J22" s="214"/>
      <c r="K22" s="214"/>
      <c r="L22" s="214"/>
      <c r="M22" s="214"/>
      <c r="N22" s="214"/>
    </row>
    <row r="23" spans="1:14" x14ac:dyDescent="0.2">
      <c r="A23" s="68">
        <f t="shared" si="0"/>
        <v>17</v>
      </c>
      <c r="B23" s="67"/>
      <c r="C23" s="22"/>
      <c r="D23" s="72"/>
      <c r="E23" s="67"/>
      <c r="F23" s="41"/>
      <c r="G23" s="67"/>
      <c r="H23" s="70"/>
      <c r="I23" s="214"/>
      <c r="J23" s="214"/>
      <c r="K23" s="214"/>
      <c r="L23" s="214"/>
      <c r="M23" s="214"/>
      <c r="N23" s="214"/>
    </row>
    <row r="24" spans="1:14" x14ac:dyDescent="0.2">
      <c r="A24" s="68">
        <f t="shared" si="0"/>
        <v>18</v>
      </c>
      <c r="B24" s="108" t="s">
        <v>167</v>
      </c>
      <c r="C24" s="22"/>
      <c r="D24" s="72"/>
      <c r="E24" s="67"/>
      <c r="F24" s="41"/>
      <c r="G24" s="67"/>
      <c r="H24" s="70"/>
      <c r="I24" s="214"/>
      <c r="J24" s="214"/>
      <c r="K24" s="214"/>
      <c r="L24" s="214"/>
      <c r="M24" s="214"/>
      <c r="N24" s="214"/>
    </row>
    <row r="25" spans="1:14" x14ac:dyDescent="0.2">
      <c r="A25" s="68">
        <f t="shared" si="0"/>
        <v>19</v>
      </c>
      <c r="B25" s="67" t="s">
        <v>9</v>
      </c>
      <c r="C25" s="22" t="s">
        <v>57</v>
      </c>
      <c r="D25" s="58"/>
      <c r="E25" s="51"/>
      <c r="F25" s="41"/>
      <c r="G25" s="72">
        <v>62167183.412781127</v>
      </c>
      <c r="H25" s="52"/>
      <c r="I25" s="214"/>
      <c r="J25" s="214"/>
      <c r="K25" s="214"/>
      <c r="L25" s="214"/>
      <c r="M25" s="214"/>
      <c r="N25" s="214"/>
    </row>
    <row r="26" spans="1:14" x14ac:dyDescent="0.2">
      <c r="A26" s="68">
        <f t="shared" si="0"/>
        <v>20</v>
      </c>
      <c r="B26" s="23" t="s">
        <v>59</v>
      </c>
      <c r="C26" s="22">
        <v>5</v>
      </c>
      <c r="D26" s="58"/>
      <c r="E26" s="51"/>
      <c r="F26" s="41"/>
      <c r="G26" s="72">
        <v>7099000</v>
      </c>
      <c r="H26" s="52"/>
      <c r="I26" s="214"/>
      <c r="J26" s="214"/>
      <c r="K26" s="214"/>
      <c r="L26" s="214"/>
      <c r="M26" s="214"/>
      <c r="N26" s="214"/>
    </row>
    <row r="27" spans="1:14" x14ac:dyDescent="0.2">
      <c r="A27" s="68">
        <f t="shared" si="0"/>
        <v>21</v>
      </c>
      <c r="B27" s="67" t="s">
        <v>11</v>
      </c>
      <c r="C27" s="22" t="s">
        <v>104</v>
      </c>
      <c r="D27" s="72"/>
      <c r="E27" s="72"/>
      <c r="F27" s="41"/>
      <c r="G27" s="72">
        <v>2245720268.8083301</v>
      </c>
      <c r="H27" s="55"/>
      <c r="I27" s="214"/>
      <c r="J27" s="214"/>
      <c r="K27" s="214"/>
      <c r="L27" s="214"/>
      <c r="M27" s="214"/>
      <c r="N27" s="214"/>
    </row>
    <row r="28" spans="1:14" x14ac:dyDescent="0.2">
      <c r="A28" s="68">
        <f t="shared" si="0"/>
        <v>22</v>
      </c>
      <c r="B28" s="67"/>
      <c r="C28" s="67"/>
      <c r="D28" s="72"/>
      <c r="E28" s="67"/>
      <c r="F28" s="67"/>
      <c r="G28" s="67"/>
      <c r="H28" s="71"/>
      <c r="I28" s="214"/>
      <c r="J28" s="214"/>
      <c r="K28" s="214"/>
      <c r="L28" s="214"/>
      <c r="M28" s="214"/>
      <c r="N28" s="214"/>
    </row>
    <row r="29" spans="1:14" x14ac:dyDescent="0.2">
      <c r="A29" s="68">
        <f t="shared" si="0"/>
        <v>23</v>
      </c>
      <c r="B29" s="67" t="s">
        <v>12</v>
      </c>
      <c r="C29" s="67"/>
      <c r="D29" s="72"/>
      <c r="E29" s="67"/>
      <c r="F29" s="41"/>
      <c r="G29" s="72">
        <f>SUM(G25:G27)+G22</f>
        <v>22666568597.716106</v>
      </c>
      <c r="H29" s="54"/>
      <c r="I29" s="214"/>
      <c r="J29" s="214"/>
      <c r="K29" s="214"/>
      <c r="L29" s="214"/>
      <c r="M29" s="214"/>
      <c r="N29" s="214"/>
    </row>
    <row r="30" spans="1:14" x14ac:dyDescent="0.2">
      <c r="A30" s="68"/>
      <c r="B30" s="67"/>
      <c r="C30" s="67"/>
      <c r="D30" s="72"/>
      <c r="E30" s="67"/>
      <c r="F30" s="41"/>
      <c r="G30" s="72"/>
      <c r="H30" s="71"/>
      <c r="I30" s="214"/>
      <c r="J30" s="214"/>
      <c r="K30" s="214"/>
      <c r="L30" s="214"/>
      <c r="M30" s="214"/>
      <c r="N30" s="214"/>
    </row>
    <row r="31" spans="1:14" ht="13.5" thickBot="1" x14ac:dyDescent="0.25">
      <c r="A31" s="24"/>
      <c r="B31" s="73"/>
      <c r="C31" s="73"/>
      <c r="D31" s="25"/>
      <c r="E31" s="73"/>
      <c r="F31" s="73"/>
      <c r="G31" s="73"/>
      <c r="H31" s="26"/>
      <c r="I31" s="214"/>
      <c r="J31" s="214"/>
      <c r="K31" s="214"/>
      <c r="L31" s="214"/>
      <c r="M31" s="214"/>
      <c r="N31" s="214"/>
    </row>
    <row r="32" spans="1:14" x14ac:dyDescent="0.2">
      <c r="A32" s="69"/>
      <c r="B32" s="67"/>
      <c r="C32" s="67"/>
      <c r="D32" s="72"/>
      <c r="E32" s="67"/>
      <c r="F32" s="67"/>
      <c r="G32" s="67"/>
      <c r="H32" s="67"/>
      <c r="I32" s="214"/>
      <c r="J32" s="214"/>
      <c r="K32" s="214"/>
      <c r="L32" s="214"/>
      <c r="M32" s="214"/>
      <c r="N32" s="214"/>
    </row>
    <row r="33" spans="2:14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</row>
    <row r="34" spans="2:14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</row>
    <row r="35" spans="2:14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</row>
    <row r="36" spans="2:14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2:14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</row>
    <row r="38" spans="2:14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</row>
    <row r="39" spans="2:14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</row>
    <row r="40" spans="2:14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</row>
    <row r="48" spans="2:14" x14ac:dyDescent="0.2">
      <c r="F48" s="64"/>
    </row>
  </sheetData>
  <mergeCells count="2">
    <mergeCell ref="A1:H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workbookViewId="0">
      <selection activeCell="R24" sqref="R24"/>
    </sheetView>
  </sheetViews>
  <sheetFormatPr defaultRowHeight="12.75" x14ac:dyDescent="0.2"/>
  <sheetData>
    <row r="1" spans="2:14" x14ac:dyDescent="0.2"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2:14" x14ac:dyDescent="0.2"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2:14" x14ac:dyDescent="0.2"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2:14" x14ac:dyDescent="0.2"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5" spans="2:14" x14ac:dyDescent="0.2"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2:14" x14ac:dyDescent="0.2"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</row>
    <row r="7" spans="2:14" x14ac:dyDescent="0.2"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</row>
    <row r="8" spans="2:14" x14ac:dyDescent="0.2"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</row>
    <row r="9" spans="2:14" x14ac:dyDescent="0.2"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</row>
    <row r="10" spans="2:14" x14ac:dyDescent="0.2">
      <c r="B10" s="214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</row>
    <row r="11" spans="2:14" x14ac:dyDescent="0.2">
      <c r="B11" s="214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</row>
    <row r="12" spans="2:14" x14ac:dyDescent="0.2"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</row>
    <row r="13" spans="2:14" x14ac:dyDescent="0.2">
      <c r="B13" s="214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</row>
    <row r="14" spans="2:14" x14ac:dyDescent="0.2"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</row>
    <row r="15" spans="2:14" x14ac:dyDescent="0.2"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</row>
    <row r="16" spans="2:14" x14ac:dyDescent="0.2"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</row>
    <row r="17" spans="2:14" x14ac:dyDescent="0.2"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</row>
    <row r="18" spans="2:14" x14ac:dyDescent="0.2"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2:14" x14ac:dyDescent="0.2"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</row>
    <row r="20" spans="2:14" x14ac:dyDescent="0.2"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</row>
    <row r="21" spans="2:14" x14ac:dyDescent="0.2"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</row>
    <row r="22" spans="2:14" x14ac:dyDescent="0.2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</row>
    <row r="23" spans="2:14" x14ac:dyDescent="0.2">
      <c r="B23" s="214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</row>
    <row r="24" spans="2:14" x14ac:dyDescent="0.2"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</row>
    <row r="25" spans="2:14" x14ac:dyDescent="0.2"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</row>
    <row r="26" spans="2:14" x14ac:dyDescent="0.2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</row>
    <row r="27" spans="2:14" x14ac:dyDescent="0.2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</row>
    <row r="28" spans="2:14" x14ac:dyDescent="0.2"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</row>
    <row r="29" spans="2:14" x14ac:dyDescent="0.2">
      <c r="B29" s="214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</row>
    <row r="30" spans="2:14" x14ac:dyDescent="0.2">
      <c r="B30" s="214"/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</row>
    <row r="31" spans="2:14" x14ac:dyDescent="0.2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</row>
    <row r="32" spans="2:14" x14ac:dyDescent="0.2"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</row>
    <row r="33" spans="2:14" x14ac:dyDescent="0.2"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</row>
    <row r="34" spans="2:14" x14ac:dyDescent="0.2"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</row>
    <row r="35" spans="2:14" x14ac:dyDescent="0.2"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</row>
    <row r="36" spans="2:14" x14ac:dyDescent="0.2">
      <c r="B36" s="214"/>
      <c r="C36" s="214"/>
      <c r="D36" s="214"/>
      <c r="E36" s="214"/>
      <c r="F36" s="214"/>
      <c r="G36" s="214"/>
      <c r="H36" s="214"/>
      <c r="I36" s="214"/>
      <c r="J36" s="214"/>
      <c r="K36" s="214"/>
      <c r="L36" s="214"/>
      <c r="M36" s="214"/>
      <c r="N36" s="214"/>
    </row>
    <row r="37" spans="2:14" x14ac:dyDescent="0.2"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</row>
    <row r="38" spans="2:14" x14ac:dyDescent="0.2"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</row>
    <row r="39" spans="2:14" x14ac:dyDescent="0.2"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4"/>
      <c r="M39" s="214"/>
      <c r="N39" s="214"/>
    </row>
    <row r="40" spans="2:14" x14ac:dyDescent="0.2"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</row>
    <row r="48" spans="2:14" x14ac:dyDescent="0.2">
      <c r="F48" s="6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workbookViewId="0">
      <selection activeCell="R24" sqref="R24"/>
    </sheetView>
  </sheetViews>
  <sheetFormatPr defaultColWidth="9.140625" defaultRowHeight="11.25" x14ac:dyDescent="0.2"/>
  <cols>
    <col min="1" max="1" width="54" style="81" customWidth="1"/>
    <col min="2" max="2" width="8.42578125" style="81" bestFit="1" customWidth="1"/>
    <col min="3" max="3" width="10" style="81" bestFit="1" customWidth="1"/>
    <col min="4" max="6" width="8.7109375" style="81" bestFit="1" customWidth="1"/>
    <col min="7" max="7" width="7" style="81" bestFit="1" customWidth="1"/>
    <col min="8" max="8" width="8.7109375" style="81" bestFit="1" customWidth="1"/>
    <col min="9" max="9" width="7" style="81" bestFit="1" customWidth="1"/>
    <col min="10" max="13" width="7.85546875" style="81" bestFit="1" customWidth="1"/>
    <col min="14" max="15" width="7" style="81" bestFit="1" customWidth="1"/>
    <col min="16" max="16" width="9.5703125" style="81" bestFit="1" customWidth="1"/>
    <col min="17" max="17" width="9.42578125" style="81" bestFit="1" customWidth="1"/>
    <col min="18" max="18" width="9.5703125" style="81" bestFit="1" customWidth="1"/>
    <col min="19" max="19" width="7.85546875" style="81" bestFit="1" customWidth="1"/>
    <col min="20" max="20" width="10" style="81" bestFit="1" customWidth="1"/>
    <col min="21" max="16384" width="9.140625" style="81"/>
  </cols>
  <sheetData>
    <row r="1" spans="1:20" s="80" customFormat="1" x14ac:dyDescent="0.2">
      <c r="A1" s="80" t="s">
        <v>125</v>
      </c>
      <c r="B1" s="208" t="s">
        <v>126</v>
      </c>
      <c r="C1" s="208" t="s">
        <v>127</v>
      </c>
      <c r="D1" s="208" t="s">
        <v>128</v>
      </c>
      <c r="E1" s="208" t="s">
        <v>129</v>
      </c>
      <c r="F1" s="208" t="s">
        <v>130</v>
      </c>
      <c r="G1" s="208" t="s">
        <v>131</v>
      </c>
      <c r="H1" s="208" t="s">
        <v>132</v>
      </c>
      <c r="I1" s="208" t="s">
        <v>133</v>
      </c>
      <c r="J1" s="208" t="s">
        <v>134</v>
      </c>
      <c r="K1" s="208" t="s">
        <v>135</v>
      </c>
      <c r="L1" s="208" t="s">
        <v>136</v>
      </c>
      <c r="M1" s="208" t="s">
        <v>137</v>
      </c>
      <c r="N1" s="208" t="s">
        <v>138</v>
      </c>
      <c r="O1" s="80" t="s">
        <v>139</v>
      </c>
      <c r="P1" s="80" t="s">
        <v>140</v>
      </c>
      <c r="Q1" s="80" t="s">
        <v>141</v>
      </c>
      <c r="R1" s="80" t="s">
        <v>142</v>
      </c>
      <c r="S1" s="80" t="s">
        <v>143</v>
      </c>
      <c r="T1" s="80" t="s">
        <v>144</v>
      </c>
    </row>
    <row r="2" spans="1:20" x14ac:dyDescent="0.2">
      <c r="A2" s="81" t="s">
        <v>145</v>
      </c>
      <c r="B2" s="209" t="s">
        <v>146</v>
      </c>
      <c r="C2" s="210">
        <v>2087281.596177585</v>
      </c>
      <c r="D2" s="210">
        <v>439014.97368917638</v>
      </c>
      <c r="E2" s="210">
        <v>488898.99827733717</v>
      </c>
      <c r="F2" s="210">
        <v>320836.84517965955</v>
      </c>
      <c r="G2" s="210">
        <v>8214.2841962024177</v>
      </c>
      <c r="H2" s="210">
        <v>222186.30105248999</v>
      </c>
      <c r="I2" s="210">
        <v>1531.797695616666</v>
      </c>
      <c r="J2" s="210">
        <v>10304.680093691752</v>
      </c>
      <c r="K2" s="210">
        <v>20210.935440219702</v>
      </c>
      <c r="L2" s="210">
        <v>74027.064431777457</v>
      </c>
      <c r="M2" s="210">
        <v>16112.776646952683</v>
      </c>
      <c r="N2" s="210">
        <v>1557.3076735881295</v>
      </c>
      <c r="O2" s="82">
        <v>644.06821724657721</v>
      </c>
      <c r="P2" s="82">
        <v>208573.20076600311</v>
      </c>
      <c r="Q2" s="82">
        <v>2847.0212996986802</v>
      </c>
      <c r="R2" s="82">
        <v>40582.123641423117</v>
      </c>
      <c r="S2" s="82">
        <v>45651.924503561495</v>
      </c>
      <c r="T2" s="82">
        <v>3414000</v>
      </c>
    </row>
    <row r="3" spans="1:20" x14ac:dyDescent="0.2">
      <c r="A3" s="81" t="s">
        <v>147</v>
      </c>
      <c r="B3" s="209" t="s">
        <v>146</v>
      </c>
      <c r="C3" s="210">
        <v>2046287.0634689757</v>
      </c>
      <c r="D3" s="210">
        <v>425282.53137800674</v>
      </c>
      <c r="E3" s="210">
        <v>498187.58124620002</v>
      </c>
      <c r="F3" s="210">
        <v>307514.53308364749</v>
      </c>
      <c r="G3" s="210">
        <v>7825.8739007479044</v>
      </c>
      <c r="H3" s="210">
        <v>220922.84938425315</v>
      </c>
      <c r="I3" s="210">
        <v>1503.7919218269435</v>
      </c>
      <c r="J3" s="210">
        <v>12888.939769993873</v>
      </c>
      <c r="K3" s="210">
        <v>20018.834844736728</v>
      </c>
      <c r="L3" s="210">
        <v>74425.014521139397</v>
      </c>
      <c r="M3" s="210">
        <v>16112.776646952683</v>
      </c>
      <c r="N3" s="210">
        <v>1557.3076735881295</v>
      </c>
      <c r="O3" s="82">
        <v>637.00645692649539</v>
      </c>
      <c r="P3" s="82">
        <v>209998.72183225755</v>
      </c>
      <c r="Q3" s="82">
        <v>2943.7455248513916</v>
      </c>
      <c r="R3" s="82">
        <v>40657.359600358715</v>
      </c>
      <c r="S3" s="82">
        <v>44039.400644464447</v>
      </c>
      <c r="T3" s="82">
        <v>3361000</v>
      </c>
    </row>
    <row r="4" spans="1:20" x14ac:dyDescent="0.2">
      <c r="A4" s="81" t="s">
        <v>148</v>
      </c>
      <c r="B4" s="209" t="s">
        <v>146</v>
      </c>
      <c r="C4" s="210">
        <v>1804022.0537038089</v>
      </c>
      <c r="D4" s="210">
        <v>407777.05024818348</v>
      </c>
      <c r="E4" s="210">
        <v>515999.84028456517</v>
      </c>
      <c r="F4" s="210">
        <v>302300.4025045085</v>
      </c>
      <c r="G4" s="210">
        <v>5546.4726596409737</v>
      </c>
      <c r="H4" s="210">
        <v>212767.30826436865</v>
      </c>
      <c r="I4" s="210">
        <v>1265.8211562446504</v>
      </c>
      <c r="J4" s="210">
        <v>18459.086518457458</v>
      </c>
      <c r="K4" s="210">
        <v>20024.502147921092</v>
      </c>
      <c r="L4" s="210">
        <v>73885.990015239659</v>
      </c>
      <c r="M4" s="210">
        <v>16112.776646952683</v>
      </c>
      <c r="N4" s="210">
        <v>1557.3076735881295</v>
      </c>
      <c r="O4" s="82">
        <v>650.7522311008006</v>
      </c>
      <c r="P4" s="82">
        <v>207389.58970005956</v>
      </c>
      <c r="Q4" s="82">
        <v>2813.4062834826223</v>
      </c>
      <c r="R4" s="82">
        <v>38510.562809853349</v>
      </c>
      <c r="S4" s="82">
        <v>41336.582768715336</v>
      </c>
      <c r="T4" s="82">
        <v>3124000</v>
      </c>
    </row>
    <row r="5" spans="1:20" x14ac:dyDescent="0.2">
      <c r="A5" s="81" t="s">
        <v>149</v>
      </c>
      <c r="B5" s="209" t="s">
        <v>146</v>
      </c>
      <c r="C5" s="210">
        <v>2092990.5401669464</v>
      </c>
      <c r="D5" s="210">
        <v>497715.72571607016</v>
      </c>
      <c r="E5" s="210">
        <v>528847.48858373496</v>
      </c>
      <c r="F5" s="210">
        <v>273709.67957035219</v>
      </c>
      <c r="G5" s="210">
        <v>1549.6267376000044</v>
      </c>
      <c r="H5" s="210">
        <v>212014.06551014649</v>
      </c>
      <c r="I5" s="210">
        <v>782.62521807703445</v>
      </c>
      <c r="J5" s="210">
        <v>37153.818660675461</v>
      </c>
      <c r="K5" s="210">
        <v>19565.504574004535</v>
      </c>
      <c r="L5" s="210">
        <v>71197.392382620877</v>
      </c>
      <c r="M5" s="210">
        <v>16112.776646952683</v>
      </c>
      <c r="N5" s="210">
        <v>1557.3076735881295</v>
      </c>
      <c r="O5" s="82">
        <v>1368.3026289142915</v>
      </c>
      <c r="P5" s="82">
        <v>204329.08878316308</v>
      </c>
      <c r="Q5" s="82">
        <v>2944.5405722308715</v>
      </c>
      <c r="R5" s="82">
        <v>37613.219101983879</v>
      </c>
      <c r="S5" s="82">
        <v>46979.344631272543</v>
      </c>
      <c r="T5" s="82">
        <v>3463000</v>
      </c>
    </row>
    <row r="6" spans="1:20" x14ac:dyDescent="0.2">
      <c r="A6" s="81" t="s">
        <v>150</v>
      </c>
      <c r="B6" s="209" t="s">
        <v>146</v>
      </c>
      <c r="C6" s="210">
        <v>2317772.7457320043</v>
      </c>
      <c r="D6" s="210">
        <v>511456.46726271161</v>
      </c>
      <c r="E6" s="210">
        <v>550774.65981149464</v>
      </c>
      <c r="F6" s="210">
        <v>272538.45720258215</v>
      </c>
      <c r="G6" s="210">
        <v>967.69016952306038</v>
      </c>
      <c r="H6" s="210">
        <v>208631.8867612984</v>
      </c>
      <c r="I6" s="210">
        <v>9.8873491384853285</v>
      </c>
      <c r="J6" s="210">
        <v>41804.423072175472</v>
      </c>
      <c r="K6" s="210">
        <v>20178.050006968395</v>
      </c>
      <c r="L6" s="210">
        <v>71458.184385869201</v>
      </c>
      <c r="M6" s="210">
        <v>16112.776646952683</v>
      </c>
      <c r="N6" s="210">
        <v>1557.3076735881295</v>
      </c>
      <c r="O6" s="82">
        <v>1623.7326905365112</v>
      </c>
      <c r="P6" s="82">
        <v>207212.84678308776</v>
      </c>
      <c r="Q6" s="82">
        <v>3684.0471808156658</v>
      </c>
      <c r="R6" s="82">
        <v>37035.68875427029</v>
      </c>
      <c r="S6" s="82">
        <v>49863.643728035837</v>
      </c>
      <c r="T6" s="82">
        <v>3691000</v>
      </c>
    </row>
    <row r="7" spans="1:20" x14ac:dyDescent="0.2">
      <c r="A7" s="81" t="s">
        <v>151</v>
      </c>
      <c r="B7" s="209" t="s">
        <v>146</v>
      </c>
      <c r="C7" s="210">
        <v>2632803.5355816404</v>
      </c>
      <c r="D7" s="210">
        <v>524380.79578742443</v>
      </c>
      <c r="E7" s="210">
        <v>543175.10953058384</v>
      </c>
      <c r="F7" s="210">
        <v>273359.2364270275</v>
      </c>
      <c r="G7" s="210">
        <v>898.93058284353197</v>
      </c>
      <c r="H7" s="210">
        <v>215700.30096996771</v>
      </c>
      <c r="I7" s="210">
        <v>10.743981037038631</v>
      </c>
      <c r="J7" s="210">
        <v>41685.167947530128</v>
      </c>
      <c r="K7" s="210">
        <v>17252.599103717919</v>
      </c>
      <c r="L7" s="210">
        <v>69436.232116018436</v>
      </c>
      <c r="M7" s="210">
        <v>16112.776646952683</v>
      </c>
      <c r="N7" s="210">
        <v>1557.3076735881295</v>
      </c>
      <c r="O7" s="82">
        <v>2191.3387273188437</v>
      </c>
      <c r="P7" s="82">
        <v>206742.90296482164</v>
      </c>
      <c r="Q7" s="82">
        <v>3890.8813379101575</v>
      </c>
      <c r="R7" s="82">
        <v>35735.713122820547</v>
      </c>
      <c r="S7" s="82">
        <v>51216.212984096739</v>
      </c>
      <c r="T7" s="82">
        <v>3924000</v>
      </c>
    </row>
    <row r="8" spans="1:20" x14ac:dyDescent="0.2">
      <c r="A8" s="81" t="s">
        <v>152</v>
      </c>
      <c r="B8" s="209" t="s">
        <v>146</v>
      </c>
      <c r="C8" s="210">
        <v>2476420.7888545343</v>
      </c>
      <c r="D8" s="210">
        <v>543988.82813451975</v>
      </c>
      <c r="E8" s="210">
        <v>552025.56326648837</v>
      </c>
      <c r="F8" s="210">
        <v>268648.99452109111</v>
      </c>
      <c r="G8" s="210">
        <v>935.12825204898274</v>
      </c>
      <c r="H8" s="210">
        <v>212041.34423513885</v>
      </c>
      <c r="I8" s="210">
        <v>32.930157050610461</v>
      </c>
      <c r="J8" s="210">
        <v>44315.485181221309</v>
      </c>
      <c r="K8" s="210">
        <v>17217.094936374771</v>
      </c>
      <c r="L8" s="210">
        <v>71517.498194696163</v>
      </c>
      <c r="M8" s="210">
        <v>16112.776646952683</v>
      </c>
      <c r="N8" s="210">
        <v>1557.3076735881295</v>
      </c>
      <c r="O8" s="82">
        <v>1858.7203725813397</v>
      </c>
      <c r="P8" s="82">
        <v>203624.94795945377</v>
      </c>
      <c r="Q8" s="82">
        <v>3579.4602468386124</v>
      </c>
      <c r="R8" s="82">
        <v>35790.160760607658</v>
      </c>
      <c r="S8" s="82">
        <v>48821.36663037278</v>
      </c>
      <c r="T8" s="82">
        <v>3833000</v>
      </c>
    </row>
    <row r="9" spans="1:20" x14ac:dyDescent="0.2">
      <c r="A9" s="81" t="s">
        <v>153</v>
      </c>
      <c r="B9" s="209" t="s">
        <v>146</v>
      </c>
      <c r="C9" s="210">
        <v>2778468.0619862978</v>
      </c>
      <c r="D9" s="210">
        <v>563963.56773502938</v>
      </c>
      <c r="E9" s="210">
        <v>567744.9147070524</v>
      </c>
      <c r="F9" s="210">
        <v>269439.02975479898</v>
      </c>
      <c r="G9" s="210">
        <v>1048.8531486527611</v>
      </c>
      <c r="H9" s="210">
        <v>220629.71973829615</v>
      </c>
      <c r="I9" s="210">
        <v>40.11315163086924</v>
      </c>
      <c r="J9" s="210">
        <v>44395.647893080895</v>
      </c>
      <c r="K9" s="210">
        <v>14700.293872245211</v>
      </c>
      <c r="L9" s="210">
        <v>71367.760712052404</v>
      </c>
      <c r="M9" s="210">
        <v>16112.776646952683</v>
      </c>
      <c r="N9" s="210">
        <v>1557.3076735881295</v>
      </c>
      <c r="O9" s="82">
        <v>1851.8726685919112</v>
      </c>
      <c r="P9" s="82">
        <v>208961.41979138745</v>
      </c>
      <c r="Q9" s="82">
        <v>4487.5251601057689</v>
      </c>
      <c r="R9" s="82">
        <v>37455.53083987024</v>
      </c>
      <c r="S9" s="82">
        <v>52138.648308229058</v>
      </c>
      <c r="T9" s="82">
        <v>4182000</v>
      </c>
    </row>
    <row r="10" spans="1:20" x14ac:dyDescent="0.2">
      <c r="A10" s="81" t="s">
        <v>154</v>
      </c>
      <c r="B10" s="209" t="s">
        <v>146</v>
      </c>
      <c r="C10" s="210">
        <v>2210152.8140009041</v>
      </c>
      <c r="D10" s="210">
        <v>540806.57276389538</v>
      </c>
      <c r="E10" s="210">
        <v>558392.68939826125</v>
      </c>
      <c r="F10" s="210">
        <v>266998.17029931978</v>
      </c>
      <c r="G10" s="210">
        <v>1039.4281379180793</v>
      </c>
      <c r="H10" s="210">
        <v>219701.20809829599</v>
      </c>
      <c r="I10" s="210">
        <v>19.050787449904991</v>
      </c>
      <c r="J10" s="210">
        <v>45103.977347222397</v>
      </c>
      <c r="K10" s="210">
        <v>15694.914748197723</v>
      </c>
      <c r="L10" s="210">
        <v>68362.294356116763</v>
      </c>
      <c r="M10" s="210">
        <v>16112.776646952683</v>
      </c>
      <c r="N10" s="210">
        <v>1557.3076735881295</v>
      </c>
      <c r="O10" s="82">
        <v>1537.0209892986315</v>
      </c>
      <c r="P10" s="82">
        <v>209512.09467222221</v>
      </c>
      <c r="Q10" s="82">
        <v>2924.4671746925874</v>
      </c>
      <c r="R10" s="82">
        <v>37751.766196667988</v>
      </c>
      <c r="S10" s="82">
        <v>48299.116634767859</v>
      </c>
      <c r="T10" s="82">
        <v>3697000</v>
      </c>
    </row>
    <row r="11" spans="1:20" x14ac:dyDescent="0.2">
      <c r="A11" s="81" t="s">
        <v>155</v>
      </c>
      <c r="B11" s="209" t="s">
        <v>146</v>
      </c>
      <c r="C11" s="210">
        <v>1965272.5150975229</v>
      </c>
      <c r="D11" s="210">
        <v>476477.44696452882</v>
      </c>
      <c r="E11" s="210">
        <v>512335.06854376761</v>
      </c>
      <c r="F11" s="210">
        <v>264198.82442481071</v>
      </c>
      <c r="G11" s="210">
        <v>2732.9840523544872</v>
      </c>
      <c r="H11" s="210">
        <v>211620.4430916328</v>
      </c>
      <c r="I11" s="210">
        <v>5726.4868616266058</v>
      </c>
      <c r="J11" s="210">
        <v>44270.813950225434</v>
      </c>
      <c r="K11" s="210">
        <v>17961.086357106753</v>
      </c>
      <c r="L11" s="210">
        <v>68102.61121737404</v>
      </c>
      <c r="M11" s="210">
        <v>16112.776646952683</v>
      </c>
      <c r="N11" s="210">
        <v>1557.3076735881295</v>
      </c>
      <c r="O11" s="82">
        <v>1715.5691521612073</v>
      </c>
      <c r="P11" s="82">
        <v>194752.76822589969</v>
      </c>
      <c r="Q11" s="82">
        <v>2933.156939297402</v>
      </c>
      <c r="R11" s="82">
        <v>38681.614484010526</v>
      </c>
      <c r="S11" s="82">
        <v>45377.730685335395</v>
      </c>
      <c r="T11" s="82">
        <v>3383000</v>
      </c>
    </row>
    <row r="12" spans="1:20" x14ac:dyDescent="0.2">
      <c r="A12" s="81" t="s">
        <v>156</v>
      </c>
      <c r="B12" s="209" t="s">
        <v>146</v>
      </c>
      <c r="C12" s="210">
        <v>1535583.7787791402</v>
      </c>
      <c r="D12" s="210">
        <v>409915.95669724967</v>
      </c>
      <c r="E12" s="210">
        <v>514223.99962331197</v>
      </c>
      <c r="F12" s="210">
        <v>268781.90777653002</v>
      </c>
      <c r="G12" s="210">
        <v>3830.9084720784358</v>
      </c>
      <c r="H12" s="210">
        <v>207968.03347367205</v>
      </c>
      <c r="I12" s="210">
        <v>4341.3254479065772</v>
      </c>
      <c r="J12" s="210">
        <v>30714.224396764093</v>
      </c>
      <c r="K12" s="210">
        <v>20003.062344770904</v>
      </c>
      <c r="L12" s="210">
        <v>69082.547102121564</v>
      </c>
      <c r="M12" s="210">
        <v>16112.776646952683</v>
      </c>
      <c r="N12" s="210">
        <v>1557.3076735881295</v>
      </c>
      <c r="O12" s="82">
        <v>1023.8524154295012</v>
      </c>
      <c r="P12" s="82">
        <v>213276.44601702661</v>
      </c>
      <c r="Q12" s="82">
        <v>2307.5176359192319</v>
      </c>
      <c r="R12" s="82">
        <v>39176.033260102638</v>
      </c>
      <c r="S12" s="82">
        <v>37458.035585174024</v>
      </c>
      <c r="T12" s="82">
        <v>2697000</v>
      </c>
    </row>
    <row r="13" spans="1:20" x14ac:dyDescent="0.2">
      <c r="A13" s="81" t="s">
        <v>157</v>
      </c>
      <c r="B13" s="209" t="s">
        <v>146</v>
      </c>
      <c r="C13" s="210">
        <v>2500282.6908040401</v>
      </c>
      <c r="D13" s="210">
        <v>501601.8616561158</v>
      </c>
      <c r="E13" s="210">
        <v>572546.65374837222</v>
      </c>
      <c r="F13" s="210">
        <v>327011.85126904596</v>
      </c>
      <c r="G13" s="210">
        <v>8075.5122747944479</v>
      </c>
      <c r="H13" s="210">
        <v>211415.70262857713</v>
      </c>
      <c r="I13" s="210">
        <v>6140.3830179955021</v>
      </c>
      <c r="J13" s="210">
        <v>26345.963974455532</v>
      </c>
      <c r="K13" s="210">
        <v>15833.386806664195</v>
      </c>
      <c r="L13" s="210">
        <v>71103.766427451643</v>
      </c>
      <c r="M13" s="210">
        <v>16112.776646952683</v>
      </c>
      <c r="N13" s="210">
        <v>1557.3076735881295</v>
      </c>
      <c r="O13" s="82">
        <v>766.14957923769862</v>
      </c>
      <c r="P13" s="82">
        <v>215859.39618734081</v>
      </c>
      <c r="Q13" s="82">
        <v>2734.7482193672749</v>
      </c>
      <c r="R13" s="82">
        <v>40198.672563465741</v>
      </c>
      <c r="S13" s="82">
        <v>52458.845744761362</v>
      </c>
      <c r="T13" s="82">
        <v>4036000</v>
      </c>
    </row>
    <row r="14" spans="1:20" x14ac:dyDescent="0.2"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</row>
    <row r="15" spans="1:20" x14ac:dyDescent="0.2"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</row>
    <row r="16" spans="1:20" x14ac:dyDescent="0.2">
      <c r="A16" s="83" t="s">
        <v>158</v>
      </c>
      <c r="B16" s="211"/>
      <c r="C16" s="211">
        <f>SUM(C2:C13)/12</f>
        <v>2203944.8486961168</v>
      </c>
      <c r="D16" s="211">
        <f t="shared" ref="D16:S16" si="0">SUM(D2:D13)/12</f>
        <v>486865.14816940925</v>
      </c>
      <c r="E16" s="211">
        <f t="shared" si="0"/>
        <v>533596.0472517641</v>
      </c>
      <c r="F16" s="211">
        <f t="shared" si="0"/>
        <v>284611.49433444784</v>
      </c>
      <c r="G16" s="211">
        <f t="shared" si="0"/>
        <v>3555.4743820337571</v>
      </c>
      <c r="H16" s="211">
        <f t="shared" si="0"/>
        <v>214633.2636006781</v>
      </c>
      <c r="I16" s="211">
        <f t="shared" si="0"/>
        <v>1783.7463954667408</v>
      </c>
      <c r="J16" s="211">
        <f t="shared" si="0"/>
        <v>33120.18573379115</v>
      </c>
      <c r="K16" s="211">
        <f t="shared" si="0"/>
        <v>18221.688765243995</v>
      </c>
      <c r="L16" s="211">
        <f t="shared" si="0"/>
        <v>71163.862988539797</v>
      </c>
      <c r="M16" s="211">
        <f t="shared" si="0"/>
        <v>16112.776646952678</v>
      </c>
      <c r="N16" s="211">
        <f t="shared" si="0"/>
        <v>1557.3076735881295</v>
      </c>
      <c r="O16" s="84">
        <f t="shared" si="0"/>
        <v>1322.365510778651</v>
      </c>
      <c r="P16" s="84">
        <f t="shared" si="0"/>
        <v>207519.45197356027</v>
      </c>
      <c r="Q16" s="84">
        <f t="shared" si="0"/>
        <v>3174.2097979341888</v>
      </c>
      <c r="R16" s="84">
        <f t="shared" si="0"/>
        <v>38265.703761286211</v>
      </c>
      <c r="S16" s="84">
        <f t="shared" si="0"/>
        <v>46970.071070732236</v>
      </c>
      <c r="T16" s="84">
        <f>SUM(C16:S16)</f>
        <v>4166417.646752323</v>
      </c>
    </row>
    <row r="17" spans="1:20" x14ac:dyDescent="0.2">
      <c r="A17" s="83" t="s">
        <v>159</v>
      </c>
      <c r="B17" s="212" t="s">
        <v>160</v>
      </c>
      <c r="C17" s="211">
        <f>+C16</f>
        <v>2203944.8486961168</v>
      </c>
      <c r="D17" s="211">
        <f t="shared" ref="D17:O17" si="1">+D16</f>
        <v>486865.14816940925</v>
      </c>
      <c r="E17" s="211">
        <f t="shared" si="1"/>
        <v>533596.0472517641</v>
      </c>
      <c r="F17" s="211">
        <f t="shared" si="1"/>
        <v>284611.49433444784</v>
      </c>
      <c r="G17" s="211">
        <f t="shared" si="1"/>
        <v>3555.4743820337571</v>
      </c>
      <c r="H17" s="211">
        <f t="shared" si="1"/>
        <v>214633.2636006781</v>
      </c>
      <c r="I17" s="211">
        <f t="shared" si="1"/>
        <v>1783.7463954667408</v>
      </c>
      <c r="J17" s="211">
        <f t="shared" si="1"/>
        <v>33120.18573379115</v>
      </c>
      <c r="K17" s="211">
        <v>0</v>
      </c>
      <c r="L17" s="211">
        <v>0</v>
      </c>
      <c r="M17" s="211">
        <f t="shared" ref="M17:N17" si="2">+M16</f>
        <v>16112.776646952678</v>
      </c>
      <c r="N17" s="211">
        <f t="shared" si="2"/>
        <v>1557.3076735881295</v>
      </c>
      <c r="O17" s="84">
        <f t="shared" si="1"/>
        <v>1322.365510778651</v>
      </c>
      <c r="P17" s="84">
        <v>0</v>
      </c>
      <c r="Q17" s="84">
        <v>0</v>
      </c>
      <c r="R17" s="84">
        <v>0</v>
      </c>
      <c r="S17" s="84">
        <v>0</v>
      </c>
      <c r="T17" s="84">
        <f t="shared" ref="T17:T18" si="3">SUM(C17:S17)</f>
        <v>3781102.6583950263</v>
      </c>
    </row>
    <row r="18" spans="1:20" x14ac:dyDescent="0.2">
      <c r="A18" s="83" t="s">
        <v>161</v>
      </c>
      <c r="B18" s="212" t="s">
        <v>160</v>
      </c>
      <c r="C18" s="213">
        <f>+C17/$T$17</f>
        <v>0.58288416047175784</v>
      </c>
      <c r="D18" s="213">
        <f t="shared" ref="D18:S18" si="4">+D17/$T$17</f>
        <v>0.12876274255300701</v>
      </c>
      <c r="E18" s="213">
        <f t="shared" si="4"/>
        <v>0.14112180902230803</v>
      </c>
      <c r="F18" s="213">
        <f t="shared" si="4"/>
        <v>7.5272088606887375E-2</v>
      </c>
      <c r="G18" s="213">
        <f t="shared" si="4"/>
        <v>9.4032738681127423E-4</v>
      </c>
      <c r="H18" s="213">
        <f t="shared" si="4"/>
        <v>5.6764727909234813E-2</v>
      </c>
      <c r="I18" s="213">
        <f t="shared" si="4"/>
        <v>4.717529664280239E-4</v>
      </c>
      <c r="J18" s="213">
        <f t="shared" si="4"/>
        <v>8.7593987061567249E-3</v>
      </c>
      <c r="K18" s="213">
        <f t="shared" si="4"/>
        <v>0</v>
      </c>
      <c r="L18" s="213">
        <f t="shared" si="4"/>
        <v>0</v>
      </c>
      <c r="M18" s="213">
        <f t="shared" si="4"/>
        <v>4.2613962387871547E-3</v>
      </c>
      <c r="N18" s="213">
        <f t="shared" si="4"/>
        <v>4.1186601218840316E-4</v>
      </c>
      <c r="O18" s="85">
        <f t="shared" si="4"/>
        <v>3.4973012643353056E-4</v>
      </c>
      <c r="P18" s="85">
        <f t="shared" si="4"/>
        <v>0</v>
      </c>
      <c r="Q18" s="85">
        <f t="shared" si="4"/>
        <v>0</v>
      </c>
      <c r="R18" s="85">
        <f t="shared" si="4"/>
        <v>0</v>
      </c>
      <c r="S18" s="85">
        <f t="shared" si="4"/>
        <v>0</v>
      </c>
      <c r="T18" s="85">
        <f t="shared" si="3"/>
        <v>1.0000000000000002</v>
      </c>
    </row>
    <row r="19" spans="1:20" x14ac:dyDescent="0.2">
      <c r="B19" s="209"/>
      <c r="C19" s="209"/>
      <c r="D19" s="209"/>
      <c r="E19" s="209"/>
      <c r="F19" s="209"/>
      <c r="G19" s="209"/>
      <c r="H19" s="209"/>
      <c r="I19" s="209"/>
      <c r="J19" s="209"/>
      <c r="K19" s="209"/>
      <c r="L19" s="209"/>
      <c r="M19" s="209"/>
      <c r="N19" s="209"/>
    </row>
    <row r="20" spans="1:20" x14ac:dyDescent="0.2"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</row>
    <row r="21" spans="1:20" x14ac:dyDescent="0.2">
      <c r="B21" s="209"/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</row>
    <row r="22" spans="1:20" x14ac:dyDescent="0.2"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</row>
    <row r="23" spans="1:20" x14ac:dyDescent="0.2"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</row>
    <row r="24" spans="1:20" x14ac:dyDescent="0.2"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1:20" x14ac:dyDescent="0.2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</row>
    <row r="26" spans="1:20" x14ac:dyDescent="0.2"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1:20" x14ac:dyDescent="0.2"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</row>
    <row r="28" spans="1:20" x14ac:dyDescent="0.2"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</row>
    <row r="29" spans="1:20" x14ac:dyDescent="0.2"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</row>
    <row r="30" spans="1:20" x14ac:dyDescent="0.2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</row>
    <row r="31" spans="1:20" x14ac:dyDescent="0.2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</row>
    <row r="32" spans="1:20" x14ac:dyDescent="0.2"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</row>
    <row r="33" spans="2:14" x14ac:dyDescent="0.2"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</row>
    <row r="34" spans="2:14" x14ac:dyDescent="0.2"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</row>
    <row r="35" spans="2:14" x14ac:dyDescent="0.2"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</row>
    <row r="36" spans="2:14" x14ac:dyDescent="0.2"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</row>
    <row r="37" spans="2:14" x14ac:dyDescent="0.2">
      <c r="B37" s="209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</row>
    <row r="38" spans="2:14" x14ac:dyDescent="0.2"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</row>
    <row r="39" spans="2:14" x14ac:dyDescent="0.2"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</row>
    <row r="40" spans="2:14" x14ac:dyDescent="0.2"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</row>
    <row r="48" spans="2:14" x14ac:dyDescent="0.2">
      <c r="F48" s="6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workbookViewId="0">
      <selection activeCell="R24" sqref="R24"/>
    </sheetView>
  </sheetViews>
  <sheetFormatPr defaultColWidth="8.85546875" defaultRowHeight="12.75" x14ac:dyDescent="0.2"/>
  <cols>
    <col min="1" max="16384" width="8.85546875" style="109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x14ac:dyDescent="0.2"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x14ac:dyDescent="0.2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x14ac:dyDescent="0.2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x14ac:dyDescent="0.2"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x14ac:dyDescent="0.2"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x14ac:dyDescent="0.2"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</row>
    <row r="12" spans="2:14" x14ac:dyDescent="0.2"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</row>
    <row r="13" spans="2:14" x14ac:dyDescent="0.2"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</row>
    <row r="14" spans="2:14" x14ac:dyDescent="0.2"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</row>
    <row r="15" spans="2:14" x14ac:dyDescent="0.2"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</row>
    <row r="16" spans="2:14" x14ac:dyDescent="0.2"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</row>
    <row r="17" spans="2:14" x14ac:dyDescent="0.2"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</row>
    <row r="18" spans="2:14" x14ac:dyDescent="0.2"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</row>
    <row r="19" spans="2:14" x14ac:dyDescent="0.2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</row>
    <row r="20" spans="2:14" x14ac:dyDescent="0.2"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</row>
    <row r="21" spans="2:14" x14ac:dyDescent="0.2"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</row>
    <row r="22" spans="2:14" x14ac:dyDescent="0.2"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</row>
    <row r="23" spans="2:14" x14ac:dyDescent="0.2"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</row>
    <row r="24" spans="2:14" x14ac:dyDescent="0.2"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</row>
    <row r="25" spans="2:14" x14ac:dyDescent="0.2">
      <c r="B25" s="207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</row>
    <row r="26" spans="2:14" x14ac:dyDescent="0.2"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</row>
    <row r="27" spans="2:14" x14ac:dyDescent="0.2"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</row>
    <row r="28" spans="2:14" x14ac:dyDescent="0.2"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</row>
    <row r="29" spans="2:14" x14ac:dyDescent="0.2"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</row>
    <row r="30" spans="2:14" x14ac:dyDescent="0.2"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</row>
    <row r="31" spans="2:14" x14ac:dyDescent="0.2">
      <c r="B31" s="207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</row>
    <row r="32" spans="2:14" x14ac:dyDescent="0.2">
      <c r="B32" s="207"/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</row>
    <row r="33" spans="2:14" x14ac:dyDescent="0.2"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</row>
    <row r="34" spans="2:14" x14ac:dyDescent="0.2"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</row>
    <row r="35" spans="2:14" x14ac:dyDescent="0.2"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</row>
    <row r="36" spans="2:14" x14ac:dyDescent="0.2"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</row>
    <row r="37" spans="2:14" x14ac:dyDescent="0.2"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</row>
    <row r="38" spans="2:14" x14ac:dyDescent="0.2"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</row>
    <row r="39" spans="2:14" x14ac:dyDescent="0.2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</row>
    <row r="40" spans="2:14" x14ac:dyDescent="0.2"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</row>
    <row r="48" spans="2:14" x14ac:dyDescent="0.2">
      <c r="F48" s="1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A53FAD20FDB24790A92C6AF5C0B3F1" ma:contentTypeVersion="16" ma:contentTypeDescription="" ma:contentTypeScope="" ma:versionID="4d8ef10940e0f2470d1a554e439f41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2024-01-30T08:00:00+00:00</OpenedDate>
    <SignificantOrder xmlns="dc463f71-b30c-4ab2-9473-d307f9d35888">false</SignificantOrder>
    <Date1 xmlns="dc463f71-b30c-4ab2-9473-d307f9d35888">2024-01-30T08:00:00+00:00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9C204D6-E85C-432B-9A90-D6C665573FEE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4E36E84-C287-4484-A948-EAEB0A9EE377}"/>
</file>

<file path=customXml/itemProps3.xml><?xml version="1.0" encoding="utf-8"?>
<ds:datastoreItem xmlns:ds="http://schemas.openxmlformats.org/officeDocument/2006/customXml" ds:itemID="{BD617ABD-4200-41E9-9823-FE0ADD3D427E}"/>
</file>

<file path=customXml/itemProps4.xml><?xml version="1.0" encoding="utf-8"?>
<ds:datastoreItem xmlns:ds="http://schemas.openxmlformats.org/officeDocument/2006/customXml" ds:itemID="{A40AB579-ACF0-40C7-9B7B-51FF18E3860A}"/>
</file>

<file path=customXml/itemProps5.xml><?xml version="1.0" encoding="utf-8"?>
<ds:datastoreItem xmlns:ds="http://schemas.openxmlformats.org/officeDocument/2006/customXml" ds:itemID="{B026EBFC-6083-451A-A64D-A3A57C160C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Rate Impacts</vt:lpstr>
      <vt:lpstr>Typical Residential Notice</vt:lpstr>
      <vt:lpstr>Allocation</vt:lpstr>
      <vt:lpstr>Estimated Proforma Net Revenue</vt:lpstr>
      <vt:lpstr>TEP 12NCP</vt:lpstr>
      <vt:lpstr>Prior RY Rate Design</vt:lpstr>
      <vt:lpstr>Workpapers&gt;</vt:lpstr>
      <vt:lpstr>2022 GRC Load Research - NCP</vt:lpstr>
      <vt:lpstr>Controls-&gt;</vt:lpstr>
      <vt:lpstr>Inputs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Myhrum, Isaac</cp:lastModifiedBy>
  <cp:lastPrinted>2019-10-28T17:03:02Z</cp:lastPrinted>
  <dcterms:created xsi:type="dcterms:W3CDTF">2006-05-11T20:49:14Z</dcterms:created>
  <dcterms:modified xsi:type="dcterms:W3CDTF">2024-01-13T00:31:39Z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0x0101006E56B4D1795A2E4DB2F0B01679ED314A0026A53FAD20FDB24790A92C6AF5C0B3F1</vt:lpwstr>
  </property>
  <property fmtid="{D5CDD505-2E9C-101B-9397-08002B2CF9AE}" pid="3" name="_docset_NoMedatataSyncRequired">
    <vt:lpwstr>False</vt:lpwstr>
  </property>
</Properties>
</file>