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59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Empire 2120\Dump Fee\Spokane 1-1-2024\"/>
    </mc:Choice>
  </mc:AlternateContent>
  <xr:revisionPtr revIDLastSave="0" documentId="13_ncr:1_{4972EB82-7AE1-4BD3-BAE0-644BEA53C3C5}" xr6:coauthVersionLast="47" xr6:coauthVersionMax="47" xr10:uidLastSave="{00000000-0000-0000-0000-000000000000}"/>
  <bookViews>
    <workbookView xWindow="28680" yWindow="-120" windowWidth="29040" windowHeight="15840" tabRatio="771" activeTab="2" xr2:uid="{00000000-000D-0000-FFFF-FFFF00000000}"/>
  </bookViews>
  <sheets>
    <sheet name="References" sheetId="2" r:id="rId1"/>
    <sheet name="Spokane DF Calc" sheetId="3" r:id="rId2"/>
    <sheet name="Proposed Rates" sheetId="4" r:id="rId3"/>
    <sheet name="Spokane Reg - Price out 2023" sheetId="9" r:id="rId4"/>
    <sheet name="Disposal 2023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#REF!</definedName>
    <definedName name="\c">'[1]10200'!$IU$8196</definedName>
    <definedName name="\D">#REF!</definedName>
    <definedName name="\E">'[2]#REF'!$AD$4</definedName>
    <definedName name="\R">'[2]#REF'!$AD$8</definedName>
    <definedName name="\S">#REF!</definedName>
    <definedName name="\Y">#REF!</definedName>
    <definedName name="\z">#REF!</definedName>
    <definedName name="______________CYA1">[3]Hidden!$N$11</definedName>
    <definedName name="______________CYA10">[3]Hidden!$E$11</definedName>
    <definedName name="______________CYA11">[3]Hidden!$P$11</definedName>
    <definedName name="______________CYA2">[3]Hidden!$M$11</definedName>
    <definedName name="______________CYA3">[3]Hidden!$L$11</definedName>
    <definedName name="______________CYA4">[3]Hidden!$K$11</definedName>
    <definedName name="______________CYA5">[3]Hidden!$J$11</definedName>
    <definedName name="______________CYA6">[3]Hidden!$I$11</definedName>
    <definedName name="______________CYA7">[3]Hidden!$H$11</definedName>
    <definedName name="______________CYA8">[3]Hidden!$G$11</definedName>
    <definedName name="______________CYA9">[3]Hidden!$F$11</definedName>
    <definedName name="______________LYA12">[3]Hidden!$O$11</definedName>
    <definedName name="_____________CYA1">[3]Hidden!$N$11</definedName>
    <definedName name="_____________CYA10">[3]Hidden!$E$11</definedName>
    <definedName name="_____________CYA11">[3]Hidden!$P$11</definedName>
    <definedName name="_____________CYA2">[3]Hidden!$M$11</definedName>
    <definedName name="_____________CYA3">[3]Hidden!$L$11</definedName>
    <definedName name="_____________CYA4">[3]Hidden!$K$11</definedName>
    <definedName name="_____________CYA5">[3]Hidden!$J$11</definedName>
    <definedName name="_____________CYA6">[3]Hidden!$I$11</definedName>
    <definedName name="_____________CYA7">[3]Hidden!$H$11</definedName>
    <definedName name="_____________CYA8">[3]Hidden!$G$11</definedName>
    <definedName name="_____________CYA9">[3]Hidden!$F$11</definedName>
    <definedName name="_____________LYA12">[3]Hidden!$O$11</definedName>
    <definedName name="____________CYA1">[3]Hidden!$N$11</definedName>
    <definedName name="____________CYA10">[3]Hidden!$E$11</definedName>
    <definedName name="____________CYA11">[3]Hidden!$P$11</definedName>
    <definedName name="____________CYA2">[3]Hidden!$M$11</definedName>
    <definedName name="____________CYA3">[3]Hidden!$L$11</definedName>
    <definedName name="____________CYA4">[3]Hidden!$K$11</definedName>
    <definedName name="____________CYA5">[3]Hidden!$J$11</definedName>
    <definedName name="____________CYA6">[3]Hidden!$I$11</definedName>
    <definedName name="____________CYA7">[3]Hidden!$H$11</definedName>
    <definedName name="____________CYA8">[3]Hidden!$G$11</definedName>
    <definedName name="____________CYA9">[3]Hidden!$F$11</definedName>
    <definedName name="____________LYA12">[3]Hidden!$O$11</definedName>
    <definedName name="___________CYA1">[3]Hidden!$N$11</definedName>
    <definedName name="___________CYA10">[3]Hidden!$E$11</definedName>
    <definedName name="___________CYA11">[3]Hidden!$P$11</definedName>
    <definedName name="___________CYA2">[3]Hidden!$M$11</definedName>
    <definedName name="___________CYA3">[3]Hidden!$L$11</definedName>
    <definedName name="___________CYA4">[3]Hidden!$K$11</definedName>
    <definedName name="___________CYA5">[3]Hidden!$J$11</definedName>
    <definedName name="___________CYA6">[3]Hidden!$I$11</definedName>
    <definedName name="___________CYA7">[3]Hidden!$H$11</definedName>
    <definedName name="___________CYA8">[3]Hidden!$G$11</definedName>
    <definedName name="___________CYA9">[3]Hidden!$F$11</definedName>
    <definedName name="___________LYA12">[3]Hidden!$O$11</definedName>
    <definedName name="__________CYA1">[3]Hidden!$N$11</definedName>
    <definedName name="__________CYA10">[3]Hidden!$E$11</definedName>
    <definedName name="__________CYA11">[3]Hidden!$P$11</definedName>
    <definedName name="__________CYA2">[3]Hidden!$M$11</definedName>
    <definedName name="__________CYA3">[3]Hidden!$L$11</definedName>
    <definedName name="__________CYA4">[3]Hidden!$K$11</definedName>
    <definedName name="__________CYA5">[3]Hidden!$J$11</definedName>
    <definedName name="__________CYA6">[3]Hidden!$I$11</definedName>
    <definedName name="__________CYA7">[3]Hidden!$H$11</definedName>
    <definedName name="__________CYA8">[3]Hidden!$G$11</definedName>
    <definedName name="__________CYA9">[3]Hidden!$F$11</definedName>
    <definedName name="__________LYA12">[3]Hidden!$O$11</definedName>
    <definedName name="_________CYA1">[3]Hidden!$N$11</definedName>
    <definedName name="_________CYA10">[3]Hidden!$E$11</definedName>
    <definedName name="_________CYA11">[3]Hidden!$P$11</definedName>
    <definedName name="_________CYA2">[3]Hidden!$M$11</definedName>
    <definedName name="_________CYA3">[3]Hidden!$L$11</definedName>
    <definedName name="_________CYA4">[3]Hidden!$K$11</definedName>
    <definedName name="_________CYA5">[3]Hidden!$J$11</definedName>
    <definedName name="_________CYA6">[3]Hidden!$I$11</definedName>
    <definedName name="_________CYA7">[3]Hidden!$H$11</definedName>
    <definedName name="_________CYA8">[3]Hidden!$G$11</definedName>
    <definedName name="_________CYA9">[3]Hidden!$F$11</definedName>
    <definedName name="_________LYA12">[3]Hidden!$O$11</definedName>
    <definedName name="________CYA1">[3]Hidden!$N$11</definedName>
    <definedName name="________CYA10">[3]Hidden!$E$11</definedName>
    <definedName name="________CYA11">[3]Hidden!$P$11</definedName>
    <definedName name="________CYA2">[3]Hidden!$M$11</definedName>
    <definedName name="________CYA3">[3]Hidden!$L$11</definedName>
    <definedName name="________CYA4">[3]Hidden!$K$11</definedName>
    <definedName name="________CYA5">[3]Hidden!$J$11</definedName>
    <definedName name="________CYA6">[3]Hidden!$I$11</definedName>
    <definedName name="________CYA7">[3]Hidden!$H$11</definedName>
    <definedName name="________CYA8">[3]Hidden!$G$11</definedName>
    <definedName name="________CYA9">[3]Hidden!$F$11</definedName>
    <definedName name="________LYA12">[3]Hidden!$O$11</definedName>
    <definedName name="_______CYA1">[3]Hidden!$N$11</definedName>
    <definedName name="_______CYA10">[3]Hidden!$E$11</definedName>
    <definedName name="_______CYA11">[3]Hidden!$P$11</definedName>
    <definedName name="_______CYA2">[3]Hidden!$M$11</definedName>
    <definedName name="_______CYA3">[3]Hidden!$L$11</definedName>
    <definedName name="_______CYA4">[3]Hidden!$K$11</definedName>
    <definedName name="_______CYA5">[3]Hidden!$J$11</definedName>
    <definedName name="_______CYA6">[3]Hidden!$I$11</definedName>
    <definedName name="_______CYA7">[3]Hidden!$H$11</definedName>
    <definedName name="_______CYA8">[3]Hidden!$G$11</definedName>
    <definedName name="_______CYA9">[3]Hidden!$F$11</definedName>
    <definedName name="_______LYA12">[3]Hidden!$O$11</definedName>
    <definedName name="______ACT1">[4]Hidden!#REF!</definedName>
    <definedName name="______ACT2">[4]Hidden!#REF!</definedName>
    <definedName name="______ACT3">[4]Hidden!#REF!</definedName>
    <definedName name="______CYA1">[3]Hidden!$N$11</definedName>
    <definedName name="______CYA10">[3]Hidden!$E$11</definedName>
    <definedName name="______CYA11">[3]Hidden!$P$11</definedName>
    <definedName name="______CYA2">[3]Hidden!$M$11</definedName>
    <definedName name="______CYA3">[3]Hidden!$L$11</definedName>
    <definedName name="______CYA4">[3]Hidden!$K$11</definedName>
    <definedName name="______CYA5">[3]Hidden!$J$11</definedName>
    <definedName name="______CYA6">[3]Hidden!$I$11</definedName>
    <definedName name="______CYA7">[3]Hidden!$H$11</definedName>
    <definedName name="______CYA8">[3]Hidden!$G$11</definedName>
    <definedName name="______CYA9">[3]Hidden!$F$11</definedName>
    <definedName name="______LYA12">[3]Hidden!$O$11</definedName>
    <definedName name="_____ACT1">[4]Hidden!#REF!</definedName>
    <definedName name="_____ACT2">[4]Hidden!#REF!</definedName>
    <definedName name="_____ACT3">[4]Hidden!#REF!</definedName>
    <definedName name="_____CYA1">[3]Hidden!$N$11</definedName>
    <definedName name="_____CYA10">[3]Hidden!$E$11</definedName>
    <definedName name="_____CYA11">[3]Hidden!$P$11</definedName>
    <definedName name="_____CYA2">[3]Hidden!$M$11</definedName>
    <definedName name="_____CYA3">[3]Hidden!$L$11</definedName>
    <definedName name="_____CYA4">[3]Hidden!$K$11</definedName>
    <definedName name="_____CYA5">[3]Hidden!$J$11</definedName>
    <definedName name="_____CYA6">[3]Hidden!$I$11</definedName>
    <definedName name="_____CYA7">[3]Hidden!$H$11</definedName>
    <definedName name="_____CYA8">[3]Hidden!$G$11</definedName>
    <definedName name="_____CYA9">[3]Hidden!$F$11</definedName>
    <definedName name="_____LYA12">[3]Hidden!$O$11</definedName>
    <definedName name="____ACT1">[4]Hidden!#REF!</definedName>
    <definedName name="____ACT2">[4]Hidden!#REF!</definedName>
    <definedName name="____ACT3">[4]Hidden!#REF!</definedName>
    <definedName name="____CYA1">[3]Hidden!$N$11</definedName>
    <definedName name="____CYA10">[3]Hidden!$E$11</definedName>
    <definedName name="____CYA11">[3]Hidden!$P$11</definedName>
    <definedName name="____CYA2">[3]Hidden!$M$11</definedName>
    <definedName name="____CYA3">[3]Hidden!$L$11</definedName>
    <definedName name="____CYA4">[3]Hidden!$K$11</definedName>
    <definedName name="____CYA5">[3]Hidden!$J$11</definedName>
    <definedName name="____CYA6">[3]Hidden!$I$11</definedName>
    <definedName name="____CYA7">[3]Hidden!$H$11</definedName>
    <definedName name="____CYA8">[3]Hidden!$G$11</definedName>
    <definedName name="____CYA9">[3]Hidden!$F$11</definedName>
    <definedName name="____LYA12">[3]Hidden!$O$11</definedName>
    <definedName name="___ACT1">[4]Hidden!#REF!</definedName>
    <definedName name="___ACT2">[4]Hidden!#REF!</definedName>
    <definedName name="___ACT3">[4]Hidden!#REF!</definedName>
    <definedName name="___CYA1">[3]Hidden!$N$11</definedName>
    <definedName name="___CYA10">[3]Hidden!$E$11</definedName>
    <definedName name="___CYA11">[3]Hidden!$P$11</definedName>
    <definedName name="___CYA2">[3]Hidden!$M$11</definedName>
    <definedName name="___CYA3">[3]Hidden!$L$11</definedName>
    <definedName name="___CYA4">[3]Hidden!$K$11</definedName>
    <definedName name="___CYA5">[3]Hidden!$J$11</definedName>
    <definedName name="___CYA6">[3]Hidden!$I$11</definedName>
    <definedName name="___CYA7">[3]Hidden!$H$11</definedName>
    <definedName name="___CYA8">[3]Hidden!$G$11</definedName>
    <definedName name="___CYA9">[3]Hidden!$F$11</definedName>
    <definedName name="___LYA12">[3]Hidden!$O$11</definedName>
    <definedName name="__ACT1">[5]Hidden!#REF!</definedName>
    <definedName name="__ACT2">[5]Hidden!#REF!</definedName>
    <definedName name="__ACT3">[5]Hidden!#REF!</definedName>
    <definedName name="__CYA1">[3]Hidden!$N$11</definedName>
    <definedName name="__CYA10">[3]Hidden!$E$11</definedName>
    <definedName name="__CYA11">[3]Hidden!$P$11</definedName>
    <definedName name="__CYA2">[3]Hidden!$M$11</definedName>
    <definedName name="__CYA3">[3]Hidden!$L$11</definedName>
    <definedName name="__CYA4">[3]Hidden!$K$11</definedName>
    <definedName name="__CYA5">[3]Hidden!$J$11</definedName>
    <definedName name="__CYA6">[3]Hidden!$I$11</definedName>
    <definedName name="__CYA7">[3]Hidden!$H$11</definedName>
    <definedName name="__CYA8">[3]Hidden!$G$11</definedName>
    <definedName name="__CYA9">[3]Hidden!$F$11</definedName>
    <definedName name="__LYA1">[6]Hidden!$P$11</definedName>
    <definedName name="__LYA10">[6]Hidden!$G$11</definedName>
    <definedName name="__LYA11">[6]Hidden!$F$11</definedName>
    <definedName name="__LYA12">[3]Hidden!$O$11</definedName>
    <definedName name="__LYA2">[6]Hidden!$O$11</definedName>
    <definedName name="__LYA3">[6]Hidden!$N$11</definedName>
    <definedName name="__LYA4">[6]Hidden!$M$11</definedName>
    <definedName name="__LYA5">[6]Hidden!$L$11</definedName>
    <definedName name="__LYA6">[6]Hidden!$K$11</definedName>
    <definedName name="__LYA7">[6]Hidden!$J$11</definedName>
    <definedName name="__LYA8">[6]Hidden!$I$11</definedName>
    <definedName name="__LYA9">[6]Hidden!$H$11</definedName>
    <definedName name="_123Graph_g" hidden="1">'[2]#REF'!$F$9:$F$83</definedName>
    <definedName name="_13054">'[7]10800-10899'!#REF!</definedName>
    <definedName name="_132" hidden="1">[1]XXXXXX!$B$10:$B$10</definedName>
    <definedName name="_132Graph_h" localSheetId="4" hidden="1">#REF!</definedName>
    <definedName name="_132Graph_h" localSheetId="3" hidden="1">#REF!</definedName>
    <definedName name="_132Graph_h" hidden="1">#REF!</definedName>
    <definedName name="_ACT1" localSheetId="4">[8]Hidden!#REF!</definedName>
    <definedName name="_ACT1" localSheetId="3">[9]Hidden!#REF!</definedName>
    <definedName name="_ACT1">[5]Hidden!#REF!</definedName>
    <definedName name="_ACT2" localSheetId="4">[8]Hidden!#REF!</definedName>
    <definedName name="_ACT2" localSheetId="3">[9]Hidden!#REF!</definedName>
    <definedName name="_ACT2">[5]Hidden!#REF!</definedName>
    <definedName name="_ACT3" localSheetId="4">[8]Hidden!#REF!</definedName>
    <definedName name="_ACT3" localSheetId="3">[9]Hidden!#REF!</definedName>
    <definedName name="_ACT3">[5]Hidden!#REF!</definedName>
    <definedName name="_ACT4">[4]Hidden!#REF!</definedName>
    <definedName name="_BUN1">'[10]2008 West Group IS'!$AJ$5</definedName>
    <definedName name="_BUN3">'[10]2008 Group Office IS'!$AJ$5</definedName>
    <definedName name="_COS1" localSheetId="4">#REF!</definedName>
    <definedName name="_COS1" localSheetId="3">#REF!</definedName>
    <definedName name="_COS1">#REF!</definedName>
    <definedName name="_COS2" localSheetId="4">#REF!</definedName>
    <definedName name="_COS2" localSheetId="3">#REF!</definedName>
    <definedName name="_COS2">#REF!</definedName>
    <definedName name="_CYA1">[3]Hidden!$N$11</definedName>
    <definedName name="_CYA10">[3]Hidden!$E$11</definedName>
    <definedName name="_CYA11">[3]Hidden!$P$11</definedName>
    <definedName name="_CYA2">[3]Hidden!$M$11</definedName>
    <definedName name="_CYA3">[3]Hidden!$L$11</definedName>
    <definedName name="_CYA4">[3]Hidden!$K$11</definedName>
    <definedName name="_CYA5">[3]Hidden!$J$11</definedName>
    <definedName name="_CYA6">[3]Hidden!$I$11</definedName>
    <definedName name="_CYA7">[3]Hidden!$H$11</definedName>
    <definedName name="_CYA8">[3]Hidden!$G$11</definedName>
    <definedName name="_CYA9">[3]Hidden!$F$11</definedName>
    <definedName name="_Fill" localSheetId="4" hidden="1">#REF!</definedName>
    <definedName name="_Fill" localSheetId="3" hidden="1">#REF!</definedName>
    <definedName name="_Fill" hidden="1">#REF!</definedName>
    <definedName name="_xlnm._FilterDatabase" localSheetId="1" hidden="1">'Spokane DF Calc'!$A$1:$T$46</definedName>
    <definedName name="_Key1" localSheetId="4" hidden="1">#REF!</definedName>
    <definedName name="_Key1" localSheetId="3" hidden="1">#REF!</definedName>
    <definedName name="_Key1" hidden="1">#REF!</definedName>
    <definedName name="_Key2" hidden="1">'[2]#REF'!$D$12</definedName>
    <definedName name="_key5" hidden="1">[1]XXXXXX!$H$10</definedName>
    <definedName name="_LYA1">[6]Hidden!$P$11</definedName>
    <definedName name="_LYA10">[6]Hidden!$G$11</definedName>
    <definedName name="_LYA11">[6]Hidden!$F$11</definedName>
    <definedName name="_LYA12">[3]Hidden!$O$11</definedName>
    <definedName name="_LYA2">[6]Hidden!$O$11</definedName>
    <definedName name="_LYA3">[6]Hidden!$N$11</definedName>
    <definedName name="_LYA4">[6]Hidden!$M$11</definedName>
    <definedName name="_LYA5">[6]Hidden!$L$11</definedName>
    <definedName name="_LYA6">[6]Hidden!$K$11</definedName>
    <definedName name="_LYA7">[6]Hidden!$J$11</definedName>
    <definedName name="_LYA8">[6]Hidden!$I$11</definedName>
    <definedName name="_LYA9">[6]Hidden!$H$11</definedName>
    <definedName name="_max" localSheetId="4" hidden="1">#REF!</definedName>
    <definedName name="_max" localSheetId="3" hidden="1">#REF!</definedName>
    <definedName name="_max" hidden="1">#REF!</definedName>
    <definedName name="_Mon" localSheetId="4" hidden="1">#REF!</definedName>
    <definedName name="_Mon" localSheetId="3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[10]WTB!$DC$8</definedName>
    <definedName name="_PER2">'[10]2008 West Group IS'!$AH$8</definedName>
    <definedName name="_PER3">'[10]2008 West Group IS'!$AI$5</definedName>
    <definedName name="_PER4">'[10]2008 Group Office IS'!$AH$8</definedName>
    <definedName name="_PER5">'[10]2008 Group Office IS'!$AI$5</definedName>
    <definedName name="_Regression_Int">0</definedName>
    <definedName name="_SFD1">'[10]2008 West Group IS'!$AK$5</definedName>
    <definedName name="_SFD3">'[10]2008 Group Office IS'!$AK$5</definedName>
    <definedName name="_SFV1">'[10]2008 West Group IS'!$AK$4</definedName>
    <definedName name="_SFV4">'[10]2008 Group Office IS'!$AK$4</definedName>
    <definedName name="_Sort" localSheetId="4" hidden="1">#REF!</definedName>
    <definedName name="_Sort" localSheetId="3" hidden="1">#REF!</definedName>
    <definedName name="_Sort" hidden="1">#REF!</definedName>
    <definedName name="_Sort1" hidden="1">'[2]#REF'!$A$10:$Z$281</definedName>
    <definedName name="_sort3" hidden="1">[1]XXXXXX!$G$10:$J$11</definedName>
    <definedName name="a">#REF!</definedName>
    <definedName name="aaaaaaa" localSheetId="4">rank</definedName>
    <definedName name="aaaaaaa">rank</definedName>
    <definedName name="Accounts">#REF!</definedName>
    <definedName name="ACCT" localSheetId="4">[3]Hidden!$D$11</definedName>
    <definedName name="ACCT" localSheetId="3">[8]Hidden!#REF!</definedName>
    <definedName name="ACCT">[5]Hidden!#REF!</definedName>
    <definedName name="ACCT.ConsolSum">[3]Hidden!$Q$11</definedName>
    <definedName name="AcctName">'[11]2012 Act-Fcast P&amp;L'!#REF!</definedName>
    <definedName name="ACT_CUR" localSheetId="4">[8]Hidden!#REF!</definedName>
    <definedName name="ACT_CUR" localSheetId="3">[8]Hidden!#REF!</definedName>
    <definedName name="ACT_CUR">[5]Hidden!#REF!</definedName>
    <definedName name="ACT_YTD" localSheetId="4">[8]Hidden!#REF!</definedName>
    <definedName name="ACT_YTD" localSheetId="3">[9]Hidden!#REF!</definedName>
    <definedName name="ACT_YTD">[5]Hidden!#REF!</definedName>
    <definedName name="AD">'[1]ACC DEP 12XXX'!$A$4:$L$22</definedName>
    <definedName name="adfd" localSheetId="4">rank</definedName>
    <definedName name="adfd">rank</definedName>
    <definedName name="ADK">'[1]10250_Recy Chkg'!$D$27</definedName>
    <definedName name="afsdfsdfsd">#REF!</definedName>
    <definedName name="AmountCount" localSheetId="4">#REF!</definedName>
    <definedName name="AmountCount" localSheetId="3">#REF!</definedName>
    <definedName name="AmountCount">#REF!</definedName>
    <definedName name="AmountCount1" localSheetId="4">#REF!</definedName>
    <definedName name="AmountCount1" localSheetId="3">#REF!</definedName>
    <definedName name="AmountCount1">#REF!</definedName>
    <definedName name="AmountFrom">#REF!</definedName>
    <definedName name="AmountTo">#REF!</definedName>
    <definedName name="AmountTotal" localSheetId="4">#REF!</definedName>
    <definedName name="AmountTotal" localSheetId="3">#REF!</definedName>
    <definedName name="AmountTotal">#REF!</definedName>
    <definedName name="AmountTotal1" localSheetId="4">#REF!</definedName>
    <definedName name="AmountTotal1" localSheetId="3">#REF!</definedName>
    <definedName name="AmountTotal1">#REF!</definedName>
    <definedName name="AOK">#REF!</definedName>
    <definedName name="APA">'[12]Income Statement (WMofWA)'!#REF!</definedName>
    <definedName name="APN">'[12]Income Statement (WMofWA)'!#REF!</definedName>
    <definedName name="ASD">'[12]Income Statement (WMofWA)'!#REF!</definedName>
    <definedName name="AST">'[12]Income Statement (WMofWA)'!#REF!</definedName>
    <definedName name="BaseMonthDate">[13]Settings!$I$15</definedName>
    <definedName name="BaseMonthDate2">[13]Settings!$I$16</definedName>
    <definedName name="BaseMonthDate3">[13]Settings!$I$17</definedName>
    <definedName name="BaseYear">#REF!</definedName>
    <definedName name="BEGCELL">#REF!</definedName>
    <definedName name="begin">#REF!</definedName>
    <definedName name="BookRev" localSheetId="4">'[14]Pacific Regulated - Price Out'!$F$50</definedName>
    <definedName name="BookRev" localSheetId="3">'[15]Pacific Regulated - Price Out'!$F$50</definedName>
    <definedName name="BookRev">'[16]Pacific Regulated - Price Out'!$F$50</definedName>
    <definedName name="BookRev_com" localSheetId="4">'[14]Pacific Regulated - Price Out'!$F$214</definedName>
    <definedName name="BookRev_com" localSheetId="3">'[15]Pacific Regulated - Price Out'!$F$214</definedName>
    <definedName name="BookRev_com">'[16]Pacific Regulated - Price Out'!$F$214</definedName>
    <definedName name="BookRev_mfr" localSheetId="4">'[14]Pacific Regulated - Price Out'!$F$222</definedName>
    <definedName name="BookRev_mfr" localSheetId="3">'[15]Pacific Regulated - Price Out'!$F$222</definedName>
    <definedName name="BookRev_mfr">'[16]Pacific Regulated - Price Out'!$F$222</definedName>
    <definedName name="BookRev_ro" localSheetId="4">'[14]Pacific Regulated - Price Out'!$F$282</definedName>
    <definedName name="BookRev_ro" localSheetId="3">'[15]Pacific Regulated - Price Out'!$F$282</definedName>
    <definedName name="BookRev_ro">'[16]Pacific Regulated - Price Out'!$F$282</definedName>
    <definedName name="BookRev_rr" localSheetId="4">'[14]Pacific Regulated - Price Out'!$F$59</definedName>
    <definedName name="BookRev_rr" localSheetId="3">'[15]Pacific Regulated - Price Out'!$F$59</definedName>
    <definedName name="BookRev_rr">'[16]Pacific Regulated - Price Out'!$F$59</definedName>
    <definedName name="BookRev_yw" localSheetId="4">'[14]Pacific Regulated - Price Out'!$F$70</definedName>
    <definedName name="BookRev_yw" localSheetId="3">'[15]Pacific Regulated - Price Out'!$F$70</definedName>
    <definedName name="BookRev_yw">'[16]Pacific Regulated - Price Out'!$F$70</definedName>
    <definedName name="BREMAIR_COST_of_SERVICE_STUDY" localSheetId="4">#REF!</definedName>
    <definedName name="BREMAIR_COST_of_SERVICE_STUDY" localSheetId="3">#REF!</definedName>
    <definedName name="BREMAIR_COST_of_SERVICE_STUDY">#REF!</definedName>
    <definedName name="Brokerage">'[17]Finance Charges'!$H$8</definedName>
    <definedName name="BUD_CUR" localSheetId="4">[8]Hidden!#REF!</definedName>
    <definedName name="BUD_CUR" localSheetId="3">[8]Hidden!#REF!</definedName>
    <definedName name="BUD_CUR">[5]Hidden!#REF!</definedName>
    <definedName name="BUD_YTD" localSheetId="4">[8]Hidden!#REF!</definedName>
    <definedName name="BUD_YTD" localSheetId="3">[9]Hidden!#REF!</definedName>
    <definedName name="BUD_YTD">[5]Hidden!#REF!</definedName>
    <definedName name="BUN">[10]WTB!$DD$5</definedName>
    <definedName name="BusUnitCode">[13]Settings!$I$3</definedName>
    <definedName name="BusUnitName">[13]Settings!$I$4</definedName>
    <definedName name="BUV">'[12]Income Statement (WMofWA)'!#REF!</definedName>
    <definedName name="Calc">[10]WTB!#REF!</definedName>
    <definedName name="Calc0">[10]WTB!#REF!</definedName>
    <definedName name="Calc1">[10]WTB!#REF!</definedName>
    <definedName name="Calc10">[10]WTB!#REF!</definedName>
    <definedName name="Calc11">[10]WTB!#REF!</definedName>
    <definedName name="Calc12">[10]WTB!#REF!</definedName>
    <definedName name="Calc13">[10]WTB!#REF!</definedName>
    <definedName name="Calc14">[10]WTB!#REF!</definedName>
    <definedName name="Calc15">[10]WTB!#REF!</definedName>
    <definedName name="Calc16">[10]WTB!#REF!</definedName>
    <definedName name="Calc17">[10]WTB!#REF!</definedName>
    <definedName name="Calc18">[10]WTB!#REF!</definedName>
    <definedName name="Calc2">[10]WTB!#REF!</definedName>
    <definedName name="Calc3">[10]WTB!#REF!</definedName>
    <definedName name="Calc4">[10]WTB!#REF!</definedName>
    <definedName name="Calc5">[10]WTB!#REF!</definedName>
    <definedName name="Calc6">[10]WTB!#REF!</definedName>
    <definedName name="Calc7">[10]WTB!#REF!</definedName>
    <definedName name="Calc8">[10]WTB!#REF!</definedName>
    <definedName name="Calc9">[10]WTB!#REF!</definedName>
    <definedName name="CalRecyTons" localSheetId="4">'[18]Recycl Tons, Commodity Value'!$L$23</definedName>
    <definedName name="CalRecyTons" localSheetId="3">'[19]Recycl Tons, Commodity Value'!$L$23</definedName>
    <definedName name="CalRecyTons">'[20]Recycl Tons, Commodity Value'!$L$23</definedName>
    <definedName name="CanCartTons">[21]CanCartTonsAllocate!$E$3</definedName>
    <definedName name="CheckTotals" localSheetId="4">#REF!</definedName>
    <definedName name="CheckTotals" localSheetId="3">#REF!</definedName>
    <definedName name="CheckTotals">#REF!</definedName>
    <definedName name="clear">#REF!</definedName>
    <definedName name="CoCanTons">[22]Cust_Count1!$M$28</definedName>
    <definedName name="CoComYd">'[22]Gross Yardage Worksheet'!$L$16</definedName>
    <definedName name="CoCustCnt">#REF!</definedName>
    <definedName name="colgroup">[3]Orientation!$G$6</definedName>
    <definedName name="colsegment">[3]Orientation!$F$6</definedName>
    <definedName name="Comments">[23]Main!$K$57:INDEX([23]Main!$K$57:$K$59,SUMPRODUCT(--([23]Main!$K$57:$K$59&lt;&gt;"")))</definedName>
    <definedName name="CommlStaffPriceOut" localSheetId="4">'[24]Price Out-Reg EASTSIDE-Resi'!#REF!</definedName>
    <definedName name="CommlStaffPriceOut" localSheetId="3">'[24]Price Out-Reg EASTSIDE-Resi'!#REF!</definedName>
    <definedName name="CommlStaffPriceOut">'[24]Price Out-Reg EASTSIDE-Resi'!#REF!</definedName>
    <definedName name="CoMultiYd">'[22]Gross Yardage Worksheet'!$L$31</definedName>
    <definedName name="ContainerTons">[21]ContainerTonsAllocation!$E$2</definedName>
    <definedName name="ControlNumber">[25]Summary!$J$8</definedName>
    <definedName name="COST_OF_SERVICE_STUDY">#REF!</definedName>
    <definedName name="Coststudy">#REF!</definedName>
    <definedName name="CoXtraYds">#REF!</definedName>
    <definedName name="CR">#REF!</definedName>
    <definedName name="CRCTable" localSheetId="4">#REF!</definedName>
    <definedName name="CRCTable" localSheetId="3">#REF!</definedName>
    <definedName name="CRCTable">#REF!</definedName>
    <definedName name="CRCTableOLD" localSheetId="4">#REF!</definedName>
    <definedName name="CRCTableOLD" localSheetId="3">#REF!</definedName>
    <definedName name="CRCTableOLD">#REF!</definedName>
    <definedName name="CriteriaType">[26]ControlPanel!$Z$2:$Z$5</definedName>
    <definedName name="CtyCanTons">[22]Cust_Count1!$N$28</definedName>
    <definedName name="CtyComYd">'[22]Gross Yardage Worksheet'!$L$49</definedName>
    <definedName name="CtyCustCnt">#REF!</definedName>
    <definedName name="CtyMultiYd">'[22]Gross Yardage Worksheet'!$L$64</definedName>
    <definedName name="CtyXtraYds">#REF!</definedName>
    <definedName name="CUR">'[27]O-9'!#REF!</definedName>
    <definedName name="Currency">[23]Main!$I$82</definedName>
    <definedName name="CurrentMonth" localSheetId="4">'[28]38000 Other Rev'!$H$8</definedName>
    <definedName name="CurrentMonth" localSheetId="3">'[29]38000 Other Rev'!$H$8</definedName>
    <definedName name="CurrentMonth">'[30]38000 Other Rev'!$H$8</definedName>
    <definedName name="Cutomers" localSheetId="4">#REF!</definedName>
    <definedName name="Cutomers" localSheetId="3">#REF!</definedName>
    <definedName name="Cutomers">#REF!</definedName>
    <definedName name="CWR">'[1]SALES TAX RETURN_20140'!$A$1:$E$49</definedName>
    <definedName name="CWRS">#REF!</definedName>
    <definedName name="CYear">'[27]O-9'!#REF!</definedName>
    <definedName name="dasd" localSheetId="4">rank</definedName>
    <definedName name="dasd">rank</definedName>
    <definedName name="Data_End_Test">#REF!</definedName>
    <definedName name="Data_Start_Test">#REF!</definedName>
    <definedName name="_xlnm.Database" localSheetId="4">#REF!</definedName>
    <definedName name="_xlnm.Database" localSheetId="3">#REF!</definedName>
    <definedName name="_xlnm.Database">#REF!</definedName>
    <definedName name="Database_MI">#REF!</definedName>
    <definedName name="Database1" localSheetId="4">#REF!</definedName>
    <definedName name="Database1" localSheetId="3">#REF!</definedName>
    <definedName name="Database1">#REF!</definedName>
    <definedName name="DateFrom" localSheetId="4">'[28]38000 Other Rev'!$G$12</definedName>
    <definedName name="DateFrom" localSheetId="3">'[29]38000 Other Rev'!$G$12</definedName>
    <definedName name="DateFrom">'[30]38000 Other Rev'!$G$12</definedName>
    <definedName name="DateRange">#REF!</definedName>
    <definedName name="DateTo" localSheetId="4">'[28]38000 Other Rev'!$G$13</definedName>
    <definedName name="DateTo" localSheetId="3">'[29]38000 Other Rev'!$G$13</definedName>
    <definedName name="DateTo">'[30]38000 Other Rev'!$G$13</definedName>
    <definedName name="DAY">'[12]Income Statement (WMofWA)'!#REF!</definedName>
    <definedName name="DBxStaffPriceOut" localSheetId="4">'[24]Price Out-Reg EASTSIDE-Resi'!#REF!</definedName>
    <definedName name="DBxStaffPriceOut" localSheetId="3">'[24]Price Out-Reg EASTSIDE-Resi'!#REF!</definedName>
    <definedName name="DBxStaffPriceOut">'[24]Price Out-Reg EASTSIDE-Resi'!#REF!</definedName>
    <definedName name="DEBITS">'[1]ASSETS 11XXX'!$A$1:$L$19</definedName>
    <definedName name="debtP">#REF!</definedName>
    <definedName name="DeleteCMReconBook">[25]Summary!$J$10</definedName>
    <definedName name="deletion">#REF!</definedName>
    <definedName name="DEPT" localSheetId="4">[8]Hidden!#REF!</definedName>
    <definedName name="DEPT" localSheetId="3">[9]Hidden!#REF!</definedName>
    <definedName name="DEPT">[5]Hidden!#REF!</definedName>
    <definedName name="Detail">#REF!</definedName>
    <definedName name="DetailBudYear">#REF!</definedName>
    <definedName name="DetailDistrict">#REF!</definedName>
    <definedName name="DispRates">#REF!</definedName>
    <definedName name="Dist" localSheetId="4">[31]Data!$E$3</definedName>
    <definedName name="Dist" localSheetId="3">[32]Data!$E$3</definedName>
    <definedName name="Dist">[33]Data!$E$3</definedName>
    <definedName name="District" localSheetId="4">#REF!</definedName>
    <definedName name="District" localSheetId="3">'[34]Vashon BS'!#REF!</definedName>
    <definedName name="District">'[35]Vashon BS'!#REF!</definedName>
    <definedName name="District_1">'[36]Vashon BS'!#REF!</definedName>
    <definedName name="DistrictName">[25]Summary!$M$8</definedName>
    <definedName name="DistrictNum" localSheetId="4">#REF!</definedName>
    <definedName name="DistrictNum" localSheetId="3">#REF!</definedName>
    <definedName name="DistrictNum">#REF!</definedName>
    <definedName name="Districts">#REF!</definedName>
    <definedName name="DistrictSelection">[37]Summary!$C$6</definedName>
    <definedName name="DistStaffSignOffStatus">[25]Summary!$N$19</definedName>
    <definedName name="DivisionSignOffReq">[25]Summary!$M$11</definedName>
    <definedName name="DivSignOffStatus">[25]Summary!$N$18</definedName>
    <definedName name="dOG" localSheetId="4">#REF!</definedName>
    <definedName name="dOG" localSheetId="3">#REF!</definedName>
    <definedName name="dOG">#REF!</definedName>
    <definedName name="drlFilter">[3]Settings!$D$27</definedName>
    <definedName name="End" localSheetId="4">'[38]IS-2120'!#REF!</definedName>
    <definedName name="End" localSheetId="3">#REF!</definedName>
    <definedName name="End">'[39]IS-2120'!#REF!</definedName>
    <definedName name="EndTime">'[27]O-9'!#REF!</definedName>
    <definedName name="EntrieShownLimit" localSheetId="4">'[28]38000 Other Rev'!$D$6</definedName>
    <definedName name="EntrieShownLimit" localSheetId="3">'[29]38000 Other Rev'!$D$6</definedName>
    <definedName name="EntrieShownLimit">'[30]38000 Other Rev'!$D$6</definedName>
    <definedName name="ExcludeIC" localSheetId="4">#REF!</definedName>
    <definedName name="ExcludeIC" localSheetId="3">'[34]Vashon BS'!#REF!</definedName>
    <definedName name="ExcludeIC">'[35]Vashon BS'!#REF!</definedName>
    <definedName name="ExcludeIC_1">'[36]Vashon BS'!#REF!</definedName>
    <definedName name="expenses">#REF!</definedName>
    <definedName name="ExpensesPF1">'[40]LG County Area'!$K$8</definedName>
    <definedName name="EXT" localSheetId="4">#REF!</definedName>
    <definedName name="EXT" localSheetId="3">#REF!</definedName>
    <definedName name="EXT">#REF!</definedName>
    <definedName name="FBTable" localSheetId="4">#REF!</definedName>
    <definedName name="FBTable" localSheetId="3">#REF!</definedName>
    <definedName name="FBTable">#REF!</definedName>
    <definedName name="FBTableOld" localSheetId="4">#REF!</definedName>
    <definedName name="FBTableOld" localSheetId="3">#REF!</definedName>
    <definedName name="FBTableOld">#REF!</definedName>
    <definedName name="filter">[3]Settings!$B$14:$H$25</definedName>
    <definedName name="Financial">[10]WTB!#REF!</definedName>
    <definedName name="FirstColCriteria">[10]WTB!#REF!</definedName>
    <definedName name="FirstHeaderCriteria">[10]WTB!#REF!</definedName>
    <definedName name="flag">[10]WTB!#REF!</definedName>
    <definedName name="Format_Column">#REF!</definedName>
    <definedName name="formata">#REF!</definedName>
    <definedName name="formatb">#REF!</definedName>
    <definedName name="FromMonth">#REF!</definedName>
    <definedName name="FundsApprPend" localSheetId="4">[31]Data!#REF!</definedName>
    <definedName name="FundsApprPend" localSheetId="3">[31]Data!#REF!</definedName>
    <definedName name="FundsApprPend">[33]Data!#REF!</definedName>
    <definedName name="FundsBudUnbud" localSheetId="4">[31]Data!#REF!</definedName>
    <definedName name="FundsBudUnbud" localSheetId="3">[31]Data!#REF!</definedName>
    <definedName name="FundsBudUnbud">[33]Data!#REF!</definedName>
    <definedName name="FY">'[12]Income Statement (WMofWA)'!#REF!</definedName>
    <definedName name="GLMappingStart" localSheetId="4">#REF!</definedName>
    <definedName name="GLMappingStart" localSheetId="3">#REF!</definedName>
    <definedName name="GLMappingStart">#REF!</definedName>
    <definedName name="GLMappingStart1" localSheetId="4">#REF!</definedName>
    <definedName name="GLMappingStart1" localSheetId="3">#REF!</definedName>
    <definedName name="GLMappingStart1">#REF!</definedName>
    <definedName name="GRETABLE">[41]Gresham!$E$12:$AI$261</definedName>
    <definedName name="HeaderReturnMessage">[25]Summary!$Q$16</definedName>
    <definedName name="Heading1">'[12]Income Statement (WMofWA)'!#REF!</definedName>
    <definedName name="IDN">'[12]Income Statement (WMofWA)'!#REF!</definedName>
    <definedName name="IFN">'[12]Income Statement (WMofWA)'!#REF!</definedName>
    <definedName name="Import_Range" localSheetId="4">[31]Data!#REF!</definedName>
    <definedName name="Import_Range" localSheetId="3">[31]Data!#REF!</definedName>
    <definedName name="Import_Range">[33]Data!#REF!</definedName>
    <definedName name="IncomeStmnt" localSheetId="4">#REF!</definedName>
    <definedName name="IncomeStmnt" localSheetId="3">#REF!</definedName>
    <definedName name="IncomeStmnt">#REF!</definedName>
    <definedName name="INPUT" localSheetId="4">#REF!</definedName>
    <definedName name="INPUT" localSheetId="3">#REF!</definedName>
    <definedName name="INPUT">#REF!</definedName>
    <definedName name="INPUTc">#REF!</definedName>
    <definedName name="InsertColRange">[10]WTB!#REF!</definedName>
    <definedName name="Insurance" localSheetId="4">#REF!</definedName>
    <definedName name="Insurance" localSheetId="3">#REF!</definedName>
    <definedName name="Insurance">#REF!</definedName>
    <definedName name="Interject_LastPulledValues_BalanceRange" localSheetId="4">#REF!</definedName>
    <definedName name="Interject_LastPulledValues_BalanceRange" localSheetId="3">#REF!</definedName>
    <definedName name="Interject_LastPulledValues_BalanceRange">#REF!</definedName>
    <definedName name="Interject_LastPulledValues_DescriptionRange" localSheetId="4">#REF!</definedName>
    <definedName name="Interject_LastPulledValues_DescriptionRange" localSheetId="3">#REF!</definedName>
    <definedName name="Interject_LastPulledValues_DescriptionRange">#REF!</definedName>
    <definedName name="Interject_LastPulledValues_LastChangeGUID" localSheetId="4">#REF!</definedName>
    <definedName name="Interject_LastPulledValues_LastChangeGUID" localSheetId="3">#REF!</definedName>
    <definedName name="Interject_LastPulledValues_LastChangeGUID">#REF!</definedName>
    <definedName name="Interject_LastPulledValues_PreviousLastChangeGUID" localSheetId="4">#REF!</definedName>
    <definedName name="Interject_LastPulledValues_PreviousLastChangeGUID" localSheetId="3">#REF!</definedName>
    <definedName name="Interject_LastPulledValues_PreviousLastChangeGUID">#REF!</definedName>
    <definedName name="Invoice_Start" localSheetId="4">[31]Invoice_Drill!#REF!</definedName>
    <definedName name="Invoice_Start" localSheetId="3">[31]Invoice_Drill!#REF!</definedName>
    <definedName name="Invoice_Start">[33]Invoice_Drill!#REF!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4">#REF!</definedName>
    <definedName name="JEDetail" localSheetId="3">#REF!</definedName>
    <definedName name="JEDetail">#REF!</definedName>
    <definedName name="JEDetail1" localSheetId="4">#REF!</definedName>
    <definedName name="JEDetail1" localSheetId="3">#REF!</definedName>
    <definedName name="JEDetail1">#REF!</definedName>
    <definedName name="JEType" localSheetId="4">#REF!</definedName>
    <definedName name="JEType" localSheetId="3">#REF!</definedName>
    <definedName name="JEType">#REF!</definedName>
    <definedName name="JEType1" localSheetId="4">#REF!</definedName>
    <definedName name="JEType1" localSheetId="3">#REF!</definedName>
    <definedName name="JEType1">#REF!</definedName>
    <definedName name="Juris1CanCount">[21]Cust_Count1!$C$60</definedName>
    <definedName name="Juris1CanTons">[21]Cust_Count1!$C$30</definedName>
    <definedName name="Juris1ComYd">'[21]Gross Yardage Worksheet'!$L$16</definedName>
    <definedName name="Juris1CustCnt">[21]Cust_Count2!$E$39</definedName>
    <definedName name="Juris1MultiYd">'[21]Gross Yardage Worksheet'!$X$16</definedName>
    <definedName name="Juris1SeasonalYds">'[21]Gross Yardage Worksheet'!$R$18</definedName>
    <definedName name="Juris1XtraYds">[21]Cust_Count2!$E$28</definedName>
    <definedName name="Juris2CanCount">[21]Cust_Count1!$D$60</definedName>
    <definedName name="Juris2CanTons">[21]Cust_Count1!$D$30</definedName>
    <definedName name="Juris2ComYd">'[21]Gross Yardage Worksheet'!$L$33</definedName>
    <definedName name="Juris2CustCnt">[21]Cust_Count2!$F$39</definedName>
    <definedName name="Juris2MultiYd">'[21]Gross Yardage Worksheet'!$X$33</definedName>
    <definedName name="Juris2SeasonalYds">'[21]Gross Yardage Worksheet'!$R$35</definedName>
    <definedName name="Juris2XtraYds">[21]Cust_Count2!$F$28</definedName>
    <definedName name="Juris3CanCount">[21]Cust_Count1!$E$60</definedName>
    <definedName name="Juris3CanTons">[21]Cust_Count1!$E$30</definedName>
    <definedName name="Juris3ComYd">'[21]Gross Yardage Worksheet'!$L$51</definedName>
    <definedName name="Juris3CustCnt">[21]Cust_Count2!$G$39</definedName>
    <definedName name="Juris3MultiYd">'[21]Gross Yardage Worksheet'!$X$51</definedName>
    <definedName name="Juris3SeasonalYds">'[21]Gross Yardage Worksheet'!$R$53</definedName>
    <definedName name="Juris3XtraYds">[21]Cust_Count2!$G$28</definedName>
    <definedName name="Juris4CanCount">[21]Cust_Count1!$F$60</definedName>
    <definedName name="Juris4CanTons">[21]Cust_Count1!$F$30</definedName>
    <definedName name="Juris4ComYd">'[21]Gross Yardage Worksheet'!$L$68</definedName>
    <definedName name="Juris4CustCnt">[21]Cust_Count2!$H$39</definedName>
    <definedName name="Juris4MultiYd">'[21]Gross Yardage Worksheet'!$X$68</definedName>
    <definedName name="Juris4SeasonalYds">'[21]Gross Yardage Worksheet'!$R$70</definedName>
    <definedName name="Juris4XtraYds">[21]Cust_Count2!$H$28</definedName>
    <definedName name="Juris5CanCount">[21]Cust_Count1!$G$60</definedName>
    <definedName name="Juris5CanTons">[21]Cust_Count1!$G$30</definedName>
    <definedName name="Juris5ComYD">'[21]Gross Yardage Worksheet'!$L$85</definedName>
    <definedName name="Juris5CustCnt">[21]Cust_Count2!$I$39</definedName>
    <definedName name="Juris5MultiYd">'[21]Gross Yardage Worksheet'!$X$85</definedName>
    <definedName name="Juris5SeasonalYds">'[21]Gross Yardage Worksheet'!$R$87</definedName>
    <definedName name="Juris5XtraYds">[21]Cust_Count2!$I$28</definedName>
    <definedName name="Jurisdiction_1">'[21]Title Inputs'!$C$5</definedName>
    <definedName name="Jurisdiction_2">'[21]Title Inputs'!$C$6</definedName>
    <definedName name="Jurisdiction_3">'[21]Title Inputs'!$C$7</definedName>
    <definedName name="Jurisdiction_4">'[21]Title Inputs'!$C$8</definedName>
    <definedName name="Jurisdiction_5">'[21]Title Inputs'!$C$9</definedName>
    <definedName name="LAST_ROW">'[42]Income Statement (Tonnage)'!#REF!</definedName>
    <definedName name="LastExecutedFor">[25]Summary!$Q$17</definedName>
    <definedName name="LastSavedOn">[25]Summary!$Q$19</definedName>
    <definedName name="lblBillAreaStatus" localSheetId="4">#REF!</definedName>
    <definedName name="lblBillAreaStatus" localSheetId="3">#REF!</definedName>
    <definedName name="lblBillAreaStatus">#REF!</definedName>
    <definedName name="lblBillCycleStatus" localSheetId="4">#REF!</definedName>
    <definedName name="lblBillCycleStatus" localSheetId="3">#REF!</definedName>
    <definedName name="lblBillCycleStatus">#REF!</definedName>
    <definedName name="lblCategoryStatus" localSheetId="4">#REF!</definedName>
    <definedName name="lblCategoryStatus" localSheetId="3">#REF!</definedName>
    <definedName name="lblCategoryStatus">#REF!</definedName>
    <definedName name="lblCompanyStatus" localSheetId="4">#REF!</definedName>
    <definedName name="lblCompanyStatus" localSheetId="3">#REF!</definedName>
    <definedName name="lblCompanyStatus">#REF!</definedName>
    <definedName name="lblDatabaseStatus" localSheetId="4">#REF!</definedName>
    <definedName name="lblDatabaseStatus" localSheetId="3">#REF!</definedName>
    <definedName name="lblDatabaseStatus">#REF!</definedName>
    <definedName name="lblPullStatus" localSheetId="4">#REF!</definedName>
    <definedName name="lblPullStatus" localSheetId="3">#REF!</definedName>
    <definedName name="lblPullStatus">#REF!</definedName>
    <definedName name="lllllllllllllllllllll" localSheetId="4">#REF!</definedName>
    <definedName name="lllllllllllllllllllll" localSheetId="3">#REF!</definedName>
    <definedName name="lllllllllllllllllllll">#REF!</definedName>
    <definedName name="LOB">[43]DropDownRanges!$B$4:$B$37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U_Line">#REF!</definedName>
    <definedName name="Lurito">#REF!</definedName>
    <definedName name="LYN">'[12]Income Statement (WMofWA)'!#REF!</definedName>
    <definedName name="MainDataEnd" localSheetId="4">#REF!</definedName>
    <definedName name="MainDataEnd" localSheetId="3">#REF!</definedName>
    <definedName name="MainDataEnd">#REF!</definedName>
    <definedName name="MainDataStart" localSheetId="4">#REF!</definedName>
    <definedName name="MainDataStart" localSheetId="3">#REF!</definedName>
    <definedName name="MainDataStart">#REF!</definedName>
    <definedName name="MapKeyStart" localSheetId="4">#REF!</definedName>
    <definedName name="MapKeyStart" localSheetId="3">#REF!</definedName>
    <definedName name="MapKeyStart">#REF!</definedName>
    <definedName name="master_def" localSheetId="4">'[38]IS-2120'!#REF!</definedName>
    <definedName name="master_def" localSheetId="3">#REF!</definedName>
    <definedName name="master_def">'[39]IS-2120'!#REF!</definedName>
    <definedName name="MATRIX" localSheetId="4">#REF!</definedName>
    <definedName name="MATRIX" localSheetId="3">#REF!</definedName>
    <definedName name="MATRIX">#REF!</definedName>
    <definedName name="MemoAttachment" localSheetId="4">#REF!</definedName>
    <definedName name="MemoAttachment" localSheetId="3">#REF!</definedName>
    <definedName name="MemoAttachment">#REF!</definedName>
    <definedName name="MetaSet">[3]Orientation!$C$22</definedName>
    <definedName name="MFStaffPriceOut" localSheetId="4">'[24]Price Out-Reg EASTSIDE-Resi'!#REF!</definedName>
    <definedName name="MFStaffPriceOut" localSheetId="3">'[24]Price Out-Reg EASTSIDE-Resi'!#REF!</definedName>
    <definedName name="MFStaffPriceOut">'[24]Price Out-Reg EASTSIDE-Resi'!#REF!</definedName>
    <definedName name="MILTON">#REF!</definedName>
    <definedName name="MissingAccountList">[25]Summary!$Q$18</definedName>
    <definedName name="Month">#REF!</definedName>
    <definedName name="MonthList" localSheetId="4">'[31]Lookup Tables'!$A$1:$A$13</definedName>
    <definedName name="MonthList" localSheetId="3">'[32]Lookup Tables'!$A$1:$A$13</definedName>
    <definedName name="MonthList">'[33]Lookup Tables'!$A$1:$A$13</definedName>
    <definedName name="MthValue">'[27]O-9'!#REF!</definedName>
    <definedName name="NarrThreshold_Doll">[13]Settings!$I$27</definedName>
    <definedName name="NarrThreshold_Perc">[13]Settings!$I$26</definedName>
    <definedName name="New">#REF!</definedName>
    <definedName name="NewAccountCheck">[25]Summary!$L$18</definedName>
    <definedName name="NewLob">[43]DropDownRanges!$B$4:$B$37</definedName>
    <definedName name="NewOnlyOrg">#N/A</definedName>
    <definedName name="NewSource">[43]DropDownRanges!$D$4:$D$7</definedName>
    <definedName name="nn" localSheetId="4">#REF!</definedName>
    <definedName name="nn" localSheetId="3">#REF!</definedName>
    <definedName name="nn">#REF!</definedName>
    <definedName name="NONRECAP">#REF!</definedName>
    <definedName name="NOTES" localSheetId="4">#REF!</definedName>
    <definedName name="NOTES" localSheetId="3">#REF!</definedName>
    <definedName name="NOTES">#REF!</definedName>
    <definedName name="NR" localSheetId="4">#REF!</definedName>
    <definedName name="NR" localSheetId="3">#REF!</definedName>
    <definedName name="N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 localSheetId="4">rank</definedName>
    <definedName name="NvsInstanceHook">rank</definedName>
    <definedName name="NvsInstanceHook1" localSheetId="4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fficerSalary">#N/A</definedName>
    <definedName name="OffsetAcctBil">[44]JEexport!$L$10</definedName>
    <definedName name="OffsetAcctPmt">[44]JEexport!$L$9</definedName>
    <definedName name="Operations">'[12]Income Statement (WMofWA)'!#REF!</definedName>
    <definedName name="OPR">'[12]Income Statement (WMofWA)'!#REF!</definedName>
    <definedName name="Org11_13">#N/A</definedName>
    <definedName name="Org7_10">#N/A</definedName>
    <definedName name="ORIG2GALWT_">#REF!</definedName>
    <definedName name="ORIG2OH">#REF!</definedName>
    <definedName name="OthCanTons">[22]Cust_Count1!$O$28</definedName>
    <definedName name="OthComYd">'[22]Gross Yardage Worksheet'!$L$82</definedName>
    <definedName name="OthCustCnt">#REF!</definedName>
    <definedName name="OthMultiYd">'[22]Gross Yardage Worksheet'!$L$98</definedName>
    <definedName name="OthXtraYds">#REF!</definedName>
    <definedName name="p" localSheetId="4">#REF!</definedName>
    <definedName name="p" localSheetId="3">#REF!</definedName>
    <definedName name="p">#REF!</definedName>
    <definedName name="PAGE_1" localSheetId="4">#REF!</definedName>
    <definedName name="PAGE_1" localSheetId="3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 localSheetId="4">#REF!</definedName>
    <definedName name="Page16" localSheetId="3">#REF!</definedName>
    <definedName name="Page16">#REF!</definedName>
    <definedName name="Page17" localSheetId="4">#REF!</definedName>
    <definedName name="Page17" localSheetId="3">#REF!</definedName>
    <definedName name="Page17">#REF!</definedName>
    <definedName name="Page18" localSheetId="4">#REF!</definedName>
    <definedName name="Page18" localSheetId="3">#REF!</definedName>
    <definedName name="Page18">#REF!</definedName>
    <definedName name="Page20">#REF!</definedName>
    <definedName name="page7">#REF!</definedName>
    <definedName name="Page7a" localSheetId="4">#REF!</definedName>
    <definedName name="Page7a" localSheetId="3">#REF!</definedName>
    <definedName name="Page7a">#REF!</definedName>
    <definedName name="pBatchID" localSheetId="4">#REF!</definedName>
    <definedName name="pBatchID" localSheetId="3">#REF!</definedName>
    <definedName name="pBatchID">#REF!</definedName>
    <definedName name="pBillArea" localSheetId="4">#REF!</definedName>
    <definedName name="pBillArea" localSheetId="3">#REF!</definedName>
    <definedName name="pBillArea">#REF!</definedName>
    <definedName name="pBillCycle" localSheetId="4">#REF!</definedName>
    <definedName name="pBillCycle" localSheetId="3">#REF!</definedName>
    <definedName name="pBillCycle">#REF!</definedName>
    <definedName name="pCategory" localSheetId="4">#REF!</definedName>
    <definedName name="pCategory" localSheetId="3">#REF!</definedName>
    <definedName name="pCategory">#REF!</definedName>
    <definedName name="pCompany" localSheetId="4">#REF!</definedName>
    <definedName name="pCompany" localSheetId="3">#REF!</definedName>
    <definedName name="pCompany">#REF!</definedName>
    <definedName name="pCustomerNumber" localSheetId="4">#REF!</definedName>
    <definedName name="pCustomerNumber" localSheetId="3">#REF!</definedName>
    <definedName name="pCustomerNumber">#REF!</definedName>
    <definedName name="pDatabase" localSheetId="4">#REF!</definedName>
    <definedName name="pDatabase" localSheetId="3">#REF!</definedName>
    <definedName name="pDatabase">#REF!</definedName>
    <definedName name="PED">'[12]Income Statement (WMofWA)'!#REF!</definedName>
    <definedName name="pEndPostDate" localSheetId="4">#REF!</definedName>
    <definedName name="pEndPostDate" localSheetId="3">#REF!</definedName>
    <definedName name="pEndPostDate">#REF!</definedName>
    <definedName name="PER">[10]WTB!$DC$5</definedName>
    <definedName name="Period" localSheetId="4">#REF!</definedName>
    <definedName name="Period" localSheetId="3">#REF!</definedName>
    <definedName name="Period">#REF!</definedName>
    <definedName name="PFREVB4">#REF!</definedName>
    <definedName name="pMonth" localSheetId="4">#REF!</definedName>
    <definedName name="pMonth" localSheetId="3">#REF!</definedName>
    <definedName name="pMonth">#REF!</definedName>
    <definedName name="pOnlyShowLastTranx" localSheetId="4">#REF!</definedName>
    <definedName name="pOnlyShowLastTranx" localSheetId="3">#REF!</definedName>
    <definedName name="pOnlyShowLastTranx">#REF!</definedName>
    <definedName name="Posting">#REF!</definedName>
    <definedName name="POTruckSubTypeLookup">[45]TruckCenterReference!$B$26:$D$74</definedName>
    <definedName name="primtbl">[3]Orientation!$C$23</definedName>
    <definedName name="_xlnm.Print_Area" localSheetId="4">'Disposal 2023'!$A$1:$Q$64</definedName>
    <definedName name="_xlnm.Print_Area" localSheetId="2">'Proposed Rates'!$A$1:$E$97</definedName>
    <definedName name="_xlnm.Print_Area" localSheetId="1">'Spokane DF Calc'!$A$1:$T$76</definedName>
    <definedName name="_xlnm.Print_Area" localSheetId="3">'Spokane Reg - Price out 2023'!$B$1:$AT$119</definedName>
    <definedName name="_xlnm.Print_Area">#REF!</definedName>
    <definedName name="Print_Area_MI" localSheetId="4">#REF!</definedName>
    <definedName name="Print_Area_MI" localSheetId="3">#REF!</definedName>
    <definedName name="Print_Area_MI">#REF!</definedName>
    <definedName name="Print_Area_MIc">#REF!</definedName>
    <definedName name="Print_Area1" localSheetId="4">#REF!</definedName>
    <definedName name="Print_Area1" localSheetId="3">#REF!</definedName>
    <definedName name="Print_Area1">#REF!</definedName>
    <definedName name="Print_Area11">#REF!</definedName>
    <definedName name="Print_Area2" localSheetId="4">#REF!</definedName>
    <definedName name="Print_Area2" localSheetId="3">#REF!</definedName>
    <definedName name="Print_Area2">#REF!</definedName>
    <definedName name="Print_Area3" localSheetId="4">#REF!</definedName>
    <definedName name="Print_Area3" localSheetId="3">#REF!</definedName>
    <definedName name="Print_Area3">#REF!</definedName>
    <definedName name="Print_Area5" localSheetId="4">#REF!</definedName>
    <definedName name="Print_Area5" localSheetId="3">#REF!</definedName>
    <definedName name="Print_Area5">#REF!</definedName>
    <definedName name="_xlnm.Print_Titles" localSheetId="4">'Disposal 2023'!$1:$2</definedName>
    <definedName name="_xlnm.Print_Titles" localSheetId="2">'Proposed Rates'!$1:$5</definedName>
    <definedName name="_xlnm.Print_Titles" localSheetId="1">'Spokane DF Calc'!$1:$5</definedName>
    <definedName name="_xlnm.Print_Titles" localSheetId="3">'Spokane Reg - Price out 2023'!$C:$C,'Spokane Reg - Price out 2023'!$1:$6</definedName>
    <definedName name="Print_Titles_MI">#REF!</definedName>
    <definedName name="Print1" localSheetId="4">#REF!</definedName>
    <definedName name="Print1" localSheetId="3">#REF!</definedName>
    <definedName name="Print1">#REF!</definedName>
    <definedName name="Print2" localSheetId="4">#REF!</definedName>
    <definedName name="Print2" localSheetId="3">#REF!</definedName>
    <definedName name="Print2">#REF!</definedName>
    <definedName name="Print5" localSheetId="4">#REF!</definedName>
    <definedName name="Print5" localSheetId="3">#REF!</definedName>
    <definedName name="Print5">#REF!</definedName>
    <definedName name="Prnit_Range">#REF!</definedName>
    <definedName name="ProRev" localSheetId="4">'[14]Pacific Regulated - Price Out'!$M$49</definedName>
    <definedName name="ProRev" localSheetId="3">'[15]Pacific Regulated - Price Out'!$M$49</definedName>
    <definedName name="ProRev">'[16]Pacific Regulated - Price Out'!$M$49</definedName>
    <definedName name="ProRev_com" localSheetId="4">'[14]Pacific Regulated - Price Out'!$M$213</definedName>
    <definedName name="ProRev_com" localSheetId="3">'[15]Pacific Regulated - Price Out'!$M$213</definedName>
    <definedName name="ProRev_com">'[16]Pacific Regulated - Price Out'!$M$213</definedName>
    <definedName name="ProRev_mfr" localSheetId="4">'[14]Pacific Regulated - Price Out'!$M$221</definedName>
    <definedName name="ProRev_mfr" localSheetId="3">'[15]Pacific Regulated - Price Out'!$M$221</definedName>
    <definedName name="ProRev_mfr">'[16]Pacific Regulated - Price Out'!$M$221</definedName>
    <definedName name="ProRev_ro" localSheetId="4">'[14]Pacific Regulated - Price Out'!$M$281</definedName>
    <definedName name="ProRev_ro" localSheetId="3">'[15]Pacific Regulated - Price Out'!$M$281</definedName>
    <definedName name="ProRev_ro">'[16]Pacific Regulated - Price Out'!$M$281</definedName>
    <definedName name="ProRev_rr" localSheetId="4">'[14]Pacific Regulated - Price Out'!$M$58</definedName>
    <definedName name="ProRev_rr" localSheetId="3">'[15]Pacific Regulated - Price Out'!$M$58</definedName>
    <definedName name="ProRev_rr">'[16]Pacific Regulated - Price Out'!$M$58</definedName>
    <definedName name="ProRev_yw" localSheetId="4">'[14]Pacific Regulated - Price Out'!$M$69</definedName>
    <definedName name="ProRev_yw" localSheetId="3">'[15]Pacific Regulated - Price Out'!$M$69</definedName>
    <definedName name="ProRev_yw">'[16]Pacific Regulated - Price Out'!$M$69</definedName>
    <definedName name="pServer" localSheetId="4">#REF!</definedName>
    <definedName name="pServer" localSheetId="3">#REF!</definedName>
    <definedName name="pServer">#REF!</definedName>
    <definedName name="pServiceCode" localSheetId="4">#REF!</definedName>
    <definedName name="pServiceCode" localSheetId="3">#REF!</definedName>
    <definedName name="pServiceCode">#REF!</definedName>
    <definedName name="pShowAllUnposted" localSheetId="4">#REF!</definedName>
    <definedName name="pShowAllUnposted" localSheetId="3">#REF!</definedName>
    <definedName name="pShowAllUnposted">#REF!</definedName>
    <definedName name="pShowCustomerDetail" localSheetId="4">#REF!</definedName>
    <definedName name="pShowCustomerDetail" localSheetId="3">#REF!</definedName>
    <definedName name="pShowCustomerDetail">#REF!</definedName>
    <definedName name="pSortOption" localSheetId="4">#REF!</definedName>
    <definedName name="pSortOption" localSheetId="3">#REF!</definedName>
    <definedName name="pSortOption">#REF!</definedName>
    <definedName name="pStartPostDate" localSheetId="4">#REF!</definedName>
    <definedName name="pStartPostDate" localSheetId="3">#REF!</definedName>
    <definedName name="pStartPostDate">#REF!</definedName>
    <definedName name="pTransType" localSheetId="4">#REF!</definedName>
    <definedName name="pTransType" localSheetId="3">#REF!</definedName>
    <definedName name="pTransType">#REF!</definedName>
    <definedName name="PYear">'[27]O-9'!#REF!</definedName>
    <definedName name="QtrValue">#REF!</definedName>
    <definedName name="Quarter_Budget">#REF!</definedName>
    <definedName name="Quarter_Month">#REF!</definedName>
    <definedName name="RBU">'[12]Income Statement (WMofWA)'!#REF!</definedName>
    <definedName name="RCW_81.04.080">#N/A</definedName>
    <definedName name="RECAP">#REF!</definedName>
    <definedName name="RECAP2">#REF!</definedName>
    <definedName name="ReconMonth">[25]Summary!$J$18</definedName>
    <definedName name="_xlnm.Recorder">#REF!</definedName>
    <definedName name="RecyDisposal">#N/A</definedName>
    <definedName name="Reg_Cust_Billed_Percent" localSheetId="4">'[46]Consolidated IS 2009 2010'!$AK$20</definedName>
    <definedName name="Reg_Cust_Billed_Percent" localSheetId="3">'[47]Consolidated IS 2009 2010'!$AK$20</definedName>
    <definedName name="Reg_Cust_Billed_Percent">'[48]Consolidated IS 2009 2010'!$AK$20</definedName>
    <definedName name="Reg_Cust_Percent" localSheetId="4">'[46]Consolidated IS 2009 2010'!$AC$20</definedName>
    <definedName name="Reg_Cust_Percent" localSheetId="3">'[47]Consolidated IS 2009 2010'!$AC$20</definedName>
    <definedName name="Reg_Cust_Percent">'[48]Consolidated IS 2009 2010'!$AC$20</definedName>
    <definedName name="Reg_Drive_Percent" localSheetId="4">'[46]Consolidated IS 2009 2010'!$AC$40</definedName>
    <definedName name="Reg_Drive_Percent" localSheetId="3">'[47]Consolidated IS 2009 2010'!$AC$40</definedName>
    <definedName name="Reg_Drive_Percent">'[48]Consolidated IS 2009 2010'!$AC$40</definedName>
    <definedName name="Reg_Haul_Rev_Percent" localSheetId="4">'[46]Consolidated IS 2009 2010'!$Z$18</definedName>
    <definedName name="Reg_Haul_Rev_Percent" localSheetId="3">'[47]Consolidated IS 2009 2010'!$Z$18</definedName>
    <definedName name="Reg_Haul_Rev_Percent">'[48]Consolidated IS 2009 2010'!$Z$18</definedName>
    <definedName name="Reg_Lab_Percent" localSheetId="4">'[46]Consolidated IS 2009 2010'!$AC$39</definedName>
    <definedName name="Reg_Lab_Percent" localSheetId="3">'[47]Consolidated IS 2009 2010'!$AC$39</definedName>
    <definedName name="Reg_Lab_Percent">'[48]Consolidated IS 2009 2010'!$AC$39</definedName>
    <definedName name="Reg_Steel_Cont_Percent" localSheetId="4">'[46]Consolidated IS 2009 2010'!$AE$120</definedName>
    <definedName name="Reg_Steel_Cont_Percent" localSheetId="3">'[47]Consolidated IS 2009 2010'!$AE$120</definedName>
    <definedName name="Reg_Steel_Cont_Percent">'[48]Consolidated IS 2009 2010'!$AE$120</definedName>
    <definedName name="RegionSignOffReq">[25]Summary!$M$10</definedName>
    <definedName name="RegionSignOffStatus">[25]Summary!$N$17</definedName>
    <definedName name="RegulatedIS" localSheetId="4">'[46]2009 IS'!$A$12:$Q$655</definedName>
    <definedName name="RegulatedIS" localSheetId="3">'[47]2009 IS'!$A$12:$Q$655</definedName>
    <definedName name="RegulatedIS">'[48]2009 IS'!$A$12:$Q$655</definedName>
    <definedName name="RelatedSalary">#N/A</definedName>
    <definedName name="report_type">[3]Orientation!$C$24</definedName>
    <definedName name="Reporting_Jurisdiction">'[21]Title Inputs'!$C$4</definedName>
    <definedName name="ReportNames">[49]ControlPanel!$S$2:$S$16</definedName>
    <definedName name="ReportVersion">[3]Settings!$D$5</definedName>
    <definedName name="ReslStaffPriceOut" localSheetId="4">'[24]Price Out-Reg EASTSIDE-Resi'!#REF!</definedName>
    <definedName name="ReslStaffPriceOut" localSheetId="3">'[24]Price Out-Reg EASTSIDE-Resi'!#REF!</definedName>
    <definedName name="ReslStaffPriceOut">'[24]Price Out-Reg EASTSIDE-Resi'!#REF!</definedName>
    <definedName name="RetainedEarnings" localSheetId="4">#REF!</definedName>
    <definedName name="RetainedEarnings" localSheetId="3">#REF!</definedName>
    <definedName name="RetainedEarnings">#REF!</definedName>
    <definedName name="RevCust" localSheetId="4">[50]RevenuesCust!#REF!</definedName>
    <definedName name="RevCust" localSheetId="3">[51]RevenuesCust!#REF!</definedName>
    <definedName name="RevCust">[50]RevenuesCust!#REF!</definedName>
    <definedName name="RevCustomer" localSheetId="4">#REF!</definedName>
    <definedName name="RevCustomer" localSheetId="3">#REF!</definedName>
    <definedName name="RevCustomer">#REF!</definedName>
    <definedName name="REVDETAIL">#REF!</definedName>
    <definedName name="Revenue">#REF!</definedName>
    <definedName name="RevenuePF1">'[40]LG County Area'!$K$7</definedName>
    <definedName name="REVMAT">#REF!</definedName>
    <definedName name="RID">'[12]Income Statement (WMofWA)'!#REF!</definedName>
    <definedName name="rngBodyText">[6]Delivery!$B$15</definedName>
    <definedName name="RngBottomRight">[6]Delivery!$B$23</definedName>
    <definedName name="rngColDelChars">[6]Delivery!$B$26</definedName>
    <definedName name="rngColumnDelete">[6]Delivery!$B$26</definedName>
    <definedName name="rngCreateLog">[3]Delivery!$B$12</definedName>
    <definedName name="rngDeleteColumns">[6]Delivery!$A$29:$A$38</definedName>
    <definedName name="rngDeleteRows">[6]Delivery!$B$29:$B$38</definedName>
    <definedName name="rngEmail">[6]Delivery!$B$9</definedName>
    <definedName name="rngFileDir">[6]Delivery!$B$6</definedName>
    <definedName name="rngFileFormat">[6]Delivery!$B$4</definedName>
    <definedName name="rngFileName">[6]Delivery!$B$5</definedName>
    <definedName name="rngFilePassword">[3]Delivery!$B$6</definedName>
    <definedName name="rngPassword">[6]Delivery!$B$21</definedName>
    <definedName name="rngPasswordProtect">[6]Delivery!$B$20</definedName>
    <definedName name="rngPrint">[6]Delivery!$B$11</definedName>
    <definedName name="rngRetainFormulas">[6]Delivery!$B$19</definedName>
    <definedName name="rngSaveFile">[6]Delivery!$B$10</definedName>
    <definedName name="rngSourceTab">[3]Delivery!$E$8</definedName>
    <definedName name="rngSubjectLine">[6]Delivery!$B$14</definedName>
    <definedName name="rngTabName">[6]Delivery!$B$18</definedName>
    <definedName name="rngTopLeft">[6]Delivery!$B$22</definedName>
    <definedName name="ROCE">#REF!,#REF!</definedName>
    <definedName name="ROW_SUPRESS">'[12]Income Statement (WMofWA)'!#REF!</definedName>
    <definedName name="rowgroup">[3]Orientation!$C$17</definedName>
    <definedName name="rowsegment">[3]Orientation!$B$17</definedName>
    <definedName name="RptEmailAddress">[6]Delivery!$D$4:$D$1005</definedName>
    <definedName name="rtr">'[52]Variance Report'!#REF!</definedName>
    <definedName name="RTT">'[12]Income Statement (WMofWA)'!#REF!</definedName>
    <definedName name="sale">#REF!</definedName>
    <definedName name="SALES_TAX_RETURN">#REF!</definedName>
    <definedName name="Sbst">#REF!</definedName>
    <definedName name="SCN">'[12]Income Statement (WMofWA)'!#REF!</definedName>
    <definedName name="seffasfasdfsd">[53]Hidden!#REF!</definedName>
    <definedName name="SEPARATE">#REF!</definedName>
    <definedName name="Separation">[54]ProF!#REF!</definedName>
    <definedName name="Sequential_Group">[3]Settings!$J$6</definedName>
    <definedName name="Sequential_Segment">[3]Settings!$I$6</definedName>
    <definedName name="Sequential_sort">[3]Settings!$I$10:$J$11</definedName>
    <definedName name="Setting_DeprFactor">[13]Settings!$F$5</definedName>
    <definedName name="Setting_LFDeplUnitAcct">[13]Settings!$F$4</definedName>
    <definedName name="Setting_LFUnitCost">[13]Settings!$F$3</definedName>
    <definedName name="Setting_LFUnitCostNY">[13]Settings!$F$7</definedName>
    <definedName name="Setting_LFUnitRow">[13]Settings!$C$3</definedName>
    <definedName name="SFD">[10]WTB!$DE$5</definedName>
    <definedName name="SFD_BU">'[12]Income Statement (WMofWA)'!#REF!</definedName>
    <definedName name="SFD_DEPTID">'[12]Income Statement (WMofWA)'!#REF!</definedName>
    <definedName name="SFD_OP">'[12]Income Statement (WMofWA)'!#REF!</definedName>
    <definedName name="SFD_PROD">'[12]Income Statement (WMofWA)'!#REF!</definedName>
    <definedName name="SFD_PROJ">'[12]Income Statement (WMofWA)'!#REF!</definedName>
    <definedName name="sfdbusunit">#REF!</definedName>
    <definedName name="SFV">[10]WTB!$DE$4</definedName>
    <definedName name="SFV_BU">'[12]Income Statement (WMofWA)'!#REF!</definedName>
    <definedName name="SFV_CUR">#REF!</definedName>
    <definedName name="SFV_CUR1">'[10]2008 West Group IS'!$AM$9</definedName>
    <definedName name="SFV_CUR5">'[10]2008 Group Office IS'!$AM$9</definedName>
    <definedName name="SFV_DEPTID">'[12]Income Statement (WMofWA)'!#REF!</definedName>
    <definedName name="SFV_OP">'[12]Income Statement (WMofWA)'!#REF!</definedName>
    <definedName name="SFV_PROD">'[12]Income Statement (WMofWA)'!#REF!</definedName>
    <definedName name="SFV_PROJ">'[12]Income Statement (WMofWA)'!#REF!</definedName>
    <definedName name="SIC_Table">#REF!</definedName>
    <definedName name="slope">'[55]LG Nonpublic 2018 V5.0'!$X$58</definedName>
    <definedName name="sort">#REF!</definedName>
    <definedName name="Sort1">#REF!</definedName>
    <definedName name="sortcol" localSheetId="4">'[38]IS-2120'!#REF!</definedName>
    <definedName name="sortcol" localSheetId="3">#REF!</definedName>
    <definedName name="sortcol">'[39]IS-2120'!#REF!</definedName>
    <definedName name="Source">[43]DropDownRanges!$D$4:$D$7</definedName>
    <definedName name="SPWS_WBID">"115966228744984"</definedName>
    <definedName name="sSRCDate" localSheetId="4">'[56]Feb''12 FAR Data'!#REF!</definedName>
    <definedName name="sSRCDate" localSheetId="3">'[56]Feb''12 FAR Data'!#REF!</definedName>
    <definedName name="sSRCDate">'[57]Feb''12 FAR Data'!#REF!</definedName>
    <definedName name="start">#REF!</definedName>
    <definedName name="Stop">'[27]O-9'!#REF!</definedName>
    <definedName name="SubSystem">#REF!</definedName>
    <definedName name="SubSystems">#REF!</definedName>
    <definedName name="SubtypeToTruckType">[58]TruckCenterReference!$C$29:$D$79</definedName>
    <definedName name="SUMMARY">#REF!</definedName>
    <definedName name="Summary_DistrictName">[59]Summary!$B$7</definedName>
    <definedName name="Summary_DistrictNo">[59]Summary!$B$5</definedName>
    <definedName name="Supplemental_filter">[3]Settings!$C$31</definedName>
    <definedName name="SWDisposal">#N/A</definedName>
    <definedName name="Syst">#REF!</definedName>
    <definedName name="System" localSheetId="4">#REF!</definedName>
    <definedName name="System">[60]BS_Close!$V$8</definedName>
    <definedName name="System_1">[60]BS_Close!$V$8</definedName>
    <definedName name="Systems">#REF!</definedName>
    <definedName name="Table_SIC">#REF!</definedName>
    <definedName name="TargetMonths">[13]Settings!$I$18</definedName>
    <definedName name="TemplateEnd" localSheetId="4">#REF!</definedName>
    <definedName name="TemplateEnd" localSheetId="3">#REF!</definedName>
    <definedName name="TemplateEnd">#REF!</definedName>
    <definedName name="TemplateStart" localSheetId="4">#REF!</definedName>
    <definedName name="TemplateStart" localSheetId="3">#REF!</definedName>
    <definedName name="TemplateStart">#REF!</definedName>
    <definedName name="test">'[61]Sch 4 - 12months'!$B$10:$O$86</definedName>
    <definedName name="TheTable" localSheetId="4">#REF!</definedName>
    <definedName name="TheTable" localSheetId="3">#REF!</definedName>
    <definedName name="TheTable">#REF!</definedName>
    <definedName name="TheTableOLD" localSheetId="4">#REF!</definedName>
    <definedName name="TheTableOLD" localSheetId="3">#REF!</definedName>
    <definedName name="TheTableOLD">#REF!</definedName>
    <definedName name="timeseries">[3]Orientation!$B$6:$C$13</definedName>
    <definedName name="Title2">'[27]O-9'!#REF!</definedName>
    <definedName name="ToMonth">#REF!</definedName>
    <definedName name="Tons" localSheetId="4">#REF!</definedName>
    <definedName name="Tons" localSheetId="3">#REF!</definedName>
    <definedName name="Tons">#REF!</definedName>
    <definedName name="TOP">'[7]10800-10899'!#REF!</definedName>
    <definedName name="Total_Comm" localSheetId="4">'[18]Tariff Rate Sheet'!$L$214</definedName>
    <definedName name="Total_Comm" localSheetId="3">'[19]Tariff Rate Sheet'!$L$214</definedName>
    <definedName name="Total_Comm">'[20]Tariff Rate Sheet'!$L$214</definedName>
    <definedName name="Total_DB" localSheetId="4">'[18]Tariff Rate Sheet'!$L$278</definedName>
    <definedName name="Total_DB" localSheetId="3">'[19]Tariff Rate Sheet'!$L$278</definedName>
    <definedName name="Total_DB">'[20]Tariff Rate Sheet'!$L$278</definedName>
    <definedName name="Total_Interest">'[62]Amortization Table'!$F$18</definedName>
    <definedName name="Total_Resi" localSheetId="4">'[18]Tariff Rate Sheet'!$L$107</definedName>
    <definedName name="Total_Resi" localSheetId="3">'[19]Tariff Rate Sheet'!$L$107</definedName>
    <definedName name="Total_Resi">'[20]Tariff Rate Sheet'!$L$107</definedName>
    <definedName name="TotalYards">'[22]Gross Yardage Worksheet'!$N$101</definedName>
    <definedName name="TOTCONT">'[41]Sorted Master'!$K$9</definedName>
    <definedName name="TOTCRECCONT">'[41]Sorted Master'!$Z$9</definedName>
    <definedName name="TOTCRECCUST">'[63]Sorted Master-2112-2148'!#REF!</definedName>
    <definedName name="TOTCRECDH">'[63]Sorted Master-2112-2148'!#REF!</definedName>
    <definedName name="TOTCRECREV">'[63]Sorted Master-2112-2148'!#REF!</definedName>
    <definedName name="TOTCRECTDEP">'[63]Sorted Master-2112-2148'!#REF!</definedName>
    <definedName name="TOTCRECTH">'[41]Sorted Master'!$Z$8</definedName>
    <definedName name="TOTCRECTV">'[63]Sorted Master-2112-2148'!#REF!</definedName>
    <definedName name="TOTCUST">'[63]Sorted Master-2112-2148'!#REF!</definedName>
    <definedName name="TOTDBCONT">'[63]Sorted Master-2112-2148'!#REF!</definedName>
    <definedName name="TOTDBCUST">'[63]Sorted Master-2112-2148'!#REF!</definedName>
    <definedName name="TOTDBDH">'[63]Sorted Master-2112-2148'!#REF!</definedName>
    <definedName name="TOTDBREV">'[63]Sorted Master-2112-2148'!#REF!</definedName>
    <definedName name="TOTDBTDEP">'[63]Sorted Master-2112-2148'!#REF!</definedName>
    <definedName name="TOTDBTH">'[63]Sorted Master-2112-2148'!#REF!</definedName>
    <definedName name="TOTDBTV">'[63]Sorted Master-2112-2148'!#REF!</definedName>
    <definedName name="TOTDEBCONT">'[63]Sorted Master-2112-2148'!#REF!</definedName>
    <definedName name="TOTDEBCUST">'[63]Sorted Master-2112-2148'!#REF!</definedName>
    <definedName name="TOTDEBDH">'[63]Sorted Master-2112-2148'!#REF!</definedName>
    <definedName name="TOTDEBREV">'[63]Sorted Master-2112-2148'!#REF!</definedName>
    <definedName name="TOTDEBTH">'[41]Sorted Master'!$AD$8</definedName>
    <definedName name="TOTDH">'[63]Sorted Master-2112-2148'!#REF!</definedName>
    <definedName name="TOTFELCONT">'[63]Sorted Master-2112-2148'!#REF!</definedName>
    <definedName name="TOTFELCUST">'[63]Sorted Master-2112-2148'!#REF!</definedName>
    <definedName name="TOTFELDH">'[63]Sorted Master-2112-2148'!#REF!</definedName>
    <definedName name="TOTFELREV">'[63]Sorted Master-2112-2148'!#REF!</definedName>
    <definedName name="TOTFELTDEP">'[63]Sorted Master-2112-2148'!#REF!</definedName>
    <definedName name="TOTFELTH">'[63]Sorted Master-2112-2148'!#REF!</definedName>
    <definedName name="TOTFELTV">'[63]Sorted Master-2112-2148'!#REF!</definedName>
    <definedName name="TOTRESCONT">'[63]Sorted Master-2112-2148'!#REF!</definedName>
    <definedName name="TOTRESCUST">'[63]Sorted Master-2112-2148'!#REF!</definedName>
    <definedName name="TOTRESDH">'[63]Sorted Master-2112-2148'!#REF!</definedName>
    <definedName name="TOTRESRCONT">'[63]Sorted Master-2112-2148'!#REF!</definedName>
    <definedName name="TOTRESRCUST">'[63]Sorted Master-2112-2148'!#REF!</definedName>
    <definedName name="TOTRESRDH">'[63]Sorted Master-2112-2148'!#REF!</definedName>
    <definedName name="TOTRESREV">'[63]Sorted Master-2112-2148'!#REF!</definedName>
    <definedName name="TOTRESRREV">'[63]Sorted Master-2112-2148'!#REF!</definedName>
    <definedName name="TOTRESRTDEP">'[63]Sorted Master-2112-2148'!#REF!</definedName>
    <definedName name="TOTRESRTH">'[63]Sorted Master-2112-2148'!#REF!</definedName>
    <definedName name="TOTRESRTV">'[63]Sorted Master-2112-2148'!#REF!</definedName>
    <definedName name="TOTRESTDEP">'[63]Sorted Master-2112-2148'!#REF!</definedName>
    <definedName name="TOTRESTH">'[63]Sorted Master-2112-2148'!#REF!</definedName>
    <definedName name="TOTRESTV">'[63]Sorted Master-2112-2148'!#REF!</definedName>
    <definedName name="TOTREV">'[63]Sorted Master-2112-2148'!#REF!</definedName>
    <definedName name="TOTTDEP">'[63]Sorted Master-2112-2148'!#REF!</definedName>
    <definedName name="TOTTH">'[63]Sorted Master-2112-2148'!#REF!</definedName>
    <definedName name="TOTTV">'[63]Sorted Master-2112-2148'!#REF!</definedName>
    <definedName name="Transactions" localSheetId="4">#REF!</definedName>
    <definedName name="Transactions" localSheetId="3">#REF!</definedName>
    <definedName name="Transactions">#REF!</definedName>
    <definedName name="UnformattedIS">#REF!</definedName>
    <definedName name="UnregulatedIS" localSheetId="4">'[46]2010 IS'!$A$12:$Q$654</definedName>
    <definedName name="UnregulatedIS" localSheetId="3">'[47]2010 IS'!$A$12:$Q$654</definedName>
    <definedName name="UnregulatedIS">'[48]2010 IS'!$A$12:$Q$654</definedName>
    <definedName name="UserTestMode">[25]Summary!$J$9</definedName>
    <definedName name="ValidFormats">[6]Delivery!$AA$4:$AA$10</definedName>
    <definedName name="Variables">'[12]Income Statement (WMofWA)'!#REF!</definedName>
    <definedName name="VarianceStatus">[25]Summary!$L$17</definedName>
    <definedName name="VarianceTolerance">[25]Summary!$U$21</definedName>
    <definedName name="VendorCode">#REF!</definedName>
    <definedName name="Version" localSheetId="4">[31]Data!#REF!</definedName>
    <definedName name="Version" localSheetId="3">[31]Data!#REF!</definedName>
    <definedName name="Version">[33]Data!#REF!</definedName>
    <definedName name="Waste_Management__Inc.">#REF!</definedName>
    <definedName name="WksInYr">#REF!</definedName>
    <definedName name="WM">#REF!</definedName>
    <definedName name="wrn.PrintReview.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4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4" hidden="1">{"Page1",#N/A,TRUE,"SUMM";"Page2",#N/A,TRUE,"Rev";"Page3",#N/A,TRUE,"Dir_Costs"}</definedName>
    <definedName name="wrn.test." localSheetId="3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4">#REF!</definedName>
    <definedName name="WTable" localSheetId="3">#REF!</definedName>
    <definedName name="WTable">#REF!</definedName>
    <definedName name="WTableOld" localSheetId="4">#REF!</definedName>
    <definedName name="WTableOld" localSheetId="3">#REF!</definedName>
    <definedName name="WTableOld">#REF!</definedName>
    <definedName name="ww" localSheetId="4">#REF!</definedName>
    <definedName name="ww" localSheetId="3">#REF!</definedName>
    <definedName name="ww">#REF!</definedName>
    <definedName name="x" localSheetId="4">rank</definedName>
    <definedName name="x">rank</definedName>
    <definedName name="xperiod">[3]Orientation!$G$15</definedName>
    <definedName name="xtabin" localSheetId="4">[8]Hidden!#REF!</definedName>
    <definedName name="xtabin" localSheetId="3">[8]Hidden!#REF!</definedName>
    <definedName name="xtabin">[5]Hidden!#REF!</definedName>
    <definedName name="xx" localSheetId="4">#REF!</definedName>
    <definedName name="xx" localSheetId="3">#REF!</definedName>
    <definedName name="xx">#REF!</definedName>
    <definedName name="xxx" localSheetId="4">#REF!</definedName>
    <definedName name="xxx" localSheetId="3">#REF!</definedName>
    <definedName name="xxx">#REF!</definedName>
    <definedName name="xxxx" localSheetId="4">#REF!</definedName>
    <definedName name="xxxx" localSheetId="3">#REF!</definedName>
    <definedName name="xxxx">#REF!</definedName>
    <definedName name="y_inter1">'[55]LG Nonpublic 2018 V5.0'!$W$55</definedName>
    <definedName name="y_inter2">'[55]LG Nonpublic 2018 V5.0'!$W$56</definedName>
    <definedName name="y_inter3">'[55]LG Nonpublic 2018 V5.0'!$Y$55</definedName>
    <definedName name="y_inter4">'[55]LG Nonpublic 2018 V5.0'!$Y$56</definedName>
    <definedName name="Year">'[64]Aug Av. Fuel Price'!$E$15</definedName>
    <definedName name="Year_of_Review">'[21]Title Inputs'!$C$3</definedName>
    <definedName name="YEAR4">#REF!</definedName>
    <definedName name="YearMonth" localSheetId="4">#REF!</definedName>
    <definedName name="YearMonth" localSheetId="3">'[34]Vashon BS'!#REF!</definedName>
    <definedName name="YearMonth">'[35]Vashon BS'!#REF!</definedName>
    <definedName name="YearMonth_1">'[36]Vashon BS'!#REF!</definedName>
    <definedName name="YearMonthDate">[13]Settings!$I$10</definedName>
    <definedName name="YearMonthDate2">[13]Settings!$I$11</definedName>
    <definedName name="YearMonthDate3">[13]Settings!$I$12</definedName>
    <definedName name="YearMonthDate4">[13]Settings!$I$13</definedName>
    <definedName name="YearMonthDate5">[13]Settings!$I$14</definedName>
    <definedName name="yrCur">'[65]Report Template'!$B$2002</definedName>
    <definedName name="yrNext">'[65]Report Template'!$B$2003</definedName>
    <definedName name="YWMedWasteDisp">#N/A</definedName>
    <definedName name="yy" localSheetId="4">#REF!</definedName>
    <definedName name="yy" localSheetId="3">#REF!</definedName>
    <definedName name="yy">#REF!</definedName>
    <definedName name="Zero_Format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3" l="1"/>
  <c r="R64" i="3"/>
  <c r="R60" i="3" l="1"/>
  <c r="R59" i="3"/>
  <c r="AE96" i="9" l="1"/>
  <c r="G20" i="3"/>
  <c r="G21" i="3"/>
  <c r="B68" i="4" l="1"/>
  <c r="B69" i="4" s="1"/>
  <c r="B67" i="4"/>
  <c r="B37" i="4"/>
  <c r="B36" i="4"/>
  <c r="B29" i="4"/>
  <c r="B30" i="4"/>
  <c r="B31" i="4"/>
  <c r="B32" i="4" s="1"/>
  <c r="B28" i="4"/>
  <c r="M18" i="3" l="1"/>
  <c r="O19" i="3"/>
  <c r="G57" i="3"/>
  <c r="G56" i="3"/>
  <c r="G53" i="3"/>
  <c r="F58" i="3"/>
  <c r="F59" i="3"/>
  <c r="F60" i="3"/>
  <c r="F53" i="3"/>
  <c r="F54" i="3"/>
  <c r="F55" i="3"/>
  <c r="F56" i="3"/>
  <c r="F57" i="3"/>
  <c r="F52" i="3"/>
  <c r="M16" i="3" l="1"/>
  <c r="G16" i="3"/>
  <c r="G13" i="3"/>
  <c r="M53" i="3"/>
  <c r="E53" i="3"/>
  <c r="H53" i="3"/>
  <c r="M30" i="3"/>
  <c r="G30" i="3"/>
  <c r="D30" i="3"/>
  <c r="F30" i="3" s="1"/>
  <c r="E30" i="3"/>
  <c r="M38" i="3"/>
  <c r="G38" i="3"/>
  <c r="D38" i="3"/>
  <c r="E38" i="3"/>
  <c r="M60" i="3"/>
  <c r="G60" i="3"/>
  <c r="E60" i="3"/>
  <c r="H60" i="3" s="1"/>
  <c r="M59" i="3"/>
  <c r="G59" i="3"/>
  <c r="E59" i="3"/>
  <c r="H59" i="3" s="1"/>
  <c r="M57" i="3"/>
  <c r="M56" i="3"/>
  <c r="E57" i="3"/>
  <c r="E56" i="3"/>
  <c r="H56" i="3"/>
  <c r="M55" i="3"/>
  <c r="G55" i="3"/>
  <c r="M54" i="3"/>
  <c r="G54" i="3"/>
  <c r="E54" i="3"/>
  <c r="M19" i="3"/>
  <c r="P19" i="3" s="1"/>
  <c r="Q19" i="3"/>
  <c r="G19" i="3"/>
  <c r="H19" i="3" s="1"/>
  <c r="E19" i="3"/>
  <c r="D19" i="3"/>
  <c r="AG26" i="9" s="1"/>
  <c r="AH82" i="9"/>
  <c r="AE36" i="9"/>
  <c r="D44" i="3"/>
  <c r="AG61" i="9" s="1"/>
  <c r="D43" i="3"/>
  <c r="AG60" i="9" s="1"/>
  <c r="D42" i="3"/>
  <c r="AG52" i="9" s="1"/>
  <c r="D41" i="3"/>
  <c r="AG51" i="9" s="1"/>
  <c r="D40" i="3"/>
  <c r="AG50" i="9" s="1"/>
  <c r="D39" i="3"/>
  <c r="AG49" i="9" s="1"/>
  <c r="D37" i="3"/>
  <c r="AG58" i="9" s="1"/>
  <c r="D36" i="3"/>
  <c r="AG57" i="9" s="1"/>
  <c r="D35" i="3"/>
  <c r="AG56" i="9" s="1"/>
  <c r="D34" i="3"/>
  <c r="AG55" i="9" s="1"/>
  <c r="D33" i="3"/>
  <c r="AG54" i="9" s="1"/>
  <c r="D32" i="3"/>
  <c r="AG53" i="9" s="1"/>
  <c r="D31" i="3"/>
  <c r="AG48" i="9" s="1"/>
  <c r="D29" i="3"/>
  <c r="AG46" i="9" s="1"/>
  <c r="D28" i="3"/>
  <c r="AG45" i="9" s="1"/>
  <c r="D27" i="3"/>
  <c r="AG44" i="9" s="1"/>
  <c r="D26" i="3"/>
  <c r="AG43" i="9" s="1"/>
  <c r="D25" i="3"/>
  <c r="AG42" i="9" s="1"/>
  <c r="D24" i="3"/>
  <c r="AG41" i="9" s="1"/>
  <c r="D23" i="3"/>
  <c r="AG40" i="9" s="1"/>
  <c r="D7" i="3"/>
  <c r="AG13" i="9" s="1"/>
  <c r="D8" i="3"/>
  <c r="AG14" i="9" s="1"/>
  <c r="D9" i="3"/>
  <c r="AG15" i="9" s="1"/>
  <c r="D10" i="3"/>
  <c r="AG16" i="9" s="1"/>
  <c r="D11" i="3"/>
  <c r="AG17" i="9" s="1"/>
  <c r="D12" i="3"/>
  <c r="AG18" i="9" s="1"/>
  <c r="D13" i="3"/>
  <c r="AG19" i="9" s="1"/>
  <c r="D14" i="3"/>
  <c r="AG20" i="9" s="1"/>
  <c r="D15" i="3"/>
  <c r="AG21" i="9" s="1"/>
  <c r="D16" i="3"/>
  <c r="D17" i="3"/>
  <c r="AG23" i="9" s="1"/>
  <c r="D18" i="3"/>
  <c r="AG24" i="9" s="1"/>
  <c r="D20" i="3"/>
  <c r="AG27" i="9" s="1"/>
  <c r="D21" i="3"/>
  <c r="AG28" i="9" s="1"/>
  <c r="D6" i="3"/>
  <c r="AG12" i="9" s="1"/>
  <c r="C66" i="2"/>
  <c r="B66" i="2"/>
  <c r="I54" i="10"/>
  <c r="H56" i="10"/>
  <c r="H55" i="10"/>
  <c r="H54" i="10"/>
  <c r="D22" i="3" l="1"/>
  <c r="AG22" i="9"/>
  <c r="AG47" i="9"/>
  <c r="H30" i="3"/>
  <c r="P30" i="3"/>
  <c r="F38" i="3"/>
  <c r="H38" i="3" s="1"/>
  <c r="AG59" i="9"/>
  <c r="H54" i="3"/>
  <c r="H57" i="3"/>
  <c r="H55" i="3"/>
  <c r="R19" i="3"/>
  <c r="P38" i="3" l="1"/>
  <c r="I55" i="10" l="1"/>
  <c r="M43" i="10"/>
  <c r="N43" i="10" s="1"/>
  <c r="L43" i="10"/>
  <c r="J43" i="10"/>
  <c r="K43" i="10" s="1"/>
  <c r="I43" i="10"/>
  <c r="F43" i="10"/>
  <c r="E43" i="10"/>
  <c r="C43" i="10"/>
  <c r="D43" i="10" s="1"/>
  <c r="B43" i="10"/>
  <c r="Q41" i="10"/>
  <c r="P41" i="10"/>
  <c r="N41" i="10"/>
  <c r="K41" i="10"/>
  <c r="G41" i="10"/>
  <c r="D41" i="10"/>
  <c r="Q40" i="10"/>
  <c r="P40" i="10"/>
  <c r="N40" i="10"/>
  <c r="K40" i="10"/>
  <c r="G40" i="10"/>
  <c r="D40" i="10"/>
  <c r="Q39" i="10"/>
  <c r="P39" i="10"/>
  <c r="N39" i="10"/>
  <c r="K39" i="10"/>
  <c r="G39" i="10"/>
  <c r="D39" i="10"/>
  <c r="Q38" i="10"/>
  <c r="P38" i="10"/>
  <c r="N38" i="10"/>
  <c r="K38" i="10"/>
  <c r="G38" i="10"/>
  <c r="D38" i="10"/>
  <c r="Q37" i="10"/>
  <c r="P37" i="10"/>
  <c r="N37" i="10"/>
  <c r="K37" i="10"/>
  <c r="G37" i="10"/>
  <c r="D37" i="10"/>
  <c r="Q36" i="10"/>
  <c r="P36" i="10"/>
  <c r="N36" i="10"/>
  <c r="K36" i="10"/>
  <c r="G36" i="10"/>
  <c r="D36" i="10"/>
  <c r="Q35" i="10"/>
  <c r="P35" i="10"/>
  <c r="N35" i="10"/>
  <c r="K35" i="10"/>
  <c r="G35" i="10"/>
  <c r="D35" i="10"/>
  <c r="Q34" i="10"/>
  <c r="P34" i="10"/>
  <c r="N34" i="10"/>
  <c r="K34" i="10"/>
  <c r="G34" i="10"/>
  <c r="D34" i="10"/>
  <c r="Q33" i="10"/>
  <c r="P33" i="10"/>
  <c r="N33" i="10"/>
  <c r="K33" i="10"/>
  <c r="G33" i="10"/>
  <c r="D33" i="10"/>
  <c r="Q32" i="10"/>
  <c r="P32" i="10"/>
  <c r="N32" i="10"/>
  <c r="K32" i="10"/>
  <c r="G32" i="10"/>
  <c r="D32" i="10"/>
  <c r="A32" i="10"/>
  <c r="A33" i="10" s="1"/>
  <c r="A34" i="10" s="1"/>
  <c r="A35" i="10" s="1"/>
  <c r="A36" i="10" s="1"/>
  <c r="A37" i="10" s="1"/>
  <c r="A38" i="10" s="1"/>
  <c r="A39" i="10" s="1"/>
  <c r="A40" i="10" s="1"/>
  <c r="A41" i="10" s="1"/>
  <c r="Q31" i="10"/>
  <c r="P31" i="10"/>
  <c r="N31" i="10"/>
  <c r="K31" i="10"/>
  <c r="G31" i="10"/>
  <c r="D31" i="10"/>
  <c r="A31" i="10"/>
  <c r="Q30" i="10"/>
  <c r="P30" i="10"/>
  <c r="N30" i="10"/>
  <c r="K30" i="10"/>
  <c r="G30" i="10"/>
  <c r="D30" i="10"/>
  <c r="Q29" i="10"/>
  <c r="P29" i="10"/>
  <c r="N29" i="10"/>
  <c r="K29" i="10"/>
  <c r="G29" i="10"/>
  <c r="D29" i="10"/>
  <c r="Q28" i="10"/>
  <c r="P28" i="10"/>
  <c r="N28" i="10"/>
  <c r="K28" i="10"/>
  <c r="G28" i="10"/>
  <c r="D28" i="10"/>
  <c r="Q27" i="10"/>
  <c r="P27" i="10"/>
  <c r="N27" i="10"/>
  <c r="K27" i="10"/>
  <c r="G27" i="10"/>
  <c r="D27" i="10"/>
  <c r="Q26" i="10"/>
  <c r="P26" i="10"/>
  <c r="N26" i="10"/>
  <c r="K26" i="10"/>
  <c r="G26" i="10"/>
  <c r="D26" i="10"/>
  <c r="Q25" i="10"/>
  <c r="P25" i="10"/>
  <c r="N25" i="10"/>
  <c r="K25" i="10"/>
  <c r="G25" i="10"/>
  <c r="D25" i="10"/>
  <c r="Q24" i="10"/>
  <c r="P24" i="10"/>
  <c r="N24" i="10"/>
  <c r="K24" i="10"/>
  <c r="G24" i="10"/>
  <c r="D24" i="10"/>
  <c r="Q23" i="10"/>
  <c r="P23" i="10"/>
  <c r="N23" i="10"/>
  <c r="K23" i="10"/>
  <c r="G23" i="10"/>
  <c r="D23" i="10"/>
  <c r="Q22" i="10"/>
  <c r="P22" i="10"/>
  <c r="N22" i="10"/>
  <c r="K22" i="10"/>
  <c r="G22" i="10"/>
  <c r="D22" i="10"/>
  <c r="Q21" i="10"/>
  <c r="P21" i="10"/>
  <c r="N21" i="10"/>
  <c r="K21" i="10"/>
  <c r="G21" i="10"/>
  <c r="D21" i="10"/>
  <c r="Q20" i="10"/>
  <c r="P20" i="10"/>
  <c r="N20" i="10"/>
  <c r="K20" i="10"/>
  <c r="G20" i="10"/>
  <c r="D20" i="10"/>
  <c r="Q19" i="10"/>
  <c r="P19" i="10"/>
  <c r="N19" i="10"/>
  <c r="K19" i="10"/>
  <c r="G19" i="10"/>
  <c r="D19" i="10"/>
  <c r="Q18" i="10"/>
  <c r="P18" i="10"/>
  <c r="N18" i="10"/>
  <c r="K18" i="10"/>
  <c r="G18" i="10"/>
  <c r="D18" i="10"/>
  <c r="Q17" i="10"/>
  <c r="P17" i="10"/>
  <c r="N17" i="10"/>
  <c r="K17" i="10"/>
  <c r="G17" i="10"/>
  <c r="D17" i="10"/>
  <c r="Q16" i="10"/>
  <c r="P16" i="10"/>
  <c r="N16" i="10"/>
  <c r="K16" i="10"/>
  <c r="G16" i="10"/>
  <c r="D16" i="10"/>
  <c r="Q15" i="10"/>
  <c r="P15" i="10"/>
  <c r="N15" i="10"/>
  <c r="K15" i="10"/>
  <c r="G15" i="10"/>
  <c r="D15" i="10"/>
  <c r="AR117" i="9"/>
  <c r="AR106" i="9"/>
  <c r="AR101" i="9"/>
  <c r="AD99" i="9"/>
  <c r="AC99" i="9"/>
  <c r="AB99" i="9"/>
  <c r="AA99" i="9"/>
  <c r="Z99" i="9"/>
  <c r="Y99" i="9"/>
  <c r="X99" i="9"/>
  <c r="W99" i="9"/>
  <c r="V99" i="9"/>
  <c r="U99" i="9"/>
  <c r="T99" i="9"/>
  <c r="S99" i="9"/>
  <c r="AE99" i="9" s="1"/>
  <c r="AN96" i="9"/>
  <c r="AD94" i="9"/>
  <c r="AC94" i="9"/>
  <c r="AB94" i="9"/>
  <c r="AA94" i="9"/>
  <c r="Z94" i="9"/>
  <c r="Y94" i="9"/>
  <c r="X94" i="9"/>
  <c r="W94" i="9"/>
  <c r="V94" i="9"/>
  <c r="U94" i="9"/>
  <c r="T94" i="9"/>
  <c r="S94" i="9"/>
  <c r="AE94" i="9" s="1"/>
  <c r="AD93" i="9"/>
  <c r="AC93" i="9"/>
  <c r="AB93" i="9"/>
  <c r="AA93" i="9"/>
  <c r="Z93" i="9"/>
  <c r="Y93" i="9"/>
  <c r="X93" i="9"/>
  <c r="W93" i="9"/>
  <c r="V93" i="9"/>
  <c r="U93" i="9"/>
  <c r="T93" i="9"/>
  <c r="S93" i="9"/>
  <c r="AE93" i="9" s="1"/>
  <c r="AD92" i="9"/>
  <c r="AC92" i="9"/>
  <c r="AB92" i="9"/>
  <c r="AA92" i="9"/>
  <c r="Z92" i="9"/>
  <c r="Y92" i="9"/>
  <c r="X92" i="9"/>
  <c r="W92" i="9"/>
  <c r="V92" i="9"/>
  <c r="U92" i="9"/>
  <c r="T92" i="9"/>
  <c r="S92" i="9"/>
  <c r="AE92" i="9" s="1"/>
  <c r="AD91" i="9"/>
  <c r="AC91" i="9"/>
  <c r="AB91" i="9"/>
  <c r="AA91" i="9"/>
  <c r="Z91" i="9"/>
  <c r="Y91" i="9"/>
  <c r="X91" i="9"/>
  <c r="W91" i="9"/>
  <c r="V91" i="9"/>
  <c r="U91" i="9"/>
  <c r="T91" i="9"/>
  <c r="S91" i="9"/>
  <c r="AE91" i="9" s="1"/>
  <c r="AD90" i="9"/>
  <c r="AC90" i="9"/>
  <c r="AB90" i="9"/>
  <c r="AA90" i="9"/>
  <c r="Z90" i="9"/>
  <c r="Y90" i="9"/>
  <c r="X90" i="9"/>
  <c r="W90" i="9"/>
  <c r="V90" i="9"/>
  <c r="U90" i="9"/>
  <c r="T90" i="9"/>
  <c r="S90" i="9"/>
  <c r="AE90" i="9" s="1"/>
  <c r="AD89" i="9"/>
  <c r="AC89" i="9"/>
  <c r="AB89" i="9"/>
  <c r="AA89" i="9"/>
  <c r="Z89" i="9"/>
  <c r="Y89" i="9"/>
  <c r="X89" i="9"/>
  <c r="W89" i="9"/>
  <c r="V89" i="9"/>
  <c r="U89" i="9"/>
  <c r="T89" i="9"/>
  <c r="S89" i="9"/>
  <c r="AE89" i="9" s="1"/>
  <c r="AH89" i="9" s="1"/>
  <c r="AD88" i="9"/>
  <c r="AD96" i="9" s="1"/>
  <c r="AC88" i="9"/>
  <c r="AC96" i="9" s="1"/>
  <c r="AB88" i="9"/>
  <c r="AB96" i="9" s="1"/>
  <c r="AA88" i="9"/>
  <c r="AA96" i="9" s="1"/>
  <c r="Z88" i="9"/>
  <c r="Z96" i="9" s="1"/>
  <c r="Y88" i="9"/>
  <c r="Y96" i="9" s="1"/>
  <c r="X88" i="9"/>
  <c r="X96" i="9" s="1"/>
  <c r="W88" i="9"/>
  <c r="W96" i="9" s="1"/>
  <c r="V88" i="9"/>
  <c r="V96" i="9" s="1"/>
  <c r="U88" i="9"/>
  <c r="U96" i="9" s="1"/>
  <c r="T88" i="9"/>
  <c r="T96" i="9" s="1"/>
  <c r="S88" i="9"/>
  <c r="S96" i="9" s="1"/>
  <c r="AD87" i="9"/>
  <c r="AC87" i="9"/>
  <c r="AB87" i="9"/>
  <c r="AA87" i="9"/>
  <c r="Z87" i="9"/>
  <c r="Y87" i="9"/>
  <c r="X87" i="9"/>
  <c r="W87" i="9"/>
  <c r="V87" i="9"/>
  <c r="U87" i="9"/>
  <c r="T87" i="9"/>
  <c r="S87" i="9"/>
  <c r="AE87" i="9" s="1"/>
  <c r="AD86" i="9"/>
  <c r="AC86" i="9"/>
  <c r="AB86" i="9"/>
  <c r="AA86" i="9"/>
  <c r="Z86" i="9"/>
  <c r="Y86" i="9"/>
  <c r="X86" i="9"/>
  <c r="W86" i="9"/>
  <c r="V86" i="9"/>
  <c r="U86" i="9"/>
  <c r="T86" i="9"/>
  <c r="S86" i="9"/>
  <c r="AE86" i="9" s="1"/>
  <c r="AD85" i="9"/>
  <c r="AC85" i="9"/>
  <c r="AB85" i="9"/>
  <c r="AA85" i="9"/>
  <c r="Z85" i="9"/>
  <c r="Y85" i="9"/>
  <c r="X85" i="9"/>
  <c r="W85" i="9"/>
  <c r="V85" i="9"/>
  <c r="U85" i="9"/>
  <c r="T85" i="9"/>
  <c r="S85" i="9"/>
  <c r="AE85" i="9" s="1"/>
  <c r="AD84" i="9"/>
  <c r="AC84" i="9"/>
  <c r="AB84" i="9"/>
  <c r="AA84" i="9"/>
  <c r="Z84" i="9"/>
  <c r="Y84" i="9"/>
  <c r="X84" i="9"/>
  <c r="W84" i="9"/>
  <c r="V84" i="9"/>
  <c r="U84" i="9"/>
  <c r="T84" i="9"/>
  <c r="S84" i="9"/>
  <c r="AE84" i="9" s="1"/>
  <c r="AD83" i="9"/>
  <c r="AC83" i="9"/>
  <c r="AB83" i="9"/>
  <c r="AA83" i="9"/>
  <c r="Z83" i="9"/>
  <c r="Y83" i="9"/>
  <c r="X83" i="9"/>
  <c r="W83" i="9"/>
  <c r="V83" i="9"/>
  <c r="U83" i="9"/>
  <c r="T83" i="9"/>
  <c r="S83" i="9"/>
  <c r="AE83" i="9" s="1"/>
  <c r="AD76" i="9"/>
  <c r="AC76" i="9"/>
  <c r="AB76" i="9"/>
  <c r="AA76" i="9"/>
  <c r="Z76" i="9"/>
  <c r="Y76" i="9"/>
  <c r="X76" i="9"/>
  <c r="W76" i="9"/>
  <c r="V76" i="9"/>
  <c r="U76" i="9"/>
  <c r="T76" i="9"/>
  <c r="S76" i="9"/>
  <c r="AE76" i="9" s="1"/>
  <c r="AD75" i="9"/>
  <c r="AC75" i="9"/>
  <c r="AB75" i="9"/>
  <c r="AA75" i="9"/>
  <c r="Z75" i="9"/>
  <c r="Y75" i="9"/>
  <c r="X75" i="9"/>
  <c r="W75" i="9"/>
  <c r="V75" i="9"/>
  <c r="U75" i="9"/>
  <c r="T75" i="9"/>
  <c r="S75" i="9"/>
  <c r="AE75" i="9" s="1"/>
  <c r="AD74" i="9"/>
  <c r="AC74" i="9"/>
  <c r="AB74" i="9"/>
  <c r="AA74" i="9"/>
  <c r="Z74" i="9"/>
  <c r="Y74" i="9"/>
  <c r="X74" i="9"/>
  <c r="W74" i="9"/>
  <c r="V74" i="9"/>
  <c r="U74" i="9"/>
  <c r="T74" i="9"/>
  <c r="S74" i="9"/>
  <c r="AE74" i="9" s="1"/>
  <c r="AD73" i="9"/>
  <c r="AC73" i="9"/>
  <c r="AB73" i="9"/>
  <c r="AA73" i="9"/>
  <c r="Z73" i="9"/>
  <c r="Y73" i="9"/>
  <c r="X73" i="9"/>
  <c r="W73" i="9"/>
  <c r="V73" i="9"/>
  <c r="U73" i="9"/>
  <c r="T73" i="9"/>
  <c r="S73" i="9"/>
  <c r="AE73" i="9" s="1"/>
  <c r="AD72" i="9"/>
  <c r="AC72" i="9"/>
  <c r="AB72" i="9"/>
  <c r="AA72" i="9"/>
  <c r="Z72" i="9"/>
  <c r="Y72" i="9"/>
  <c r="X72" i="9"/>
  <c r="W72" i="9"/>
  <c r="V72" i="9"/>
  <c r="U72" i="9"/>
  <c r="T72" i="9"/>
  <c r="S72" i="9"/>
  <c r="AE72" i="9" s="1"/>
  <c r="AD71" i="9"/>
  <c r="AC71" i="9"/>
  <c r="AB71" i="9"/>
  <c r="AA71" i="9"/>
  <c r="Z71" i="9"/>
  <c r="Y71" i="9"/>
  <c r="X71" i="9"/>
  <c r="W71" i="9"/>
  <c r="V71" i="9"/>
  <c r="U71" i="9"/>
  <c r="T71" i="9"/>
  <c r="S71" i="9"/>
  <c r="AE71" i="9" s="1"/>
  <c r="AD70" i="9"/>
  <c r="AC70" i="9"/>
  <c r="AB70" i="9"/>
  <c r="AA70" i="9"/>
  <c r="Z70" i="9"/>
  <c r="Y70" i="9"/>
  <c r="X70" i="9"/>
  <c r="W70" i="9"/>
  <c r="V70" i="9"/>
  <c r="U70" i="9"/>
  <c r="T70" i="9"/>
  <c r="S70" i="9"/>
  <c r="AE70" i="9" s="1"/>
  <c r="AD69" i="9"/>
  <c r="AC69" i="9"/>
  <c r="AB69" i="9"/>
  <c r="AA69" i="9"/>
  <c r="Z69" i="9"/>
  <c r="Y69" i="9"/>
  <c r="X69" i="9"/>
  <c r="W69" i="9"/>
  <c r="V69" i="9"/>
  <c r="U69" i="9"/>
  <c r="T69" i="9"/>
  <c r="S69" i="9"/>
  <c r="AE69" i="9" s="1"/>
  <c r="AD68" i="9"/>
  <c r="AC68" i="9"/>
  <c r="AB68" i="9"/>
  <c r="AA68" i="9"/>
  <c r="Z68" i="9"/>
  <c r="Y68" i="9"/>
  <c r="X68" i="9"/>
  <c r="W68" i="9"/>
  <c r="V68" i="9"/>
  <c r="U68" i="9"/>
  <c r="T68" i="9"/>
  <c r="S68" i="9"/>
  <c r="AE68" i="9" s="1"/>
  <c r="AD67" i="9"/>
  <c r="AC67" i="9"/>
  <c r="AB67" i="9"/>
  <c r="AA67" i="9"/>
  <c r="Z67" i="9"/>
  <c r="Y67" i="9"/>
  <c r="X67" i="9"/>
  <c r="W67" i="9"/>
  <c r="V67" i="9"/>
  <c r="U67" i="9"/>
  <c r="T67" i="9"/>
  <c r="S67" i="9"/>
  <c r="AE67" i="9" s="1"/>
  <c r="AD66" i="9"/>
  <c r="AC66" i="9"/>
  <c r="AB66" i="9"/>
  <c r="AA66" i="9"/>
  <c r="Z66" i="9"/>
  <c r="Y66" i="9"/>
  <c r="X66" i="9"/>
  <c r="W66" i="9"/>
  <c r="V66" i="9"/>
  <c r="U66" i="9"/>
  <c r="T66" i="9"/>
  <c r="S66" i="9"/>
  <c r="AE66" i="9" s="1"/>
  <c r="AD65" i="9"/>
  <c r="AC65" i="9"/>
  <c r="AB65" i="9"/>
  <c r="AA65" i="9"/>
  <c r="Z65" i="9"/>
  <c r="Y65" i="9"/>
  <c r="X65" i="9"/>
  <c r="W65" i="9"/>
  <c r="V65" i="9"/>
  <c r="U65" i="9"/>
  <c r="T65" i="9"/>
  <c r="S65" i="9"/>
  <c r="AE65" i="9" s="1"/>
  <c r="AD64" i="9"/>
  <c r="AC64" i="9"/>
  <c r="AB64" i="9"/>
  <c r="AA64" i="9"/>
  <c r="Z64" i="9"/>
  <c r="Y64" i="9"/>
  <c r="X64" i="9"/>
  <c r="W64" i="9"/>
  <c r="V64" i="9"/>
  <c r="U64" i="9"/>
  <c r="T64" i="9"/>
  <c r="S64" i="9"/>
  <c r="AE64" i="9" s="1"/>
  <c r="AD63" i="9"/>
  <c r="AC63" i="9"/>
  <c r="AB63" i="9"/>
  <c r="AA63" i="9"/>
  <c r="Z63" i="9"/>
  <c r="Y63" i="9"/>
  <c r="X63" i="9"/>
  <c r="W63" i="9"/>
  <c r="V63" i="9"/>
  <c r="U63" i="9"/>
  <c r="T63" i="9"/>
  <c r="S63" i="9"/>
  <c r="AE63" i="9" s="1"/>
  <c r="AD62" i="9"/>
  <c r="AC62" i="9"/>
  <c r="AB62" i="9"/>
  <c r="AA62" i="9"/>
  <c r="Z62" i="9"/>
  <c r="Y62" i="9"/>
  <c r="X62" i="9"/>
  <c r="W62" i="9"/>
  <c r="V62" i="9"/>
  <c r="U62" i="9"/>
  <c r="T62" i="9"/>
  <c r="S62" i="9"/>
  <c r="AE62" i="9" s="1"/>
  <c r="AD61" i="9"/>
  <c r="AC61" i="9"/>
  <c r="AB61" i="9"/>
  <c r="AA61" i="9"/>
  <c r="Z61" i="9"/>
  <c r="Y61" i="9"/>
  <c r="X61" i="9"/>
  <c r="W61" i="9"/>
  <c r="V61" i="9"/>
  <c r="U61" i="9"/>
  <c r="T61" i="9"/>
  <c r="S61" i="9"/>
  <c r="AE61" i="9" s="1"/>
  <c r="AD60" i="9"/>
  <c r="AC60" i="9"/>
  <c r="AB60" i="9"/>
  <c r="AA60" i="9"/>
  <c r="Z60" i="9"/>
  <c r="Y60" i="9"/>
  <c r="X60" i="9"/>
  <c r="W60" i="9"/>
  <c r="V60" i="9"/>
  <c r="U60" i="9"/>
  <c r="T60" i="9"/>
  <c r="S60" i="9"/>
  <c r="AE60" i="9" s="1"/>
  <c r="AD59" i="9"/>
  <c r="AC59" i="9"/>
  <c r="AB59" i="9"/>
  <c r="AA59" i="9"/>
  <c r="Z59" i="9"/>
  <c r="Y59" i="9"/>
  <c r="X59" i="9"/>
  <c r="W59" i="9"/>
  <c r="V59" i="9"/>
  <c r="U59" i="9"/>
  <c r="T59" i="9"/>
  <c r="S59" i="9"/>
  <c r="AE59" i="9" s="1"/>
  <c r="AH59" i="9" s="1"/>
  <c r="AD58" i="9"/>
  <c r="AC58" i="9"/>
  <c r="AB58" i="9"/>
  <c r="AA58" i="9"/>
  <c r="Z58" i="9"/>
  <c r="Y58" i="9"/>
  <c r="X58" i="9"/>
  <c r="W58" i="9"/>
  <c r="V58" i="9"/>
  <c r="U58" i="9"/>
  <c r="T58" i="9"/>
  <c r="S58" i="9"/>
  <c r="AD57" i="9"/>
  <c r="AC57" i="9"/>
  <c r="AB57" i="9"/>
  <c r="AA57" i="9"/>
  <c r="Z57" i="9"/>
  <c r="Y57" i="9"/>
  <c r="X57" i="9"/>
  <c r="W57" i="9"/>
  <c r="V57" i="9"/>
  <c r="U57" i="9"/>
  <c r="T57" i="9"/>
  <c r="S57" i="9"/>
  <c r="AD56" i="9"/>
  <c r="AC56" i="9"/>
  <c r="AB56" i="9"/>
  <c r="AA56" i="9"/>
  <c r="Z56" i="9"/>
  <c r="Y56" i="9"/>
  <c r="X56" i="9"/>
  <c r="W56" i="9"/>
  <c r="V56" i="9"/>
  <c r="U56" i="9"/>
  <c r="T56" i="9"/>
  <c r="S56" i="9"/>
  <c r="AE56" i="9" s="1"/>
  <c r="AH56" i="9" s="1"/>
  <c r="AN55" i="9"/>
  <c r="AD55" i="9"/>
  <c r="Z55" i="9"/>
  <c r="D55" i="9"/>
  <c r="V55" i="9" s="1"/>
  <c r="AN54" i="9"/>
  <c r="AC54" i="9"/>
  <c r="Y54" i="9"/>
  <c r="U54" i="9"/>
  <c r="D54" i="9"/>
  <c r="AD54" i="9" s="1"/>
  <c r="AD53" i="9"/>
  <c r="AC53" i="9"/>
  <c r="AB53" i="9"/>
  <c r="AA53" i="9"/>
  <c r="Z53" i="9"/>
  <c r="Y53" i="9"/>
  <c r="X53" i="9"/>
  <c r="W53" i="9"/>
  <c r="V53" i="9"/>
  <c r="U53" i="9"/>
  <c r="T53" i="9"/>
  <c r="S53" i="9"/>
  <c r="AE53" i="9" s="1"/>
  <c r="AD52" i="9"/>
  <c r="AC52" i="9"/>
  <c r="AB52" i="9"/>
  <c r="AA52" i="9"/>
  <c r="Z52" i="9"/>
  <c r="Y52" i="9"/>
  <c r="X52" i="9"/>
  <c r="W52" i="9"/>
  <c r="V52" i="9"/>
  <c r="U52" i="9"/>
  <c r="T52" i="9"/>
  <c r="S52" i="9"/>
  <c r="AE52" i="9" s="1"/>
  <c r="AH52" i="9" s="1"/>
  <c r="AD51" i="9"/>
  <c r="AC51" i="9"/>
  <c r="AB51" i="9"/>
  <c r="AA51" i="9"/>
  <c r="Z51" i="9"/>
  <c r="Y51" i="9"/>
  <c r="X51" i="9"/>
  <c r="W51" i="9"/>
  <c r="V51" i="9"/>
  <c r="U51" i="9"/>
  <c r="T51" i="9"/>
  <c r="S51" i="9"/>
  <c r="AE51" i="9" s="1"/>
  <c r="AH51" i="9" s="1"/>
  <c r="AD50" i="9"/>
  <c r="AC50" i="9"/>
  <c r="AB50" i="9"/>
  <c r="AA50" i="9"/>
  <c r="Z50" i="9"/>
  <c r="Y50" i="9"/>
  <c r="X50" i="9"/>
  <c r="W50" i="9"/>
  <c r="V50" i="9"/>
  <c r="U50" i="9"/>
  <c r="T50" i="9"/>
  <c r="S50" i="9"/>
  <c r="AD49" i="9"/>
  <c r="AC49" i="9"/>
  <c r="AB49" i="9"/>
  <c r="AA49" i="9"/>
  <c r="Z49" i="9"/>
  <c r="Y49" i="9"/>
  <c r="X49" i="9"/>
  <c r="W49" i="9"/>
  <c r="V49" i="9"/>
  <c r="U49" i="9"/>
  <c r="T49" i="9"/>
  <c r="S49" i="9"/>
  <c r="AE49" i="9" s="1"/>
  <c r="AH49" i="9" s="1"/>
  <c r="AN48" i="9"/>
  <c r="AD48" i="9"/>
  <c r="AA48" i="9"/>
  <c r="Z48" i="9"/>
  <c r="X48" i="9"/>
  <c r="V48" i="9"/>
  <c r="T48" i="9"/>
  <c r="S48" i="9"/>
  <c r="D48" i="9"/>
  <c r="AN47" i="9"/>
  <c r="AD47" i="9"/>
  <c r="AA47" i="9"/>
  <c r="Z47" i="9"/>
  <c r="X47" i="9"/>
  <c r="V47" i="9"/>
  <c r="T47" i="9"/>
  <c r="S47" i="9"/>
  <c r="D47" i="9"/>
  <c r="AN46" i="9"/>
  <c r="AD46" i="9"/>
  <c r="AA46" i="9"/>
  <c r="Z46" i="9"/>
  <c r="X46" i="9"/>
  <c r="V46" i="9"/>
  <c r="T46" i="9"/>
  <c r="S46" i="9"/>
  <c r="D46" i="9"/>
  <c r="AN45" i="9"/>
  <c r="AD45" i="9"/>
  <c r="AA45" i="9"/>
  <c r="Z45" i="9"/>
  <c r="X45" i="9"/>
  <c r="V45" i="9"/>
  <c r="T45" i="9"/>
  <c r="S45" i="9"/>
  <c r="D45" i="9"/>
  <c r="AN44" i="9"/>
  <c r="AC44" i="9"/>
  <c r="AB44" i="9"/>
  <c r="AA44" i="9"/>
  <c r="Y44" i="9"/>
  <c r="X44" i="9"/>
  <c r="W44" i="9"/>
  <c r="U44" i="9"/>
  <c r="T44" i="9"/>
  <c r="S44" i="9"/>
  <c r="D44" i="9"/>
  <c r="AD44" i="9" s="1"/>
  <c r="AN43" i="9"/>
  <c r="AC43" i="9"/>
  <c r="AB43" i="9"/>
  <c r="AA43" i="9"/>
  <c r="Y43" i="9"/>
  <c r="X43" i="9"/>
  <c r="W43" i="9"/>
  <c r="U43" i="9"/>
  <c r="T43" i="9"/>
  <c r="S43" i="9"/>
  <c r="D43" i="9"/>
  <c r="AD43" i="9" s="1"/>
  <c r="AN42" i="9"/>
  <c r="AC42" i="9"/>
  <c r="AB42" i="9"/>
  <c r="AA42" i="9"/>
  <c r="Y42" i="9"/>
  <c r="X42" i="9"/>
  <c r="W42" i="9"/>
  <c r="U42" i="9"/>
  <c r="T42" i="9"/>
  <c r="S42" i="9"/>
  <c r="D42" i="9"/>
  <c r="AD42" i="9" s="1"/>
  <c r="AN41" i="9"/>
  <c r="AC41" i="9"/>
  <c r="AB41" i="9"/>
  <c r="AA41" i="9"/>
  <c r="Y41" i="9"/>
  <c r="X41" i="9"/>
  <c r="W41" i="9"/>
  <c r="U41" i="9"/>
  <c r="T41" i="9"/>
  <c r="S41" i="9"/>
  <c r="D41" i="9"/>
  <c r="AD41" i="9" s="1"/>
  <c r="AN40" i="9"/>
  <c r="AN78" i="9" s="1"/>
  <c r="AC40" i="9"/>
  <c r="AB40" i="9"/>
  <c r="AA40" i="9"/>
  <c r="Y40" i="9"/>
  <c r="X40" i="9"/>
  <c r="W40" i="9"/>
  <c r="U40" i="9"/>
  <c r="T40" i="9"/>
  <c r="S40" i="9"/>
  <c r="D40" i="9"/>
  <c r="AD40" i="9" s="1"/>
  <c r="AD33" i="9"/>
  <c r="AC33" i="9"/>
  <c r="AB33" i="9"/>
  <c r="AA33" i="9"/>
  <c r="Z33" i="9"/>
  <c r="Y33" i="9"/>
  <c r="X33" i="9"/>
  <c r="W33" i="9"/>
  <c r="V33" i="9"/>
  <c r="U33" i="9"/>
  <c r="T33" i="9"/>
  <c r="S33" i="9"/>
  <c r="AD32" i="9"/>
  <c r="AC32" i="9"/>
  <c r="AB32" i="9"/>
  <c r="AA32" i="9"/>
  <c r="Z32" i="9"/>
  <c r="Y32" i="9"/>
  <c r="X32" i="9"/>
  <c r="W32" i="9"/>
  <c r="V32" i="9"/>
  <c r="U32" i="9"/>
  <c r="T32" i="9"/>
  <c r="S32" i="9"/>
  <c r="AE32" i="9" s="1"/>
  <c r="AD31" i="9"/>
  <c r="AC31" i="9"/>
  <c r="AB31" i="9"/>
  <c r="AA31" i="9"/>
  <c r="Z31" i="9"/>
  <c r="Y31" i="9"/>
  <c r="X31" i="9"/>
  <c r="W31" i="9"/>
  <c r="V31" i="9"/>
  <c r="U31" i="9"/>
  <c r="T31" i="9"/>
  <c r="S31" i="9"/>
  <c r="AE31" i="9" s="1"/>
  <c r="AD30" i="9"/>
  <c r="AC30" i="9"/>
  <c r="AB30" i="9"/>
  <c r="AA30" i="9"/>
  <c r="Z30" i="9"/>
  <c r="Y30" i="9"/>
  <c r="X30" i="9"/>
  <c r="W30" i="9"/>
  <c r="V30" i="9"/>
  <c r="U30" i="9"/>
  <c r="T30" i="9"/>
  <c r="S30" i="9"/>
  <c r="AM29" i="9"/>
  <c r="D29" i="9"/>
  <c r="AD28" i="9"/>
  <c r="AC28" i="9"/>
  <c r="AB28" i="9"/>
  <c r="AA28" i="9"/>
  <c r="Z28" i="9"/>
  <c r="Y28" i="9"/>
  <c r="X28" i="9"/>
  <c r="W28" i="9"/>
  <c r="V28" i="9"/>
  <c r="U28" i="9"/>
  <c r="T28" i="9"/>
  <c r="S28" i="9"/>
  <c r="AD27" i="9"/>
  <c r="AC27" i="9"/>
  <c r="AB27" i="9"/>
  <c r="AA27" i="9"/>
  <c r="Z27" i="9"/>
  <c r="Y27" i="9"/>
  <c r="X27" i="9"/>
  <c r="W27" i="9"/>
  <c r="V27" i="9"/>
  <c r="U27" i="9"/>
  <c r="T27" i="9"/>
  <c r="S27" i="9"/>
  <c r="AE27" i="9" s="1"/>
  <c r="AD26" i="9"/>
  <c r="AC26" i="9"/>
  <c r="AB26" i="9"/>
  <c r="AA26" i="9"/>
  <c r="Z26" i="9"/>
  <c r="Y26" i="9"/>
  <c r="X26" i="9"/>
  <c r="W26" i="9"/>
  <c r="V26" i="9"/>
  <c r="U26" i="9"/>
  <c r="T26" i="9"/>
  <c r="S26" i="9"/>
  <c r="AE26" i="9" s="1"/>
  <c r="AM25" i="9"/>
  <c r="AC25" i="9"/>
  <c r="AB25" i="9"/>
  <c r="Y25" i="9"/>
  <c r="X25" i="9"/>
  <c r="U25" i="9"/>
  <c r="T25" i="9"/>
  <c r="D25" i="9"/>
  <c r="Z25" i="9" s="1"/>
  <c r="AD24" i="9"/>
  <c r="AC24" i="9"/>
  <c r="AB24" i="9"/>
  <c r="AA24" i="9"/>
  <c r="Z24" i="9"/>
  <c r="Y24" i="9"/>
  <c r="X24" i="9"/>
  <c r="W24" i="9"/>
  <c r="V24" i="9"/>
  <c r="U24" i="9"/>
  <c r="T24" i="9"/>
  <c r="S24" i="9"/>
  <c r="AE24" i="9" s="1"/>
  <c r="AD23" i="9"/>
  <c r="AC23" i="9"/>
  <c r="AB23" i="9"/>
  <c r="AA23" i="9"/>
  <c r="Z23" i="9"/>
  <c r="Y23" i="9"/>
  <c r="X23" i="9"/>
  <c r="W23" i="9"/>
  <c r="V23" i="9"/>
  <c r="U23" i="9"/>
  <c r="T23" i="9"/>
  <c r="S23" i="9"/>
  <c r="AE23" i="9" s="1"/>
  <c r="AD22" i="9"/>
  <c r="AC22" i="9"/>
  <c r="AB22" i="9"/>
  <c r="AA22" i="9"/>
  <c r="Z22" i="9"/>
  <c r="Y22" i="9"/>
  <c r="X22" i="9"/>
  <c r="W22" i="9"/>
  <c r="V22" i="9"/>
  <c r="U22" i="9"/>
  <c r="T22" i="9"/>
  <c r="S22" i="9"/>
  <c r="AE22" i="9" s="1"/>
  <c r="AH22" i="9" s="1"/>
  <c r="AN21" i="9"/>
  <c r="AD21" i="9"/>
  <c r="AC21" i="9"/>
  <c r="AB21" i="9"/>
  <c r="AA21" i="9"/>
  <c r="Z21" i="9"/>
  <c r="Y21" i="9"/>
  <c r="X21" i="9"/>
  <c r="W21" i="9"/>
  <c r="V21" i="9"/>
  <c r="U21" i="9"/>
  <c r="T21" i="9"/>
  <c r="S21" i="9"/>
  <c r="AN20" i="9"/>
  <c r="AD20" i="9"/>
  <c r="AC20" i="9"/>
  <c r="AB20" i="9"/>
  <c r="AA20" i="9"/>
  <c r="Z20" i="9"/>
  <c r="Y20" i="9"/>
  <c r="X20" i="9"/>
  <c r="W20" i="9"/>
  <c r="V20" i="9"/>
  <c r="U20" i="9"/>
  <c r="T20" i="9"/>
  <c r="S20" i="9"/>
  <c r="AE20" i="9" s="1"/>
  <c r="AH20" i="9" s="1"/>
  <c r="AD19" i="9"/>
  <c r="AC19" i="9"/>
  <c r="AB19" i="9"/>
  <c r="AA19" i="9"/>
  <c r="Z19" i="9"/>
  <c r="Y19" i="9"/>
  <c r="X19" i="9"/>
  <c r="W19" i="9"/>
  <c r="V19" i="9"/>
  <c r="U19" i="9"/>
  <c r="T19" i="9"/>
  <c r="S19" i="9"/>
  <c r="AE19" i="9" s="1"/>
  <c r="AH19" i="9" s="1"/>
  <c r="AN18" i="9"/>
  <c r="AD18" i="9"/>
  <c r="AC18" i="9"/>
  <c r="AB18" i="9"/>
  <c r="AA18" i="9"/>
  <c r="Z18" i="9"/>
  <c r="Y18" i="9"/>
  <c r="X18" i="9"/>
  <c r="W18" i="9"/>
  <c r="V18" i="9"/>
  <c r="U18" i="9"/>
  <c r="T18" i="9"/>
  <c r="S18" i="9"/>
  <c r="AD17" i="9"/>
  <c r="AC17" i="9"/>
  <c r="AB17" i="9"/>
  <c r="AA17" i="9"/>
  <c r="Z17" i="9"/>
  <c r="Y17" i="9"/>
  <c r="X17" i="9"/>
  <c r="W17" i="9"/>
  <c r="V17" i="9"/>
  <c r="U17" i="9"/>
  <c r="T17" i="9"/>
  <c r="S17" i="9"/>
  <c r="AE17" i="9" s="1"/>
  <c r="AH17" i="9" s="1"/>
  <c r="AD16" i="9"/>
  <c r="AC16" i="9"/>
  <c r="AB16" i="9"/>
  <c r="AA16" i="9"/>
  <c r="Z16" i="9"/>
  <c r="Y16" i="9"/>
  <c r="Y35" i="9" s="1"/>
  <c r="X16" i="9"/>
  <c r="W16" i="9"/>
  <c r="V16" i="9"/>
  <c r="U16" i="9"/>
  <c r="T16" i="9"/>
  <c r="S16" i="9"/>
  <c r="AE16" i="9" s="1"/>
  <c r="AD15" i="9"/>
  <c r="AC15" i="9"/>
  <c r="AB15" i="9"/>
  <c r="AA15" i="9"/>
  <c r="Z15" i="9"/>
  <c r="Y15" i="9"/>
  <c r="X15" i="9"/>
  <c r="W15" i="9"/>
  <c r="V15" i="9"/>
  <c r="U15" i="9"/>
  <c r="T15" i="9"/>
  <c r="S15" i="9"/>
  <c r="AD14" i="9"/>
  <c r="AC14" i="9"/>
  <c r="AB14" i="9"/>
  <c r="AA14" i="9"/>
  <c r="Z14" i="9"/>
  <c r="Y14" i="9"/>
  <c r="X14" i="9"/>
  <c r="W14" i="9"/>
  <c r="V14" i="9"/>
  <c r="U14" i="9"/>
  <c r="T14" i="9"/>
  <c r="S14" i="9"/>
  <c r="AE14" i="9" s="1"/>
  <c r="AD13" i="9"/>
  <c r="AC13" i="9"/>
  <c r="AB13" i="9"/>
  <c r="AA13" i="9"/>
  <c r="Z13" i="9"/>
  <c r="Y13" i="9"/>
  <c r="X13" i="9"/>
  <c r="W13" i="9"/>
  <c r="V13" i="9"/>
  <c r="U13" i="9"/>
  <c r="T13" i="9"/>
  <c r="S13" i="9"/>
  <c r="AE13" i="9" s="1"/>
  <c r="AD12" i="9"/>
  <c r="AC12" i="9"/>
  <c r="AC35" i="9" s="1"/>
  <c r="AB12" i="9"/>
  <c r="AB35" i="9" s="1"/>
  <c r="AA12" i="9"/>
  <c r="Z12" i="9"/>
  <c r="Y12" i="9"/>
  <c r="X12" i="9"/>
  <c r="X35" i="9" s="1"/>
  <c r="W12" i="9"/>
  <c r="V12" i="9"/>
  <c r="U12" i="9"/>
  <c r="U35" i="9" s="1"/>
  <c r="T12" i="9"/>
  <c r="T35" i="9" s="1"/>
  <c r="S12" i="9"/>
  <c r="AD4" i="9"/>
  <c r="AC4" i="9"/>
  <c r="AB4" i="9"/>
  <c r="AA4" i="9"/>
  <c r="Z4" i="9"/>
  <c r="Y4" i="9"/>
  <c r="X4" i="9"/>
  <c r="W4" i="9"/>
  <c r="V4" i="9"/>
  <c r="U4" i="9"/>
  <c r="T4" i="9"/>
  <c r="S4" i="9"/>
  <c r="AT3" i="9"/>
  <c r="P43" i="10" l="1"/>
  <c r="G43" i="10"/>
  <c r="Q43" i="10"/>
  <c r="AE44" i="9"/>
  <c r="AH44" i="9" s="1"/>
  <c r="AB29" i="9"/>
  <c r="T29" i="9"/>
  <c r="AC29" i="9"/>
  <c r="Y29" i="9"/>
  <c r="U29" i="9"/>
  <c r="X29" i="9"/>
  <c r="Z29" i="9"/>
  <c r="S29" i="9"/>
  <c r="AA29" i="9"/>
  <c r="V35" i="9"/>
  <c r="Z35" i="9"/>
  <c r="AD35" i="9"/>
  <c r="AE21" i="9"/>
  <c r="AH21" i="9" s="1"/>
  <c r="AE28" i="9"/>
  <c r="V29" i="9"/>
  <c r="AD29" i="9"/>
  <c r="S35" i="9"/>
  <c r="W35" i="9"/>
  <c r="AA35" i="9"/>
  <c r="AE12" i="9"/>
  <c r="AE15" i="9"/>
  <c r="AE18" i="9"/>
  <c r="AH18" i="9" s="1"/>
  <c r="AH35" i="9" s="1"/>
  <c r="W29" i="9"/>
  <c r="AE30" i="9"/>
  <c r="AE33" i="9"/>
  <c r="AD78" i="9"/>
  <c r="S78" i="9"/>
  <c r="AN35" i="9"/>
  <c r="V25" i="9"/>
  <c r="AD25" i="9"/>
  <c r="S25" i="9"/>
  <c r="W25" i="9"/>
  <c r="AA25" i="9"/>
  <c r="V40" i="9"/>
  <c r="V78" i="9" s="1"/>
  <c r="Z40" i="9"/>
  <c r="V41" i="9"/>
  <c r="Z41" i="9"/>
  <c r="V42" i="9"/>
  <c r="AE42" i="9" s="1"/>
  <c r="AH42" i="9" s="1"/>
  <c r="Z42" i="9"/>
  <c r="V43" i="9"/>
  <c r="AE43" i="9" s="1"/>
  <c r="AH43" i="9" s="1"/>
  <c r="Z43" i="9"/>
  <c r="V44" i="9"/>
  <c r="Z44" i="9"/>
  <c r="AC45" i="9"/>
  <c r="Y45" i="9"/>
  <c r="Y78" i="9" s="1"/>
  <c r="U45" i="9"/>
  <c r="W45" i="9"/>
  <c r="W78" i="9" s="1"/>
  <c r="AB45" i="9"/>
  <c r="AB78" i="9" s="1"/>
  <c r="AC46" i="9"/>
  <c r="AC78" i="9" s="1"/>
  <c r="Y46" i="9"/>
  <c r="U46" i="9"/>
  <c r="U78" i="9" s="1"/>
  <c r="W46" i="9"/>
  <c r="AB46" i="9"/>
  <c r="AC47" i="9"/>
  <c r="Y47" i="9"/>
  <c r="U47" i="9"/>
  <c r="AE47" i="9" s="1"/>
  <c r="AH47" i="9" s="1"/>
  <c r="W47" i="9"/>
  <c r="AB47" i="9"/>
  <c r="AC48" i="9"/>
  <c r="Y48" i="9"/>
  <c r="U48" i="9"/>
  <c r="AE48" i="9" s="1"/>
  <c r="AH48" i="9" s="1"/>
  <c r="W48" i="9"/>
  <c r="AB48" i="9"/>
  <c r="AE58" i="9"/>
  <c r="AH58" i="9" s="1"/>
  <c r="AE50" i="9"/>
  <c r="AH50" i="9" s="1"/>
  <c r="AA55" i="9"/>
  <c r="W55" i="9"/>
  <c r="S55" i="9"/>
  <c r="AC55" i="9"/>
  <c r="Y55" i="9"/>
  <c r="U55" i="9"/>
  <c r="AB55" i="9"/>
  <c r="X55" i="9"/>
  <c r="T55" i="9"/>
  <c r="AE57" i="9"/>
  <c r="S54" i="9"/>
  <c r="W54" i="9"/>
  <c r="AA54" i="9"/>
  <c r="AA78" i="9" s="1"/>
  <c r="AE88" i="9"/>
  <c r="T54" i="9"/>
  <c r="T78" i="9" s="1"/>
  <c r="X54" i="9"/>
  <c r="X78" i="9" s="1"/>
  <c r="AB54" i="9"/>
  <c r="V54" i="9"/>
  <c r="Z54" i="9"/>
  <c r="AE29" i="9" l="1"/>
  <c r="AE45" i="9"/>
  <c r="AH45" i="9" s="1"/>
  <c r="AE54" i="9"/>
  <c r="AE55" i="9"/>
  <c r="AH55" i="9" s="1"/>
  <c r="AH79" i="9" s="1"/>
  <c r="AL2" i="9" s="1"/>
  <c r="AE41" i="9"/>
  <c r="AH41" i="9" s="1"/>
  <c r="AH88" i="9"/>
  <c r="AE35" i="9"/>
  <c r="AE46" i="9"/>
  <c r="AH46" i="9" s="1"/>
  <c r="AE40" i="9"/>
  <c r="Z78" i="9"/>
  <c r="AE25" i="9"/>
  <c r="AE78" i="9" l="1"/>
  <c r="AE79" i="9"/>
  <c r="AH40" i="9"/>
  <c r="AH78" i="9" s="1"/>
  <c r="AL4" i="9" s="1"/>
  <c r="X67" i="3" l="1"/>
  <c r="X68" i="3"/>
  <c r="X69" i="3"/>
  <c r="W69" i="3"/>
  <c r="W68" i="3"/>
  <c r="W67" i="3"/>
  <c r="D37" i="4" l="1"/>
  <c r="D36" i="4"/>
  <c r="C36" i="4" s="1"/>
  <c r="Y69" i="3" l="1"/>
  <c r="Y68" i="3" l="1"/>
  <c r="Y67" i="3"/>
  <c r="G53" i="2" l="1"/>
  <c r="B61" i="2" l="1"/>
  <c r="C37" i="4" l="1"/>
  <c r="G44" i="3" l="1"/>
  <c r="M44" i="3"/>
  <c r="M43" i="3"/>
  <c r="M42" i="3"/>
  <c r="M41" i="3"/>
  <c r="M40" i="3"/>
  <c r="M39" i="3"/>
  <c r="M37" i="3"/>
  <c r="M36" i="3"/>
  <c r="M35" i="3"/>
  <c r="M34" i="3"/>
  <c r="M33" i="3"/>
  <c r="M32" i="3"/>
  <c r="M31" i="3"/>
  <c r="M27" i="3"/>
  <c r="M26" i="3"/>
  <c r="M29" i="3"/>
  <c r="M28" i="3"/>
  <c r="M25" i="3"/>
  <c r="M58" i="3"/>
  <c r="G58" i="3"/>
  <c r="H58" i="3" s="1"/>
  <c r="G31" i="3"/>
  <c r="G43" i="3" l="1"/>
  <c r="G42" i="3"/>
  <c r="G41" i="3"/>
  <c r="G40" i="3"/>
  <c r="G39" i="3"/>
  <c r="G37" i="3"/>
  <c r="G24" i="3"/>
  <c r="G23" i="3"/>
  <c r="G36" i="3"/>
  <c r="G35" i="3"/>
  <c r="G34" i="3"/>
  <c r="G33" i="3"/>
  <c r="G32" i="3"/>
  <c r="G28" i="3"/>
  <c r="G26" i="3"/>
  <c r="G27" i="3" l="1"/>
  <c r="G29" i="3"/>
  <c r="G25" i="3"/>
  <c r="G15" i="3" l="1"/>
  <c r="T49" i="3" l="1"/>
  <c r="T50" i="3"/>
  <c r="D45" i="3"/>
  <c r="E46" i="3" s="1"/>
  <c r="D72" i="3" l="1"/>
  <c r="D73" i="3" l="1"/>
  <c r="D74" i="3" s="1"/>
  <c r="D64" i="3" l="1"/>
  <c r="D65" i="3" s="1"/>
  <c r="E73" i="3"/>
  <c r="E72" i="3"/>
  <c r="C60" i="2"/>
  <c r="C59" i="2"/>
  <c r="B57" i="2"/>
  <c r="B64" i="2" s="1"/>
  <c r="C56" i="2"/>
  <c r="C55" i="2"/>
  <c r="C61" i="2" l="1"/>
  <c r="D61" i="2"/>
  <c r="D57" i="2"/>
  <c r="C57" i="2"/>
  <c r="C64" i="2"/>
  <c r="R61" i="3" l="1"/>
  <c r="R65" i="3" s="1"/>
  <c r="G12" i="3"/>
  <c r="G14" i="3" l="1"/>
  <c r="G52" i="3" l="1"/>
  <c r="G51" i="3"/>
  <c r="M7" i="3"/>
  <c r="M50" i="3"/>
  <c r="M10" i="3"/>
  <c r="M9" i="3"/>
  <c r="M8" i="3"/>
  <c r="M23" i="3"/>
  <c r="M14" i="3"/>
  <c r="M12" i="3"/>
  <c r="M24" i="3"/>
  <c r="M21" i="3"/>
  <c r="M20" i="3"/>
  <c r="M17" i="3"/>
  <c r="M13" i="3"/>
  <c r="M15" i="3" s="1"/>
  <c r="P15" i="3" s="1"/>
  <c r="M11" i="3"/>
  <c r="M6" i="3"/>
  <c r="G18" i="3" l="1"/>
  <c r="G17" i="3"/>
  <c r="G11" i="3"/>
  <c r="G50" i="3"/>
  <c r="G10" i="3"/>
  <c r="G9" i="3"/>
  <c r="G8" i="3"/>
  <c r="G7" i="3"/>
  <c r="G6" i="3"/>
  <c r="P8" i="3" l="1"/>
  <c r="P7" i="3"/>
  <c r="P10" i="3" l="1"/>
  <c r="P11" i="3"/>
  <c r="P13" i="3" l="1"/>
  <c r="P9" i="3"/>
  <c r="P6" i="3"/>
  <c r="P12" i="3"/>
  <c r="P14" i="3" l="1"/>
  <c r="M52" i="3"/>
  <c r="M51" i="3"/>
  <c r="G56" i="2" l="1"/>
  <c r="G58" i="2" s="1"/>
  <c r="B12" i="2"/>
  <c r="B11" i="2"/>
  <c r="H11" i="2" s="1"/>
  <c r="B10" i="2"/>
  <c r="B9" i="2"/>
  <c r="B8" i="2"/>
  <c r="B7" i="2"/>
  <c r="B6" i="2"/>
  <c r="E42" i="3" l="1"/>
  <c r="F42" i="3" s="1"/>
  <c r="E37" i="3"/>
  <c r="F37" i="3" s="1"/>
  <c r="P37" i="3" s="1"/>
  <c r="E44" i="3"/>
  <c r="F44" i="3" s="1"/>
  <c r="P44" i="3" s="1"/>
  <c r="E40" i="3"/>
  <c r="F40" i="3" s="1"/>
  <c r="P40" i="3" s="1"/>
  <c r="E43" i="3"/>
  <c r="F43" i="3" s="1"/>
  <c r="P43" i="3" s="1"/>
  <c r="E39" i="3"/>
  <c r="F39" i="3" s="1"/>
  <c r="P39" i="3" s="1"/>
  <c r="E36" i="3"/>
  <c r="F36" i="3" s="1"/>
  <c r="P36" i="3" s="1"/>
  <c r="E41" i="3"/>
  <c r="E35" i="3"/>
  <c r="F35" i="3" s="1"/>
  <c r="P35" i="3" s="1"/>
  <c r="E34" i="3"/>
  <c r="E31" i="3"/>
  <c r="F31" i="3" s="1"/>
  <c r="P31" i="3" s="1"/>
  <c r="E27" i="3"/>
  <c r="F27" i="3" s="1"/>
  <c r="P27" i="3" s="1"/>
  <c r="E25" i="3"/>
  <c r="F25" i="3" s="1"/>
  <c r="P25" i="3" s="1"/>
  <c r="E29" i="3"/>
  <c r="F29" i="3" s="1"/>
  <c r="P29" i="3" s="1"/>
  <c r="E28" i="3"/>
  <c r="F28" i="3" s="1"/>
  <c r="P28" i="3" s="1"/>
  <c r="E26" i="3"/>
  <c r="F26" i="3" s="1"/>
  <c r="P26" i="3" s="1"/>
  <c r="E15" i="3"/>
  <c r="F15" i="3" s="1"/>
  <c r="H15" i="3" s="1"/>
  <c r="E8" i="2"/>
  <c r="C6" i="2"/>
  <c r="E33" i="3"/>
  <c r="F33" i="3" s="1"/>
  <c r="P33" i="3" s="1"/>
  <c r="E12" i="3"/>
  <c r="E24" i="3"/>
  <c r="F24" i="3" s="1"/>
  <c r="P24" i="3" s="1"/>
  <c r="E11" i="3"/>
  <c r="E14" i="3"/>
  <c r="E23" i="3"/>
  <c r="F23" i="3" s="1"/>
  <c r="E52" i="3"/>
  <c r="H52" i="3" s="1"/>
  <c r="E51" i="3"/>
  <c r="F51" i="3" s="1"/>
  <c r="H51" i="3" s="1"/>
  <c r="E32" i="3"/>
  <c r="F32" i="3" s="1"/>
  <c r="P32" i="3" s="1"/>
  <c r="F34" i="3"/>
  <c r="P34" i="3" s="1"/>
  <c r="H7" i="2"/>
  <c r="F41" i="3"/>
  <c r="P41" i="3" s="1"/>
  <c r="B65" i="2"/>
  <c r="B67" i="2" s="1"/>
  <c r="D67" i="2" s="1"/>
  <c r="C65" i="2"/>
  <c r="C67" i="2" s="1"/>
  <c r="E7" i="2"/>
  <c r="H10" i="2"/>
  <c r="F6" i="2"/>
  <c r="E17" i="3"/>
  <c r="E21" i="3"/>
  <c r="E20" i="3"/>
  <c r="E16" i="3"/>
  <c r="E18" i="3"/>
  <c r="E7" i="3"/>
  <c r="E10" i="3"/>
  <c r="E6" i="3"/>
  <c r="E13" i="3"/>
  <c r="E9" i="3"/>
  <c r="E8" i="3"/>
  <c r="E50" i="3"/>
  <c r="E6" i="2"/>
  <c r="H6" i="2"/>
  <c r="D6" i="2"/>
  <c r="F9" i="2"/>
  <c r="F7" i="2"/>
  <c r="G9" i="2"/>
  <c r="G8" i="2"/>
  <c r="H9" i="2"/>
  <c r="D12" i="2"/>
  <c r="F8" i="2"/>
  <c r="C7" i="2"/>
  <c r="G7" i="2"/>
  <c r="G6" i="2"/>
  <c r="D7" i="2"/>
  <c r="H8" i="2"/>
  <c r="G10" i="2"/>
  <c r="C11" i="2"/>
  <c r="C10" i="2"/>
  <c r="E12" i="2"/>
  <c r="C8" i="2"/>
  <c r="D9" i="2"/>
  <c r="E10" i="2"/>
  <c r="F11" i="2"/>
  <c r="G12" i="2"/>
  <c r="C12" i="2"/>
  <c r="D11" i="2"/>
  <c r="C9" i="2"/>
  <c r="E11" i="2"/>
  <c r="F12" i="2"/>
  <c r="D8" i="2"/>
  <c r="E9" i="2"/>
  <c r="F10" i="2"/>
  <c r="G11" i="2"/>
  <c r="H12" i="2"/>
  <c r="D10" i="2"/>
  <c r="P23" i="3" l="1"/>
  <c r="F45" i="3"/>
  <c r="P42" i="3"/>
  <c r="H42" i="3"/>
  <c r="F12" i="3"/>
  <c r="H12" i="3" s="1"/>
  <c r="P45" i="3" l="1"/>
  <c r="F17" i="3"/>
  <c r="H27" i="3"/>
  <c r="H26" i="3"/>
  <c r="H17" i="3" l="1"/>
  <c r="P17" i="3"/>
  <c r="F10" i="3"/>
  <c r="H10" i="3" s="1"/>
  <c r="H39" i="3"/>
  <c r="H37" i="3"/>
  <c r="F7" i="3"/>
  <c r="H7" i="3" s="1"/>
  <c r="F21" i="3"/>
  <c r="F9" i="3"/>
  <c r="H9" i="3" s="1"/>
  <c r="H43" i="3"/>
  <c r="F18" i="3"/>
  <c r="H25" i="3"/>
  <c r="H34" i="3"/>
  <c r="H24" i="3"/>
  <c r="F20" i="3"/>
  <c r="H35" i="3"/>
  <c r="H28" i="3"/>
  <c r="H36" i="3"/>
  <c r="H31" i="3"/>
  <c r="H33" i="3"/>
  <c r="H32" i="3"/>
  <c r="H23" i="3"/>
  <c r="F14" i="3"/>
  <c r="H14" i="3" s="1"/>
  <c r="H40" i="3"/>
  <c r="F6" i="3"/>
  <c r="F11" i="3"/>
  <c r="H11" i="3" s="1"/>
  <c r="F16" i="3"/>
  <c r="H29" i="3"/>
  <c r="H44" i="3"/>
  <c r="F13" i="3"/>
  <c r="H13" i="3" s="1"/>
  <c r="H50" i="3"/>
  <c r="F8" i="3"/>
  <c r="H8" i="3" s="1"/>
  <c r="F22" i="3" l="1"/>
  <c r="H20" i="3"/>
  <c r="P20" i="3"/>
  <c r="H18" i="3"/>
  <c r="P18" i="3"/>
  <c r="H16" i="3"/>
  <c r="P16" i="3"/>
  <c r="H21" i="3"/>
  <c r="P21" i="3"/>
  <c r="H6" i="3"/>
  <c r="H41" i="3"/>
  <c r="H45" i="3" s="1"/>
  <c r="H22" i="3" l="1"/>
  <c r="H46" i="3" s="1"/>
  <c r="P22" i="3"/>
  <c r="D67" i="3" l="1"/>
  <c r="V17" i="3" l="1"/>
  <c r="W17" i="3" s="1"/>
  <c r="X17" i="3" s="1"/>
  <c r="I53" i="3"/>
  <c r="J53" i="3" s="1"/>
  <c r="K53" i="3" s="1"/>
  <c r="L53" i="3" s="1"/>
  <c r="N53" i="3" s="1"/>
  <c r="I9" i="3"/>
  <c r="J9" i="3" s="1"/>
  <c r="K9" i="3" s="1"/>
  <c r="L9" i="3" s="1"/>
  <c r="C12" i="4" s="1"/>
  <c r="I43" i="3"/>
  <c r="J43" i="3" s="1"/>
  <c r="K43" i="3" s="1"/>
  <c r="L43" i="3" s="1"/>
  <c r="I11" i="3"/>
  <c r="J11" i="3" s="1"/>
  <c r="K11" i="3" s="1"/>
  <c r="L11" i="3" s="1"/>
  <c r="I17" i="3"/>
  <c r="J17" i="3" s="1"/>
  <c r="K17" i="3" s="1"/>
  <c r="L17" i="3" s="1"/>
  <c r="I35" i="3"/>
  <c r="J35" i="3" s="1"/>
  <c r="K35" i="3" s="1"/>
  <c r="L35" i="3" s="1"/>
  <c r="V8" i="3"/>
  <c r="W8" i="3" s="1"/>
  <c r="X8" i="3" s="1"/>
  <c r="I38" i="3"/>
  <c r="J38" i="3" s="1"/>
  <c r="K38" i="3" s="1"/>
  <c r="L38" i="3" s="1"/>
  <c r="N38" i="3" s="1"/>
  <c r="S38" i="3" s="1"/>
  <c r="I30" i="3"/>
  <c r="J30" i="3" s="1"/>
  <c r="K30" i="3" s="1"/>
  <c r="V39" i="3"/>
  <c r="W39" i="3" s="1"/>
  <c r="X39" i="3" s="1"/>
  <c r="I51" i="3"/>
  <c r="J51" i="3" s="1"/>
  <c r="K51" i="3" s="1"/>
  <c r="L51" i="3" s="1"/>
  <c r="C15" i="4" s="1"/>
  <c r="I13" i="3"/>
  <c r="J13" i="3" s="1"/>
  <c r="K13" i="3" s="1"/>
  <c r="L13" i="3" s="1"/>
  <c r="C18" i="4" s="1"/>
  <c r="I36" i="3"/>
  <c r="J36" i="3" s="1"/>
  <c r="K36" i="3" s="1"/>
  <c r="L36" i="3" s="1"/>
  <c r="I40" i="3"/>
  <c r="J40" i="3" s="1"/>
  <c r="K40" i="3" s="1"/>
  <c r="L40" i="3" s="1"/>
  <c r="V16" i="3"/>
  <c r="W16" i="3" s="1"/>
  <c r="X16" i="3" s="1"/>
  <c r="V13" i="3"/>
  <c r="W13" i="3" s="1"/>
  <c r="X13" i="3" s="1"/>
  <c r="I33" i="3"/>
  <c r="J33" i="3" s="1"/>
  <c r="K33" i="3" s="1"/>
  <c r="L33" i="3" s="1"/>
  <c r="I39" i="3"/>
  <c r="J39" i="3" s="1"/>
  <c r="K39" i="3" s="1"/>
  <c r="L39" i="3" s="1"/>
  <c r="Y39" i="3" s="1"/>
  <c r="I26" i="3"/>
  <c r="J26" i="3" s="1"/>
  <c r="K26" i="3" s="1"/>
  <c r="L26" i="3" s="1"/>
  <c r="C44" i="4" s="1"/>
  <c r="V6" i="3"/>
  <c r="W6" i="3" s="1"/>
  <c r="X6" i="3" s="1"/>
  <c r="V15" i="3"/>
  <c r="W15" i="3" s="1"/>
  <c r="X15" i="3" s="1"/>
  <c r="I16" i="3"/>
  <c r="J16" i="3" s="1"/>
  <c r="K16" i="3" s="1"/>
  <c r="L16" i="3" s="1"/>
  <c r="I44" i="3"/>
  <c r="J44" i="3" s="1"/>
  <c r="K44" i="3" s="1"/>
  <c r="L44" i="3" s="1"/>
  <c r="I42" i="3"/>
  <c r="J42" i="3" s="1"/>
  <c r="K42" i="3" s="1"/>
  <c r="L42" i="3" s="1"/>
  <c r="I6" i="3"/>
  <c r="J6" i="3" s="1"/>
  <c r="V9" i="3"/>
  <c r="W9" i="3" s="1"/>
  <c r="X9" i="3" s="1"/>
  <c r="Y9" i="3" s="1"/>
  <c r="V29" i="3"/>
  <c r="W29" i="3" s="1"/>
  <c r="X29" i="3" s="1"/>
  <c r="I59" i="3"/>
  <c r="J59" i="3" s="1"/>
  <c r="K59" i="3" s="1"/>
  <c r="L59" i="3" s="1"/>
  <c r="N59" i="3" s="1"/>
  <c r="I60" i="3"/>
  <c r="J60" i="3" s="1"/>
  <c r="K60" i="3" s="1"/>
  <c r="L60" i="3" s="1"/>
  <c r="N60" i="3" s="1"/>
  <c r="I56" i="3"/>
  <c r="J56" i="3" s="1"/>
  <c r="K56" i="3" s="1"/>
  <c r="L56" i="3" s="1"/>
  <c r="N56" i="3" s="1"/>
  <c r="I57" i="3"/>
  <c r="J57" i="3" s="1"/>
  <c r="K57" i="3" s="1"/>
  <c r="L57" i="3" s="1"/>
  <c r="N57" i="3" s="1"/>
  <c r="I54" i="3"/>
  <c r="J54" i="3" s="1"/>
  <c r="K54" i="3" s="1"/>
  <c r="L54" i="3" s="1"/>
  <c r="N54" i="3" s="1"/>
  <c r="I55" i="3"/>
  <c r="J55" i="3" s="1"/>
  <c r="K55" i="3" s="1"/>
  <c r="L55" i="3" s="1"/>
  <c r="N55" i="3" s="1"/>
  <c r="I29" i="3"/>
  <c r="J29" i="3" s="1"/>
  <c r="K29" i="3" s="1"/>
  <c r="L29" i="3" s="1"/>
  <c r="N29" i="3" s="1"/>
  <c r="S29" i="3" s="1"/>
  <c r="I23" i="3"/>
  <c r="I32" i="3"/>
  <c r="J32" i="3" s="1"/>
  <c r="K32" i="3" s="1"/>
  <c r="L32" i="3" s="1"/>
  <c r="C66" i="4" s="1"/>
  <c r="I14" i="3"/>
  <c r="J14" i="3" s="1"/>
  <c r="K14" i="3" s="1"/>
  <c r="L14" i="3" s="1"/>
  <c r="I58" i="3"/>
  <c r="J58" i="3" s="1"/>
  <c r="K58" i="3" s="1"/>
  <c r="N58" i="3" s="1"/>
  <c r="V18" i="3"/>
  <c r="W18" i="3" s="1"/>
  <c r="X18" i="3" s="1"/>
  <c r="V24" i="3"/>
  <c r="W24" i="3" s="1"/>
  <c r="X24" i="3" s="1"/>
  <c r="I8" i="3"/>
  <c r="J8" i="3" s="1"/>
  <c r="K8" i="3" s="1"/>
  <c r="L8" i="3" s="1"/>
  <c r="I19" i="3"/>
  <c r="J19" i="3" s="1"/>
  <c r="K19" i="3" s="1"/>
  <c r="L19" i="3" s="1"/>
  <c r="N19" i="3" s="1"/>
  <c r="S19" i="3" s="1"/>
  <c r="T19" i="3" s="1"/>
  <c r="V32" i="3"/>
  <c r="W32" i="3" s="1"/>
  <c r="X32" i="3" s="1"/>
  <c r="I37" i="3"/>
  <c r="J37" i="3" s="1"/>
  <c r="K37" i="3" s="1"/>
  <c r="L37" i="3" s="1"/>
  <c r="I10" i="3"/>
  <c r="J10" i="3" s="1"/>
  <c r="K10" i="3" s="1"/>
  <c r="L10" i="3" s="1"/>
  <c r="C13" i="4" s="1"/>
  <c r="I34" i="3"/>
  <c r="J34" i="3" s="1"/>
  <c r="K34" i="3" s="1"/>
  <c r="L34" i="3" s="1"/>
  <c r="C73" i="4" s="1"/>
  <c r="I15" i="3"/>
  <c r="J15" i="3" s="1"/>
  <c r="K15" i="3" s="1"/>
  <c r="L15" i="3" s="1"/>
  <c r="Y15" i="3" s="1"/>
  <c r="I18" i="3"/>
  <c r="J18" i="3" s="1"/>
  <c r="K18" i="3" s="1"/>
  <c r="L18" i="3" s="1"/>
  <c r="I7" i="3"/>
  <c r="J7" i="3" s="1"/>
  <c r="K7" i="3" s="1"/>
  <c r="L7" i="3" s="1"/>
  <c r="I27" i="3"/>
  <c r="J27" i="3" s="1"/>
  <c r="K27" i="3" s="1"/>
  <c r="L27" i="3" s="1"/>
  <c r="V20" i="3"/>
  <c r="W20" i="3" s="1"/>
  <c r="X20" i="3" s="1"/>
  <c r="V11" i="3"/>
  <c r="W11" i="3" s="1"/>
  <c r="X11" i="3" s="1"/>
  <c r="V12" i="3"/>
  <c r="W12" i="3" s="1"/>
  <c r="X12" i="3" s="1"/>
  <c r="V25" i="3"/>
  <c r="W25" i="3" s="1"/>
  <c r="X25" i="3" s="1"/>
  <c r="V35" i="3"/>
  <c r="W35" i="3" s="1"/>
  <c r="X35" i="3" s="1"/>
  <c r="V37" i="3"/>
  <c r="W37" i="3" s="1"/>
  <c r="X37" i="3" s="1"/>
  <c r="V26" i="3"/>
  <c r="W26" i="3" s="1"/>
  <c r="X26" i="3" s="1"/>
  <c r="V41" i="3"/>
  <c r="W41" i="3" s="1"/>
  <c r="X41" i="3" s="1"/>
  <c r="V40" i="3"/>
  <c r="W40" i="3" s="1"/>
  <c r="X40" i="3" s="1"/>
  <c r="V28" i="3"/>
  <c r="W28" i="3" s="1"/>
  <c r="X28" i="3" s="1"/>
  <c r="V33" i="3"/>
  <c r="W33" i="3" s="1"/>
  <c r="X33" i="3" s="1"/>
  <c r="Y33" i="3" s="1"/>
  <c r="V23" i="3"/>
  <c r="W23" i="3" s="1"/>
  <c r="X23" i="3" s="1"/>
  <c r="V44" i="3"/>
  <c r="W44" i="3" s="1"/>
  <c r="X44" i="3" s="1"/>
  <c r="Y44" i="3" s="1"/>
  <c r="V31" i="3"/>
  <c r="W31" i="3" s="1"/>
  <c r="X31" i="3" s="1"/>
  <c r="I24" i="3"/>
  <c r="J24" i="3" s="1"/>
  <c r="K24" i="3" s="1"/>
  <c r="L24" i="3" s="1"/>
  <c r="I20" i="3"/>
  <c r="J20" i="3" s="1"/>
  <c r="K20" i="3" s="1"/>
  <c r="L20" i="3" s="1"/>
  <c r="D7" i="4" s="1"/>
  <c r="I31" i="3"/>
  <c r="J31" i="3" s="1"/>
  <c r="K31" i="3" s="1"/>
  <c r="L31" i="3" s="1"/>
  <c r="I21" i="3"/>
  <c r="J21" i="3" s="1"/>
  <c r="K21" i="3" s="1"/>
  <c r="L21" i="3" s="1"/>
  <c r="C7" i="4" s="1"/>
  <c r="I12" i="3"/>
  <c r="J12" i="3" s="1"/>
  <c r="K12" i="3" s="1"/>
  <c r="L12" i="3" s="1"/>
  <c r="N12" i="3" s="1"/>
  <c r="S12" i="3" s="1"/>
  <c r="I41" i="3"/>
  <c r="J41" i="3" s="1"/>
  <c r="K41" i="3" s="1"/>
  <c r="L41" i="3" s="1"/>
  <c r="I50" i="3"/>
  <c r="J50" i="3" s="1"/>
  <c r="K50" i="3" s="1"/>
  <c r="L50" i="3" s="1"/>
  <c r="C14" i="4" s="1"/>
  <c r="I52" i="3"/>
  <c r="J52" i="3" s="1"/>
  <c r="K52" i="3" s="1"/>
  <c r="L52" i="3" s="1"/>
  <c r="C16" i="4" s="1"/>
  <c r="I25" i="3"/>
  <c r="J25" i="3" s="1"/>
  <c r="K25" i="3" s="1"/>
  <c r="L25" i="3" s="1"/>
  <c r="C43" i="4" s="1"/>
  <c r="I28" i="3"/>
  <c r="J28" i="3" s="1"/>
  <c r="K28" i="3" s="1"/>
  <c r="L28" i="3" s="1"/>
  <c r="V21" i="3"/>
  <c r="W21" i="3" s="1"/>
  <c r="X21" i="3" s="1"/>
  <c r="V10" i="3"/>
  <c r="W10" i="3" s="1"/>
  <c r="X10" i="3" s="1"/>
  <c r="V7" i="3"/>
  <c r="W7" i="3" s="1"/>
  <c r="X7" i="3" s="1"/>
  <c r="V14" i="3"/>
  <c r="W14" i="3" s="1"/>
  <c r="X14" i="3" s="1"/>
  <c r="Y14" i="3" s="1"/>
  <c r="V27" i="3"/>
  <c r="W27" i="3" s="1"/>
  <c r="X27" i="3" s="1"/>
  <c r="V42" i="3"/>
  <c r="W42" i="3" s="1"/>
  <c r="X42" i="3" s="1"/>
  <c r="Y42" i="3" s="1"/>
  <c r="V36" i="3"/>
  <c r="W36" i="3" s="1"/>
  <c r="X36" i="3" s="1"/>
  <c r="Y36" i="3" s="1"/>
  <c r="V43" i="3"/>
  <c r="W43" i="3" s="1"/>
  <c r="X43" i="3" s="1"/>
  <c r="Y43" i="3" s="1"/>
  <c r="V34" i="3"/>
  <c r="W34" i="3" s="1"/>
  <c r="X34" i="3" s="1"/>
  <c r="Y11" i="3"/>
  <c r="Y8" i="3"/>
  <c r="Y17" i="3"/>
  <c r="N44" i="3"/>
  <c r="N40" i="3"/>
  <c r="C19" i="4"/>
  <c r="N33" i="3"/>
  <c r="N42" i="3"/>
  <c r="K6" i="3"/>
  <c r="N37" i="3"/>
  <c r="N14" i="3"/>
  <c r="O14" i="3" s="1"/>
  <c r="C17" i="4"/>
  <c r="C69" i="4"/>
  <c r="D69" i="4" s="1"/>
  <c r="C11" i="4"/>
  <c r="N18" i="3"/>
  <c r="N36" i="3"/>
  <c r="C77" i="4"/>
  <c r="I22" i="3" l="1"/>
  <c r="L30" i="3"/>
  <c r="C46" i="4" s="1"/>
  <c r="C29" i="4"/>
  <c r="D29" i="4" s="1"/>
  <c r="C32" i="4"/>
  <c r="C28" i="4"/>
  <c r="C31" i="4"/>
  <c r="D31" i="4" s="1"/>
  <c r="C27" i="4"/>
  <c r="D27" i="4" s="1"/>
  <c r="O44" i="3" s="1"/>
  <c r="C30" i="4"/>
  <c r="C47" i="4"/>
  <c r="C89" i="4" s="1"/>
  <c r="D89" i="4" s="1"/>
  <c r="Y40" i="3"/>
  <c r="Y35" i="3"/>
  <c r="I45" i="3"/>
  <c r="Y10" i="3"/>
  <c r="Y32" i="3"/>
  <c r="Y24" i="3"/>
  <c r="N15" i="3"/>
  <c r="O15" i="3" s="1"/>
  <c r="J23" i="3"/>
  <c r="K23" i="3" s="1"/>
  <c r="L23" i="3" s="1"/>
  <c r="N23" i="3" s="1"/>
  <c r="S23" i="3" s="1"/>
  <c r="Y16" i="3"/>
  <c r="C24" i="4"/>
  <c r="Y29" i="3"/>
  <c r="Y26" i="3"/>
  <c r="N39" i="3"/>
  <c r="S39" i="3" s="1"/>
  <c r="Y34" i="3"/>
  <c r="Y18" i="3"/>
  <c r="Y13" i="3"/>
  <c r="Y27" i="3"/>
  <c r="Y20" i="3"/>
  <c r="Y12" i="3"/>
  <c r="C42" i="4"/>
  <c r="C84" i="4" s="1"/>
  <c r="N28" i="3"/>
  <c r="S28" i="3" s="1"/>
  <c r="C45" i="4"/>
  <c r="D45" i="4" s="1"/>
  <c r="Y7" i="3"/>
  <c r="Y25" i="3"/>
  <c r="Y37" i="3"/>
  <c r="Y41" i="3"/>
  <c r="Y21" i="3"/>
  <c r="N21" i="3"/>
  <c r="S21" i="3" s="1"/>
  <c r="N41" i="3"/>
  <c r="S41" i="3" s="1"/>
  <c r="C62" i="4"/>
  <c r="Y31" i="3"/>
  <c r="Y28" i="3"/>
  <c r="L6" i="3"/>
  <c r="N6" i="3" s="1"/>
  <c r="C79" i="4"/>
  <c r="D79" i="4" s="1"/>
  <c r="C78" i="4"/>
  <c r="C22" i="4"/>
  <c r="D22" i="4" s="1"/>
  <c r="O17" i="3" s="1"/>
  <c r="Q17" i="3" s="1"/>
  <c r="C23" i="4"/>
  <c r="D23" i="4" s="1"/>
  <c r="C86" i="4"/>
  <c r="C52" i="4"/>
  <c r="C94" i="4"/>
  <c r="C60" i="4"/>
  <c r="C75" i="4"/>
  <c r="D75" i="4" s="1"/>
  <c r="C74" i="4"/>
  <c r="C58" i="4"/>
  <c r="C85" i="4"/>
  <c r="D85" i="4" s="1"/>
  <c r="C51" i="4"/>
  <c r="D51" i="4" s="1"/>
  <c r="O38" i="3" s="1"/>
  <c r="C93" i="4"/>
  <c r="D93" i="4" s="1"/>
  <c r="C59" i="4"/>
  <c r="D59" i="4" s="1"/>
  <c r="C71" i="4"/>
  <c r="D71" i="4" s="1"/>
  <c r="C68" i="4"/>
  <c r="D68" i="4" s="1"/>
  <c r="C67" i="4"/>
  <c r="D67" i="4" s="1"/>
  <c r="C70" i="4"/>
  <c r="D32" i="4"/>
  <c r="D28" i="4"/>
  <c r="D30" i="4"/>
  <c r="D16" i="4"/>
  <c r="O52" i="3" s="1"/>
  <c r="O54" i="3" s="1"/>
  <c r="N52" i="3"/>
  <c r="N51" i="3"/>
  <c r="D15" i="4"/>
  <c r="O51" i="3" s="1"/>
  <c r="N24" i="3"/>
  <c r="S24" i="3" s="1"/>
  <c r="N31" i="3"/>
  <c r="D66" i="4"/>
  <c r="N26" i="3"/>
  <c r="S26" i="3" s="1"/>
  <c r="N35" i="3"/>
  <c r="S35" i="3" s="1"/>
  <c r="N25" i="3"/>
  <c r="S25" i="3" s="1"/>
  <c r="D43" i="4"/>
  <c r="O25" i="3" s="1"/>
  <c r="N34" i="3"/>
  <c r="S34" i="3" s="1"/>
  <c r="N27" i="3"/>
  <c r="S27" i="3" s="1"/>
  <c r="N32" i="3"/>
  <c r="S33" i="3"/>
  <c r="S15" i="3"/>
  <c r="S44" i="3"/>
  <c r="D11" i="4"/>
  <c r="O8" i="3" s="1"/>
  <c r="Q8" i="3" s="1"/>
  <c r="N8" i="3"/>
  <c r="S8" i="3" s="1"/>
  <c r="N43" i="3"/>
  <c r="S18" i="3"/>
  <c r="N9" i="3"/>
  <c r="D12" i="4"/>
  <c r="O9" i="3" s="1"/>
  <c r="Q9" i="3" s="1"/>
  <c r="N50" i="3"/>
  <c r="D14" i="4"/>
  <c r="O50" i="3" s="1"/>
  <c r="S42" i="3"/>
  <c r="N17" i="3"/>
  <c r="N20" i="3"/>
  <c r="D19" i="4"/>
  <c r="N7" i="3"/>
  <c r="N16" i="3"/>
  <c r="D24" i="4"/>
  <c r="O16" i="3" s="1"/>
  <c r="Q16" i="3" s="1"/>
  <c r="S40" i="3"/>
  <c r="S36" i="3"/>
  <c r="D13" i="4"/>
  <c r="O10" i="3" s="1"/>
  <c r="Q10" i="3" s="1"/>
  <c r="N10" i="3"/>
  <c r="S14" i="3"/>
  <c r="N13" i="3"/>
  <c r="D18" i="4"/>
  <c r="D17" i="4"/>
  <c r="O12" i="3" s="1"/>
  <c r="Q12" i="3" s="1"/>
  <c r="T12" i="3" s="1"/>
  <c r="N11" i="3"/>
  <c r="S37" i="3"/>
  <c r="N30" i="3" l="1"/>
  <c r="S30" i="3" s="1"/>
  <c r="C97" i="4"/>
  <c r="D97" i="4" s="1"/>
  <c r="D47" i="4"/>
  <c r="H47" i="4" s="1"/>
  <c r="C63" i="4"/>
  <c r="D63" i="4" s="1"/>
  <c r="F63" i="4" s="1"/>
  <c r="C55" i="4"/>
  <c r="D55" i="4" s="1"/>
  <c r="C50" i="4"/>
  <c r="D50" i="4" s="1"/>
  <c r="C92" i="4"/>
  <c r="D92" i="4" s="1"/>
  <c r="D46" i="4"/>
  <c r="C96" i="4"/>
  <c r="D96" i="4" s="1"/>
  <c r="C54" i="4"/>
  <c r="D54" i="4" s="1"/>
  <c r="C88" i="4"/>
  <c r="D88" i="4" s="1"/>
  <c r="J88" i="4" s="1"/>
  <c r="C95" i="4"/>
  <c r="D95" i="4" s="1"/>
  <c r="C53" i="4"/>
  <c r="D53" i="4" s="1"/>
  <c r="C87" i="4"/>
  <c r="D87" i="4" s="1"/>
  <c r="I87" i="4" s="1"/>
  <c r="C61" i="4"/>
  <c r="D61" i="4" s="1"/>
  <c r="C41" i="4"/>
  <c r="D41" i="4" s="1"/>
  <c r="J41" i="4" s="1"/>
  <c r="Y23" i="3"/>
  <c r="C10" i="4"/>
  <c r="D10" i="4" s="1"/>
  <c r="O6" i="3" s="1"/>
  <c r="Q6" i="3" s="1"/>
  <c r="R6" i="3" s="1"/>
  <c r="Y6" i="3"/>
  <c r="T8" i="3"/>
  <c r="D62" i="4"/>
  <c r="F62" i="4" s="1"/>
  <c r="D44" i="4"/>
  <c r="H44" i="4" s="1"/>
  <c r="D52" i="4"/>
  <c r="D94" i="4"/>
  <c r="D60" i="4"/>
  <c r="D86" i="4"/>
  <c r="J86" i="4" s="1"/>
  <c r="O29" i="3"/>
  <c r="Q29" i="3" s="1"/>
  <c r="R29" i="3" s="1"/>
  <c r="O28" i="3"/>
  <c r="Q28" i="3" s="1"/>
  <c r="O32" i="3"/>
  <c r="Q32" i="3" s="1"/>
  <c r="O43" i="3"/>
  <c r="Q43" i="3" s="1"/>
  <c r="O36" i="3"/>
  <c r="Q36" i="3" s="1"/>
  <c r="O33" i="3"/>
  <c r="Q33" i="3" s="1"/>
  <c r="D42" i="4"/>
  <c r="D58" i="4"/>
  <c r="D84" i="4"/>
  <c r="F84" i="4" s="1"/>
  <c r="F59" i="4"/>
  <c r="O40" i="3"/>
  <c r="Q40" i="3" s="1"/>
  <c r="S31" i="3"/>
  <c r="D70" i="4"/>
  <c r="D73" i="4"/>
  <c r="O34" i="3" s="1"/>
  <c r="Q34" i="3" s="1"/>
  <c r="D77" i="4"/>
  <c r="O35" i="3" s="1"/>
  <c r="G66" i="4"/>
  <c r="J66" i="4"/>
  <c r="H66" i="4"/>
  <c r="F66" i="4"/>
  <c r="I66" i="4"/>
  <c r="Q25" i="3"/>
  <c r="R25" i="3" s="1"/>
  <c r="O7" i="3"/>
  <c r="Q7" i="3" s="1"/>
  <c r="R17" i="3"/>
  <c r="I45" i="4"/>
  <c r="H45" i="4"/>
  <c r="J45" i="4"/>
  <c r="F45" i="4"/>
  <c r="G45" i="4"/>
  <c r="O18" i="3"/>
  <c r="Q18" i="3" s="1"/>
  <c r="H43" i="4"/>
  <c r="F43" i="4"/>
  <c r="G43" i="4"/>
  <c r="J43" i="4"/>
  <c r="I43" i="4"/>
  <c r="S10" i="3"/>
  <c r="T10" i="3" s="1"/>
  <c r="R16" i="3"/>
  <c r="S6" i="3"/>
  <c r="H89" i="4"/>
  <c r="J89" i="4"/>
  <c r="G89" i="4"/>
  <c r="F89" i="4"/>
  <c r="I89" i="4"/>
  <c r="R8" i="3"/>
  <c r="S32" i="3"/>
  <c r="S11" i="3"/>
  <c r="F46" i="4"/>
  <c r="O11" i="3"/>
  <c r="Q11" i="3" s="1"/>
  <c r="R10" i="3"/>
  <c r="S16" i="3"/>
  <c r="T16" i="3" s="1"/>
  <c r="R9" i="3"/>
  <c r="I47" i="4"/>
  <c r="Q44" i="3"/>
  <c r="G47" i="4"/>
  <c r="I85" i="4"/>
  <c r="F85" i="4"/>
  <c r="H85" i="4"/>
  <c r="G85" i="4"/>
  <c r="J85" i="4"/>
  <c r="S13" i="3"/>
  <c r="S20" i="3"/>
  <c r="O20" i="3"/>
  <c r="Q20" i="3" s="1"/>
  <c r="O21" i="3"/>
  <c r="Q21" i="3" s="1"/>
  <c r="S43" i="3"/>
  <c r="O13" i="3"/>
  <c r="Q14" i="3"/>
  <c r="S7" i="3"/>
  <c r="S17" i="3"/>
  <c r="T17" i="3" s="1"/>
  <c r="S9" i="3"/>
  <c r="T9" i="3" s="1"/>
  <c r="J47" i="4" l="1"/>
  <c r="F47" i="4"/>
  <c r="O31" i="3"/>
  <c r="Q31" i="3" s="1"/>
  <c r="R31" i="3" s="1"/>
  <c r="O30" i="3"/>
  <c r="Q30" i="3" s="1"/>
  <c r="J46" i="4"/>
  <c r="G46" i="4"/>
  <c r="O42" i="3"/>
  <c r="Q42" i="3" s="1"/>
  <c r="T42" i="3" s="1"/>
  <c r="O53" i="3"/>
  <c r="O37" i="3"/>
  <c r="Q37" i="3" s="1"/>
  <c r="T37" i="3" s="1"/>
  <c r="Q38" i="3"/>
  <c r="G87" i="4"/>
  <c r="H46" i="4"/>
  <c r="I46" i="4"/>
  <c r="J87" i="4"/>
  <c r="H87" i="4"/>
  <c r="F87" i="4"/>
  <c r="C91" i="4"/>
  <c r="D91" i="4" s="1"/>
  <c r="C83" i="4"/>
  <c r="D83" i="4" s="1"/>
  <c r="H83" i="4" s="1"/>
  <c r="C49" i="4"/>
  <c r="D49" i="4" s="1"/>
  <c r="O59" i="3" s="1"/>
  <c r="F61" i="4"/>
  <c r="C57" i="4"/>
  <c r="D57" i="4" s="1"/>
  <c r="O23" i="3"/>
  <c r="Q23" i="3" s="1"/>
  <c r="T23" i="3" s="1"/>
  <c r="G41" i="4"/>
  <c r="I41" i="4"/>
  <c r="F41" i="4"/>
  <c r="H41" i="4"/>
  <c r="Q35" i="3"/>
  <c r="R35" i="3" s="1"/>
  <c r="G88" i="4"/>
  <c r="F88" i="4"/>
  <c r="S45" i="3"/>
  <c r="S22" i="3"/>
  <c r="I44" i="4"/>
  <c r="F44" i="4"/>
  <c r="G86" i="4"/>
  <c r="H86" i="4"/>
  <c r="F86" i="4"/>
  <c r="G44" i="4"/>
  <c r="J44" i="4"/>
  <c r="I86" i="4"/>
  <c r="O24" i="3"/>
  <c r="Q24" i="3" s="1"/>
  <c r="R24" i="3" s="1"/>
  <c r="G42" i="4"/>
  <c r="F42" i="4"/>
  <c r="I88" i="4"/>
  <c r="H88" i="4"/>
  <c r="H42" i="4"/>
  <c r="I42" i="4"/>
  <c r="J42" i="4"/>
  <c r="H84" i="4"/>
  <c r="Q13" i="3"/>
  <c r="T13" i="3" s="1"/>
  <c r="Q15" i="3"/>
  <c r="R15" i="3" s="1"/>
  <c r="I84" i="4"/>
  <c r="J84" i="4"/>
  <c r="F58" i="4"/>
  <c r="O39" i="3"/>
  <c r="Q39" i="3" s="1"/>
  <c r="R39" i="3" s="1"/>
  <c r="G84" i="4"/>
  <c r="O27" i="3"/>
  <c r="Q27" i="3" s="1"/>
  <c r="T27" i="3" s="1"/>
  <c r="O26" i="3"/>
  <c r="Q26" i="3" s="1"/>
  <c r="R26" i="3" s="1"/>
  <c r="F60" i="4"/>
  <c r="O41" i="3"/>
  <c r="Q41" i="3" s="1"/>
  <c r="T41" i="3" s="1"/>
  <c r="J77" i="4"/>
  <c r="G77" i="4"/>
  <c r="F77" i="4"/>
  <c r="I77" i="4"/>
  <c r="H77" i="4"/>
  <c r="O58" i="3"/>
  <c r="D78" i="4"/>
  <c r="T25" i="3"/>
  <c r="G73" i="4"/>
  <c r="I73" i="4"/>
  <c r="F73" i="4"/>
  <c r="J73" i="4"/>
  <c r="H73" i="4"/>
  <c r="D74" i="4"/>
  <c r="R32" i="3"/>
  <c r="T32" i="3"/>
  <c r="T6" i="3"/>
  <c r="R42" i="3"/>
  <c r="R14" i="3"/>
  <c r="T14" i="3"/>
  <c r="R33" i="3"/>
  <c r="T33" i="3"/>
  <c r="R44" i="3"/>
  <c r="T44" i="3"/>
  <c r="R11" i="3"/>
  <c r="T11" i="3"/>
  <c r="R28" i="3"/>
  <c r="T28" i="3"/>
  <c r="T29" i="3"/>
  <c r="R18" i="3"/>
  <c r="T18" i="3"/>
  <c r="T36" i="3"/>
  <c r="R36" i="3"/>
  <c r="T21" i="3"/>
  <c r="R21" i="3"/>
  <c r="R20" i="3"/>
  <c r="T20" i="3"/>
  <c r="R34" i="3"/>
  <c r="T34" i="3"/>
  <c r="R43" i="3"/>
  <c r="T43" i="3"/>
  <c r="R12" i="3"/>
  <c r="T40" i="3"/>
  <c r="R40" i="3"/>
  <c r="R7" i="3"/>
  <c r="T7" i="3"/>
  <c r="T31" i="3" l="1"/>
  <c r="I83" i="4"/>
  <c r="T30" i="3"/>
  <c r="R30" i="3"/>
  <c r="R37" i="3"/>
  <c r="T38" i="3"/>
  <c r="R38" i="3"/>
  <c r="F57" i="4"/>
  <c r="O60" i="3"/>
  <c r="O55" i="3"/>
  <c r="O57" i="3"/>
  <c r="O56" i="3"/>
  <c r="G83" i="4"/>
  <c r="J83" i="4"/>
  <c r="F83" i="4"/>
  <c r="T35" i="3"/>
  <c r="R23" i="3"/>
  <c r="R13" i="3"/>
  <c r="R22" i="3" s="1"/>
  <c r="Q22" i="3"/>
  <c r="T15" i="3"/>
  <c r="T22" i="3" s="1"/>
  <c r="R27" i="3"/>
  <c r="T24" i="3"/>
  <c r="T26" i="3"/>
  <c r="T39" i="3"/>
  <c r="R41" i="3"/>
  <c r="I46" i="3"/>
  <c r="D46" i="3"/>
  <c r="AH83" i="9" s="1"/>
  <c r="AH96" i="9" s="1"/>
  <c r="AL6" i="9" s="1"/>
  <c r="F46" i="3"/>
  <c r="D66" i="3" s="1"/>
  <c r="S46" i="3"/>
  <c r="P46" i="3"/>
  <c r="Q45" i="3" l="1"/>
  <c r="Q46" i="3" s="1"/>
  <c r="R45" i="3"/>
  <c r="T45" i="3"/>
  <c r="T46" i="3" s="1"/>
  <c r="S49" i="3"/>
  <c r="R49" i="3"/>
  <c r="S50" i="3" l="1"/>
  <c r="R50" i="3"/>
  <c r="R51" i="3" s="1"/>
  <c r="R46" i="3"/>
  <c r="B71" i="2" s="1"/>
  <c r="B72" i="2" s="1"/>
  <c r="R52" i="3" l="1"/>
  <c r="AO2" i="9"/>
  <c r="AQ2" i="9" s="1"/>
  <c r="AS2" i="9"/>
  <c r="AO3" i="9"/>
  <c r="AQ3" i="9"/>
  <c r="AS3" i="9"/>
  <c r="AR122" i="9"/>
  <c r="AO123" i="9"/>
  <c r="AR3" i="9" s="1"/>
  <c r="AQ123" i="9"/>
  <c r="AR123" i="9"/>
  <c r="AS123" i="9" l="1"/>
  <c r="AO93" i="9"/>
  <c r="AO12" i="9"/>
  <c r="AO13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1" i="9"/>
  <c r="AO62" i="9"/>
  <c r="AO63" i="9"/>
  <c r="AO64" i="9"/>
  <c r="AO65" i="9"/>
  <c r="AO66" i="9"/>
  <c r="AO67" i="9"/>
  <c r="AO68" i="9"/>
  <c r="AO69" i="9"/>
  <c r="AO70" i="9"/>
  <c r="AO71" i="9"/>
  <c r="AO72" i="9"/>
  <c r="AO73" i="9"/>
  <c r="AO74" i="9"/>
  <c r="AO75" i="9"/>
  <c r="AO76" i="9"/>
  <c r="AO83" i="9"/>
  <c r="AO84" i="9"/>
  <c r="AO85" i="9"/>
  <c r="AO86" i="9"/>
  <c r="AO87" i="9"/>
  <c r="AO88" i="9"/>
  <c r="AO89" i="9"/>
  <c r="AO90" i="9"/>
  <c r="AO91" i="9"/>
  <c r="AO92" i="9"/>
  <c r="AO94" i="9"/>
  <c r="AQ90" i="9" l="1"/>
  <c r="AR90" i="9" s="1"/>
  <c r="AP90" i="9"/>
  <c r="AQ60" i="9"/>
  <c r="AR60" i="9" s="1"/>
  <c r="AP60" i="9"/>
  <c r="AQ52" i="9"/>
  <c r="AR52" i="9" s="1"/>
  <c r="AP52" i="9"/>
  <c r="AQ48" i="9"/>
  <c r="AR48" i="9" s="1"/>
  <c r="AP48" i="9"/>
  <c r="AQ44" i="9"/>
  <c r="AR44" i="9" s="1"/>
  <c r="AP44" i="9"/>
  <c r="AQ40" i="9"/>
  <c r="AO78" i="9"/>
  <c r="AP40" i="9"/>
  <c r="AQ30" i="9"/>
  <c r="AR30" i="9" s="1"/>
  <c r="AP30" i="9"/>
  <c r="AQ26" i="9"/>
  <c r="AR26" i="9" s="1"/>
  <c r="AP26" i="9"/>
  <c r="AQ22" i="9"/>
  <c r="AR22" i="9" s="1"/>
  <c r="AP22" i="9"/>
  <c r="AQ18" i="9"/>
  <c r="AR18" i="9" s="1"/>
  <c r="AP18" i="9"/>
  <c r="AQ14" i="9"/>
  <c r="AR14" i="9" s="1"/>
  <c r="AP14" i="9"/>
  <c r="AQ86" i="9"/>
  <c r="AR86" i="9" s="1"/>
  <c r="AP86" i="9"/>
  <c r="AQ68" i="9"/>
  <c r="AR68" i="9" s="1"/>
  <c r="AP68" i="9"/>
  <c r="AQ56" i="9"/>
  <c r="AR56" i="9" s="1"/>
  <c r="AP56" i="9"/>
  <c r="AQ85" i="9"/>
  <c r="AR85" i="9" s="1"/>
  <c r="AP85" i="9"/>
  <c r="AQ75" i="9"/>
  <c r="AR75" i="9" s="1"/>
  <c r="AP75" i="9"/>
  <c r="AQ71" i="9"/>
  <c r="AR71" i="9" s="1"/>
  <c r="AP71" i="9"/>
  <c r="AQ67" i="9"/>
  <c r="AR67" i="9" s="1"/>
  <c r="AP67" i="9"/>
  <c r="AQ63" i="9"/>
  <c r="AR63" i="9" s="1"/>
  <c r="AP63" i="9"/>
  <c r="AQ59" i="9"/>
  <c r="AR59" i="9" s="1"/>
  <c r="AP59" i="9"/>
  <c r="AQ55" i="9"/>
  <c r="AR55" i="9" s="1"/>
  <c r="AP55" i="9"/>
  <c r="AQ51" i="9"/>
  <c r="AR51" i="9" s="1"/>
  <c r="AP51" i="9"/>
  <c r="AQ47" i="9"/>
  <c r="AR47" i="9" s="1"/>
  <c r="AP47" i="9"/>
  <c r="AQ43" i="9"/>
  <c r="AR43" i="9" s="1"/>
  <c r="AP43" i="9"/>
  <c r="AQ33" i="9"/>
  <c r="AR33" i="9" s="1"/>
  <c r="AP33" i="9"/>
  <c r="AQ29" i="9"/>
  <c r="AR29" i="9" s="1"/>
  <c r="AP29" i="9"/>
  <c r="AQ25" i="9"/>
  <c r="AR25" i="9" s="1"/>
  <c r="AP25" i="9"/>
  <c r="AQ21" i="9"/>
  <c r="AR21" i="9" s="1"/>
  <c r="AP21" i="9"/>
  <c r="AQ17" i="9"/>
  <c r="AR17" i="9" s="1"/>
  <c r="AP17" i="9"/>
  <c r="AQ13" i="9"/>
  <c r="AR13" i="9" s="1"/>
  <c r="AP13" i="9"/>
  <c r="AQ64" i="9"/>
  <c r="AR64" i="9" s="1"/>
  <c r="AP64" i="9"/>
  <c r="AQ89" i="9"/>
  <c r="AR89" i="9" s="1"/>
  <c r="AP89" i="9"/>
  <c r="AQ92" i="9"/>
  <c r="AR92" i="9" s="1"/>
  <c r="AP92" i="9"/>
  <c r="AQ88" i="9"/>
  <c r="AR88" i="9" s="1"/>
  <c r="AP88" i="9"/>
  <c r="AQ84" i="9"/>
  <c r="AR84" i="9" s="1"/>
  <c r="AP84" i="9"/>
  <c r="AQ74" i="9"/>
  <c r="AR74" i="9" s="1"/>
  <c r="AP74" i="9"/>
  <c r="AQ70" i="9"/>
  <c r="AR70" i="9" s="1"/>
  <c r="AP70" i="9"/>
  <c r="AQ66" i="9"/>
  <c r="AR66" i="9" s="1"/>
  <c r="AP66" i="9"/>
  <c r="AQ62" i="9"/>
  <c r="AR62" i="9" s="1"/>
  <c r="AP62" i="9"/>
  <c r="AQ58" i="9"/>
  <c r="AR58" i="9" s="1"/>
  <c r="AP58" i="9"/>
  <c r="AQ54" i="9"/>
  <c r="AR54" i="9" s="1"/>
  <c r="AP54" i="9"/>
  <c r="AQ50" i="9"/>
  <c r="AR50" i="9" s="1"/>
  <c r="AP50" i="9"/>
  <c r="AQ46" i="9"/>
  <c r="AR46" i="9" s="1"/>
  <c r="AP46" i="9"/>
  <c r="AQ42" i="9"/>
  <c r="AR42" i="9" s="1"/>
  <c r="AP42" i="9"/>
  <c r="AQ32" i="9"/>
  <c r="AR32" i="9" s="1"/>
  <c r="AP32" i="9"/>
  <c r="AQ28" i="9"/>
  <c r="AR28" i="9" s="1"/>
  <c r="AP28" i="9"/>
  <c r="AQ24" i="9"/>
  <c r="AR24" i="9" s="1"/>
  <c r="AP24" i="9"/>
  <c r="AQ20" i="9"/>
  <c r="AR20" i="9" s="1"/>
  <c r="AP20" i="9"/>
  <c r="AQ16" i="9"/>
  <c r="AR16" i="9" s="1"/>
  <c r="AP16" i="9"/>
  <c r="AQ12" i="9"/>
  <c r="AO35" i="9"/>
  <c r="AP12" i="9"/>
  <c r="AQ76" i="9"/>
  <c r="AR76" i="9" s="1"/>
  <c r="AP76" i="9"/>
  <c r="AQ72" i="9"/>
  <c r="AR72" i="9" s="1"/>
  <c r="AP72" i="9"/>
  <c r="AQ94" i="9"/>
  <c r="AR94" i="9" s="1"/>
  <c r="AP94" i="9"/>
  <c r="AQ91" i="9"/>
  <c r="AR91" i="9" s="1"/>
  <c r="AP91" i="9"/>
  <c r="AQ87" i="9"/>
  <c r="AR87" i="9" s="1"/>
  <c r="AP87" i="9"/>
  <c r="AQ83" i="9"/>
  <c r="AO96" i="9"/>
  <c r="AP83" i="9"/>
  <c r="AQ73" i="9"/>
  <c r="AR73" i="9" s="1"/>
  <c r="AP73" i="9"/>
  <c r="AQ69" i="9"/>
  <c r="AR69" i="9" s="1"/>
  <c r="AP69" i="9"/>
  <c r="AQ65" i="9"/>
  <c r="AR65" i="9" s="1"/>
  <c r="AP65" i="9"/>
  <c r="AQ61" i="9"/>
  <c r="AR61" i="9" s="1"/>
  <c r="AP61" i="9"/>
  <c r="AQ57" i="9"/>
  <c r="AR57" i="9" s="1"/>
  <c r="AP57" i="9"/>
  <c r="AQ53" i="9"/>
  <c r="AR53" i="9" s="1"/>
  <c r="AP53" i="9"/>
  <c r="AQ49" i="9"/>
  <c r="AR49" i="9" s="1"/>
  <c r="AP49" i="9"/>
  <c r="AQ45" i="9"/>
  <c r="AR45" i="9" s="1"/>
  <c r="AP45" i="9"/>
  <c r="AQ41" i="9"/>
  <c r="AR41" i="9" s="1"/>
  <c r="AP41" i="9"/>
  <c r="AQ31" i="9"/>
  <c r="AR31" i="9" s="1"/>
  <c r="AP31" i="9"/>
  <c r="AQ27" i="9"/>
  <c r="AR27" i="9" s="1"/>
  <c r="AP27" i="9"/>
  <c r="AQ23" i="9"/>
  <c r="AR23" i="9" s="1"/>
  <c r="AP23" i="9"/>
  <c r="AQ19" i="9"/>
  <c r="AR19" i="9" s="1"/>
  <c r="AP19" i="9"/>
  <c r="AQ15" i="9"/>
  <c r="AR15" i="9" s="1"/>
  <c r="AP15" i="9"/>
  <c r="AQ93" i="9"/>
  <c r="AR93" i="9" s="1"/>
  <c r="AP93" i="9"/>
  <c r="AQ35" i="9" l="1"/>
  <c r="AR12" i="9"/>
  <c r="AR35" i="9" s="1"/>
  <c r="AP96" i="9"/>
  <c r="AQ78" i="9"/>
  <c r="AR40" i="9"/>
  <c r="AR78" i="9" s="1"/>
  <c r="AP35" i="9"/>
  <c r="AR83" i="9"/>
  <c r="AR96" i="9" s="1"/>
  <c r="AQ96" i="9"/>
  <c r="AP78" i="9"/>
  <c r="AQ122" i="9" l="1"/>
  <c r="AS122" i="9" s="1"/>
  <c r="AO122" i="9"/>
  <c r="AR2" i="9" s="1"/>
  <c r="AT2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Akasha Leffler</author>
  </authors>
  <commentList>
    <comment ref="W6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Akasha Leffler:</t>
        </r>
        <r>
          <rPr>
            <sz val="9"/>
            <color indexed="81"/>
            <rFont val="Tahoma"/>
            <family val="2"/>
          </rPr>
          <t xml:space="preserve">
From 2021 Quick Look Price Out</t>
        </r>
      </text>
    </comment>
    <comment ref="X6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Akasha Leffler:</t>
        </r>
        <r>
          <rPr>
            <sz val="9"/>
            <color indexed="81"/>
            <rFont val="Tahoma"/>
            <family val="2"/>
          </rPr>
          <t xml:space="preserve">
didn't have DF increase this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Lindsay Waldram</author>
  </authors>
  <commentList>
    <comment ref="AQ122" authorId="0" shapeId="0" xr:uid="{3C63136E-414B-41A0-A0A3-F6F178AFE491}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Had to include the DF proforma adjustment manually here.  Making sure we will meet the revenue requirement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brianbr</author>
  </authors>
  <commentList>
    <comment ref="I36" authorId="0" shapeId="0" xr:uid="{94B4CACD-BC56-4AA5-B9D8-BB41C3E22AC0}">
      <text>
        <r>
          <rPr>
            <b/>
            <sz val="9"/>
            <color indexed="81"/>
            <rFont val="Tahoma"/>
            <family val="2"/>
          </rPr>
          <t>brianbr:</t>
        </r>
        <r>
          <rPr>
            <sz val="9"/>
            <color indexed="81"/>
            <rFont val="Tahoma"/>
            <family val="2"/>
          </rPr>
          <t xml:space="preserve">
burner was down much of July</t>
        </r>
      </text>
    </comment>
  </commentList>
</comments>
</file>

<file path=xl/sharedStrings.xml><?xml version="1.0" encoding="utf-8"?>
<sst xmlns="http://schemas.openxmlformats.org/spreadsheetml/2006/main" count="716" uniqueCount="473">
  <si>
    <t>Total</t>
  </si>
  <si>
    <t>Service Code</t>
  </si>
  <si>
    <t>Service Code Description</t>
  </si>
  <si>
    <t>Rate</t>
  </si>
  <si>
    <t>Revenue</t>
  </si>
  <si>
    <t>Customers</t>
  </si>
  <si>
    <t>RESIDENTIAL SERVICES</t>
  </si>
  <si>
    <t>RESIDENTIAL GARBAGE</t>
  </si>
  <si>
    <t>RL020.0G1W001</t>
  </si>
  <si>
    <t>RL 20 GL 1X WK 1</t>
  </si>
  <si>
    <t>RL032.0G1M001</t>
  </si>
  <si>
    <t>RL 32 GL 1X MO 1</t>
  </si>
  <si>
    <t>RL032.0G1W001</t>
  </si>
  <si>
    <t>RL 32 GL 1X WK 1</t>
  </si>
  <si>
    <t>RL032.0G1W002</t>
  </si>
  <si>
    <t>RL 32 GL 1X WK 2</t>
  </si>
  <si>
    <t>RL032.0G1W003</t>
  </si>
  <si>
    <t>RL 32 GL 1X WK 3</t>
  </si>
  <si>
    <t>RL065.0G1W001</t>
  </si>
  <si>
    <t>RL 65 GL 1X WK 1</t>
  </si>
  <si>
    <t>RL090.0G1W001</t>
  </si>
  <si>
    <t>RL 90 GL 1X WK 1</t>
  </si>
  <si>
    <t>RL090.0G1W002</t>
  </si>
  <si>
    <t>RL 90 GL 1X WK 2</t>
  </si>
  <si>
    <t>1 RL 32 GL ON CALL-RES</t>
  </si>
  <si>
    <t>EXTRA-RES</t>
  </si>
  <si>
    <t>EXTRA CAN, BAG, BOX-RES</t>
  </si>
  <si>
    <t>EXTRYDG-RES</t>
  </si>
  <si>
    <t>EXTRA YARDAGE - RES</t>
  </si>
  <si>
    <t>OS-RES</t>
  </si>
  <si>
    <t>OVERSIZE CAN - RES</t>
  </si>
  <si>
    <t>OW-RES</t>
  </si>
  <si>
    <t>OVERFILL/WEIGHT CAN-RES</t>
  </si>
  <si>
    <t>BULKY-RES</t>
  </si>
  <si>
    <t>BULKY ITEM PICK UP-RES</t>
  </si>
  <si>
    <t>REDEL-RES</t>
  </si>
  <si>
    <t>REDELIVERY FEE - RES</t>
  </si>
  <si>
    <t>REINSTATE-RES</t>
  </si>
  <si>
    <t>REINSTATE FEE - RES</t>
  </si>
  <si>
    <t>TOTAL RESIDENTIAL GARBAGE</t>
  </si>
  <si>
    <t>COMMERCIAL SERVICES</t>
  </si>
  <si>
    <t>COMMERCIAL GARBAGE</t>
  </si>
  <si>
    <t>RL001.0Y1W001</t>
  </si>
  <si>
    <t>RL 1 YD 1X WK 1</t>
  </si>
  <si>
    <t>RL001.5Y1W001</t>
  </si>
  <si>
    <t>RL 1.5 YD 1X WK 1</t>
  </si>
  <si>
    <t>RL 1.5 YD 1X WK 2</t>
  </si>
  <si>
    <t>RL 1.5 YD 1X WK 3</t>
  </si>
  <si>
    <t>RL002.0Y1W001</t>
  </si>
  <si>
    <t>RL 2 YD 1X WK 1</t>
  </si>
  <si>
    <t>RL003.0Y1W001</t>
  </si>
  <si>
    <t>RL 3 YD 1X WK 1</t>
  </si>
  <si>
    <t>RL003.0Y1W002</t>
  </si>
  <si>
    <t>RL 3 YD 1X WK 2</t>
  </si>
  <si>
    <t>RL004.0Y1W001</t>
  </si>
  <si>
    <t>RL 4 YD 1X WK 1</t>
  </si>
  <si>
    <t>RL004.0Y1W002</t>
  </si>
  <si>
    <t>RL 4 YD 1X WK 2</t>
  </si>
  <si>
    <t>RL006.0Y1W002</t>
  </si>
  <si>
    <t>RL 6 YD 1X WK 2</t>
  </si>
  <si>
    <t>RL032.0G1W001COMM</t>
  </si>
  <si>
    <t>RL 32 GL 1X WK COMM 1</t>
  </si>
  <si>
    <t>RL032.0G1W002COMM</t>
  </si>
  <si>
    <t>RL 32 GL 1X WK COMM 2</t>
  </si>
  <si>
    <t>RL065.0G1W001COMM</t>
  </si>
  <si>
    <t>RL 65 GL 1X WK COMM 1</t>
  </si>
  <si>
    <t>RL090.0G1W001COMM</t>
  </si>
  <si>
    <t>RL 90 GL 1X WK COMM 1</t>
  </si>
  <si>
    <t>RL 90 GL 1X WK COMM 2</t>
  </si>
  <si>
    <t>RL32C-OC</t>
  </si>
  <si>
    <t>1 RL 32 GL ON CALL - COMM</t>
  </si>
  <si>
    <t>EXTRA-COMM</t>
  </si>
  <si>
    <t>EXTRA CAN, BAG, BOX-COMM</t>
  </si>
  <si>
    <t>1 RL 1 YD ON CALL-COMM</t>
  </si>
  <si>
    <t>RL1.5C-OC</t>
  </si>
  <si>
    <t>1 RL 1.5 YD ON CALL-COMM</t>
  </si>
  <si>
    <t>RL1.5TC-COMM</t>
  </si>
  <si>
    <t>RL TEMPORARY 1.5 YD-COMM</t>
  </si>
  <si>
    <t>RL TEMPORARY 1 YD-COMM</t>
  </si>
  <si>
    <t>RL2TC-COMM</t>
  </si>
  <si>
    <t>RL TEMPORARY 2 YD-COMM</t>
  </si>
  <si>
    <t>RL3TC-COMM</t>
  </si>
  <si>
    <t>RL TEMPORARY 3 YD - COMM</t>
  </si>
  <si>
    <t>RL4TC-COMM</t>
  </si>
  <si>
    <t>RL TEMPORARY 4 YD-COMM</t>
  </si>
  <si>
    <t>EXTRAYDG-COMM</t>
  </si>
  <si>
    <t>EXTRA YARDAGE - COMM</t>
  </si>
  <si>
    <t>RENT1.5-COMM</t>
  </si>
  <si>
    <t>RENTAL FEE 1.5 YD COMM</t>
  </si>
  <si>
    <t>RENT1.5TEMP-COMM</t>
  </si>
  <si>
    <t xml:space="preserve">RENTAL FEE 1.5 YD TEMP - </t>
  </si>
  <si>
    <t>RENT1-COMM</t>
  </si>
  <si>
    <t>RENTAL FEE 1 YD COMM MA</t>
  </si>
  <si>
    <t>RENT2-COMM</t>
  </si>
  <si>
    <t>RENTAL FEE 2 YD COMM</t>
  </si>
  <si>
    <t>RENT2TEMP-COMM</t>
  </si>
  <si>
    <t>RENTAL FEE 2 YD TEMP - COMM</t>
  </si>
  <si>
    <t>RENT3-COMM</t>
  </si>
  <si>
    <t>RENTAL FEE 3 YD COMM</t>
  </si>
  <si>
    <t>RENT3TEMP-COMM</t>
  </si>
  <si>
    <t>RENTAL FEE 3 YD TEMP - CO</t>
  </si>
  <si>
    <t>RENT4-COMM</t>
  </si>
  <si>
    <t>RENTAL FEE 4 YD COMM</t>
  </si>
  <si>
    <t>RENT4TEMP-COMM</t>
  </si>
  <si>
    <t>RENTAL FEE 4YD TEMP - COM</t>
  </si>
  <si>
    <t>RENT6-COMM</t>
  </si>
  <si>
    <t>RENTAL FEE 6 YD COMM</t>
  </si>
  <si>
    <t>DELTEMP-COMM</t>
  </si>
  <si>
    <t>DELIVERY FEE TEMP-COMM</t>
  </si>
  <si>
    <t>REINSTATE-COMM</t>
  </si>
  <si>
    <t>REINSTATE FEE - COMM</t>
  </si>
  <si>
    <t>TOTAL COMMERCIAL GARBAGE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</si>
  <si>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</si>
  <si>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</si>
  <si>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</si>
  <si>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</si>
  <si>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</si>
  <si>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</si>
  <si>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</si>
  <si>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</si>
  <si>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</si>
  <si>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</si>
  <si>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</si>
  <si>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</si>
  <si>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</si>
  <si>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</si>
  <si>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</si>
  <si>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</si>
  <si>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</si>
  <si>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</si>
  <si>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</si>
  <si>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</si>
  <si>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</si>
  <si>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</si>
  <si>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</si>
  <si>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</si>
  <si>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</si>
  <si>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</si>
  <si>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</si>
  <si>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</si>
  <si>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</si>
  <si>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</si>
  <si>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</si>
  <si>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</si>
  <si>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</si>
  <si>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</si>
  <si>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</si>
  <si>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</si>
  <si>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</si>
  <si>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1.5 yd container (2)</t>
  </si>
  <si>
    <t>*</t>
  </si>
  <si>
    <t>2 yd container</t>
  </si>
  <si>
    <t>3 yd container</t>
  </si>
  <si>
    <t>3 yd container (2)</t>
  </si>
  <si>
    <t>4 yd container</t>
  </si>
  <si>
    <t>4 yd container (2)</t>
  </si>
  <si>
    <t>6 yd container</t>
  </si>
  <si>
    <t>6 yd container (2)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</si>
  <si>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</si>
  <si>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</si>
  <si>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</si>
  <si>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</si>
  <si>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</si>
  <si>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</si>
  <si>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</si>
  <si>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</si>
  <si>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</si>
  <si>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</si>
  <si>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</si>
  <si>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</si>
  <si>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</si>
  <si>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</si>
  <si>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</si>
  <si>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</si>
  <si>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</si>
  <si>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</si>
  <si>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</si>
  <si>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</si>
  <si>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Factor</t>
  </si>
  <si>
    <t>Residential</t>
  </si>
  <si>
    <t>Commercial</t>
  </si>
  <si>
    <t>Monthly Customers</t>
  </si>
  <si>
    <t>Monthly Frequency</t>
  </si>
  <si>
    <t>Annual Pickups</t>
  </si>
  <si>
    <t>Calculated Annual Pounds</t>
  </si>
  <si>
    <t>Adjusted Annual Pounds</t>
  </si>
  <si>
    <t>Gross Up</t>
  </si>
  <si>
    <t>Company Current Tariff</t>
  </si>
  <si>
    <t>Company Proposed Tariff</t>
  </si>
  <si>
    <t>Company Current Revenue</t>
  </si>
  <si>
    <t xml:space="preserve">  Average Monthly Cust divide by </t>
  </si>
  <si>
    <t>Tons</t>
  </si>
  <si>
    <t>Adjustment Factor Calculation</t>
  </si>
  <si>
    <t>Total Tonnage</t>
  </si>
  <si>
    <t>Total Pounds</t>
  </si>
  <si>
    <t>Total Pick Ups</t>
  </si>
  <si>
    <t>Adjustment factor</t>
  </si>
  <si>
    <t>Oversized Unit</t>
  </si>
  <si>
    <t>Mini Can</t>
  </si>
  <si>
    <t>1 Can Weekly</t>
  </si>
  <si>
    <t>2 Can Weekly</t>
  </si>
  <si>
    <t>3 Can Weekly</t>
  </si>
  <si>
    <t>4 Can Weekly</t>
  </si>
  <si>
    <t>5 Can Weekly</t>
  </si>
  <si>
    <t>6 Can Weekly</t>
  </si>
  <si>
    <t>65 Gal Weekly</t>
  </si>
  <si>
    <t>90 Gal Weekly</t>
  </si>
  <si>
    <t>32 Gal Extra</t>
  </si>
  <si>
    <t>Bag</t>
  </si>
  <si>
    <t>On-Call</t>
  </si>
  <si>
    <t>Loose Material 1-4yd</t>
  </si>
  <si>
    <t>Loose Material per Yard</t>
  </si>
  <si>
    <t>Loose Material Min Charge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</si>
  <si>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</si>
  <si>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</si>
  <si>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</si>
  <si>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</si>
  <si>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</si>
  <si>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</si>
  <si>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</si>
  <si>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</si>
  <si>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</si>
  <si>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</si>
  <si>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</si>
  <si>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</si>
  <si>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</si>
  <si>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</si>
  <si>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</si>
  <si>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</si>
  <si>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</si>
  <si>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3 Yard - Temp</t>
  </si>
  <si>
    <t>4 Yard - Temp</t>
  </si>
  <si>
    <t>6 Yard - Temp</t>
  </si>
  <si>
    <t>8 Yard - Temp</t>
  </si>
  <si>
    <t>Monthly Minumum</t>
  </si>
  <si>
    <t>65 Gal</t>
  </si>
  <si>
    <t>90 Gal</t>
  </si>
  <si>
    <t>1 yard</t>
  </si>
  <si>
    <t>1.5 yard</t>
  </si>
  <si>
    <t>6  Yard</t>
  </si>
  <si>
    <t>8 yard</t>
  </si>
  <si>
    <t>1 yard - Special</t>
  </si>
  <si>
    <t>1.5 yard - Special</t>
  </si>
  <si>
    <t>6  Yard - Special</t>
  </si>
  <si>
    <t>8 yard - Special</t>
  </si>
  <si>
    <t>Add'l Cont</t>
  </si>
  <si>
    <t>Add'l PU's</t>
  </si>
  <si>
    <t>Company Proposed Revenue</t>
  </si>
  <si>
    <t>No Current Customers</t>
  </si>
  <si>
    <t>5 Can</t>
  </si>
  <si>
    <t>6 Can</t>
  </si>
  <si>
    <t>RL065.0G1W002</t>
  </si>
  <si>
    <t>RL 65 GL 1X WK 2</t>
  </si>
  <si>
    <t>DRIVEIN1-RES</t>
  </si>
  <si>
    <t xml:space="preserve">DRIVE IN 125-250' - RES </t>
  </si>
  <si>
    <t>DRIVE IN 125-250' - COMM</t>
  </si>
  <si>
    <t>Roll Off</t>
  </si>
  <si>
    <t>MSW</t>
  </si>
  <si>
    <t>$</t>
  </si>
  <si>
    <t>Lbs</t>
  </si>
  <si>
    <t>%</t>
  </si>
  <si>
    <t>Regulated</t>
  </si>
  <si>
    <t>Non-Regulated</t>
  </si>
  <si>
    <t>Empire Disposal, Inc. G-75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</si>
  <si>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</si>
  <si>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</si>
  <si>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</si>
  <si>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</si>
  <si>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</si>
  <si>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</si>
  <si>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</si>
  <si>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Tariff Page</t>
  </si>
  <si>
    <t>Scheduled Service</t>
  </si>
  <si>
    <t>Tariff Rate Increase</t>
  </si>
  <si>
    <t>Company Calculated Rate</t>
  </si>
  <si>
    <t>Company Increased Revenue</t>
  </si>
  <si>
    <t>Check</t>
  </si>
  <si>
    <t xml:space="preserve"> Company Over/ (Under)</t>
  </si>
  <si>
    <t>Totals</t>
  </si>
  <si>
    <t>Current Tariff Rate</t>
  </si>
  <si>
    <t>Proposed Increase</t>
  </si>
  <si>
    <t>Item 230, Pg. 36</t>
  </si>
  <si>
    <t>90 Gal Special PU</t>
  </si>
  <si>
    <t>65 Gal Special PU</t>
  </si>
  <si>
    <t>32 Gal Special PU</t>
  </si>
  <si>
    <t>Empire Dump Fee Calc References</t>
  </si>
  <si>
    <t>1x</t>
  </si>
  <si>
    <t>2x</t>
  </si>
  <si>
    <t>3x</t>
  </si>
  <si>
    <t>4x</t>
  </si>
  <si>
    <t>5x</t>
  </si>
  <si>
    <t>Spokane Dump Fee Calculation</t>
  </si>
  <si>
    <t>Spokane County</t>
  </si>
  <si>
    <t xml:space="preserve"> Disposal Fees</t>
  </si>
  <si>
    <t>Spokane Waste to Energy</t>
  </si>
  <si>
    <t>Transfer Stations</t>
  </si>
  <si>
    <t>Waste to Energy</t>
  </si>
  <si>
    <t>Increase per ton</t>
  </si>
  <si>
    <t>Empire Disposal</t>
  </si>
  <si>
    <t>City of Spokane Transfer Stations Disposal Data</t>
  </si>
  <si>
    <t>Dump Fee Allocation</t>
  </si>
  <si>
    <t>Total Regulated Tonnage</t>
  </si>
  <si>
    <t>Transfer Sation</t>
  </si>
  <si>
    <t>Empire Disposal Inc.</t>
  </si>
  <si>
    <t>Spokane Co. Regulated - Price Out</t>
  </si>
  <si>
    <t>RL090.0G1W003</t>
  </si>
  <si>
    <t>RL 90 GL 1X WK 3</t>
  </si>
  <si>
    <t>DIST-COM</t>
  </si>
  <si>
    <t>DISTANCE FEE - COMM</t>
  </si>
  <si>
    <t>4 Can</t>
  </si>
  <si>
    <t>Item 55, Pg. 21-A</t>
  </si>
  <si>
    <t>Item 100, Pg. 26A</t>
  </si>
  <si>
    <t>Item 100, Pg. 27-A</t>
  </si>
  <si>
    <t>Item 150, Pg. 30-A</t>
  </si>
  <si>
    <t>Item 240, Pg. 37-A</t>
  </si>
  <si>
    <t>Item 245, Pg 38-A</t>
  </si>
  <si>
    <t>Item 255, Pg 39-A</t>
  </si>
  <si>
    <t>RO Increase</t>
  </si>
  <si>
    <t>T-Stn</t>
  </si>
  <si>
    <t>WTE</t>
  </si>
  <si>
    <t>21-A</t>
  </si>
  <si>
    <t>26-A</t>
  </si>
  <si>
    <t>27-A</t>
  </si>
  <si>
    <t>30-A</t>
  </si>
  <si>
    <t>Spokane WTE</t>
  </si>
  <si>
    <t>Spokane TFS</t>
  </si>
  <si>
    <t>37-A</t>
  </si>
  <si>
    <t>38-A</t>
  </si>
  <si>
    <t>Spokane County Transfer Stations</t>
  </si>
  <si>
    <t>Rev Change</t>
  </si>
  <si>
    <t>% Change</t>
  </si>
  <si>
    <t>Bulky Material 1-4yd</t>
  </si>
  <si>
    <t>Bulky Material per Yard</t>
  </si>
  <si>
    <t>Bulky Material Min Charge</t>
  </si>
  <si>
    <t>First, Additional</t>
  </si>
  <si>
    <t>32 Gal Each Pickup</t>
  </si>
  <si>
    <t>32 Gal - Over 5 Grouped</t>
  </si>
  <si>
    <t>32 Gal - Not Grouped</t>
  </si>
  <si>
    <t>Each Add'l unit</t>
  </si>
  <si>
    <t>BILL AREAS: SPOKANE CO., TOWN OF LATAH</t>
  </si>
  <si>
    <t xml:space="preserve">Avg Cust </t>
  </si>
  <si>
    <t>Proposed</t>
  </si>
  <si>
    <t>per Month</t>
  </si>
  <si>
    <t>RL 1 YD 1X MO 1</t>
  </si>
  <si>
    <t>DROP BOX SERVICES</t>
  </si>
  <si>
    <t>DROP BOX HAULS/RENTAL</t>
  </si>
  <si>
    <t>HAUL25-RO</t>
  </si>
  <si>
    <t>HAUL 25 YD - RO</t>
  </si>
  <si>
    <t>HAUL25TEMP-RO</t>
  </si>
  <si>
    <t>HAUL 25 YD TEMP - RO</t>
  </si>
  <si>
    <t>HAUL40TEMP-RO</t>
  </si>
  <si>
    <t>HAUL 40 YD TEMP - RO</t>
  </si>
  <si>
    <t>HAUL-CP</t>
  </si>
  <si>
    <t>COMPACTOR HAUL - RO</t>
  </si>
  <si>
    <t>RENT25MO-RO</t>
  </si>
  <si>
    <t>RENTAL FEE 25YD MONTHLY</t>
  </si>
  <si>
    <t>RENT40MO-RO</t>
  </si>
  <si>
    <t>RENTAL FEE 40 YD MONTHLY</t>
  </si>
  <si>
    <t>DEL-RO</t>
  </si>
  <si>
    <t>DELIVERY FEE - RO</t>
  </si>
  <si>
    <t>MILE-RO</t>
  </si>
  <si>
    <t>MILEAGE FEE - RO</t>
  </si>
  <si>
    <t>TOTAL DROP BOX HAULS/RENTAL</t>
  </si>
  <si>
    <t>DROP BOX RECYLING</t>
  </si>
  <si>
    <t>DROP BOX RECYLING (NON-REG)</t>
  </si>
  <si>
    <t>HAULREC-RO</t>
  </si>
  <si>
    <t>HAUL RECYCLE - RO</t>
  </si>
  <si>
    <t>TOTAL DROP BOX RECYCLING</t>
  </si>
  <si>
    <t>PASSTHROUGH DISPOSAL</t>
  </si>
  <si>
    <t>DISP-RO</t>
  </si>
  <si>
    <t>DISPOSAL CHARGE - RO</t>
  </si>
  <si>
    <t>TOTAL PASSTHROUGH DISPOSAL</t>
  </si>
  <si>
    <t>Service Charges</t>
  </si>
  <si>
    <t>FINCHG</t>
  </si>
  <si>
    <t>FINANCE CHARGE</t>
  </si>
  <si>
    <t>TOTAL SERVICE CHARGES</t>
  </si>
  <si>
    <t>TOTAL REVENUE</t>
  </si>
  <si>
    <t>Resi Cust Count</t>
  </si>
  <si>
    <t>Comm Cust Count</t>
  </si>
  <si>
    <t>Spokane</t>
  </si>
  <si>
    <t>Whitman</t>
  </si>
  <si>
    <t>Total for TL</t>
  </si>
  <si>
    <t>RO Cust Count</t>
  </si>
  <si>
    <t>1 Can Monthly</t>
  </si>
  <si>
    <t>imm</t>
  </si>
  <si>
    <t>Increase Per LG</t>
  </si>
  <si>
    <t>Plug to Balance</t>
  </si>
  <si>
    <t>Total % Change</t>
  </si>
  <si>
    <t>Price Out Increase</t>
  </si>
  <si>
    <t>LG Increase</t>
  </si>
  <si>
    <t>Difference</t>
  </si>
  <si>
    <t>Garbage Carts</t>
  </si>
  <si>
    <t>Garbage</t>
  </si>
  <si>
    <t>See Revenue proof below</t>
  </si>
  <si>
    <t>1/1/2022-12/31/2022</t>
  </si>
  <si>
    <t>Recycling Carts</t>
  </si>
  <si>
    <t>Recycling</t>
  </si>
  <si>
    <t>Jan 2022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</si>
  <si>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</si>
  <si>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</si>
  <si>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</si>
  <si>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</si>
  <si>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</si>
  <si>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</si>
  <si>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</si>
  <si>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</si>
  <si>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</si>
  <si>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</si>
  <si>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</si>
  <si>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</si>
  <si>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Container Count Quick Look</t>
  </si>
  <si>
    <t>Size</t>
  </si>
  <si>
    <t>Containers</t>
  </si>
  <si>
    <t>Commercial Recycling</t>
  </si>
  <si>
    <t xml:space="preserve">Current </t>
  </si>
  <si>
    <t>Tariff</t>
  </si>
  <si>
    <t xml:space="preserve">Annual </t>
  </si>
  <si>
    <t>New Tariff</t>
  </si>
  <si>
    <t xml:space="preserve"> Increase</t>
  </si>
  <si>
    <t xml:space="preserve"> Rate</t>
  </si>
  <si>
    <t xml:space="preserve"> Annual Revenue</t>
  </si>
  <si>
    <t>Page</t>
  </si>
  <si>
    <t>RL90R-OC</t>
  </si>
  <si>
    <t>RL 90 GL ON CALL - RES</t>
  </si>
  <si>
    <t>DIST-RES</t>
  </si>
  <si>
    <t>DISTANCE FEE - RES</t>
  </si>
  <si>
    <t>ADJ-RES</t>
  </si>
  <si>
    <t>ADJUSTMENT RESIDENTIAL</t>
  </si>
  <si>
    <t>EFUEL-RES</t>
  </si>
  <si>
    <t>FUEL &amp; MATERIAL SURCHARGE</t>
  </si>
  <si>
    <t>For Disposal Allocation</t>
  </si>
  <si>
    <t>RL006.0Y1W001</t>
  </si>
  <si>
    <t>RL 6 YD 1X WK 1</t>
  </si>
  <si>
    <t>RL2C-OC</t>
  </si>
  <si>
    <t>1 RL 2 YD ON CALL-COMM</t>
  </si>
  <si>
    <t>EFUEL-COM</t>
  </si>
  <si>
    <t>DRIVEIN1-COMM</t>
  </si>
  <si>
    <t>Carts</t>
  </si>
  <si>
    <t>40-A</t>
  </si>
  <si>
    <t>HAUL40-RO</t>
  </si>
  <si>
    <t>HAUL 40 YD - RO</t>
  </si>
  <si>
    <t>DAMAGE-RO</t>
  </si>
  <si>
    <t>DAMAGE - RO</t>
  </si>
  <si>
    <t>EFUEL-RO</t>
  </si>
  <si>
    <t>31-A</t>
  </si>
  <si>
    <t>TIME-RO</t>
  </si>
  <si>
    <t>TIME FEE - RO</t>
  </si>
  <si>
    <t>ADJ-FIN</t>
  </si>
  <si>
    <t>ADJUSTMENT FINANCE CHARGE</t>
  </si>
  <si>
    <t>RETCK</t>
  </si>
  <si>
    <t>RETURN CHECK</t>
  </si>
  <si>
    <t>MM</t>
  </si>
  <si>
    <t>MOVE MONEY</t>
  </si>
  <si>
    <t>BD</t>
  </si>
  <si>
    <t>BAD DEBT WRITE OFF</t>
  </si>
  <si>
    <t>BDR</t>
  </si>
  <si>
    <t>BAD DEBT RECOVERY</t>
  </si>
  <si>
    <t>REFUND</t>
  </si>
  <si>
    <t>REFUND ISSUED</t>
  </si>
  <si>
    <t>Revenue Requirement per LG</t>
  </si>
  <si>
    <t>UTC Disposal Log</t>
  </si>
  <si>
    <t>Whitman County Transfer Station Disposal Data - Booked to GL 40101</t>
  </si>
  <si>
    <t>Transfer Station - Booked to GL 40131</t>
  </si>
  <si>
    <t>Incinerator - Booked to GL 40121</t>
  </si>
  <si>
    <t>DF Count</t>
  </si>
  <si>
    <t>Total DF</t>
  </si>
  <si>
    <t>Variance</t>
  </si>
  <si>
    <t>Effective 1-1-2024</t>
  </si>
  <si>
    <t>Note from Brian Vandenburg: Customer Counts and Disposal Schedule have been copied from TG-2300182.</t>
  </si>
  <si>
    <t>Proposed Spokane Rates Effective 1-1-2024</t>
  </si>
  <si>
    <t>Spokane TS</t>
  </si>
  <si>
    <t>2022 PT $</t>
  </si>
  <si>
    <t>New 1/1/2024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</si>
</sst>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%"/>
    <numFmt numFmtId="167" formatCode="_(&quot;$&quot;* #,##0.000_);_(&quot;$&quot;* \(#,##0.000\);_(&quot;$&quot;* &quot;-&quot;??_);_(@_)"/>
    <numFmt numFmtId="168" formatCode="_(* #,##0.000000_);_(* \(#,##0.000000\);_(* &quot;-&quot;??_);_(@_)"/>
    <numFmt numFmtId="169" formatCode="_(&quot;$&quot;* #,##0.000000_);_(&quot;$&quot;* \(#,##0.000000\);_(&quot;$&quot;* &quot;-&quot;??_);_(@_)"/>
    <numFmt numFmtId="170" formatCode="0.0000%"/>
    <numFmt numFmtId="171" formatCode="0.000000"/>
    <numFmt numFmtId="172" formatCode="&quot;$&quot;#,##0\ ;\(&quot;$&quot;#,##0\)"/>
    <numFmt numFmtId="173" formatCode="_([$$-409]* #,##0.00_);_([$$-409]* \(#,##0.00\);_([$$-409]* &quot;-&quot;??_);_(@_)"/>
    <numFmt numFmtId="174" formatCode="_(* #,##0.000_);_(* \(#,##0.000\);_(* &quot;-&quot;??_);_(@_)"/>
    <numFmt numFmtId="175" formatCode="mm\-yy;\-0;;@"/>
    <numFmt numFmtId="176" formatCode=".00#####;\-.00####;;@"/>
    <numFmt numFmtId="177" formatCode="_(&quot;$&quot;* #,##0_);_(&quot;$&quot;* \(#,##0\);_(&quot;$&quot;* &quot;-&quot;??_);_(@_)"/>
  </numFmts>
  <fonts count="1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1"/>
      <name val="Calibri"/>
      <family val="2"/>
    </font>
    <font>
      <sz val="12"/>
      <name val="CG Omega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1"/>
      <color theme="10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b/>
      <sz val="11"/>
      <color indexed="18"/>
      <name val="Britannic Bold"/>
      <family val="2"/>
    </font>
    <font>
      <sz val="12"/>
      <color theme="1"/>
      <name val="Calibri"/>
      <family val="2"/>
      <scheme val="minor"/>
    </font>
    <font>
      <sz val="11"/>
      <name val="Bookman Old Style"/>
      <family val="1"/>
    </font>
    <font>
      <u/>
      <sz val="10"/>
      <name val="Arial"/>
      <family val="2"/>
    </font>
    <font>
      <u/>
      <sz val="9.35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7.5"/>
      <color indexed="12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1"/>
      <color rgb="FF00206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9"/>
      <color indexed="8"/>
      <name val="Calibri"/>
      <family val="2"/>
    </font>
    <font>
      <sz val="10"/>
      <color theme="4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8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26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3" fontId="3" fillId="0" borderId="0"/>
    <xf numFmtId="3" fontId="3" fillId="0" borderId="0"/>
    <xf numFmtId="3" fontId="3" fillId="0" borderId="0"/>
    <xf numFmtId="3" fontId="3" fillId="0" borderId="0"/>
    <xf numFmtId="0" fontId="7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3" fillId="27" borderId="0">
      <alignment horizontal="center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" fillId="0" borderId="0"/>
    <xf numFmtId="0" fontId="12" fillId="0" borderId="0"/>
    <xf numFmtId="0" fontId="12" fillId="0" borderId="0"/>
    <xf numFmtId="0" fontId="13" fillId="28" borderId="6" applyAlignment="0">
      <alignment horizontal="right"/>
      <protection locked="0"/>
    </xf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9" borderId="0">
      <alignment horizontal="right"/>
      <protection locked="0"/>
    </xf>
    <xf numFmtId="14" fontId="3" fillId="0" borderId="0"/>
    <xf numFmtId="0" fontId="16" fillId="0" borderId="0" applyNumberFormat="0" applyFill="0" applyBorder="0" applyAlignment="0" applyProtection="0"/>
    <xf numFmtId="2" fontId="15" fillId="29" borderId="0">
      <alignment horizontal="right"/>
      <protection locked="0"/>
    </xf>
    <xf numFmtId="1" fontId="3" fillId="0" borderId="0">
      <alignment horizontal="center"/>
    </xf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3" fontId="29" fillId="31" borderId="0">
      <protection locked="0"/>
    </xf>
    <xf numFmtId="4" fontId="29" fillId="31" borderId="0">
      <protection locked="0"/>
    </xf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33" fillId="10" borderId="0" applyNumberFormat="0" applyBorder="0" applyAlignment="0" applyProtection="0"/>
    <xf numFmtId="43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166" fontId="36" fillId="0" borderId="0" applyNumberFormat="0"/>
    <xf numFmtId="0" fontId="22" fillId="24" borderId="18" applyNumberFormat="0" applyAlignment="0" applyProtection="0"/>
    <xf numFmtId="0" fontId="37" fillId="24" borderId="1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 applyNumberFormat="0" applyFont="0" applyFill="0" applyBorder="0" applyAlignment="0" applyProtection="0">
      <alignment horizontal="left"/>
    </xf>
    <xf numFmtId="0" fontId="39" fillId="0" borderId="20">
      <alignment horizont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Border="0" applyAlignment="0"/>
    <xf numFmtId="37" fontId="41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5" fillId="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47" fillId="0" borderId="0" applyNumberFormat="0" applyFont="0" applyFill="0" applyBorder="0">
      <alignment horizontal="left" indent="4"/>
      <protection locked="0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33" borderId="0" applyNumberFormat="0" applyFont="0" applyBorder="0" applyAlignment="0" applyProtection="0"/>
    <xf numFmtId="0" fontId="31" fillId="0" borderId="0" applyNumberFormat="0" applyFill="0" applyBorder="0" applyAlignment="0" applyProtection="0"/>
    <xf numFmtId="164" fontId="35" fillId="34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2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37" borderId="0" applyNumberFormat="0" applyBorder="0" applyAlignment="0" applyProtection="0"/>
    <xf numFmtId="0" fontId="5" fillId="20" borderId="0" applyNumberFormat="0" applyBorder="0" applyAlignment="0" applyProtection="0"/>
    <xf numFmtId="0" fontId="6" fillId="7" borderId="0" applyNumberFormat="0" applyBorder="0" applyAlignment="0" applyProtection="0"/>
    <xf numFmtId="0" fontId="7" fillId="24" borderId="3" applyNumberFormat="0" applyAlignment="0" applyProtection="0"/>
    <xf numFmtId="0" fontId="50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3" fillId="0" borderId="0"/>
    <xf numFmtId="0" fontId="17" fillId="9" borderId="0" applyNumberFormat="0" applyBorder="0" applyAlignment="0" applyProtection="0"/>
    <xf numFmtId="0" fontId="49" fillId="36" borderId="0" applyNumberFormat="0" applyBorder="0" applyAlignment="0" applyProtection="0"/>
    <xf numFmtId="0" fontId="18" fillId="0" borderId="7" applyNumberFormat="0" applyFill="0" applyAlignment="0" applyProtection="0"/>
    <xf numFmtId="0" fontId="52" fillId="0" borderId="25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53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4" fillId="0" borderId="26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28" fillId="10" borderId="3" applyNumberFormat="0" applyAlignment="0" applyProtection="0"/>
    <xf numFmtId="0" fontId="30" fillId="0" borderId="15" applyNumberFormat="0" applyFill="0" applyAlignment="0" applyProtection="0"/>
    <xf numFmtId="0" fontId="55" fillId="0" borderId="27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56" fillId="10" borderId="0" applyNumberFormat="0" applyBorder="0" applyAlignment="0" applyProtection="0"/>
    <xf numFmtId="0" fontId="33" fillId="10" borderId="0" applyNumberFormat="0" applyBorder="0" applyAlignment="0" applyProtection="0"/>
    <xf numFmtId="0" fontId="4" fillId="0" borderId="0"/>
    <xf numFmtId="0" fontId="4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1" fillId="0" borderId="0"/>
    <xf numFmtId="0" fontId="57" fillId="0" borderId="0"/>
    <xf numFmtId="0" fontId="4" fillId="0" borderId="0"/>
    <xf numFmtId="0" fontId="51" fillId="0" borderId="0"/>
    <xf numFmtId="0" fontId="3" fillId="0" borderId="0"/>
    <xf numFmtId="0" fontId="1" fillId="0" borderId="0"/>
    <xf numFmtId="0" fontId="5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165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165" fontId="3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1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0" fontId="37" fillId="24" borderId="19" applyNumberForma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8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4" fillId="2" borderId="0" applyNumberFormat="0" applyBorder="0" applyAlignment="0" applyProtection="0"/>
    <xf numFmtId="0" fontId="4" fillId="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4" fillId="2" borderId="0" applyNumberFormat="0" applyBorder="0" applyAlignment="0" applyProtection="0"/>
    <xf numFmtId="0" fontId="4" fillId="11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" fillId="9" borderId="0" applyNumberFormat="0" applyBorder="0" applyAlignment="0" applyProtection="0"/>
    <xf numFmtId="0" fontId="78" fillId="4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78" fillId="53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78" fillId="57" borderId="0" applyNumberFormat="0" applyBorder="0" applyAlignment="0" applyProtection="0"/>
    <xf numFmtId="0" fontId="5" fillId="2" borderId="0" applyNumberFormat="0" applyBorder="0" applyAlignment="0" applyProtection="0"/>
    <xf numFmtId="0" fontId="5" fillId="11" borderId="0" applyNumberFormat="0" applyBorder="0" applyAlignment="0" applyProtection="0"/>
    <xf numFmtId="0" fontId="78" fillId="61" borderId="0" applyNumberFormat="0" applyBorder="0" applyAlignment="0" applyProtection="0"/>
    <xf numFmtId="0" fontId="5" fillId="9" borderId="0" applyNumberFormat="0" applyBorder="0" applyAlignment="0" applyProtection="0"/>
    <xf numFmtId="0" fontId="78" fillId="65" borderId="0" applyNumberFormat="0" applyBorder="0" applyAlignment="0" applyProtection="0"/>
    <xf numFmtId="0" fontId="78" fillId="69" borderId="0" applyNumberFormat="0" applyBorder="0" applyAlignment="0" applyProtection="0"/>
    <xf numFmtId="0" fontId="5" fillId="19" borderId="0" applyNumberFormat="0" applyBorder="0" applyAlignment="0" applyProtection="0"/>
    <xf numFmtId="0" fontId="78" fillId="46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78" fillId="50" borderId="0" applyNumberFormat="0" applyBorder="0" applyAlignment="0" applyProtection="0"/>
    <xf numFmtId="0" fontId="5" fillId="12" borderId="0" applyNumberFormat="0" applyBorder="0" applyAlignment="0" applyProtection="0"/>
    <xf numFmtId="0" fontId="78" fillId="5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78" fillId="58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78" fillId="62" borderId="0" applyNumberFormat="0" applyBorder="0" applyAlignment="0" applyProtection="0"/>
    <xf numFmtId="0" fontId="5" fillId="20" borderId="0" applyNumberFormat="0" applyBorder="0" applyAlignment="0" applyProtection="0"/>
    <xf numFmtId="0" fontId="78" fillId="66" borderId="0" applyNumberFormat="0" applyBorder="0" applyAlignment="0" applyProtection="0"/>
    <xf numFmtId="49" fontId="90" fillId="0" borderId="0" applyFill="0" applyBorder="0" applyAlignment="0" applyProtection="0"/>
    <xf numFmtId="0" fontId="91" fillId="0" borderId="29" applyBorder="0">
      <alignment horizontal="center" vertical="center" wrapText="1"/>
    </xf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70" fillId="40" borderId="0" applyNumberFormat="0" applyBorder="0" applyAlignment="0" applyProtection="0"/>
    <xf numFmtId="0" fontId="8" fillId="24" borderId="3" applyNumberFormat="0" applyAlignment="0" applyProtection="0"/>
    <xf numFmtId="0" fontId="74" fillId="43" borderId="4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76" fillId="44" borderId="46" applyNumberFormat="0" applyAlignment="0" applyProtection="0"/>
    <xf numFmtId="0" fontId="92" fillId="70" borderId="0" applyNumberFormat="0" applyBorder="0" applyAlignment="0" applyProtection="0">
      <alignment horizontal="center"/>
      <protection hidden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18" fillId="0" borderId="9" applyNumberFormat="0" applyFill="0" applyAlignment="0" applyProtection="0"/>
    <xf numFmtId="0" fontId="67" fillId="0" borderId="40" applyNumberFormat="0" applyFill="0" applyAlignment="0" applyProtection="0"/>
    <xf numFmtId="0" fontId="20" fillId="0" borderId="11" applyNumberFormat="0" applyFill="0" applyAlignment="0" applyProtection="0"/>
    <xf numFmtId="0" fontId="68" fillId="0" borderId="41" applyNumberFormat="0" applyFill="0" applyAlignment="0" applyProtection="0"/>
    <xf numFmtId="0" fontId="22" fillId="0" borderId="14" applyNumberFormat="0" applyFill="0" applyAlignment="0" applyProtection="0"/>
    <xf numFmtId="0" fontId="69" fillId="0" borderId="42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72" fillId="42" borderId="43" applyNumberFormat="0" applyAlignment="0" applyProtection="0"/>
    <xf numFmtId="0" fontId="91" fillId="0" borderId="29" applyBorder="0">
      <alignment horizontal="center" vertical="center" wrapText="1"/>
    </xf>
    <xf numFmtId="0" fontId="31" fillId="0" borderId="16" applyNumberFormat="0" applyFill="0" applyAlignment="0" applyProtection="0"/>
    <xf numFmtId="0" fontId="75" fillId="0" borderId="45" applyNumberFormat="0" applyFill="0" applyAlignment="0" applyProtection="0"/>
    <xf numFmtId="0" fontId="33" fillId="10" borderId="0" applyNumberFormat="0" applyBorder="0" applyAlignment="0" applyProtection="0"/>
    <xf numFmtId="0" fontId="7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57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40" fontId="94" fillId="0" borderId="0"/>
    <xf numFmtId="0" fontId="3" fillId="0" borderId="0"/>
    <xf numFmtId="40" fontId="94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4" fillId="0" borderId="0"/>
    <xf numFmtId="0" fontId="11" fillId="0" borderId="0">
      <alignment vertical="top"/>
    </xf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4" fillId="0" borderId="0"/>
    <xf numFmtId="0" fontId="34" fillId="0" borderId="0"/>
    <xf numFmtId="0" fontId="1" fillId="0" borderId="0"/>
    <xf numFmtId="0" fontId="11" fillId="0" borderId="0">
      <alignment vertical="top"/>
    </xf>
    <xf numFmtId="0" fontId="3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6" borderId="17" applyNumberFormat="0" applyFont="0" applyAlignment="0" applyProtection="0"/>
    <xf numFmtId="0" fontId="4" fillId="6" borderId="17" applyNumberFormat="0" applyFont="0" applyAlignment="0" applyProtection="0"/>
    <xf numFmtId="0" fontId="1" fillId="45" borderId="47" applyNumberFormat="0" applyFont="0" applyAlignment="0" applyProtection="0"/>
    <xf numFmtId="0" fontId="1" fillId="45" borderId="47" applyNumberFormat="0" applyFont="0" applyAlignment="0" applyProtection="0"/>
    <xf numFmtId="0" fontId="22" fillId="24" borderId="18" applyNumberFormat="0" applyAlignment="0" applyProtection="0"/>
    <xf numFmtId="0" fontId="37" fillId="24" borderId="19" applyNumberFormat="0" applyAlignment="0" applyProtection="0"/>
    <xf numFmtId="0" fontId="37" fillId="24" borderId="19" applyNumberFormat="0" applyAlignment="0" applyProtection="0"/>
    <xf numFmtId="0" fontId="73" fillId="43" borderId="4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175" fontId="14" fillId="0" borderId="0">
      <alignment horizontal="center"/>
    </xf>
    <xf numFmtId="0" fontId="11" fillId="0" borderId="0" applyNumberFormat="0" applyBorder="0" applyAlignment="0"/>
    <xf numFmtId="176" fontId="99" fillId="71" borderId="0" applyFill="0" applyBorder="0" applyProtection="0">
      <alignment horizontal="center"/>
      <protection hidden="1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0" borderId="48" applyNumberFormat="0" applyFill="0" applyAlignment="0" applyProtection="0"/>
    <xf numFmtId="0" fontId="100" fillId="0" borderId="0">
      <alignment horizontal="center"/>
    </xf>
    <xf numFmtId="0" fontId="4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329">
    <xf numFmtId="0" fontId="0" fillId="0" borderId="0" xfId="0"/>
    <xf numFmtId="0" fontId="0" fillId="0" borderId="6" xfId="0" applyBorder="1" applyAlignment="1">
      <alignment horizontal="center"/>
    </xf>
    <xf numFmtId="43" fontId="0" fillId="0" borderId="0" xfId="80" applyFont="1"/>
    <xf numFmtId="43" fontId="0" fillId="0" borderId="0" xfId="0" applyNumberFormat="1" applyAlignment="1">
      <alignment horizontal="center"/>
    </xf>
    <xf numFmtId="43" fontId="0" fillId="0" borderId="0" xfId="0" applyNumberFormat="1"/>
    <xf numFmtId="0" fontId="45" fillId="0" borderId="0" xfId="0" applyFont="1"/>
    <xf numFmtId="43" fontId="0" fillId="0" borderId="0" xfId="80" applyFont="1" applyAlignment="1">
      <alignment horizontal="center"/>
    </xf>
    <xf numFmtId="0" fontId="0" fillId="0" borderId="0" xfId="0" applyAlignment="1">
      <alignment horizontal="left" indent="1"/>
    </xf>
    <xf numFmtId="164" fontId="0" fillId="0" borderId="0" xfId="80" applyNumberFormat="1" applyFont="1"/>
    <xf numFmtId="0" fontId="46" fillId="0" borderId="0" xfId="0" applyFont="1"/>
    <xf numFmtId="0" fontId="46" fillId="0" borderId="0" xfId="0" applyFont="1" applyAlignment="1">
      <alignment horizontal="center"/>
    </xf>
    <xf numFmtId="168" fontId="0" fillId="0" borderId="0" xfId="80" applyNumberFormat="1" applyFont="1"/>
    <xf numFmtId="168" fontId="0" fillId="0" borderId="0" xfId="80" applyNumberFormat="1" applyFont="1" applyBorder="1"/>
    <xf numFmtId="168" fontId="0" fillId="0" borderId="6" xfId="80" applyNumberFormat="1" applyFont="1" applyBorder="1"/>
    <xf numFmtId="170" fontId="0" fillId="0" borderId="0" xfId="0" applyNumberFormat="1"/>
    <xf numFmtId="171" fontId="0" fillId="0" borderId="0" xfId="0" applyNumberFormat="1"/>
    <xf numFmtId="0" fontId="0" fillId="0" borderId="0" xfId="0" applyAlignment="1">
      <alignment horizontal="left"/>
    </xf>
    <xf numFmtId="164" fontId="0" fillId="0" borderId="0" xfId="80" applyNumberFormat="1" applyFont="1" applyFill="1" applyBorder="1"/>
    <xf numFmtId="44" fontId="0" fillId="0" borderId="0" xfId="1" applyFont="1" applyFill="1" applyBorder="1"/>
    <xf numFmtId="167" fontId="0" fillId="0" borderId="0" xfId="1" applyNumberFormat="1" applyFont="1" applyFill="1" applyBorder="1"/>
    <xf numFmtId="169" fontId="0" fillId="0" borderId="0" xfId="1" applyNumberFormat="1" applyFont="1" applyFill="1" applyBorder="1"/>
    <xf numFmtId="44" fontId="0" fillId="0" borderId="0" xfId="0" applyNumberFormat="1"/>
    <xf numFmtId="44" fontId="45" fillId="0" borderId="0" xfId="0" applyNumberFormat="1" applyFont="1"/>
    <xf numFmtId="0" fontId="0" fillId="0" borderId="0" xfId="0" applyAlignment="1">
      <alignment horizontal="center"/>
    </xf>
    <xf numFmtId="164" fontId="45" fillId="0" borderId="6" xfId="332" applyNumberFormat="1" applyFont="1" applyBorder="1" applyAlignment="1">
      <alignment horizontal="center"/>
    </xf>
    <xf numFmtId="164" fontId="0" fillId="0" borderId="0" xfId="332" applyNumberFormat="1" applyFont="1" applyBorder="1"/>
    <xf numFmtId="164" fontId="0" fillId="0" borderId="0" xfId="332" applyNumberFormat="1" applyFont="1" applyBorder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35" borderId="0" xfId="0" applyFill="1"/>
    <xf numFmtId="0" fontId="0" fillId="35" borderId="0" xfId="0" applyFill="1" applyAlignment="1">
      <alignment horizontal="center"/>
    </xf>
    <xf numFmtId="0" fontId="45" fillId="35" borderId="0" xfId="0" applyFont="1" applyFill="1"/>
    <xf numFmtId="164" fontId="0" fillId="35" borderId="0" xfId="332" applyNumberFormat="1" applyFont="1" applyFill="1" applyBorder="1"/>
    <xf numFmtId="0" fontId="48" fillId="0" borderId="0" xfId="314" applyFont="1"/>
    <xf numFmtId="164" fontId="0" fillId="0" borderId="0" xfId="332" applyNumberFormat="1" applyFont="1" applyFill="1" applyBorder="1"/>
    <xf numFmtId="0" fontId="48" fillId="0" borderId="0" xfId="317" applyFont="1"/>
    <xf numFmtId="0" fontId="0" fillId="0" borderId="0" xfId="0" applyAlignment="1">
      <alignment horizontal="center" vertical="center" textRotation="90"/>
    </xf>
    <xf numFmtId="0" fontId="61" fillId="32" borderId="6" xfId="0" applyFont="1" applyFill="1" applyBorder="1"/>
    <xf numFmtId="3" fontId="0" fillId="32" borderId="6" xfId="0" applyNumberFormat="1" applyFill="1" applyBorder="1" applyAlignment="1">
      <alignment horizontal="center"/>
    </xf>
    <xf numFmtId="0" fontId="62" fillId="0" borderId="0" xfId="0" applyFont="1" applyAlignment="1">
      <alignment horizontal="left"/>
    </xf>
    <xf numFmtId="0" fontId="0" fillId="32" borderId="6" xfId="0" applyFill="1" applyBorder="1"/>
    <xf numFmtId="0" fontId="45" fillId="32" borderId="6" xfId="0" applyFont="1" applyFill="1" applyBorder="1"/>
    <xf numFmtId="0" fontId="0" fillId="32" borderId="6" xfId="0" applyFill="1" applyBorder="1" applyAlignment="1">
      <alignment horizontal="center"/>
    </xf>
    <xf numFmtId="42" fontId="45" fillId="0" borderId="0" xfId="0" applyNumberFormat="1" applyFont="1"/>
    <xf numFmtId="0" fontId="45" fillId="32" borderId="6" xfId="0" applyFont="1" applyFill="1" applyBorder="1" applyAlignment="1">
      <alignment horizontal="center" wrapText="1"/>
    </xf>
    <xf numFmtId="43" fontId="45" fillId="0" borderId="0" xfId="332" applyFont="1"/>
    <xf numFmtId="164" fontId="0" fillId="0" borderId="0" xfId="332" applyNumberFormat="1" applyFont="1"/>
    <xf numFmtId="164" fontId="45" fillId="32" borderId="6" xfId="332" applyNumberFormat="1" applyFont="1" applyFill="1" applyBorder="1"/>
    <xf numFmtId="164" fontId="0" fillId="32" borderId="6" xfId="332" applyNumberFormat="1" applyFont="1" applyFill="1" applyBorder="1"/>
    <xf numFmtId="164" fontId="0" fillId="0" borderId="0" xfId="332" applyNumberFormat="1" applyFont="1" applyFill="1"/>
    <xf numFmtId="164" fontId="45" fillId="0" borderId="0" xfId="332" applyNumberFormat="1" applyFont="1"/>
    <xf numFmtId="164" fontId="0" fillId="35" borderId="0" xfId="332" applyNumberFormat="1" applyFont="1" applyFill="1" applyBorder="1" applyAlignment="1">
      <alignment horizontal="right"/>
    </xf>
    <xf numFmtId="164" fontId="0" fillId="0" borderId="0" xfId="332" applyNumberFormat="1" applyFont="1" applyFill="1" applyBorder="1" applyAlignment="1"/>
    <xf numFmtId="43" fontId="0" fillId="0" borderId="0" xfId="332" applyFont="1"/>
    <xf numFmtId="43" fontId="0" fillId="32" borderId="6" xfId="332" applyFont="1" applyFill="1" applyBorder="1"/>
    <xf numFmtId="43" fontId="0" fillId="35" borderId="0" xfId="332" applyFont="1" applyFill="1" applyBorder="1"/>
    <xf numFmtId="43" fontId="0" fillId="0" borderId="0" xfId="332" applyFont="1" applyBorder="1"/>
    <xf numFmtId="43" fontId="0" fillId="0" borderId="0" xfId="332" applyFont="1" applyFill="1" applyBorder="1"/>
    <xf numFmtId="43" fontId="0" fillId="0" borderId="0" xfId="332" applyFont="1" applyFill="1" applyBorder="1" applyAlignment="1"/>
    <xf numFmtId="173" fontId="0" fillId="0" borderId="0" xfId="0" applyNumberFormat="1"/>
    <xf numFmtId="173" fontId="45" fillId="32" borderId="6" xfId="0" applyNumberFormat="1" applyFont="1" applyFill="1" applyBorder="1"/>
    <xf numFmtId="173" fontId="0" fillId="32" borderId="6" xfId="0" applyNumberFormat="1" applyFill="1" applyBorder="1"/>
    <xf numFmtId="173" fontId="45" fillId="0" borderId="0" xfId="0" applyNumberFormat="1" applyFont="1"/>
    <xf numFmtId="173" fontId="0" fillId="35" borderId="0" xfId="332" applyNumberFormat="1" applyFont="1" applyFill="1" applyBorder="1"/>
    <xf numFmtId="173" fontId="0" fillId="35" borderId="0" xfId="0" applyNumberFormat="1" applyFill="1"/>
    <xf numFmtId="173" fontId="0" fillId="0" borderId="0" xfId="1" applyNumberFormat="1" applyFont="1" applyBorder="1"/>
    <xf numFmtId="173" fontId="0" fillId="0" borderId="6" xfId="0" applyNumberFormat="1" applyBorder="1"/>
    <xf numFmtId="173" fontId="0" fillId="0" borderId="0" xfId="1" applyNumberFormat="1" applyFont="1" applyFill="1" applyBorder="1"/>
    <xf numFmtId="44" fontId="0" fillId="0" borderId="36" xfId="1" applyFont="1" applyFill="1" applyBorder="1"/>
    <xf numFmtId="0" fontId="58" fillId="0" borderId="0" xfId="0" applyFont="1"/>
    <xf numFmtId="10" fontId="0" fillId="0" borderId="0" xfId="2" applyNumberFormat="1" applyFont="1" applyBorder="1" applyAlignment="1">
      <alignment horizontal="right"/>
    </xf>
    <xf numFmtId="0" fontId="45" fillId="0" borderId="32" xfId="0" applyFont="1" applyBorder="1"/>
    <xf numFmtId="0" fontId="0" fillId="0" borderId="35" xfId="0" applyBorder="1"/>
    <xf numFmtId="164" fontId="0" fillId="0" borderId="0" xfId="332" applyNumberFormat="1" applyFont="1" applyFill="1" applyBorder="1" applyAlignment="1">
      <alignment horizontal="right"/>
    </xf>
    <xf numFmtId="0" fontId="0" fillId="0" borderId="37" xfId="0" applyBorder="1"/>
    <xf numFmtId="0" fontId="0" fillId="0" borderId="38" xfId="0" applyBorder="1"/>
    <xf numFmtId="3" fontId="0" fillId="32" borderId="39" xfId="0" applyNumberFormat="1" applyFill="1" applyBorder="1" applyAlignment="1">
      <alignment horizontal="center"/>
    </xf>
    <xf numFmtId="43" fontId="45" fillId="32" borderId="0" xfId="332" applyFont="1" applyFill="1" applyBorder="1" applyAlignment="1">
      <alignment horizontal="center" wrapText="1"/>
    </xf>
    <xf numFmtId="44" fontId="0" fillId="0" borderId="0" xfId="1" applyFont="1" applyFill="1"/>
    <xf numFmtId="167" fontId="0" fillId="0" borderId="0" xfId="1" applyNumberFormat="1" applyFont="1" applyFill="1"/>
    <xf numFmtId="167" fontId="0" fillId="0" borderId="6" xfId="1" applyNumberFormat="1" applyFont="1" applyFill="1" applyBorder="1"/>
    <xf numFmtId="169" fontId="0" fillId="0" borderId="0" xfId="1" applyNumberFormat="1" applyFont="1" applyFill="1"/>
    <xf numFmtId="43" fontId="0" fillId="0" borderId="0" xfId="332" applyFont="1" applyFill="1"/>
    <xf numFmtId="10" fontId="0" fillId="0" borderId="0" xfId="2" applyNumberFormat="1" applyFont="1" applyFill="1" applyBorder="1"/>
    <xf numFmtId="10" fontId="0" fillId="0" borderId="0" xfId="0" applyNumberFormat="1"/>
    <xf numFmtId="164" fontId="0" fillId="0" borderId="0" xfId="0" applyNumberFormat="1"/>
    <xf numFmtId="174" fontId="0" fillId="0" borderId="0" xfId="0" applyNumberFormat="1" applyAlignment="1">
      <alignment horizontal="right"/>
    </xf>
    <xf numFmtId="0" fontId="48" fillId="0" borderId="0" xfId="553" applyFont="1"/>
    <xf numFmtId="43" fontId="0" fillId="0" borderId="0" xfId="332" applyFont="1" applyFill="1" applyBorder="1" applyAlignment="1">
      <alignment horizontal="right"/>
    </xf>
    <xf numFmtId="43" fontId="0" fillId="0" borderId="6" xfId="332" applyFont="1" applyFill="1" applyBorder="1" applyAlignment="1">
      <alignment horizontal="right"/>
    </xf>
    <xf numFmtId="43" fontId="45" fillId="0" borderId="0" xfId="332" applyFont="1" applyFill="1" applyBorder="1" applyAlignment="1">
      <alignment horizontal="right"/>
    </xf>
    <xf numFmtId="0" fontId="0" fillId="0" borderId="0" xfId="0" applyAlignment="1">
      <alignment vertical="center" textRotation="90" wrapText="1"/>
    </xf>
    <xf numFmtId="0" fontId="0" fillId="0" borderId="6" xfId="0" applyBorder="1" applyAlignment="1">
      <alignment vertical="center" textRotation="90" wrapText="1"/>
    </xf>
    <xf numFmtId="173" fontId="45" fillId="0" borderId="0" xfId="0" applyNumberFormat="1" applyFont="1" applyAlignment="1">
      <alignment horizontal="right"/>
    </xf>
    <xf numFmtId="173" fontId="63" fillId="0" borderId="0" xfId="0" applyNumberFormat="1" applyFont="1" applyAlignment="1">
      <alignment horizontal="right"/>
    </xf>
    <xf numFmtId="173" fontId="45" fillId="0" borderId="24" xfId="0" applyNumberFormat="1" applyFont="1" applyBorder="1"/>
    <xf numFmtId="10" fontId="0" fillId="0" borderId="0" xfId="2" applyNumberFormat="1" applyFont="1" applyAlignment="1">
      <alignment horizontal="left"/>
    </xf>
    <xf numFmtId="43" fontId="0" fillId="0" borderId="0" xfId="332" applyFont="1" applyAlignment="1">
      <alignment horizontal="center"/>
    </xf>
    <xf numFmtId="173" fontId="45" fillId="0" borderId="0" xfId="0" applyNumberFormat="1" applyFont="1" applyAlignment="1">
      <alignment horizontal="center"/>
    </xf>
    <xf numFmtId="0" fontId="84" fillId="38" borderId="0" xfId="3" applyFont="1" applyFill="1" applyAlignment="1">
      <alignment horizontal="center" wrapText="1"/>
    </xf>
    <xf numFmtId="17" fontId="84" fillId="38" borderId="0" xfId="3" applyNumberFormat="1" applyFont="1" applyFill="1" applyAlignment="1">
      <alignment horizontal="center"/>
    </xf>
    <xf numFmtId="10" fontId="0" fillId="0" borderId="0" xfId="2" applyNumberFormat="1" applyFont="1"/>
    <xf numFmtId="43" fontId="48" fillId="0" borderId="0" xfId="332" applyFont="1"/>
    <xf numFmtId="43" fontId="61" fillId="32" borderId="0" xfId="332" applyFont="1" applyFill="1" applyBorder="1" applyAlignment="1">
      <alignment horizontal="center" wrapText="1"/>
    </xf>
    <xf numFmtId="43" fontId="48" fillId="0" borderId="0" xfId="332" applyFont="1" applyFill="1"/>
    <xf numFmtId="0" fontId="0" fillId="72" borderId="0" xfId="0" applyFill="1"/>
    <xf numFmtId="0" fontId="45" fillId="72" borderId="0" xfId="0" applyFont="1" applyFill="1"/>
    <xf numFmtId="0" fontId="0" fillId="72" borderId="0" xfId="0" applyFill="1" applyAlignment="1">
      <alignment horizontal="center"/>
    </xf>
    <xf numFmtId="173" fontId="0" fillId="0" borderId="0" xfId="0" applyNumberFormat="1" applyAlignment="1">
      <alignment horizontal="right"/>
    </xf>
    <xf numFmtId="10" fontId="45" fillId="0" borderId="0" xfId="2" applyNumberFormat="1" applyFont="1" applyFill="1" applyBorder="1"/>
    <xf numFmtId="173" fontId="0" fillId="74" borderId="0" xfId="0" applyNumberFormat="1" applyFill="1"/>
    <xf numFmtId="0" fontId="102" fillId="0" borderId="0" xfId="0" applyFont="1"/>
    <xf numFmtId="0" fontId="101" fillId="74" borderId="0" xfId="0" applyFont="1" applyFill="1"/>
    <xf numFmtId="0" fontId="101" fillId="74" borderId="0" xfId="0" applyFont="1" applyFill="1" applyAlignment="1">
      <alignment horizontal="right"/>
    </xf>
    <xf numFmtId="164" fontId="101" fillId="74" borderId="0" xfId="0" applyNumberFormat="1" applyFont="1" applyFill="1"/>
    <xf numFmtId="164" fontId="101" fillId="74" borderId="0" xfId="332" applyNumberFormat="1" applyFont="1" applyFill="1"/>
    <xf numFmtId="0" fontId="45" fillId="32" borderId="6" xfId="0" applyFont="1" applyFill="1" applyBorder="1" applyAlignment="1">
      <alignment horizontal="center"/>
    </xf>
    <xf numFmtId="0" fontId="82" fillId="0" borderId="0" xfId="0" applyFont="1"/>
    <xf numFmtId="0" fontId="79" fillId="0" borderId="0" xfId="0" applyFont="1"/>
    <xf numFmtId="0" fontId="80" fillId="0" borderId="0" xfId="3" applyFont="1"/>
    <xf numFmtId="0" fontId="81" fillId="0" borderId="0" xfId="3" applyFont="1"/>
    <xf numFmtId="0" fontId="80" fillId="0" borderId="0" xfId="3" applyFont="1" applyAlignment="1">
      <alignment horizontal="center"/>
    </xf>
    <xf numFmtId="0" fontId="103" fillId="0" borderId="0" xfId="874" applyFont="1"/>
    <xf numFmtId="0" fontId="104" fillId="0" borderId="6" xfId="874" applyFont="1" applyBorder="1" applyAlignment="1">
      <alignment horizontal="center" wrapText="1"/>
    </xf>
    <xf numFmtId="43" fontId="83" fillId="0" borderId="0" xfId="3" applyNumberFormat="1" applyFont="1"/>
    <xf numFmtId="43" fontId="80" fillId="0" borderId="0" xfId="3" applyNumberFormat="1" applyFont="1"/>
    <xf numFmtId="0" fontId="80" fillId="0" borderId="32" xfId="3" applyFont="1" applyBorder="1"/>
    <xf numFmtId="164" fontId="80" fillId="0" borderId="34" xfId="4" applyNumberFormat="1" applyFont="1" applyFill="1" applyBorder="1"/>
    <xf numFmtId="0" fontId="104" fillId="0" borderId="0" xfId="464" applyFont="1" applyAlignment="1">
      <alignment horizontal="right"/>
    </xf>
    <xf numFmtId="10" fontId="103" fillId="75" borderId="0" xfId="874" applyNumberFormat="1" applyFont="1" applyFill="1"/>
    <xf numFmtId="10" fontId="103" fillId="74" borderId="0" xfId="1242" applyNumberFormat="1" applyFont="1" applyFill="1"/>
    <xf numFmtId="10" fontId="103" fillId="0" borderId="0" xfId="874" applyNumberFormat="1" applyFont="1"/>
    <xf numFmtId="164" fontId="103" fillId="75" borderId="0" xfId="1262" applyNumberFormat="1" applyFont="1" applyFill="1"/>
    <xf numFmtId="41" fontId="103" fillId="75" borderId="0" xfId="874" applyNumberFormat="1" applyFont="1" applyFill="1"/>
    <xf numFmtId="43" fontId="103" fillId="0" borderId="0" xfId="874" applyNumberFormat="1" applyFont="1"/>
    <xf numFmtId="0" fontId="105" fillId="0" borderId="0" xfId="0" applyFont="1"/>
    <xf numFmtId="0" fontId="84" fillId="0" borderId="0" xfId="3" applyFont="1" applyAlignment="1">
      <alignment horizontal="left"/>
    </xf>
    <xf numFmtId="2" fontId="80" fillId="0" borderId="0" xfId="3" applyNumberFormat="1" applyFont="1"/>
    <xf numFmtId="0" fontId="80" fillId="0" borderId="35" xfId="3" applyFont="1" applyBorder="1"/>
    <xf numFmtId="164" fontId="80" fillId="0" borderId="36" xfId="4" applyNumberFormat="1" applyFont="1" applyFill="1" applyBorder="1"/>
    <xf numFmtId="10" fontId="82" fillId="76" borderId="0" xfId="0" applyNumberFormat="1" applyFont="1" applyFill="1"/>
    <xf numFmtId="10" fontId="82" fillId="0" borderId="0" xfId="0" applyNumberFormat="1" applyFont="1"/>
    <xf numFmtId="164" fontId="82" fillId="76" borderId="0" xfId="332" applyNumberFormat="1" applyFont="1" applyFill="1"/>
    <xf numFmtId="43" fontId="82" fillId="0" borderId="0" xfId="332" applyFont="1"/>
    <xf numFmtId="0" fontId="84" fillId="0" borderId="0" xfId="3" applyFont="1" applyAlignment="1">
      <alignment horizontal="center" wrapText="1"/>
    </xf>
    <xf numFmtId="1" fontId="84" fillId="0" borderId="0" xfId="3" quotePrefix="1" applyNumberFormat="1" applyFont="1" applyAlignment="1">
      <alignment horizontal="center"/>
    </xf>
    <xf numFmtId="1" fontId="84" fillId="38" borderId="0" xfId="3" applyNumberFormat="1" applyFont="1" applyFill="1" applyAlignment="1">
      <alignment horizontal="center"/>
    </xf>
    <xf numFmtId="0" fontId="84" fillId="77" borderId="0" xfId="3" applyFont="1" applyFill="1" applyAlignment="1">
      <alignment horizontal="center" wrapText="1"/>
    </xf>
    <xf numFmtId="17" fontId="84" fillId="75" borderId="0" xfId="3" applyNumberFormat="1" applyFont="1" applyFill="1" applyAlignment="1">
      <alignment horizontal="center"/>
    </xf>
    <xf numFmtId="17" fontId="84" fillId="0" borderId="0" xfId="3" applyNumberFormat="1" applyFont="1" applyAlignment="1">
      <alignment horizontal="center"/>
    </xf>
    <xf numFmtId="43" fontId="82" fillId="0" borderId="0" xfId="332" applyFont="1" applyFill="1"/>
    <xf numFmtId="0" fontId="84" fillId="0" borderId="0" xfId="3" applyFont="1" applyAlignment="1">
      <alignment horizontal="center"/>
    </xf>
    <xf numFmtId="0" fontId="84" fillId="75" borderId="0" xfId="3" applyFont="1" applyFill="1" applyAlignment="1">
      <alignment horizontal="center" wrapText="1"/>
    </xf>
    <xf numFmtId="0" fontId="82" fillId="0" borderId="37" xfId="0" applyFont="1" applyBorder="1"/>
    <xf numFmtId="164" fontId="82" fillId="0" borderId="38" xfId="0" applyNumberFormat="1" applyFont="1" applyBorder="1"/>
    <xf numFmtId="43" fontId="80" fillId="0" borderId="0" xfId="332" applyFont="1" applyFill="1"/>
    <xf numFmtId="0" fontId="85" fillId="0" borderId="0" xfId="3" applyFont="1" applyAlignment="1">
      <alignment horizontal="left"/>
    </xf>
    <xf numFmtId="43" fontId="106" fillId="0" borderId="0" xfId="332" applyFont="1" applyFill="1" applyAlignment="1">
      <alignment horizontal="center"/>
    </xf>
    <xf numFmtId="17" fontId="106" fillId="75" borderId="0" xfId="3" applyNumberFormat="1" applyFont="1" applyFill="1" applyAlignment="1">
      <alignment horizontal="center"/>
    </xf>
    <xf numFmtId="43" fontId="106" fillId="0" borderId="0" xfId="332" applyFont="1" applyFill="1" applyAlignment="1">
      <alignment horizontal="center" wrapText="1"/>
    </xf>
    <xf numFmtId="0" fontId="106" fillId="75" borderId="0" xfId="3" applyFont="1" applyFill="1" applyAlignment="1">
      <alignment horizontal="center" wrapText="1"/>
    </xf>
    <xf numFmtId="43" fontId="80" fillId="0" borderId="0" xfId="4" applyFont="1" applyFill="1" applyAlignment="1">
      <alignment horizontal="center"/>
    </xf>
    <xf numFmtId="164" fontId="80" fillId="0" borderId="0" xfId="4" applyNumberFormat="1" applyFont="1" applyFill="1"/>
    <xf numFmtId="164" fontId="80" fillId="0" borderId="0" xfId="4" applyNumberFormat="1" applyFont="1"/>
    <xf numFmtId="43" fontId="82" fillId="0" borderId="0" xfId="4" applyFont="1"/>
    <xf numFmtId="164" fontId="82" fillId="0" borderId="0" xfId="4" applyNumberFormat="1" applyFont="1"/>
    <xf numFmtId="43" fontId="80" fillId="78" borderId="0" xfId="3" applyNumberFormat="1" applyFont="1" applyFill="1"/>
    <xf numFmtId="43" fontId="80" fillId="39" borderId="0" xfId="332" applyFont="1" applyFill="1"/>
    <xf numFmtId="43" fontId="80" fillId="0" borderId="0" xfId="332" applyFont="1"/>
    <xf numFmtId="43" fontId="105" fillId="0" borderId="0" xfId="4" applyFont="1"/>
    <xf numFmtId="164" fontId="105" fillId="0" borderId="0" xfId="4" applyNumberFormat="1" applyFont="1"/>
    <xf numFmtId="0" fontId="80" fillId="0" borderId="0" xfId="3" applyFont="1" applyAlignment="1">
      <alignment horizontal="left"/>
    </xf>
    <xf numFmtId="43" fontId="80" fillId="39" borderId="0" xfId="3" applyNumberFormat="1" applyFont="1" applyFill="1"/>
    <xf numFmtId="0" fontId="86" fillId="0" borderId="0" xfId="0" applyFont="1"/>
    <xf numFmtId="0" fontId="84" fillId="0" borderId="0" xfId="3" applyFont="1" applyAlignment="1">
      <alignment horizontal="right"/>
    </xf>
    <xf numFmtId="44" fontId="87" fillId="0" borderId="1" xfId="333" applyFont="1" applyFill="1" applyBorder="1"/>
    <xf numFmtId="164" fontId="87" fillId="0" borderId="1" xfId="4" applyNumberFormat="1" applyFont="1" applyFill="1" applyBorder="1"/>
    <xf numFmtId="164" fontId="84" fillId="0" borderId="0" xfId="4" applyNumberFormat="1" applyFont="1" applyFill="1" applyBorder="1"/>
    <xf numFmtId="164" fontId="80" fillId="0" borderId="2" xfId="3" applyNumberFormat="1" applyFont="1" applyBorder="1"/>
    <xf numFmtId="44" fontId="87" fillId="75" borderId="1" xfId="333" applyFont="1" applyFill="1" applyBorder="1"/>
    <xf numFmtId="164" fontId="80" fillId="0" borderId="0" xfId="4" applyNumberFormat="1" applyFont="1" applyAlignment="1">
      <alignment horizontal="right"/>
    </xf>
    <xf numFmtId="10" fontId="82" fillId="0" borderId="0" xfId="2" applyNumberFormat="1" applyFont="1" applyFill="1"/>
    <xf numFmtId="43" fontId="82" fillId="0" borderId="0" xfId="0" applyNumberFormat="1" applyFont="1"/>
    <xf numFmtId="164" fontId="82" fillId="0" borderId="0" xfId="4" applyNumberFormat="1" applyFont="1" applyFill="1"/>
    <xf numFmtId="164" fontId="80" fillId="0" borderId="0" xfId="3" applyNumberFormat="1" applyFont="1"/>
    <xf numFmtId="43" fontId="107" fillId="73" borderId="0" xfId="3" applyNumberFormat="1" applyFont="1" applyFill="1"/>
    <xf numFmtId="43" fontId="107" fillId="0" borderId="0" xfId="3" applyNumberFormat="1" applyFont="1"/>
    <xf numFmtId="0" fontId="80" fillId="73" borderId="0" xfId="3" applyFont="1" applyFill="1"/>
    <xf numFmtId="0" fontId="80" fillId="0" borderId="0" xfId="0" applyFont="1" applyAlignment="1">
      <alignment vertical="top"/>
    </xf>
    <xf numFmtId="164" fontId="79" fillId="0" borderId="0" xfId="4" applyNumberFormat="1" applyFont="1" applyBorder="1"/>
    <xf numFmtId="164" fontId="82" fillId="0" borderId="2" xfId="0" applyNumberFormat="1" applyFont="1" applyBorder="1"/>
    <xf numFmtId="43" fontId="107" fillId="0" borderId="0" xfId="0" applyNumberFormat="1" applyFont="1"/>
    <xf numFmtId="0" fontId="107" fillId="0" borderId="0" xfId="0" applyFont="1"/>
    <xf numFmtId="44" fontId="82" fillId="0" borderId="0" xfId="0" applyNumberFormat="1" applyFont="1"/>
    <xf numFmtId="0" fontId="85" fillId="0" borderId="0" xfId="3" applyFont="1" applyAlignment="1">
      <alignment horizontal="center"/>
    </xf>
    <xf numFmtId="0" fontId="84" fillId="0" borderId="0" xfId="3" applyFont="1"/>
    <xf numFmtId="2" fontId="82" fillId="0" borderId="0" xfId="0" applyNumberFormat="1" applyFont="1"/>
    <xf numFmtId="164" fontId="82" fillId="0" borderId="0" xfId="0" applyNumberFormat="1" applyFont="1"/>
    <xf numFmtId="43" fontId="82" fillId="39" borderId="0" xfId="332" applyFont="1" applyFill="1"/>
    <xf numFmtId="0" fontId="82" fillId="0" borderId="0" xfId="0" applyFont="1" applyAlignment="1">
      <alignment horizontal="left"/>
    </xf>
    <xf numFmtId="43" fontId="105" fillId="0" borderId="0" xfId="4" applyFont="1" applyFill="1" applyAlignment="1">
      <alignment horizontal="center"/>
    </xf>
    <xf numFmtId="164" fontId="105" fillId="0" borderId="0" xfId="0" applyNumberFormat="1" applyFont="1"/>
    <xf numFmtId="43" fontId="105" fillId="39" borderId="0" xfId="332" applyFont="1" applyFill="1"/>
    <xf numFmtId="44" fontId="87" fillId="0" borderId="0" xfId="333" applyFont="1" applyFill="1" applyBorder="1"/>
    <xf numFmtId="44" fontId="80" fillId="0" borderId="0" xfId="3" applyNumberFormat="1" applyFont="1" applyAlignment="1">
      <alignment horizontal="center"/>
    </xf>
    <xf numFmtId="44" fontId="80" fillId="0" borderId="1" xfId="3" applyNumberFormat="1" applyFont="1" applyBorder="1"/>
    <xf numFmtId="44" fontId="82" fillId="0" borderId="1" xfId="0" applyNumberFormat="1" applyFont="1" applyBorder="1"/>
    <xf numFmtId="0" fontId="88" fillId="0" borderId="0" xfId="0" applyFont="1" applyAlignment="1">
      <alignment horizontal="right"/>
    </xf>
    <xf numFmtId="43" fontId="108" fillId="0" borderId="0" xfId="0" applyNumberFormat="1" applyFont="1"/>
    <xf numFmtId="0" fontId="109" fillId="0" borderId="32" xfId="464" applyFont="1" applyBorder="1"/>
    <xf numFmtId="0" fontId="109" fillId="0" borderId="33" xfId="464" applyFont="1" applyBorder="1"/>
    <xf numFmtId="0" fontId="62" fillId="0" borderId="33" xfId="464" applyFont="1" applyBorder="1" applyAlignment="1">
      <alignment horizontal="center" wrapText="1"/>
    </xf>
    <xf numFmtId="0" fontId="62" fillId="0" borderId="33" xfId="464" applyFont="1" applyBorder="1"/>
    <xf numFmtId="0" fontId="109" fillId="0" borderId="34" xfId="464" applyFont="1" applyBorder="1"/>
    <xf numFmtId="0" fontId="89" fillId="0" borderId="0" xfId="0" applyFont="1"/>
    <xf numFmtId="0" fontId="62" fillId="0" borderId="35" xfId="464" applyFont="1" applyBorder="1"/>
    <xf numFmtId="0" fontId="62" fillId="0" borderId="0" xfId="464" applyFont="1"/>
    <xf numFmtId="44" fontId="110" fillId="0" borderId="31" xfId="1263" applyFont="1" applyFill="1" applyBorder="1"/>
    <xf numFmtId="177" fontId="110" fillId="0" borderId="31" xfId="1263" applyNumberFormat="1" applyFont="1" applyFill="1" applyBorder="1"/>
    <xf numFmtId="44" fontId="110" fillId="79" borderId="31" xfId="1263" applyFont="1" applyFill="1" applyBorder="1"/>
    <xf numFmtId="41" fontId="62" fillId="0" borderId="0" xfId="464" applyNumberFormat="1" applyFont="1"/>
    <xf numFmtId="43" fontId="62" fillId="0" borderId="0" xfId="464" applyNumberFormat="1" applyFont="1"/>
    <xf numFmtId="0" fontId="62" fillId="0" borderId="36" xfId="464" applyFont="1" applyBorder="1"/>
    <xf numFmtId="10" fontId="82" fillId="0" borderId="0" xfId="2" applyNumberFormat="1" applyFont="1"/>
    <xf numFmtId="0" fontId="109" fillId="0" borderId="35" xfId="464" applyFont="1" applyBorder="1"/>
    <xf numFmtId="0" fontId="109" fillId="0" borderId="0" xfId="464" applyFont="1"/>
    <xf numFmtId="44" fontId="111" fillId="0" borderId="31" xfId="1263" applyFont="1" applyFill="1" applyBorder="1"/>
    <xf numFmtId="41" fontId="109" fillId="0" borderId="0" xfId="464" applyNumberFormat="1" applyFont="1"/>
    <xf numFmtId="0" fontId="109" fillId="0" borderId="36" xfId="464" applyFont="1" applyBorder="1"/>
    <xf numFmtId="0" fontId="109" fillId="0" borderId="37" xfId="464" applyFont="1" applyBorder="1"/>
    <xf numFmtId="0" fontId="109" fillId="0" borderId="20" xfId="464" applyFont="1" applyBorder="1"/>
    <xf numFmtId="0" fontId="109" fillId="0" borderId="38" xfId="464" applyFont="1" applyBorder="1"/>
    <xf numFmtId="0" fontId="112" fillId="0" borderId="0" xfId="1264" applyFont="1"/>
    <xf numFmtId="43" fontId="3" fillId="0" borderId="0" xfId="4" applyFont="1"/>
    <xf numFmtId="44" fontId="3" fillId="0" borderId="0" xfId="333" applyFont="1"/>
    <xf numFmtId="43" fontId="3" fillId="0" borderId="0" xfId="4"/>
    <xf numFmtId="44" fontId="3" fillId="0" borderId="0" xfId="333"/>
    <xf numFmtId="0" fontId="3" fillId="0" borderId="0" xfId="1264"/>
    <xf numFmtId="43" fontId="3" fillId="0" borderId="0" xfId="4" applyFont="1" applyAlignment="1">
      <alignment horizontal="left"/>
    </xf>
    <xf numFmtId="5" fontId="3" fillId="0" borderId="0" xfId="333" applyNumberFormat="1" applyFont="1"/>
    <xf numFmtId="0" fontId="113" fillId="0" borderId="0" xfId="1264" applyFont="1"/>
    <xf numFmtId="0" fontId="113" fillId="0" borderId="0" xfId="0" applyFont="1"/>
    <xf numFmtId="43" fontId="112" fillId="0" borderId="0" xfId="4" applyFont="1"/>
    <xf numFmtId="44" fontId="112" fillId="0" borderId="0" xfId="333" applyFont="1"/>
    <xf numFmtId="0" fontId="3" fillId="0" borderId="0" xfId="0" applyFont="1"/>
    <xf numFmtId="43" fontId="3" fillId="32" borderId="0" xfId="4" applyFont="1" applyFill="1" applyBorder="1"/>
    <xf numFmtId="43" fontId="3" fillId="32" borderId="6" xfId="4" applyFont="1" applyFill="1" applyBorder="1" applyAlignment="1">
      <alignment horizontal="center"/>
    </xf>
    <xf numFmtId="44" fontId="3" fillId="32" borderId="6" xfId="333" applyFont="1" applyFill="1" applyBorder="1" applyAlignment="1">
      <alignment horizontal="center"/>
    </xf>
    <xf numFmtId="17" fontId="0" fillId="32" borderId="52" xfId="0" applyNumberFormat="1" applyFill="1" applyBorder="1" applyAlignment="1">
      <alignment horizontal="left"/>
    </xf>
    <xf numFmtId="44" fontId="3" fillId="32" borderId="0" xfId="333" applyFont="1" applyFill="1" applyBorder="1"/>
    <xf numFmtId="43" fontId="3" fillId="32" borderId="0" xfId="4" quotePrefix="1" applyFont="1" applyFill="1" applyBorder="1" applyAlignment="1">
      <alignment horizontal="right"/>
    </xf>
    <xf numFmtId="43" fontId="114" fillId="32" borderId="0" xfId="4" applyFont="1" applyFill="1" applyBorder="1"/>
    <xf numFmtId="44" fontId="114" fillId="32" borderId="0" xfId="333" applyFont="1" applyFill="1" applyBorder="1"/>
    <xf numFmtId="44" fontId="3" fillId="32" borderId="0" xfId="333" applyFill="1" applyBorder="1"/>
    <xf numFmtId="43" fontId="3" fillId="32" borderId="0" xfId="4" applyFill="1" applyBorder="1"/>
    <xf numFmtId="43" fontId="3" fillId="32" borderId="53" xfId="4" applyFill="1" applyBorder="1"/>
    <xf numFmtId="0" fontId="59" fillId="32" borderId="52" xfId="0" applyFont="1" applyFill="1" applyBorder="1"/>
    <xf numFmtId="43" fontId="112" fillId="32" borderId="0" xfId="4" applyFont="1" applyFill="1" applyBorder="1"/>
    <xf numFmtId="44" fontId="3" fillId="32" borderId="53" xfId="333" applyFill="1" applyBorder="1"/>
    <xf numFmtId="0" fontId="0" fillId="32" borderId="52" xfId="0" applyFill="1" applyBorder="1"/>
    <xf numFmtId="43" fontId="112" fillId="32" borderId="0" xfId="4" applyFont="1" applyFill="1" applyBorder="1" applyAlignment="1">
      <alignment horizontal="center"/>
    </xf>
    <xf numFmtId="0" fontId="112" fillId="32" borderId="54" xfId="0" applyFont="1" applyFill="1" applyBorder="1" applyAlignment="1">
      <alignment horizontal="center"/>
    </xf>
    <xf numFmtId="43" fontId="0" fillId="32" borderId="0" xfId="4" applyFont="1" applyFill="1" applyBorder="1" applyAlignment="1">
      <alignment horizontal="center"/>
    </xf>
    <xf numFmtId="0" fontId="0" fillId="32" borderId="53" xfId="0" applyFill="1" applyBorder="1"/>
    <xf numFmtId="44" fontId="3" fillId="32" borderId="0" xfId="333" applyFont="1" applyFill="1" applyBorder="1" applyAlignment="1">
      <alignment horizontal="center"/>
    </xf>
    <xf numFmtId="43" fontId="3" fillId="32" borderId="6" xfId="4" applyFont="1" applyFill="1" applyBorder="1" applyAlignment="1">
      <alignment horizontal="right"/>
    </xf>
    <xf numFmtId="44" fontId="3" fillId="32" borderId="55" xfId="333" applyFont="1" applyFill="1" applyBorder="1" applyAlignment="1">
      <alignment horizontal="center"/>
    </xf>
    <xf numFmtId="43" fontId="3" fillId="32" borderId="0" xfId="4" applyFont="1" applyFill="1" applyBorder="1" applyAlignment="1">
      <alignment horizontal="right"/>
    </xf>
    <xf numFmtId="44" fontId="3" fillId="32" borderId="53" xfId="333" quotePrefix="1" applyFont="1" applyFill="1" applyBorder="1" applyAlignment="1">
      <alignment horizontal="right"/>
    </xf>
    <xf numFmtId="0" fontId="3" fillId="0" borderId="0" xfId="333" applyNumberFormat="1"/>
    <xf numFmtId="17" fontId="3" fillId="32" borderId="52" xfId="1264" applyNumberFormat="1" applyFill="1" applyBorder="1" applyAlignment="1">
      <alignment horizontal="left"/>
    </xf>
    <xf numFmtId="44" fontId="3" fillId="32" borderId="0" xfId="1" applyFont="1" applyFill="1" applyBorder="1" applyAlignment="1">
      <alignment horizontal="right"/>
    </xf>
    <xf numFmtId="43" fontId="114" fillId="32" borderId="0" xfId="4" applyFont="1" applyFill="1" applyBorder="1" applyAlignment="1">
      <alignment horizontal="right"/>
    </xf>
    <xf numFmtId="43" fontId="114" fillId="32" borderId="0" xfId="4" quotePrefix="1" applyFont="1" applyFill="1" applyBorder="1" applyAlignment="1">
      <alignment horizontal="right"/>
    </xf>
    <xf numFmtId="43" fontId="3" fillId="32" borderId="31" xfId="4" applyFill="1" applyBorder="1"/>
    <xf numFmtId="44" fontId="3" fillId="32" borderId="31" xfId="333" applyFill="1" applyBorder="1"/>
    <xf numFmtId="44" fontId="3" fillId="32" borderId="56" xfId="333" applyFill="1" applyBorder="1"/>
    <xf numFmtId="43" fontId="3" fillId="32" borderId="58" xfId="4" applyFill="1" applyBorder="1"/>
    <xf numFmtId="44" fontId="3" fillId="32" borderId="58" xfId="333" applyFill="1" applyBorder="1"/>
    <xf numFmtId="43" fontId="3" fillId="32" borderId="58" xfId="4" applyFont="1" applyFill="1" applyBorder="1"/>
    <xf numFmtId="43" fontId="3" fillId="32" borderId="59" xfId="4" applyFill="1" applyBorder="1"/>
    <xf numFmtId="0" fontId="113" fillId="32" borderId="49" xfId="1264" applyFont="1" applyFill="1" applyBorder="1"/>
    <xf numFmtId="43" fontId="3" fillId="32" borderId="50" xfId="4" applyFont="1" applyFill="1" applyBorder="1"/>
    <xf numFmtId="3" fontId="3" fillId="32" borderId="50" xfId="333" applyNumberFormat="1" applyFont="1" applyFill="1" applyBorder="1"/>
    <xf numFmtId="3" fontId="3" fillId="32" borderId="50" xfId="4" applyNumberFormat="1" applyFont="1" applyFill="1" applyBorder="1"/>
    <xf numFmtId="3" fontId="3" fillId="32" borderId="50" xfId="4" applyNumberFormat="1" applyFill="1" applyBorder="1"/>
    <xf numFmtId="44" fontId="3" fillId="32" borderId="50" xfId="333" applyFill="1" applyBorder="1"/>
    <xf numFmtId="43" fontId="3" fillId="32" borderId="50" xfId="4" applyFill="1" applyBorder="1"/>
    <xf numFmtId="43" fontId="3" fillId="32" borderId="51" xfId="4" applyFill="1" applyBorder="1"/>
    <xf numFmtId="0" fontId="0" fillId="32" borderId="0" xfId="0" applyFill="1"/>
    <xf numFmtId="0" fontId="0" fillId="32" borderId="57" xfId="0" applyFill="1" applyBorder="1"/>
    <xf numFmtId="164" fontId="0" fillId="80" borderId="6" xfId="332" applyNumberFormat="1" applyFont="1" applyFill="1" applyBorder="1"/>
    <xf numFmtId="0" fontId="0" fillId="32" borderId="32" xfId="0" applyFill="1" applyBorder="1"/>
    <xf numFmtId="0" fontId="0" fillId="32" borderId="33" xfId="0" applyFill="1" applyBorder="1"/>
    <xf numFmtId="0" fontId="0" fillId="32" borderId="34" xfId="0" applyFill="1" applyBorder="1"/>
    <xf numFmtId="0" fontId="45" fillId="32" borderId="35" xfId="0" applyFont="1" applyFill="1" applyBorder="1"/>
    <xf numFmtId="0" fontId="0" fillId="32" borderId="36" xfId="0" applyFill="1" applyBorder="1"/>
    <xf numFmtId="0" fontId="0" fillId="32" borderId="35" xfId="0" applyFill="1" applyBorder="1"/>
    <xf numFmtId="0" fontId="59" fillId="32" borderId="35" xfId="0" applyFont="1" applyFill="1" applyBorder="1"/>
    <xf numFmtId="43" fontId="0" fillId="32" borderId="0" xfId="0" applyNumberFormat="1" applyFill="1"/>
    <xf numFmtId="10" fontId="0" fillId="32" borderId="0" xfId="2" applyNumberFormat="1" applyFont="1" applyFill="1" applyBorder="1"/>
    <xf numFmtId="43" fontId="0" fillId="32" borderId="6" xfId="0" applyNumberFormat="1" applyFill="1" applyBorder="1"/>
    <xf numFmtId="0" fontId="60" fillId="32" borderId="35" xfId="0" applyFont="1" applyFill="1" applyBorder="1"/>
    <xf numFmtId="0" fontId="0" fillId="32" borderId="37" xfId="0" applyFill="1" applyBorder="1"/>
    <xf numFmtId="0" fontId="0" fillId="32" borderId="20" xfId="0" applyFill="1" applyBorder="1"/>
    <xf numFmtId="0" fontId="0" fillId="32" borderId="38" xfId="0" applyFill="1" applyBorder="1"/>
    <xf numFmtId="43" fontId="82" fillId="80" borderId="0" xfId="4" applyFont="1" applyFill="1"/>
    <xf numFmtId="43" fontId="105" fillId="80" borderId="0" xfId="4" applyFont="1" applyFill="1"/>
    <xf numFmtId="164" fontId="82" fillId="80" borderId="0" xfId="4" applyNumberFormat="1" applyFont="1" applyFill="1"/>
    <xf numFmtId="43" fontId="80" fillId="80" borderId="0" xfId="3" applyNumberFormat="1" applyFont="1" applyFill="1"/>
    <xf numFmtId="0" fontId="82" fillId="80" borderId="0" xfId="0" applyFont="1" applyFill="1"/>
    <xf numFmtId="164" fontId="82" fillId="80" borderId="0" xfId="0" applyNumberFormat="1" applyFont="1" applyFill="1"/>
    <xf numFmtId="44" fontId="0" fillId="80" borderId="0" xfId="1" applyFont="1" applyFill="1" applyBorder="1"/>
    <xf numFmtId="44" fontId="0" fillId="80" borderId="6" xfId="1" applyFont="1" applyFill="1" applyBorder="1"/>
    <xf numFmtId="44" fontId="0" fillId="80" borderId="0" xfId="1" applyFont="1" applyFill="1"/>
    <xf numFmtId="10" fontId="0" fillId="0" borderId="0" xfId="2" applyNumberFormat="1" applyFont="1" applyFill="1"/>
    <xf numFmtId="0" fontId="60" fillId="0" borderId="0" xfId="0" applyFont="1"/>
    <xf numFmtId="0" fontId="0" fillId="32" borderId="0" xfId="0" applyFill="1" applyAlignment="1">
      <alignment horizontal="center"/>
    </xf>
    <xf numFmtId="0" fontId="0" fillId="0" borderId="0" xfId="0" applyAlignment="1">
      <alignment horizontal="left"/>
    </xf>
    <xf numFmtId="0" fontId="45" fillId="32" borderId="6" xfId="0" applyFont="1" applyFill="1" applyBorder="1" applyAlignment="1">
      <alignment horizontal="center"/>
    </xf>
    <xf numFmtId="173" fontId="45" fillId="0" borderId="0" xfId="0" applyNumberFormat="1" applyFont="1" applyAlignment="1">
      <alignment horizontal="center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43" fontId="112" fillId="32" borderId="29" xfId="4" applyFont="1" applyFill="1" applyBorder="1" applyAlignment="1">
      <alignment horizontal="center"/>
    </xf>
    <xf numFmtId="43" fontId="112" fillId="32" borderId="1" xfId="4" applyFont="1" applyFill="1" applyBorder="1" applyAlignment="1">
      <alignment horizontal="center"/>
    </xf>
    <xf numFmtId="43" fontId="112" fillId="32" borderId="30" xfId="4" applyFont="1" applyFill="1" applyBorder="1" applyAlignment="1">
      <alignment horizontal="center"/>
    </xf>
    <xf numFmtId="43" fontId="3" fillId="32" borderId="0" xfId="4" applyFont="1" applyFill="1" applyBorder="1" applyAlignment="1">
      <alignment horizontal="center"/>
    </xf>
  </cellXfs>
  <cellStyles count="1265">
    <cellStyle name="20% - Accent1 2" xfId="6" xr:uid="{00000000-0005-0000-0000-000000000000}"/>
    <cellStyle name="20% - Accent1 2 2" xfId="334" xr:uid="{00000000-0005-0000-0000-000001000000}"/>
    <cellStyle name="20% - Accent1 2 3" xfId="335" xr:uid="{00000000-0005-0000-0000-000002000000}"/>
    <cellStyle name="20% - Accent1 2 4" xfId="564" xr:uid="{00000000-0005-0000-0000-000003000000}"/>
    <cellStyle name="20% - Accent1 3" xfId="7" xr:uid="{00000000-0005-0000-0000-000004000000}"/>
    <cellStyle name="20% - Accent1 3 2" xfId="336" xr:uid="{00000000-0005-0000-0000-000005000000}"/>
    <cellStyle name="20% - Accent1 3 3" xfId="337" xr:uid="{00000000-0005-0000-0000-000006000000}"/>
    <cellStyle name="20% - Accent1 4" xfId="8" xr:uid="{00000000-0005-0000-0000-000007000000}"/>
    <cellStyle name="20% - Accent1 4 2" xfId="565" xr:uid="{00000000-0005-0000-0000-000008000000}"/>
    <cellStyle name="20% - Accent1 5" xfId="566" xr:uid="{00000000-0005-0000-0000-000009000000}"/>
    <cellStyle name="20% - Accent2 2" xfId="9" xr:uid="{00000000-0005-0000-0000-00000A000000}"/>
    <cellStyle name="20% - Accent2 3" xfId="297" xr:uid="{00000000-0005-0000-0000-00000B000000}"/>
    <cellStyle name="20% - Accent2 3 2" xfId="338" xr:uid="{00000000-0005-0000-0000-00000C000000}"/>
    <cellStyle name="20% - Accent2 4" xfId="567" xr:uid="{00000000-0005-0000-0000-00000D000000}"/>
    <cellStyle name="20% - Accent2 5" xfId="568" xr:uid="{00000000-0005-0000-0000-00000E000000}"/>
    <cellStyle name="20% - Accent3 2" xfId="10" xr:uid="{00000000-0005-0000-0000-00000F000000}"/>
    <cellStyle name="20% - Accent3 3" xfId="298" xr:uid="{00000000-0005-0000-0000-000010000000}"/>
    <cellStyle name="20% - Accent3 3 2" xfId="339" xr:uid="{00000000-0005-0000-0000-000011000000}"/>
    <cellStyle name="20% - Accent3 4" xfId="569" xr:uid="{00000000-0005-0000-0000-000012000000}"/>
    <cellStyle name="20% - Accent3 5" xfId="570" xr:uid="{00000000-0005-0000-0000-000013000000}"/>
    <cellStyle name="20% - Accent4 2" xfId="11" xr:uid="{00000000-0005-0000-0000-000014000000}"/>
    <cellStyle name="20% - Accent4 2 2" xfId="340" xr:uid="{00000000-0005-0000-0000-000015000000}"/>
    <cellStyle name="20% - Accent4 2 3" xfId="341" xr:uid="{00000000-0005-0000-0000-000016000000}"/>
    <cellStyle name="20% - Accent4 3" xfId="12" xr:uid="{00000000-0005-0000-0000-000017000000}"/>
    <cellStyle name="20% - Accent4 3 2" xfId="342" xr:uid="{00000000-0005-0000-0000-000018000000}"/>
    <cellStyle name="20% - Accent4 3 3" xfId="343" xr:uid="{00000000-0005-0000-0000-000019000000}"/>
    <cellStyle name="20% - Accent4 4" xfId="13" xr:uid="{00000000-0005-0000-0000-00001A000000}"/>
    <cellStyle name="20% - Accent4 4 2" xfId="571" xr:uid="{00000000-0005-0000-0000-00001B000000}"/>
    <cellStyle name="20% - Accent4 5" xfId="572" xr:uid="{00000000-0005-0000-0000-00001C000000}"/>
    <cellStyle name="20% - Accent5 2" xfId="14" xr:uid="{00000000-0005-0000-0000-00001D000000}"/>
    <cellStyle name="20% - Accent5 3" xfId="299" xr:uid="{00000000-0005-0000-0000-00001E000000}"/>
    <cellStyle name="20% - Accent5 4" xfId="573" xr:uid="{00000000-0005-0000-0000-00001F000000}"/>
    <cellStyle name="20% - Accent5 5" xfId="574" xr:uid="{00000000-0005-0000-0000-000020000000}"/>
    <cellStyle name="20% - Accent6 2" xfId="15" xr:uid="{00000000-0005-0000-0000-000021000000}"/>
    <cellStyle name="20% - Accent6 3" xfId="300" xr:uid="{00000000-0005-0000-0000-000022000000}"/>
    <cellStyle name="20% - Accent6 3 2" xfId="344" xr:uid="{00000000-0005-0000-0000-000023000000}"/>
    <cellStyle name="20% - Accent6 4" xfId="575" xr:uid="{00000000-0005-0000-0000-000024000000}"/>
    <cellStyle name="20% - Accent6 5" xfId="576" xr:uid="{00000000-0005-0000-0000-000025000000}"/>
    <cellStyle name="40% - Accent1 2" xfId="16" xr:uid="{00000000-0005-0000-0000-000026000000}"/>
    <cellStyle name="40% - Accent1 2 2" xfId="577" xr:uid="{00000000-0005-0000-0000-000027000000}"/>
    <cellStyle name="40% - Accent1 2 3" xfId="578" xr:uid="{00000000-0005-0000-0000-000028000000}"/>
    <cellStyle name="40% - Accent1 3" xfId="17" xr:uid="{00000000-0005-0000-0000-000029000000}"/>
    <cellStyle name="40% - Accent1 3 2" xfId="345" xr:uid="{00000000-0005-0000-0000-00002A000000}"/>
    <cellStyle name="40% - Accent1 3 3" xfId="346" xr:uid="{00000000-0005-0000-0000-00002B000000}"/>
    <cellStyle name="40% - Accent1 4" xfId="18" xr:uid="{00000000-0005-0000-0000-00002C000000}"/>
    <cellStyle name="40% - Accent1 4 2" xfId="579" xr:uid="{00000000-0005-0000-0000-00002D000000}"/>
    <cellStyle name="40% - Accent1 5" xfId="580" xr:uid="{00000000-0005-0000-0000-00002E000000}"/>
    <cellStyle name="40% - Accent2 2" xfId="19" xr:uid="{00000000-0005-0000-0000-00002F000000}"/>
    <cellStyle name="40% - Accent2 3" xfId="301" xr:uid="{00000000-0005-0000-0000-000030000000}"/>
    <cellStyle name="40% - Accent2 4" xfId="581" xr:uid="{00000000-0005-0000-0000-000031000000}"/>
    <cellStyle name="40% - Accent2 5" xfId="582" xr:uid="{00000000-0005-0000-0000-000032000000}"/>
    <cellStyle name="40% - Accent3 2" xfId="20" xr:uid="{00000000-0005-0000-0000-000033000000}"/>
    <cellStyle name="40% - Accent3 3" xfId="302" xr:uid="{00000000-0005-0000-0000-000034000000}"/>
    <cellStyle name="40% - Accent3 3 2" xfId="347" xr:uid="{00000000-0005-0000-0000-000035000000}"/>
    <cellStyle name="40% - Accent3 4" xfId="583" xr:uid="{00000000-0005-0000-0000-000036000000}"/>
    <cellStyle name="40% - Accent3 5" xfId="584" xr:uid="{00000000-0005-0000-0000-000037000000}"/>
    <cellStyle name="40% - Accent4 2" xfId="21" xr:uid="{00000000-0005-0000-0000-000038000000}"/>
    <cellStyle name="40% - Accent4 2 2" xfId="585" xr:uid="{00000000-0005-0000-0000-000039000000}"/>
    <cellStyle name="40% - Accent4 2 3" xfId="586" xr:uid="{00000000-0005-0000-0000-00003A000000}"/>
    <cellStyle name="40% - Accent4 3" xfId="22" xr:uid="{00000000-0005-0000-0000-00003B000000}"/>
    <cellStyle name="40% - Accent4 3 2" xfId="348" xr:uid="{00000000-0005-0000-0000-00003C000000}"/>
    <cellStyle name="40% - Accent4 3 3" xfId="349" xr:uid="{00000000-0005-0000-0000-00003D000000}"/>
    <cellStyle name="40% - Accent4 4" xfId="23" xr:uid="{00000000-0005-0000-0000-00003E000000}"/>
    <cellStyle name="40% - Accent4 4 2" xfId="587" xr:uid="{00000000-0005-0000-0000-00003F000000}"/>
    <cellStyle name="40% - Accent4 5" xfId="588" xr:uid="{00000000-0005-0000-0000-000040000000}"/>
    <cellStyle name="40% - Accent5 2" xfId="24" xr:uid="{00000000-0005-0000-0000-000041000000}"/>
    <cellStyle name="40% - Accent5 2 2" xfId="589" xr:uid="{00000000-0005-0000-0000-000042000000}"/>
    <cellStyle name="40% - Accent5 2 3" xfId="590" xr:uid="{00000000-0005-0000-0000-000043000000}"/>
    <cellStyle name="40% - Accent5 3" xfId="25" xr:uid="{00000000-0005-0000-0000-000044000000}"/>
    <cellStyle name="40% - Accent5 3 2" xfId="350" xr:uid="{00000000-0005-0000-0000-000045000000}"/>
    <cellStyle name="40% - Accent5 4" xfId="591" xr:uid="{00000000-0005-0000-0000-000046000000}"/>
    <cellStyle name="40% - Accent5 5" xfId="592" xr:uid="{00000000-0005-0000-0000-000047000000}"/>
    <cellStyle name="40% - Accent6 2" xfId="26" xr:uid="{00000000-0005-0000-0000-000048000000}"/>
    <cellStyle name="40% - Accent6 2 2" xfId="593" xr:uid="{00000000-0005-0000-0000-000049000000}"/>
    <cellStyle name="40% - Accent6 2 3" xfId="594" xr:uid="{00000000-0005-0000-0000-00004A000000}"/>
    <cellStyle name="40% - Accent6 3" xfId="27" xr:uid="{00000000-0005-0000-0000-00004B000000}"/>
    <cellStyle name="40% - Accent6 3 2" xfId="351" xr:uid="{00000000-0005-0000-0000-00004C000000}"/>
    <cellStyle name="40% - Accent6 3 3" xfId="352" xr:uid="{00000000-0005-0000-0000-00004D000000}"/>
    <cellStyle name="40% - Accent6 4" xfId="28" xr:uid="{00000000-0005-0000-0000-00004E000000}"/>
    <cellStyle name="40% - Accent6 4 2" xfId="595" xr:uid="{00000000-0005-0000-0000-00004F000000}"/>
    <cellStyle name="40% - Accent6 5" xfId="596" xr:uid="{00000000-0005-0000-0000-000050000000}"/>
    <cellStyle name="60% - Accent1 2" xfId="29" xr:uid="{00000000-0005-0000-0000-000051000000}"/>
    <cellStyle name="60% - Accent1 2 2" xfId="353" xr:uid="{00000000-0005-0000-0000-000052000000}"/>
    <cellStyle name="60% - Accent1 2 3" xfId="354" xr:uid="{00000000-0005-0000-0000-000053000000}"/>
    <cellStyle name="60% - Accent1 2 4" xfId="597" xr:uid="{00000000-0005-0000-0000-000054000000}"/>
    <cellStyle name="60% - Accent1 3" xfId="30" xr:uid="{00000000-0005-0000-0000-000055000000}"/>
    <cellStyle name="60% - Accent1 3 2" xfId="355" xr:uid="{00000000-0005-0000-0000-000056000000}"/>
    <cellStyle name="60% - Accent1 3 3" xfId="356" xr:uid="{00000000-0005-0000-0000-000057000000}"/>
    <cellStyle name="60% - Accent1 4" xfId="31" xr:uid="{00000000-0005-0000-0000-000058000000}"/>
    <cellStyle name="60% - Accent1 4 2" xfId="598" xr:uid="{00000000-0005-0000-0000-000059000000}"/>
    <cellStyle name="60% - Accent2 2" xfId="32" xr:uid="{00000000-0005-0000-0000-00005A000000}"/>
    <cellStyle name="60% - Accent2 2 2" xfId="599" xr:uid="{00000000-0005-0000-0000-00005B000000}"/>
    <cellStyle name="60% - Accent2 2 3" xfId="600" xr:uid="{00000000-0005-0000-0000-00005C000000}"/>
    <cellStyle name="60% - Accent2 3" xfId="33" xr:uid="{00000000-0005-0000-0000-00005D000000}"/>
    <cellStyle name="60% - Accent2 3 2" xfId="357" xr:uid="{00000000-0005-0000-0000-00005E000000}"/>
    <cellStyle name="60% - Accent2 4" xfId="601" xr:uid="{00000000-0005-0000-0000-00005F000000}"/>
    <cellStyle name="60% - Accent3 2" xfId="34" xr:uid="{00000000-0005-0000-0000-000060000000}"/>
    <cellStyle name="60% - Accent3 2 2" xfId="602" xr:uid="{00000000-0005-0000-0000-000061000000}"/>
    <cellStyle name="60% - Accent3 2 3" xfId="603" xr:uid="{00000000-0005-0000-0000-000062000000}"/>
    <cellStyle name="60% - Accent3 3" xfId="35" xr:uid="{00000000-0005-0000-0000-000063000000}"/>
    <cellStyle name="60% - Accent3 3 2" xfId="358" xr:uid="{00000000-0005-0000-0000-000064000000}"/>
    <cellStyle name="60% - Accent3 3 3" xfId="359" xr:uid="{00000000-0005-0000-0000-000065000000}"/>
    <cellStyle name="60% - Accent3 4" xfId="36" xr:uid="{00000000-0005-0000-0000-000066000000}"/>
    <cellStyle name="60% - Accent3 4 2" xfId="604" xr:uid="{00000000-0005-0000-0000-000067000000}"/>
    <cellStyle name="60% - Accent4 2" xfId="37" xr:uid="{00000000-0005-0000-0000-000068000000}"/>
    <cellStyle name="60% - Accent4 2 2" xfId="605" xr:uid="{00000000-0005-0000-0000-000069000000}"/>
    <cellStyle name="60% - Accent4 2 3" xfId="606" xr:uid="{00000000-0005-0000-0000-00006A000000}"/>
    <cellStyle name="60% - Accent4 3" xfId="38" xr:uid="{00000000-0005-0000-0000-00006B000000}"/>
    <cellStyle name="60% - Accent4 3 2" xfId="360" xr:uid="{00000000-0005-0000-0000-00006C000000}"/>
    <cellStyle name="60% - Accent4 3 3" xfId="361" xr:uid="{00000000-0005-0000-0000-00006D000000}"/>
    <cellStyle name="60% - Accent4 4" xfId="39" xr:uid="{00000000-0005-0000-0000-00006E000000}"/>
    <cellStyle name="60% - Accent4 4 2" xfId="607" xr:uid="{00000000-0005-0000-0000-00006F000000}"/>
    <cellStyle name="60% - Accent5 2" xfId="40" xr:uid="{00000000-0005-0000-0000-000070000000}"/>
    <cellStyle name="60% - Accent5 2 2" xfId="362" xr:uid="{00000000-0005-0000-0000-000071000000}"/>
    <cellStyle name="60% - Accent5 2 3" xfId="363" xr:uid="{00000000-0005-0000-0000-000072000000}"/>
    <cellStyle name="60% - Accent5 2 4" xfId="608" xr:uid="{00000000-0005-0000-0000-000073000000}"/>
    <cellStyle name="60% - Accent5 3" xfId="41" xr:uid="{00000000-0005-0000-0000-000074000000}"/>
    <cellStyle name="60% - Accent5 3 2" xfId="364" xr:uid="{00000000-0005-0000-0000-000075000000}"/>
    <cellStyle name="60% - Accent5 4" xfId="609" xr:uid="{00000000-0005-0000-0000-000076000000}"/>
    <cellStyle name="60% - Accent6 2" xfId="42" xr:uid="{00000000-0005-0000-0000-000077000000}"/>
    <cellStyle name="60% - Accent6 3" xfId="303" xr:uid="{00000000-0005-0000-0000-000078000000}"/>
    <cellStyle name="60% - Accent6 3 2" xfId="365" xr:uid="{00000000-0005-0000-0000-000079000000}"/>
    <cellStyle name="60% - Accent6 4" xfId="610" xr:uid="{00000000-0005-0000-0000-00007A000000}"/>
    <cellStyle name="Accent1 2" xfId="43" xr:uid="{00000000-0005-0000-0000-00007B000000}"/>
    <cellStyle name="Accent1 2 2" xfId="366" xr:uid="{00000000-0005-0000-0000-00007C000000}"/>
    <cellStyle name="Accent1 2 3" xfId="367" xr:uid="{00000000-0005-0000-0000-00007D000000}"/>
    <cellStyle name="Accent1 2 4" xfId="611" xr:uid="{00000000-0005-0000-0000-00007E000000}"/>
    <cellStyle name="Accent1 3" xfId="44" xr:uid="{00000000-0005-0000-0000-00007F000000}"/>
    <cellStyle name="Accent1 3 2" xfId="368" xr:uid="{00000000-0005-0000-0000-000080000000}"/>
    <cellStyle name="Accent1 3 3" xfId="369" xr:uid="{00000000-0005-0000-0000-000081000000}"/>
    <cellStyle name="Accent1 4" xfId="45" xr:uid="{00000000-0005-0000-0000-000082000000}"/>
    <cellStyle name="Accent1 4 2" xfId="612" xr:uid="{00000000-0005-0000-0000-000083000000}"/>
    <cellStyle name="Accent2 2" xfId="46" xr:uid="{00000000-0005-0000-0000-000084000000}"/>
    <cellStyle name="Accent2 2 2" xfId="613" xr:uid="{00000000-0005-0000-0000-000085000000}"/>
    <cellStyle name="Accent2 2 3" xfId="614" xr:uid="{00000000-0005-0000-0000-000086000000}"/>
    <cellStyle name="Accent2 3" xfId="47" xr:uid="{00000000-0005-0000-0000-000087000000}"/>
    <cellStyle name="Accent2 3 2" xfId="370" xr:uid="{00000000-0005-0000-0000-000088000000}"/>
    <cellStyle name="Accent2 4" xfId="615" xr:uid="{00000000-0005-0000-0000-000089000000}"/>
    <cellStyle name="Accent3 2" xfId="48" xr:uid="{00000000-0005-0000-0000-00008A000000}"/>
    <cellStyle name="Accent3 2 2" xfId="371" xr:uid="{00000000-0005-0000-0000-00008B000000}"/>
    <cellStyle name="Accent3 2 3" xfId="372" xr:uid="{00000000-0005-0000-0000-00008C000000}"/>
    <cellStyle name="Accent3 2 4" xfId="616" xr:uid="{00000000-0005-0000-0000-00008D000000}"/>
    <cellStyle name="Accent3 3" xfId="49" xr:uid="{00000000-0005-0000-0000-00008E000000}"/>
    <cellStyle name="Accent3 3 2" xfId="373" xr:uid="{00000000-0005-0000-0000-00008F000000}"/>
    <cellStyle name="Accent3 4" xfId="617" xr:uid="{00000000-0005-0000-0000-000090000000}"/>
    <cellStyle name="Accent4 2" xfId="50" xr:uid="{00000000-0005-0000-0000-000091000000}"/>
    <cellStyle name="Accent4 2 2" xfId="618" xr:uid="{00000000-0005-0000-0000-000092000000}"/>
    <cellStyle name="Accent4 2 2 2" xfId="619" xr:uid="{00000000-0005-0000-0000-000093000000}"/>
    <cellStyle name="Accent4 2 3" xfId="620" xr:uid="{00000000-0005-0000-0000-000094000000}"/>
    <cellStyle name="Accent4 3" xfId="51" xr:uid="{00000000-0005-0000-0000-000095000000}"/>
    <cellStyle name="Accent4 3 2" xfId="374" xr:uid="{00000000-0005-0000-0000-000096000000}"/>
    <cellStyle name="Accent4 4" xfId="621" xr:uid="{00000000-0005-0000-0000-000097000000}"/>
    <cellStyle name="Accent5 2" xfId="52" xr:uid="{00000000-0005-0000-0000-000098000000}"/>
    <cellStyle name="Accent5 2 2" xfId="622" xr:uid="{00000000-0005-0000-0000-000099000000}"/>
    <cellStyle name="Accent5 2 3" xfId="623" xr:uid="{00000000-0005-0000-0000-00009A000000}"/>
    <cellStyle name="Accent5 3" xfId="53" xr:uid="{00000000-0005-0000-0000-00009B000000}"/>
    <cellStyle name="Accent5 4" xfId="624" xr:uid="{00000000-0005-0000-0000-00009C000000}"/>
    <cellStyle name="Accent6 2" xfId="54" xr:uid="{00000000-0005-0000-0000-00009D000000}"/>
    <cellStyle name="Accent6 2 2" xfId="375" xr:uid="{00000000-0005-0000-0000-00009E000000}"/>
    <cellStyle name="Accent6 2 3" xfId="376" xr:uid="{00000000-0005-0000-0000-00009F000000}"/>
    <cellStyle name="Accent6 2 4" xfId="625" xr:uid="{00000000-0005-0000-0000-0000A0000000}"/>
    <cellStyle name="Accent6 3" xfId="55" xr:uid="{00000000-0005-0000-0000-0000A1000000}"/>
    <cellStyle name="Accent6 3 2" xfId="377" xr:uid="{00000000-0005-0000-0000-0000A2000000}"/>
    <cellStyle name="Accent6 4" xfId="626" xr:uid="{00000000-0005-0000-0000-0000A3000000}"/>
    <cellStyle name="Accounting" xfId="56" xr:uid="{00000000-0005-0000-0000-0000A4000000}"/>
    <cellStyle name="Accounting 2" xfId="57" xr:uid="{00000000-0005-0000-0000-0000A5000000}"/>
    <cellStyle name="Accounting 3" xfId="58" xr:uid="{00000000-0005-0000-0000-0000A6000000}"/>
    <cellStyle name="Accounting_2011-11" xfId="59" xr:uid="{00000000-0005-0000-0000-0000A7000000}"/>
    <cellStyle name="APS" xfId="627" xr:uid="{00000000-0005-0000-0000-0000A8000000}"/>
    <cellStyle name="APSLabels" xfId="628" xr:uid="{00000000-0005-0000-0000-0000A9000000}"/>
    <cellStyle name="Bad 2" xfId="60" xr:uid="{00000000-0005-0000-0000-0000AA000000}"/>
    <cellStyle name="Bad 2 2" xfId="629" xr:uid="{00000000-0005-0000-0000-0000AB000000}"/>
    <cellStyle name="Bad 2 3" xfId="630" xr:uid="{00000000-0005-0000-0000-0000AC000000}"/>
    <cellStyle name="Bad 3" xfId="61" xr:uid="{00000000-0005-0000-0000-0000AD000000}"/>
    <cellStyle name="Bad 3 2" xfId="378" xr:uid="{00000000-0005-0000-0000-0000AE000000}"/>
    <cellStyle name="Bad 4" xfId="631" xr:uid="{00000000-0005-0000-0000-0000AF000000}"/>
    <cellStyle name="Budget" xfId="62" xr:uid="{00000000-0005-0000-0000-0000B0000000}"/>
    <cellStyle name="Budget 2" xfId="63" xr:uid="{00000000-0005-0000-0000-0000B1000000}"/>
    <cellStyle name="Budget 3" xfId="64" xr:uid="{00000000-0005-0000-0000-0000B2000000}"/>
    <cellStyle name="Budget_2011-11" xfId="65" xr:uid="{00000000-0005-0000-0000-0000B3000000}"/>
    <cellStyle name="Calculation 2" xfId="66" xr:uid="{00000000-0005-0000-0000-0000B4000000}"/>
    <cellStyle name="Calculation 2 2" xfId="379" xr:uid="{00000000-0005-0000-0000-0000B5000000}"/>
    <cellStyle name="Calculation 2 3" xfId="380" xr:uid="{00000000-0005-0000-0000-0000B6000000}"/>
    <cellStyle name="Calculation 2 4" xfId="632" xr:uid="{00000000-0005-0000-0000-0000B7000000}"/>
    <cellStyle name="Calculation 3" xfId="67" xr:uid="{00000000-0005-0000-0000-0000B8000000}"/>
    <cellStyle name="Calculation 3 2" xfId="381" xr:uid="{00000000-0005-0000-0000-0000B9000000}"/>
    <cellStyle name="Calculation 3 3" xfId="382" xr:uid="{00000000-0005-0000-0000-0000BA000000}"/>
    <cellStyle name="Calculation 4" xfId="68" xr:uid="{00000000-0005-0000-0000-0000BB000000}"/>
    <cellStyle name="Calculation 4 2" xfId="633" xr:uid="{00000000-0005-0000-0000-0000BC000000}"/>
    <cellStyle name="Check Cell 2" xfId="69" xr:uid="{00000000-0005-0000-0000-0000BD000000}"/>
    <cellStyle name="Check Cell 2 2" xfId="634" xr:uid="{00000000-0005-0000-0000-0000BE000000}"/>
    <cellStyle name="Check Cell 2 3" xfId="635" xr:uid="{00000000-0005-0000-0000-0000BF000000}"/>
    <cellStyle name="Check Cell 3" xfId="70" xr:uid="{00000000-0005-0000-0000-0000C0000000}"/>
    <cellStyle name="Check Cell 4" xfId="636" xr:uid="{00000000-0005-0000-0000-0000C1000000}"/>
    <cellStyle name="Color" xfId="637" xr:uid="{00000000-0005-0000-0000-0000C2000000}"/>
    <cellStyle name="combo" xfId="71" xr:uid="{00000000-0005-0000-0000-0000C3000000}"/>
    <cellStyle name="Comma" xfId="332" builtinId="3"/>
    <cellStyle name="Comma 10" xfId="4" xr:uid="{00000000-0005-0000-0000-0000C5000000}"/>
    <cellStyle name="Comma 10 2" xfId="638" xr:uid="{00000000-0005-0000-0000-0000C6000000}"/>
    <cellStyle name="Comma 11" xfId="72" xr:uid="{00000000-0005-0000-0000-0000C7000000}"/>
    <cellStyle name="Comma 11 2" xfId="639" xr:uid="{00000000-0005-0000-0000-0000C8000000}"/>
    <cellStyle name="Comma 11 2 2" xfId="640" xr:uid="{00000000-0005-0000-0000-0000C9000000}"/>
    <cellStyle name="Comma 11 2 2 2" xfId="641" xr:uid="{00000000-0005-0000-0000-0000CA000000}"/>
    <cellStyle name="Comma 11 2 3" xfId="642" xr:uid="{00000000-0005-0000-0000-0000CB000000}"/>
    <cellStyle name="Comma 11 3" xfId="643" xr:uid="{00000000-0005-0000-0000-0000CC000000}"/>
    <cellStyle name="Comma 11 3 2" xfId="644" xr:uid="{00000000-0005-0000-0000-0000CD000000}"/>
    <cellStyle name="Comma 11 4" xfId="645" xr:uid="{00000000-0005-0000-0000-0000CE000000}"/>
    <cellStyle name="Comma 12" xfId="73" xr:uid="{00000000-0005-0000-0000-0000CF000000}"/>
    <cellStyle name="Comma 12 2" xfId="304" xr:uid="{00000000-0005-0000-0000-0000D0000000}"/>
    <cellStyle name="Comma 12 2 2" xfId="383" xr:uid="{00000000-0005-0000-0000-0000D1000000}"/>
    <cellStyle name="Comma 12 2 3" xfId="1262" xr:uid="{3DB04BD2-406A-45D1-9E24-90915B57DE7F}"/>
    <cellStyle name="Comma 12 3" xfId="384" xr:uid="{00000000-0005-0000-0000-0000D2000000}"/>
    <cellStyle name="Comma 12 4" xfId="385" xr:uid="{00000000-0005-0000-0000-0000D3000000}"/>
    <cellStyle name="Comma 12 5" xfId="386" xr:uid="{00000000-0005-0000-0000-0000D4000000}"/>
    <cellStyle name="Comma 13" xfId="74" xr:uid="{00000000-0005-0000-0000-0000D5000000}"/>
    <cellStyle name="Comma 13 2" xfId="387" xr:uid="{00000000-0005-0000-0000-0000D6000000}"/>
    <cellStyle name="Comma 13 3" xfId="646" xr:uid="{00000000-0005-0000-0000-0000D7000000}"/>
    <cellStyle name="Comma 14" xfId="75" xr:uid="{00000000-0005-0000-0000-0000D8000000}"/>
    <cellStyle name="Comma 15" xfId="76" xr:uid="{00000000-0005-0000-0000-0000D9000000}"/>
    <cellStyle name="Comma 15 2" xfId="388" xr:uid="{00000000-0005-0000-0000-0000DA000000}"/>
    <cellStyle name="Comma 15 3" xfId="647" xr:uid="{00000000-0005-0000-0000-0000DB000000}"/>
    <cellStyle name="Comma 16" xfId="77" xr:uid="{00000000-0005-0000-0000-0000DC000000}"/>
    <cellStyle name="Comma 16 2" xfId="648" xr:uid="{00000000-0005-0000-0000-0000DD000000}"/>
    <cellStyle name="Comma 16 3" xfId="649" xr:uid="{00000000-0005-0000-0000-0000DE000000}"/>
    <cellStyle name="Comma 17" xfId="78" xr:uid="{00000000-0005-0000-0000-0000DF000000}"/>
    <cellStyle name="Comma 17 2" xfId="389" xr:uid="{00000000-0005-0000-0000-0000E0000000}"/>
    <cellStyle name="Comma 17 2 2" xfId="562" xr:uid="{00000000-0005-0000-0000-0000E1000000}"/>
    <cellStyle name="Comma 17 3" xfId="650" xr:uid="{00000000-0005-0000-0000-0000E2000000}"/>
    <cellStyle name="Comma 17 4" xfId="651" xr:uid="{00000000-0005-0000-0000-0000E3000000}"/>
    <cellStyle name="Comma 18" xfId="79" xr:uid="{00000000-0005-0000-0000-0000E4000000}"/>
    <cellStyle name="Comma 18 2" xfId="390" xr:uid="{00000000-0005-0000-0000-0000E5000000}"/>
    <cellStyle name="Comma 18 3" xfId="391" xr:uid="{00000000-0005-0000-0000-0000E6000000}"/>
    <cellStyle name="Comma 18 4" xfId="557" xr:uid="{00000000-0005-0000-0000-0000E7000000}"/>
    <cellStyle name="Comma 19" xfId="80" xr:uid="{00000000-0005-0000-0000-0000E8000000}"/>
    <cellStyle name="Comma 2" xfId="81" xr:uid="{00000000-0005-0000-0000-0000E9000000}"/>
    <cellStyle name="Comma 2 2" xfId="82" xr:uid="{00000000-0005-0000-0000-0000EA000000}"/>
    <cellStyle name="Comma 2 2 2" xfId="83" xr:uid="{00000000-0005-0000-0000-0000EB000000}"/>
    <cellStyle name="Comma 2 2 2 2" xfId="652" xr:uid="{00000000-0005-0000-0000-0000EC000000}"/>
    <cellStyle name="Comma 2 2 2 2 2" xfId="653" xr:uid="{00000000-0005-0000-0000-0000ED000000}"/>
    <cellStyle name="Comma 2 2 3" xfId="654" xr:uid="{00000000-0005-0000-0000-0000EE000000}"/>
    <cellStyle name="Comma 2 3" xfId="84" xr:uid="{00000000-0005-0000-0000-0000EF000000}"/>
    <cellStyle name="Comma 2 3 2" xfId="655" xr:uid="{00000000-0005-0000-0000-0000F0000000}"/>
    <cellStyle name="Comma 2 4" xfId="85" xr:uid="{00000000-0005-0000-0000-0000F1000000}"/>
    <cellStyle name="Comma 2 4 2" xfId="392" xr:uid="{00000000-0005-0000-0000-0000F2000000}"/>
    <cellStyle name="Comma 2 4 2 2" xfId="563" xr:uid="{00000000-0005-0000-0000-0000F3000000}"/>
    <cellStyle name="Comma 2 4 3" xfId="393" xr:uid="{00000000-0005-0000-0000-0000F4000000}"/>
    <cellStyle name="Comma 2 4 4" xfId="558" xr:uid="{00000000-0005-0000-0000-0000F5000000}"/>
    <cellStyle name="Comma 2 5" xfId="561" xr:uid="{00000000-0005-0000-0000-0000F6000000}"/>
    <cellStyle name="Comma 2 5 2" xfId="656" xr:uid="{00000000-0005-0000-0000-0000F7000000}"/>
    <cellStyle name="Comma 2 6" xfId="305" xr:uid="{00000000-0005-0000-0000-0000F8000000}"/>
    <cellStyle name="Comma 2 6 2" xfId="306" xr:uid="{00000000-0005-0000-0000-0000F9000000}"/>
    <cellStyle name="Comma 2 6 2 2" xfId="657" xr:uid="{00000000-0005-0000-0000-0000FA000000}"/>
    <cellStyle name="Comma 2 6 3" xfId="658" xr:uid="{00000000-0005-0000-0000-0000FB000000}"/>
    <cellStyle name="Comma 2 7" xfId="659" xr:uid="{00000000-0005-0000-0000-0000FC000000}"/>
    <cellStyle name="Comma 2 7 2" xfId="660" xr:uid="{00000000-0005-0000-0000-0000FD000000}"/>
    <cellStyle name="Comma 2 8" xfId="661" xr:uid="{00000000-0005-0000-0000-0000FE000000}"/>
    <cellStyle name="Comma 20" xfId="394" xr:uid="{00000000-0005-0000-0000-0000FF000000}"/>
    <cellStyle name="Comma 20 2" xfId="662" xr:uid="{00000000-0005-0000-0000-000000010000}"/>
    <cellStyle name="Comma 21" xfId="395" xr:uid="{00000000-0005-0000-0000-000001010000}"/>
    <cellStyle name="Comma 21 2" xfId="663" xr:uid="{00000000-0005-0000-0000-000002010000}"/>
    <cellStyle name="Comma 22" xfId="664" xr:uid="{00000000-0005-0000-0000-000003010000}"/>
    <cellStyle name="Comma 23" xfId="665" xr:uid="{00000000-0005-0000-0000-000004010000}"/>
    <cellStyle name="Comma 3" xfId="86" xr:uid="{00000000-0005-0000-0000-000005010000}"/>
    <cellStyle name="Comma 3 2" xfId="87" xr:uid="{00000000-0005-0000-0000-000006010000}"/>
    <cellStyle name="Comma 3 2 2" xfId="88" xr:uid="{00000000-0005-0000-0000-000007010000}"/>
    <cellStyle name="Comma 3 3" xfId="89" xr:uid="{00000000-0005-0000-0000-000008010000}"/>
    <cellStyle name="Comma 3 4" xfId="90" xr:uid="{00000000-0005-0000-0000-000009010000}"/>
    <cellStyle name="Comma 4" xfId="91" xr:uid="{00000000-0005-0000-0000-00000A010000}"/>
    <cellStyle name="Comma 4 2" xfId="92" xr:uid="{00000000-0005-0000-0000-00000B010000}"/>
    <cellStyle name="Comma 4 2 2" xfId="396" xr:uid="{00000000-0005-0000-0000-00000C010000}"/>
    <cellStyle name="Comma 4 2 2 2" xfId="666" xr:uid="{00000000-0005-0000-0000-00000D010000}"/>
    <cellStyle name="Comma 4 2 2 2 2" xfId="667" xr:uid="{00000000-0005-0000-0000-00000E010000}"/>
    <cellStyle name="Comma 4 2 2 3" xfId="668" xr:uid="{00000000-0005-0000-0000-00000F010000}"/>
    <cellStyle name="Comma 4 2 2 3 2" xfId="669" xr:uid="{00000000-0005-0000-0000-000010010000}"/>
    <cellStyle name="Comma 4 2 2 4" xfId="670" xr:uid="{00000000-0005-0000-0000-000011010000}"/>
    <cellStyle name="Comma 4 2 3" xfId="397" xr:uid="{00000000-0005-0000-0000-000012010000}"/>
    <cellStyle name="Comma 4 2 3 2" xfId="671" xr:uid="{00000000-0005-0000-0000-000013010000}"/>
    <cellStyle name="Comma 4 2 4" xfId="672" xr:uid="{00000000-0005-0000-0000-000014010000}"/>
    <cellStyle name="Comma 4 2 4 2" xfId="673" xr:uid="{00000000-0005-0000-0000-000015010000}"/>
    <cellStyle name="Comma 4 2 4 3" xfId="674" xr:uid="{00000000-0005-0000-0000-000016010000}"/>
    <cellStyle name="Comma 4 2 5" xfId="675" xr:uid="{00000000-0005-0000-0000-000017010000}"/>
    <cellStyle name="Comma 4 3" xfId="93" xr:uid="{00000000-0005-0000-0000-000018010000}"/>
    <cellStyle name="Comma 4 3 2" xfId="398" xr:uid="{00000000-0005-0000-0000-000019010000}"/>
    <cellStyle name="Comma 4 3 2 2" xfId="676" xr:uid="{00000000-0005-0000-0000-00001A010000}"/>
    <cellStyle name="Comma 4 3 3" xfId="399" xr:uid="{00000000-0005-0000-0000-00001B010000}"/>
    <cellStyle name="Comma 4 3 3 2" xfId="677" xr:uid="{00000000-0005-0000-0000-00001C010000}"/>
    <cellStyle name="Comma 4 3 4" xfId="678" xr:uid="{00000000-0005-0000-0000-00001D010000}"/>
    <cellStyle name="Comma 4 3 4 2" xfId="679" xr:uid="{00000000-0005-0000-0000-00001E010000}"/>
    <cellStyle name="Comma 4 4" xfId="94" xr:uid="{00000000-0005-0000-0000-00001F010000}"/>
    <cellStyle name="Comma 4 4 2" xfId="400" xr:uid="{00000000-0005-0000-0000-000020010000}"/>
    <cellStyle name="Comma 4 4 2 2" xfId="680" xr:uid="{00000000-0005-0000-0000-000021010000}"/>
    <cellStyle name="Comma 4 4 3" xfId="401" xr:uid="{00000000-0005-0000-0000-000022010000}"/>
    <cellStyle name="Comma 4 4 3 2" xfId="681" xr:uid="{00000000-0005-0000-0000-000023010000}"/>
    <cellStyle name="Comma 4 4 4" xfId="682" xr:uid="{00000000-0005-0000-0000-000024010000}"/>
    <cellStyle name="Comma 4 4 4 2" xfId="683" xr:uid="{00000000-0005-0000-0000-000025010000}"/>
    <cellStyle name="Comma 4 5" xfId="95" xr:uid="{00000000-0005-0000-0000-000026010000}"/>
    <cellStyle name="Comma 4 5 2" xfId="402" xr:uid="{00000000-0005-0000-0000-000027010000}"/>
    <cellStyle name="Comma 4 5 2 2" xfId="684" xr:uid="{00000000-0005-0000-0000-000028010000}"/>
    <cellStyle name="Comma 4 6" xfId="403" xr:uid="{00000000-0005-0000-0000-000029010000}"/>
    <cellStyle name="Comma 4 6 2" xfId="555" xr:uid="{00000000-0005-0000-0000-00002A010000}"/>
    <cellStyle name="Comma 4 7" xfId="685" xr:uid="{00000000-0005-0000-0000-00002B010000}"/>
    <cellStyle name="Comma 5" xfId="96" xr:uid="{00000000-0005-0000-0000-00002C010000}"/>
    <cellStyle name="Comma 5 2" xfId="404" xr:uid="{00000000-0005-0000-0000-00002D010000}"/>
    <cellStyle name="Comma 5 2 2" xfId="686" xr:uid="{00000000-0005-0000-0000-00002E010000}"/>
    <cellStyle name="Comma 5 2 2 2" xfId="687" xr:uid="{00000000-0005-0000-0000-00002F010000}"/>
    <cellStyle name="Comma 5 2 2 2 2" xfId="688" xr:uid="{00000000-0005-0000-0000-000030010000}"/>
    <cellStyle name="Comma 5 2 2 3" xfId="689" xr:uid="{00000000-0005-0000-0000-000031010000}"/>
    <cellStyle name="Comma 5 2 3" xfId="690" xr:uid="{00000000-0005-0000-0000-000032010000}"/>
    <cellStyle name="Comma 5 2 3 2" xfId="691" xr:uid="{00000000-0005-0000-0000-000033010000}"/>
    <cellStyle name="Comma 5 2 4" xfId="692" xr:uid="{00000000-0005-0000-0000-000034010000}"/>
    <cellStyle name="Comma 5 3" xfId="405" xr:uid="{00000000-0005-0000-0000-000035010000}"/>
    <cellStyle name="Comma 5 3 2" xfId="693" xr:uid="{00000000-0005-0000-0000-000036010000}"/>
    <cellStyle name="Comma 5 3 2 2" xfId="694" xr:uid="{00000000-0005-0000-0000-000037010000}"/>
    <cellStyle name="Comma 5 3 3" xfId="695" xr:uid="{00000000-0005-0000-0000-000038010000}"/>
    <cellStyle name="Comma 5 4" xfId="406" xr:uid="{00000000-0005-0000-0000-000039010000}"/>
    <cellStyle name="Comma 5 4 2" xfId="696" xr:uid="{00000000-0005-0000-0000-00003A010000}"/>
    <cellStyle name="Comma 5 5" xfId="697" xr:uid="{00000000-0005-0000-0000-00003B010000}"/>
    <cellStyle name="Comma 5 5 2" xfId="698" xr:uid="{00000000-0005-0000-0000-00003C010000}"/>
    <cellStyle name="Comma 5 6" xfId="699" xr:uid="{00000000-0005-0000-0000-00003D010000}"/>
    <cellStyle name="Comma 6" xfId="97" xr:uid="{00000000-0005-0000-0000-00003E010000}"/>
    <cellStyle name="Comma 6 2" xfId="98" xr:uid="{00000000-0005-0000-0000-00003F010000}"/>
    <cellStyle name="Comma 6 2 2" xfId="700" xr:uid="{00000000-0005-0000-0000-000040010000}"/>
    <cellStyle name="Comma 6 2 2 2" xfId="701" xr:uid="{00000000-0005-0000-0000-000041010000}"/>
    <cellStyle name="Comma 6 2 2 2 2" xfId="702" xr:uid="{00000000-0005-0000-0000-000042010000}"/>
    <cellStyle name="Comma 6 2 2 3" xfId="703" xr:uid="{00000000-0005-0000-0000-000043010000}"/>
    <cellStyle name="Comma 6 2 3" xfId="704" xr:uid="{00000000-0005-0000-0000-000044010000}"/>
    <cellStyle name="Comma 6 2 3 2" xfId="705" xr:uid="{00000000-0005-0000-0000-000045010000}"/>
    <cellStyle name="Comma 6 2 4" xfId="706" xr:uid="{00000000-0005-0000-0000-000046010000}"/>
    <cellStyle name="Comma 6 3" xfId="707" xr:uid="{00000000-0005-0000-0000-000047010000}"/>
    <cellStyle name="Comma 6 3 2" xfId="708" xr:uid="{00000000-0005-0000-0000-000048010000}"/>
    <cellStyle name="Comma 6 3 2 2" xfId="709" xr:uid="{00000000-0005-0000-0000-000049010000}"/>
    <cellStyle name="Comma 6 3 3" xfId="710" xr:uid="{00000000-0005-0000-0000-00004A010000}"/>
    <cellStyle name="Comma 6 4" xfId="711" xr:uid="{00000000-0005-0000-0000-00004B010000}"/>
    <cellStyle name="Comma 6 4 2" xfId="712" xr:uid="{00000000-0005-0000-0000-00004C010000}"/>
    <cellStyle name="Comma 6 5" xfId="713" xr:uid="{00000000-0005-0000-0000-00004D010000}"/>
    <cellStyle name="Comma 7" xfId="99" xr:uid="{00000000-0005-0000-0000-00004E010000}"/>
    <cellStyle name="Comma 7 2" xfId="714" xr:uid="{00000000-0005-0000-0000-00004F010000}"/>
    <cellStyle name="Comma 7 2 2" xfId="715" xr:uid="{00000000-0005-0000-0000-000050010000}"/>
    <cellStyle name="Comma 7 2 2 2" xfId="716" xr:uid="{00000000-0005-0000-0000-000051010000}"/>
    <cellStyle name="Comma 7 2 2 2 2" xfId="717" xr:uid="{00000000-0005-0000-0000-000052010000}"/>
    <cellStyle name="Comma 7 2 2 3" xfId="718" xr:uid="{00000000-0005-0000-0000-000053010000}"/>
    <cellStyle name="Comma 7 2 3" xfId="719" xr:uid="{00000000-0005-0000-0000-000054010000}"/>
    <cellStyle name="Comma 7 2 3 2" xfId="720" xr:uid="{00000000-0005-0000-0000-000055010000}"/>
    <cellStyle name="Comma 7 2 4" xfId="721" xr:uid="{00000000-0005-0000-0000-000056010000}"/>
    <cellStyle name="Comma 7 3" xfId="722" xr:uid="{00000000-0005-0000-0000-000057010000}"/>
    <cellStyle name="Comma 7 3 2" xfId="723" xr:uid="{00000000-0005-0000-0000-000058010000}"/>
    <cellStyle name="Comma 7 3 2 2" xfId="724" xr:uid="{00000000-0005-0000-0000-000059010000}"/>
    <cellStyle name="Comma 7 3 3" xfId="725" xr:uid="{00000000-0005-0000-0000-00005A010000}"/>
    <cellStyle name="Comma 7 4" xfId="726" xr:uid="{00000000-0005-0000-0000-00005B010000}"/>
    <cellStyle name="Comma 7 4 2" xfId="727" xr:uid="{00000000-0005-0000-0000-00005C010000}"/>
    <cellStyle name="Comma 7 5" xfId="728" xr:uid="{00000000-0005-0000-0000-00005D010000}"/>
    <cellStyle name="Comma 8" xfId="100" xr:uid="{00000000-0005-0000-0000-00005E010000}"/>
    <cellStyle name="Comma 8 2" xfId="729" xr:uid="{00000000-0005-0000-0000-00005F010000}"/>
    <cellStyle name="Comma 8 2 2" xfId="730" xr:uid="{00000000-0005-0000-0000-000060010000}"/>
    <cellStyle name="Comma 8 2 2 2" xfId="731" xr:uid="{00000000-0005-0000-0000-000061010000}"/>
    <cellStyle name="Comma 8 2 2 3" xfId="732" xr:uid="{00000000-0005-0000-0000-000062010000}"/>
    <cellStyle name="Comma 8 2 3" xfId="733" xr:uid="{00000000-0005-0000-0000-000063010000}"/>
    <cellStyle name="Comma 8 3" xfId="734" xr:uid="{00000000-0005-0000-0000-000064010000}"/>
    <cellStyle name="Comma 8 3 2" xfId="735" xr:uid="{00000000-0005-0000-0000-000065010000}"/>
    <cellStyle name="Comma 8 4" xfId="736" xr:uid="{00000000-0005-0000-0000-000066010000}"/>
    <cellStyle name="Comma 9" xfId="101" xr:uid="{00000000-0005-0000-0000-000067010000}"/>
    <cellStyle name="Comma 9 2" xfId="737" xr:uid="{00000000-0005-0000-0000-000068010000}"/>
    <cellStyle name="Comma(2)" xfId="102" xr:uid="{00000000-0005-0000-0000-000069010000}"/>
    <cellStyle name="Comma0" xfId="407" xr:uid="{00000000-0005-0000-0000-00006A010000}"/>
    <cellStyle name="Comma0 - Style2" xfId="103" xr:uid="{00000000-0005-0000-0000-00006B010000}"/>
    <cellStyle name="Comma1 - Style1" xfId="104" xr:uid="{00000000-0005-0000-0000-00006C010000}"/>
    <cellStyle name="Comments" xfId="105" xr:uid="{00000000-0005-0000-0000-00006D010000}"/>
    <cellStyle name="Currency" xfId="1" builtinId="4"/>
    <cellStyle name="Currency 10" xfId="106" xr:uid="{00000000-0005-0000-0000-00006F010000}"/>
    <cellStyle name="Currency 10 2" xfId="738" xr:uid="{00000000-0005-0000-0000-000070010000}"/>
    <cellStyle name="Currency 10 5" xfId="1263" xr:uid="{E14ACA15-476E-4240-91C4-E4026C4810BB}"/>
    <cellStyle name="Currency 11" xfId="333" xr:uid="{00000000-0005-0000-0000-000071010000}"/>
    <cellStyle name="Currency 11 2" xfId="739" xr:uid="{00000000-0005-0000-0000-000072010000}"/>
    <cellStyle name="Currency 12" xfId="408" xr:uid="{00000000-0005-0000-0000-000073010000}"/>
    <cellStyle name="Currency 13" xfId="409" xr:uid="{00000000-0005-0000-0000-000074010000}"/>
    <cellStyle name="Currency 14" xfId="740" xr:uid="{00000000-0005-0000-0000-000075010000}"/>
    <cellStyle name="Currency 15" xfId="741" xr:uid="{00000000-0005-0000-0000-000076010000}"/>
    <cellStyle name="Currency 2" xfId="107" xr:uid="{00000000-0005-0000-0000-000077010000}"/>
    <cellStyle name="Currency 2 2" xfId="108" xr:uid="{00000000-0005-0000-0000-000078010000}"/>
    <cellStyle name="Currency 2 2 2" xfId="307" xr:uid="{00000000-0005-0000-0000-000079010000}"/>
    <cellStyle name="Currency 2 2 3" xfId="410" xr:uid="{00000000-0005-0000-0000-00007A010000}"/>
    <cellStyle name="Currency 2 2 3 2" xfId="742" xr:uid="{00000000-0005-0000-0000-00007B010000}"/>
    <cellStyle name="Currency 2 2 4" xfId="743" xr:uid="{00000000-0005-0000-0000-00007C010000}"/>
    <cellStyle name="Currency 2 3" xfId="109" xr:uid="{00000000-0005-0000-0000-00007D010000}"/>
    <cellStyle name="Currency 2 3 2" xfId="411" xr:uid="{00000000-0005-0000-0000-00007E010000}"/>
    <cellStyle name="Currency 2 3 3" xfId="412" xr:uid="{00000000-0005-0000-0000-00007F010000}"/>
    <cellStyle name="Currency 2 4" xfId="413" xr:uid="{00000000-0005-0000-0000-000080010000}"/>
    <cellStyle name="Currency 2 4 2" xfId="744" xr:uid="{00000000-0005-0000-0000-000081010000}"/>
    <cellStyle name="Currency 2 4 3" xfId="745" xr:uid="{00000000-0005-0000-0000-000082010000}"/>
    <cellStyle name="Currency 2 5" xfId="746" xr:uid="{00000000-0005-0000-0000-000083010000}"/>
    <cellStyle name="Currency 2 5 2" xfId="747" xr:uid="{00000000-0005-0000-0000-000084010000}"/>
    <cellStyle name="Currency 2 6" xfId="308" xr:uid="{00000000-0005-0000-0000-000085010000}"/>
    <cellStyle name="Currency 2 6 2" xfId="309" xr:uid="{00000000-0005-0000-0000-000086010000}"/>
    <cellStyle name="Currency 2 6 3" xfId="748" xr:uid="{00000000-0005-0000-0000-000087010000}"/>
    <cellStyle name="Currency 2 7" xfId="749" xr:uid="{00000000-0005-0000-0000-000088010000}"/>
    <cellStyle name="Currency 3" xfId="110" xr:uid="{00000000-0005-0000-0000-000089010000}"/>
    <cellStyle name="Currency 3 2" xfId="5" xr:uid="{00000000-0005-0000-0000-00008A010000}"/>
    <cellStyle name="Currency 3 2 2" xfId="750" xr:uid="{00000000-0005-0000-0000-00008B010000}"/>
    <cellStyle name="Currency 3 2 2 2" xfId="751" xr:uid="{00000000-0005-0000-0000-00008C010000}"/>
    <cellStyle name="Currency 3 2 2 2 2" xfId="752" xr:uid="{00000000-0005-0000-0000-00008D010000}"/>
    <cellStyle name="Currency 3 2 2 3" xfId="753" xr:uid="{00000000-0005-0000-0000-00008E010000}"/>
    <cellStyle name="Currency 3 2 3" xfId="754" xr:uid="{00000000-0005-0000-0000-00008F010000}"/>
    <cellStyle name="Currency 3 2 3 2" xfId="755" xr:uid="{00000000-0005-0000-0000-000090010000}"/>
    <cellStyle name="Currency 3 2 4" xfId="756" xr:uid="{00000000-0005-0000-0000-000091010000}"/>
    <cellStyle name="Currency 3 3" xfId="111" xr:uid="{00000000-0005-0000-0000-000092010000}"/>
    <cellStyle name="Currency 3 3 2" xfId="414" xr:uid="{00000000-0005-0000-0000-000093010000}"/>
    <cellStyle name="Currency 3 3 2 2" xfId="757" xr:uid="{00000000-0005-0000-0000-000094010000}"/>
    <cellStyle name="Currency 3 3 3" xfId="554" xr:uid="{00000000-0005-0000-0000-000095010000}"/>
    <cellStyle name="Currency 3 3 4" xfId="758" xr:uid="{00000000-0005-0000-0000-000096010000}"/>
    <cellStyle name="Currency 3 4" xfId="415" xr:uid="{00000000-0005-0000-0000-000097010000}"/>
    <cellStyle name="Currency 3 4 2" xfId="759" xr:uid="{00000000-0005-0000-0000-000098010000}"/>
    <cellStyle name="Currency 3 5" xfId="416" xr:uid="{00000000-0005-0000-0000-000099010000}"/>
    <cellStyle name="Currency 4" xfId="112" xr:uid="{00000000-0005-0000-0000-00009A010000}"/>
    <cellStyle name="Currency 4 2" xfId="310" xr:uid="{00000000-0005-0000-0000-00009B010000}"/>
    <cellStyle name="Currency 4 2 2" xfId="760" xr:uid="{00000000-0005-0000-0000-00009C010000}"/>
    <cellStyle name="Currency 4 2 2 2" xfId="761" xr:uid="{00000000-0005-0000-0000-00009D010000}"/>
    <cellStyle name="Currency 4 2 2 2 2" xfId="762" xr:uid="{00000000-0005-0000-0000-00009E010000}"/>
    <cellStyle name="Currency 4 2 2 3" xfId="763" xr:uid="{00000000-0005-0000-0000-00009F010000}"/>
    <cellStyle name="Currency 4 2 3" xfId="764" xr:uid="{00000000-0005-0000-0000-0000A0010000}"/>
    <cellStyle name="Currency 4 2 3 2" xfId="765" xr:uid="{00000000-0005-0000-0000-0000A1010000}"/>
    <cellStyle name="Currency 4 2 4" xfId="766" xr:uid="{00000000-0005-0000-0000-0000A2010000}"/>
    <cellStyle name="Currency 4 3" xfId="417" xr:uid="{00000000-0005-0000-0000-0000A3010000}"/>
    <cellStyle name="Currency 4 3 2" xfId="767" xr:uid="{00000000-0005-0000-0000-0000A4010000}"/>
    <cellStyle name="Currency 4 3 2 2" xfId="768" xr:uid="{00000000-0005-0000-0000-0000A5010000}"/>
    <cellStyle name="Currency 4 3 3" xfId="769" xr:uid="{00000000-0005-0000-0000-0000A6010000}"/>
    <cellStyle name="Currency 4 4" xfId="418" xr:uid="{00000000-0005-0000-0000-0000A7010000}"/>
    <cellStyle name="Currency 4 4 2" xfId="770" xr:uid="{00000000-0005-0000-0000-0000A8010000}"/>
    <cellStyle name="Currency 4 5" xfId="771" xr:uid="{00000000-0005-0000-0000-0000A9010000}"/>
    <cellStyle name="Currency 5" xfId="113" xr:uid="{00000000-0005-0000-0000-0000AA010000}"/>
    <cellStyle name="Currency 5 2" xfId="311" xr:uid="{00000000-0005-0000-0000-0000AB010000}"/>
    <cellStyle name="Currency 5 2 2" xfId="772" xr:uid="{00000000-0005-0000-0000-0000AC010000}"/>
    <cellStyle name="Currency 5 2 2 2" xfId="773" xr:uid="{00000000-0005-0000-0000-0000AD010000}"/>
    <cellStyle name="Currency 5 2 3" xfId="774" xr:uid="{00000000-0005-0000-0000-0000AE010000}"/>
    <cellStyle name="Currency 5 3" xfId="419" xr:uid="{00000000-0005-0000-0000-0000AF010000}"/>
    <cellStyle name="Currency 5 3 2" xfId="775" xr:uid="{00000000-0005-0000-0000-0000B0010000}"/>
    <cellStyle name="Currency 5 4" xfId="776" xr:uid="{00000000-0005-0000-0000-0000B1010000}"/>
    <cellStyle name="Currency 6" xfId="114" xr:uid="{00000000-0005-0000-0000-0000B2010000}"/>
    <cellStyle name="Currency 7" xfId="115" xr:uid="{00000000-0005-0000-0000-0000B3010000}"/>
    <cellStyle name="Currency 8" xfId="116" xr:uid="{00000000-0005-0000-0000-0000B4010000}"/>
    <cellStyle name="Currency 8 2" xfId="420" xr:uid="{00000000-0005-0000-0000-0000B5010000}"/>
    <cellStyle name="Currency 8 2 2" xfId="777" xr:uid="{00000000-0005-0000-0000-0000B6010000}"/>
    <cellStyle name="Currency 8 2 2 2" xfId="778" xr:uid="{00000000-0005-0000-0000-0000B7010000}"/>
    <cellStyle name="Currency 8 2 3" xfId="779" xr:uid="{00000000-0005-0000-0000-0000B8010000}"/>
    <cellStyle name="Currency 8 3" xfId="559" xr:uid="{00000000-0005-0000-0000-0000B9010000}"/>
    <cellStyle name="Currency 8 3 2" xfId="780" xr:uid="{00000000-0005-0000-0000-0000BA010000}"/>
    <cellStyle name="Currency 8 3 3" xfId="781" xr:uid="{00000000-0005-0000-0000-0000BB010000}"/>
    <cellStyle name="Currency 8 4" xfId="782" xr:uid="{00000000-0005-0000-0000-0000BC010000}"/>
    <cellStyle name="Currency 9" xfId="117" xr:uid="{00000000-0005-0000-0000-0000BD010000}"/>
    <cellStyle name="Currency 9 2" xfId="783" xr:uid="{00000000-0005-0000-0000-0000BE010000}"/>
    <cellStyle name="Currency 9 2 2" xfId="784" xr:uid="{00000000-0005-0000-0000-0000BF010000}"/>
    <cellStyle name="Currency 9 3" xfId="785" xr:uid="{00000000-0005-0000-0000-0000C0010000}"/>
    <cellStyle name="Currency0" xfId="421" xr:uid="{00000000-0005-0000-0000-0000C1010000}"/>
    <cellStyle name="Data Enter" xfId="118" xr:uid="{00000000-0005-0000-0000-0000C2010000}"/>
    <cellStyle name="date" xfId="119" xr:uid="{00000000-0005-0000-0000-0000C3010000}"/>
    <cellStyle name="Explanatory Text 2" xfId="120" xr:uid="{00000000-0005-0000-0000-0000C4010000}"/>
    <cellStyle name="Explanatory Text 3" xfId="312" xr:uid="{00000000-0005-0000-0000-0000C5010000}"/>
    <cellStyle name="Explanatory Text 4" xfId="786" xr:uid="{00000000-0005-0000-0000-0000C6010000}"/>
    <cellStyle name="F9ReportControlStyle_ctpInquire" xfId="422" xr:uid="{00000000-0005-0000-0000-0000C7010000}"/>
    <cellStyle name="FactSheet" xfId="121" xr:uid="{00000000-0005-0000-0000-0000C8010000}"/>
    <cellStyle name="fish" xfId="122" xr:uid="{00000000-0005-0000-0000-0000C9010000}"/>
    <cellStyle name="Good 2" xfId="123" xr:uid="{00000000-0005-0000-0000-0000CA010000}"/>
    <cellStyle name="Good 2 2" xfId="787" xr:uid="{00000000-0005-0000-0000-0000CB010000}"/>
    <cellStyle name="Good 2 2 2" xfId="788" xr:uid="{00000000-0005-0000-0000-0000CC010000}"/>
    <cellStyle name="Good 2 3" xfId="789" xr:uid="{00000000-0005-0000-0000-0000CD010000}"/>
    <cellStyle name="Good 3" xfId="124" xr:uid="{00000000-0005-0000-0000-0000CE010000}"/>
    <cellStyle name="Good 3 2" xfId="423" xr:uid="{00000000-0005-0000-0000-0000CF010000}"/>
    <cellStyle name="Good 3 3" xfId="790" xr:uid="{00000000-0005-0000-0000-0000D0010000}"/>
    <cellStyle name="Good 4" xfId="424" xr:uid="{00000000-0005-0000-0000-0000D1010000}"/>
    <cellStyle name="Good 5" xfId="791" xr:uid="{00000000-0005-0000-0000-0000D2010000}"/>
    <cellStyle name="Heading 1 2" xfId="125" xr:uid="{00000000-0005-0000-0000-0000D3010000}"/>
    <cellStyle name="Heading 1 2 2" xfId="425" xr:uid="{00000000-0005-0000-0000-0000D4010000}"/>
    <cellStyle name="Heading 1 2 3" xfId="426" xr:uid="{00000000-0005-0000-0000-0000D5010000}"/>
    <cellStyle name="Heading 1 2 4" xfId="792" xr:uid="{00000000-0005-0000-0000-0000D6010000}"/>
    <cellStyle name="Heading 1 3" xfId="126" xr:uid="{00000000-0005-0000-0000-0000D7010000}"/>
    <cellStyle name="Heading 1 3 2" xfId="427" xr:uid="{00000000-0005-0000-0000-0000D8010000}"/>
    <cellStyle name="Heading 1 3 3" xfId="428" xr:uid="{00000000-0005-0000-0000-0000D9010000}"/>
    <cellStyle name="Heading 1 4" xfId="127" xr:uid="{00000000-0005-0000-0000-0000DA010000}"/>
    <cellStyle name="Heading 1 4 2" xfId="793" xr:uid="{00000000-0005-0000-0000-0000DB010000}"/>
    <cellStyle name="Heading 2 2" xfId="128" xr:uid="{00000000-0005-0000-0000-0000DC010000}"/>
    <cellStyle name="Heading 2 2 2" xfId="429" xr:uid="{00000000-0005-0000-0000-0000DD010000}"/>
    <cellStyle name="Heading 2 2 3" xfId="430" xr:uid="{00000000-0005-0000-0000-0000DE010000}"/>
    <cellStyle name="Heading 2 2 4" xfId="794" xr:uid="{00000000-0005-0000-0000-0000DF010000}"/>
    <cellStyle name="Heading 2 3" xfId="129" xr:uid="{00000000-0005-0000-0000-0000E0010000}"/>
    <cellStyle name="Heading 2 3 2" xfId="431" xr:uid="{00000000-0005-0000-0000-0000E1010000}"/>
    <cellStyle name="Heading 2 3 3" xfId="432" xr:uid="{00000000-0005-0000-0000-0000E2010000}"/>
    <cellStyle name="Heading 2 4" xfId="130" xr:uid="{00000000-0005-0000-0000-0000E3010000}"/>
    <cellStyle name="Heading 2 4 2" xfId="795" xr:uid="{00000000-0005-0000-0000-0000E4010000}"/>
    <cellStyle name="Heading 3 2" xfId="131" xr:uid="{00000000-0005-0000-0000-0000E5010000}"/>
    <cellStyle name="Heading 3 2 2" xfId="433" xr:uid="{00000000-0005-0000-0000-0000E6010000}"/>
    <cellStyle name="Heading 3 2 3" xfId="434" xr:uid="{00000000-0005-0000-0000-0000E7010000}"/>
    <cellStyle name="Heading 3 2 4" xfId="796" xr:uid="{00000000-0005-0000-0000-0000E8010000}"/>
    <cellStyle name="Heading 3 3" xfId="132" xr:uid="{00000000-0005-0000-0000-0000E9010000}"/>
    <cellStyle name="Heading 3 3 2" xfId="435" xr:uid="{00000000-0005-0000-0000-0000EA010000}"/>
    <cellStyle name="Heading 3 3 3" xfId="436" xr:uid="{00000000-0005-0000-0000-0000EB010000}"/>
    <cellStyle name="Heading 3 4" xfId="133" xr:uid="{00000000-0005-0000-0000-0000EC010000}"/>
    <cellStyle name="Heading 3 4 2" xfId="797" xr:uid="{00000000-0005-0000-0000-0000ED010000}"/>
    <cellStyle name="Heading 4 2" xfId="134" xr:uid="{00000000-0005-0000-0000-0000EE010000}"/>
    <cellStyle name="Heading 4 2 2" xfId="798" xr:uid="{00000000-0005-0000-0000-0000EF010000}"/>
    <cellStyle name="Heading 4 2 2 2" xfId="799" xr:uid="{00000000-0005-0000-0000-0000F0010000}"/>
    <cellStyle name="Heading 4 2 3" xfId="800" xr:uid="{00000000-0005-0000-0000-0000F1010000}"/>
    <cellStyle name="Heading 4 3" xfId="135" xr:uid="{00000000-0005-0000-0000-0000F2010000}"/>
    <cellStyle name="Heading 4 3 2" xfId="437" xr:uid="{00000000-0005-0000-0000-0000F3010000}"/>
    <cellStyle name="Heading 4 4" xfId="801" xr:uid="{00000000-0005-0000-0000-0000F4010000}"/>
    <cellStyle name="Hyperlink 2" xfId="136" xr:uid="{00000000-0005-0000-0000-0000F5010000}"/>
    <cellStyle name="Hyperlink 2 2" xfId="802" xr:uid="{00000000-0005-0000-0000-0000F6010000}"/>
    <cellStyle name="Hyperlink 2 2 2" xfId="803" xr:uid="{00000000-0005-0000-0000-0000F7010000}"/>
    <cellStyle name="Hyperlink 2 2 3" xfId="804" xr:uid="{00000000-0005-0000-0000-0000F8010000}"/>
    <cellStyle name="Hyperlink 2 2 4" xfId="805" xr:uid="{00000000-0005-0000-0000-0000F9010000}"/>
    <cellStyle name="Hyperlink 2 3" xfId="806" xr:uid="{00000000-0005-0000-0000-0000FA010000}"/>
    <cellStyle name="Hyperlink 3" xfId="137" xr:uid="{00000000-0005-0000-0000-0000FB010000}"/>
    <cellStyle name="Hyperlink 3 2" xfId="438" xr:uid="{00000000-0005-0000-0000-0000FC010000}"/>
    <cellStyle name="Hyperlink 3 2 2" xfId="807" xr:uid="{00000000-0005-0000-0000-0000FD010000}"/>
    <cellStyle name="Hyperlink 3 3" xfId="808" xr:uid="{00000000-0005-0000-0000-0000FE010000}"/>
    <cellStyle name="Input 2" xfId="138" xr:uid="{00000000-0005-0000-0000-0000FF010000}"/>
    <cellStyle name="Input 2 2" xfId="809" xr:uid="{00000000-0005-0000-0000-000000020000}"/>
    <cellStyle name="Input 2 2 2" xfId="810" xr:uid="{00000000-0005-0000-0000-000001020000}"/>
    <cellStyle name="Input 2 3" xfId="811" xr:uid="{00000000-0005-0000-0000-000002020000}"/>
    <cellStyle name="Input 3" xfId="139" xr:uid="{00000000-0005-0000-0000-000003020000}"/>
    <cellStyle name="Input 3 2" xfId="439" xr:uid="{00000000-0005-0000-0000-000004020000}"/>
    <cellStyle name="Input 4" xfId="812" xr:uid="{00000000-0005-0000-0000-000005020000}"/>
    <cellStyle name="input(0)" xfId="140" xr:uid="{00000000-0005-0000-0000-000006020000}"/>
    <cellStyle name="Input(2)" xfId="141" xr:uid="{00000000-0005-0000-0000-000007020000}"/>
    <cellStyle name="Labels" xfId="813" xr:uid="{00000000-0005-0000-0000-000008020000}"/>
    <cellStyle name="Linked Cell 2" xfId="142" xr:uid="{00000000-0005-0000-0000-000009020000}"/>
    <cellStyle name="Linked Cell 2 2" xfId="440" xr:uid="{00000000-0005-0000-0000-00000A020000}"/>
    <cellStyle name="Linked Cell 2 3" xfId="441" xr:uid="{00000000-0005-0000-0000-00000B020000}"/>
    <cellStyle name="Linked Cell 2 4" xfId="814" xr:uid="{00000000-0005-0000-0000-00000C020000}"/>
    <cellStyle name="Linked Cell 3" xfId="143" xr:uid="{00000000-0005-0000-0000-00000D020000}"/>
    <cellStyle name="Linked Cell 3 2" xfId="442" xr:uid="{00000000-0005-0000-0000-00000E020000}"/>
    <cellStyle name="Linked Cell 4" xfId="815" xr:uid="{00000000-0005-0000-0000-00000F020000}"/>
    <cellStyle name="Neutral 2" xfId="144" xr:uid="{00000000-0005-0000-0000-000010020000}"/>
    <cellStyle name="Neutral 2 2" xfId="443" xr:uid="{00000000-0005-0000-0000-000011020000}"/>
    <cellStyle name="Neutral 2 3" xfId="444" xr:uid="{00000000-0005-0000-0000-000012020000}"/>
    <cellStyle name="Neutral 2 4" xfId="816" xr:uid="{00000000-0005-0000-0000-000013020000}"/>
    <cellStyle name="Neutral 3" xfId="145" xr:uid="{00000000-0005-0000-0000-000014020000}"/>
    <cellStyle name="Neutral 3 2" xfId="445" xr:uid="{00000000-0005-0000-0000-000015020000}"/>
    <cellStyle name="Neutral 4" xfId="817" xr:uid="{00000000-0005-0000-0000-000016020000}"/>
    <cellStyle name="New_normal" xfId="146" xr:uid="{00000000-0005-0000-0000-000017020000}"/>
    <cellStyle name="Normal" xfId="0" builtinId="0"/>
    <cellStyle name="Normal - Style1" xfId="147" xr:uid="{00000000-0005-0000-0000-000019020000}"/>
    <cellStyle name="Normal - Style2" xfId="148" xr:uid="{00000000-0005-0000-0000-00001A020000}"/>
    <cellStyle name="Normal - Style3" xfId="149" xr:uid="{00000000-0005-0000-0000-00001B020000}"/>
    <cellStyle name="Normal - Style4" xfId="150" xr:uid="{00000000-0005-0000-0000-00001C020000}"/>
    <cellStyle name="Normal - Style5" xfId="151" xr:uid="{00000000-0005-0000-0000-00001D020000}"/>
    <cellStyle name="Normal 10" xfId="152" xr:uid="{00000000-0005-0000-0000-00001E020000}"/>
    <cellStyle name="Normal 10 2" xfId="153" xr:uid="{00000000-0005-0000-0000-00001F020000}"/>
    <cellStyle name="Normal 10 2 2" xfId="154" xr:uid="{00000000-0005-0000-0000-000020020000}"/>
    <cellStyle name="Normal 10 2 2 2" xfId="818" xr:uid="{00000000-0005-0000-0000-000021020000}"/>
    <cellStyle name="Normal 10 2 2 2 2" xfId="819" xr:uid="{00000000-0005-0000-0000-000022020000}"/>
    <cellStyle name="Normal 10 2 2 3" xfId="820" xr:uid="{00000000-0005-0000-0000-000023020000}"/>
    <cellStyle name="Normal 10 2 3" xfId="446" xr:uid="{00000000-0005-0000-0000-000024020000}"/>
    <cellStyle name="Normal 10 2 3 2" xfId="821" xr:uid="{00000000-0005-0000-0000-000025020000}"/>
    <cellStyle name="Normal 10 2 4" xfId="447" xr:uid="{00000000-0005-0000-0000-000026020000}"/>
    <cellStyle name="Normal 10 2 4 2" xfId="822" xr:uid="{00000000-0005-0000-0000-000027020000}"/>
    <cellStyle name="Normal 10 2 5" xfId="553" xr:uid="{00000000-0005-0000-0000-000028020000}"/>
    <cellStyle name="Normal 10 3" xfId="448" xr:uid="{00000000-0005-0000-0000-000029020000}"/>
    <cellStyle name="Normal 10 3 2" xfId="823" xr:uid="{00000000-0005-0000-0000-00002A020000}"/>
    <cellStyle name="Normal 10 3 2 2" xfId="824" xr:uid="{00000000-0005-0000-0000-00002B020000}"/>
    <cellStyle name="Normal 10 3 3" xfId="825" xr:uid="{00000000-0005-0000-0000-00002C020000}"/>
    <cellStyle name="Normal 10 4" xfId="826" xr:uid="{00000000-0005-0000-0000-00002D020000}"/>
    <cellStyle name="Normal 10 4 2" xfId="827" xr:uid="{00000000-0005-0000-0000-00002E020000}"/>
    <cellStyle name="Normal 10 5" xfId="828" xr:uid="{00000000-0005-0000-0000-00002F020000}"/>
    <cellStyle name="Normal 10_2112 DF Schedule" xfId="155" xr:uid="{00000000-0005-0000-0000-000030020000}"/>
    <cellStyle name="Normal 100" xfId="449" xr:uid="{00000000-0005-0000-0000-000031020000}"/>
    <cellStyle name="Normal 100 2" xfId="829" xr:uid="{00000000-0005-0000-0000-000032020000}"/>
    <cellStyle name="Normal 101" xfId="450" xr:uid="{00000000-0005-0000-0000-000033020000}"/>
    <cellStyle name="Normal 101 2" xfId="830" xr:uid="{00000000-0005-0000-0000-000034020000}"/>
    <cellStyle name="Normal 102" xfId="451" xr:uid="{00000000-0005-0000-0000-000035020000}"/>
    <cellStyle name="Normal 102 2" xfId="831" xr:uid="{00000000-0005-0000-0000-000036020000}"/>
    <cellStyle name="Normal 103" xfId="452" xr:uid="{00000000-0005-0000-0000-000037020000}"/>
    <cellStyle name="Normal 103 2" xfId="832" xr:uid="{00000000-0005-0000-0000-000038020000}"/>
    <cellStyle name="Normal 104" xfId="453" xr:uid="{00000000-0005-0000-0000-000039020000}"/>
    <cellStyle name="Normal 104 2" xfId="833" xr:uid="{00000000-0005-0000-0000-00003A020000}"/>
    <cellStyle name="Normal 105" xfId="454" xr:uid="{00000000-0005-0000-0000-00003B020000}"/>
    <cellStyle name="Normal 105 2" xfId="834" xr:uid="{00000000-0005-0000-0000-00003C020000}"/>
    <cellStyle name="Normal 106" xfId="455" xr:uid="{00000000-0005-0000-0000-00003D020000}"/>
    <cellStyle name="Normal 107" xfId="456" xr:uid="{00000000-0005-0000-0000-00003E020000}"/>
    <cellStyle name="Normal 107 2" xfId="835" xr:uid="{00000000-0005-0000-0000-00003F020000}"/>
    <cellStyle name="Normal 108" xfId="457" xr:uid="{00000000-0005-0000-0000-000040020000}"/>
    <cellStyle name="Normal 108 2" xfId="836" xr:uid="{00000000-0005-0000-0000-000041020000}"/>
    <cellStyle name="Normal 109" xfId="458" xr:uid="{00000000-0005-0000-0000-000042020000}"/>
    <cellStyle name="Normal 109 2" xfId="837" xr:uid="{00000000-0005-0000-0000-000043020000}"/>
    <cellStyle name="Normal 109 3" xfId="838" xr:uid="{00000000-0005-0000-0000-000044020000}"/>
    <cellStyle name="Normal 11" xfId="156" xr:uid="{00000000-0005-0000-0000-000045020000}"/>
    <cellStyle name="Normal 11 2" xfId="459" xr:uid="{00000000-0005-0000-0000-000046020000}"/>
    <cellStyle name="Normal 11 2 2" xfId="460" xr:uid="{00000000-0005-0000-0000-000047020000}"/>
    <cellStyle name="Normal 11 2 2 2" xfId="839" xr:uid="{00000000-0005-0000-0000-000048020000}"/>
    <cellStyle name="Normal 11 2 2 2 2" xfId="840" xr:uid="{00000000-0005-0000-0000-000049020000}"/>
    <cellStyle name="Normal 11 2 2 3" xfId="841" xr:uid="{00000000-0005-0000-0000-00004A020000}"/>
    <cellStyle name="Normal 11 2 3" xfId="842" xr:uid="{00000000-0005-0000-0000-00004B020000}"/>
    <cellStyle name="Normal 11 2 3 2" xfId="843" xr:uid="{00000000-0005-0000-0000-00004C020000}"/>
    <cellStyle name="Normal 11 2 4" xfId="844" xr:uid="{00000000-0005-0000-0000-00004D020000}"/>
    <cellStyle name="Normal 11 3" xfId="845" xr:uid="{00000000-0005-0000-0000-00004E020000}"/>
    <cellStyle name="Normal 11 3 2" xfId="846" xr:uid="{00000000-0005-0000-0000-00004F020000}"/>
    <cellStyle name="Normal 11 3 2 2" xfId="847" xr:uid="{00000000-0005-0000-0000-000050020000}"/>
    <cellStyle name="Normal 11 3 3" xfId="848" xr:uid="{00000000-0005-0000-0000-000051020000}"/>
    <cellStyle name="Normal 11 4" xfId="849" xr:uid="{00000000-0005-0000-0000-000052020000}"/>
    <cellStyle name="Normal 11 4 2" xfId="850" xr:uid="{00000000-0005-0000-0000-000053020000}"/>
    <cellStyle name="Normal 11 5" xfId="851" xr:uid="{00000000-0005-0000-0000-000054020000}"/>
    <cellStyle name="Normal 110" xfId="461" xr:uid="{00000000-0005-0000-0000-000055020000}"/>
    <cellStyle name="Normal 110 2" xfId="852" xr:uid="{00000000-0005-0000-0000-000056020000}"/>
    <cellStyle name="Normal 111" xfId="462" xr:uid="{00000000-0005-0000-0000-000057020000}"/>
    <cellStyle name="Normal 111 2" xfId="853" xr:uid="{00000000-0005-0000-0000-000058020000}"/>
    <cellStyle name="Normal 111 3" xfId="854" xr:uid="{00000000-0005-0000-0000-000059020000}"/>
    <cellStyle name="Normal 112" xfId="855" xr:uid="{00000000-0005-0000-0000-00005A020000}"/>
    <cellStyle name="Normal 112 2" xfId="856" xr:uid="{00000000-0005-0000-0000-00005B020000}"/>
    <cellStyle name="Normal 112 3" xfId="857" xr:uid="{00000000-0005-0000-0000-00005C020000}"/>
    <cellStyle name="Normal 113" xfId="858" xr:uid="{00000000-0005-0000-0000-00005D020000}"/>
    <cellStyle name="Normal 113 2" xfId="859" xr:uid="{00000000-0005-0000-0000-00005E020000}"/>
    <cellStyle name="Normal 113 3" xfId="860" xr:uid="{00000000-0005-0000-0000-00005F020000}"/>
    <cellStyle name="Normal 114" xfId="861" xr:uid="{00000000-0005-0000-0000-000060020000}"/>
    <cellStyle name="Normal 115" xfId="862" xr:uid="{00000000-0005-0000-0000-000061020000}"/>
    <cellStyle name="Normal 116" xfId="863" xr:uid="{00000000-0005-0000-0000-000062020000}"/>
    <cellStyle name="Normal 117" xfId="864" xr:uid="{00000000-0005-0000-0000-000063020000}"/>
    <cellStyle name="Normal 117 2" xfId="865" xr:uid="{00000000-0005-0000-0000-000064020000}"/>
    <cellStyle name="Normal 118" xfId="866" xr:uid="{00000000-0005-0000-0000-000065020000}"/>
    <cellStyle name="Normal 118 2" xfId="1264" xr:uid="{7684411D-9704-40C8-BEF2-E745015EAC74}"/>
    <cellStyle name="Normal 12" xfId="157" xr:uid="{00000000-0005-0000-0000-000066020000}"/>
    <cellStyle name="Normal 12 2" xfId="463" xr:uid="{00000000-0005-0000-0000-000067020000}"/>
    <cellStyle name="Normal 12 2 2" xfId="867" xr:uid="{00000000-0005-0000-0000-000068020000}"/>
    <cellStyle name="Normal 12 2 2 2" xfId="868" xr:uid="{00000000-0005-0000-0000-000069020000}"/>
    <cellStyle name="Normal 12 2 2 2 2" xfId="869" xr:uid="{00000000-0005-0000-0000-00006A020000}"/>
    <cellStyle name="Normal 12 2 2 3" xfId="870" xr:uid="{00000000-0005-0000-0000-00006B020000}"/>
    <cellStyle name="Normal 12 2 3" xfId="871" xr:uid="{00000000-0005-0000-0000-00006C020000}"/>
    <cellStyle name="Normal 12 2 3 2" xfId="872" xr:uid="{00000000-0005-0000-0000-00006D020000}"/>
    <cellStyle name="Normal 12 2 4" xfId="873" xr:uid="{00000000-0005-0000-0000-00006E020000}"/>
    <cellStyle name="Normal 12 3" xfId="464" xr:uid="{00000000-0005-0000-0000-00006F020000}"/>
    <cellStyle name="Normal 12 3 2" xfId="874" xr:uid="{00000000-0005-0000-0000-000070020000}"/>
    <cellStyle name="Normal 12 3 2 2" xfId="875" xr:uid="{00000000-0005-0000-0000-000071020000}"/>
    <cellStyle name="Normal 12 3 3" xfId="876" xr:uid="{00000000-0005-0000-0000-000072020000}"/>
    <cellStyle name="Normal 12 4" xfId="465" xr:uid="{00000000-0005-0000-0000-000073020000}"/>
    <cellStyle name="Normal 12 4 2" xfId="877" xr:uid="{00000000-0005-0000-0000-000074020000}"/>
    <cellStyle name="Normal 12 5" xfId="466" xr:uid="{00000000-0005-0000-0000-000075020000}"/>
    <cellStyle name="Normal 12 6" xfId="878" xr:uid="{00000000-0005-0000-0000-000076020000}"/>
    <cellStyle name="Normal 12 7" xfId="879" xr:uid="{00000000-0005-0000-0000-000077020000}"/>
    <cellStyle name="Normal 12_Sheet1" xfId="467" xr:uid="{00000000-0005-0000-0000-000078020000}"/>
    <cellStyle name="Normal 13" xfId="158" xr:uid="{00000000-0005-0000-0000-000079020000}"/>
    <cellStyle name="Normal 13 2" xfId="468" xr:uid="{00000000-0005-0000-0000-00007A020000}"/>
    <cellStyle name="Normal 13 2 2" xfId="880" xr:uid="{00000000-0005-0000-0000-00007B020000}"/>
    <cellStyle name="Normal 13 2 2 2" xfId="881" xr:uid="{00000000-0005-0000-0000-00007C020000}"/>
    <cellStyle name="Normal 13 2 2 2 2" xfId="882" xr:uid="{00000000-0005-0000-0000-00007D020000}"/>
    <cellStyle name="Normal 13 2 2 3" xfId="883" xr:uid="{00000000-0005-0000-0000-00007E020000}"/>
    <cellStyle name="Normal 13 2 3" xfId="884" xr:uid="{00000000-0005-0000-0000-00007F020000}"/>
    <cellStyle name="Normal 13 2 3 2" xfId="885" xr:uid="{00000000-0005-0000-0000-000080020000}"/>
    <cellStyle name="Normal 13 2 4" xfId="886" xr:uid="{00000000-0005-0000-0000-000081020000}"/>
    <cellStyle name="Normal 13 3" xfId="469" xr:uid="{00000000-0005-0000-0000-000082020000}"/>
    <cellStyle name="Normal 13 3 2" xfId="887" xr:uid="{00000000-0005-0000-0000-000083020000}"/>
    <cellStyle name="Normal 13 3 2 2" xfId="888" xr:uid="{00000000-0005-0000-0000-000084020000}"/>
    <cellStyle name="Normal 13 3 3" xfId="889" xr:uid="{00000000-0005-0000-0000-000085020000}"/>
    <cellStyle name="Normal 13 4" xfId="470" xr:uid="{00000000-0005-0000-0000-000086020000}"/>
    <cellStyle name="Normal 13 4 2" xfId="890" xr:uid="{00000000-0005-0000-0000-000087020000}"/>
    <cellStyle name="Normal 13 5" xfId="471" xr:uid="{00000000-0005-0000-0000-000088020000}"/>
    <cellStyle name="Normal 13 6" xfId="891" xr:uid="{00000000-0005-0000-0000-000089020000}"/>
    <cellStyle name="Normal 13 7" xfId="892" xr:uid="{00000000-0005-0000-0000-00008A020000}"/>
    <cellStyle name="Normal 13_Sheet1" xfId="472" xr:uid="{00000000-0005-0000-0000-00008B020000}"/>
    <cellStyle name="Normal 14" xfId="159" xr:uid="{00000000-0005-0000-0000-00008C020000}"/>
    <cellStyle name="Normal 14 2" xfId="473" xr:uid="{00000000-0005-0000-0000-00008D020000}"/>
    <cellStyle name="Normal 14 2 2" xfId="893" xr:uid="{00000000-0005-0000-0000-00008E020000}"/>
    <cellStyle name="Normal 14 2 2 2" xfId="894" xr:uid="{00000000-0005-0000-0000-00008F020000}"/>
    <cellStyle name="Normal 14 2 3" xfId="895" xr:uid="{00000000-0005-0000-0000-000090020000}"/>
    <cellStyle name="Normal 14 3" xfId="474" xr:uid="{00000000-0005-0000-0000-000091020000}"/>
    <cellStyle name="Normal 14 3 2" xfId="896" xr:uid="{00000000-0005-0000-0000-000092020000}"/>
    <cellStyle name="Normal 14 4" xfId="475" xr:uid="{00000000-0005-0000-0000-000093020000}"/>
    <cellStyle name="Normal 14 5" xfId="897" xr:uid="{00000000-0005-0000-0000-000094020000}"/>
    <cellStyle name="Normal 14_Sheet1" xfId="476" xr:uid="{00000000-0005-0000-0000-000095020000}"/>
    <cellStyle name="Normal 15" xfId="160" xr:uid="{00000000-0005-0000-0000-000096020000}"/>
    <cellStyle name="Normal 15 2" xfId="477" xr:uid="{00000000-0005-0000-0000-000097020000}"/>
    <cellStyle name="Normal 15 2 2" xfId="898" xr:uid="{00000000-0005-0000-0000-000098020000}"/>
    <cellStyle name="Normal 15 2 2 2" xfId="899" xr:uid="{00000000-0005-0000-0000-000099020000}"/>
    <cellStyle name="Normal 15 2 3" xfId="900" xr:uid="{00000000-0005-0000-0000-00009A020000}"/>
    <cellStyle name="Normal 15 3" xfId="478" xr:uid="{00000000-0005-0000-0000-00009B020000}"/>
    <cellStyle name="Normal 15 3 2" xfId="901" xr:uid="{00000000-0005-0000-0000-00009C020000}"/>
    <cellStyle name="Normal 15 4" xfId="479" xr:uid="{00000000-0005-0000-0000-00009D020000}"/>
    <cellStyle name="Normal 15 5" xfId="902" xr:uid="{00000000-0005-0000-0000-00009E020000}"/>
    <cellStyle name="Normal 16" xfId="161" xr:uid="{00000000-0005-0000-0000-00009F020000}"/>
    <cellStyle name="Normal 16 2" xfId="480" xr:uid="{00000000-0005-0000-0000-0000A0020000}"/>
    <cellStyle name="Normal 16 2 2" xfId="903" xr:uid="{00000000-0005-0000-0000-0000A1020000}"/>
    <cellStyle name="Normal 16 2 2 2" xfId="904" xr:uid="{00000000-0005-0000-0000-0000A2020000}"/>
    <cellStyle name="Normal 16 3" xfId="481" xr:uid="{00000000-0005-0000-0000-0000A3020000}"/>
    <cellStyle name="Normal 16 3 2" xfId="905" xr:uid="{00000000-0005-0000-0000-0000A4020000}"/>
    <cellStyle name="Normal 16 3 2 2" xfId="906" xr:uid="{00000000-0005-0000-0000-0000A5020000}"/>
    <cellStyle name="Normal 16 3 3" xfId="907" xr:uid="{00000000-0005-0000-0000-0000A6020000}"/>
    <cellStyle name="Normal 16 4" xfId="908" xr:uid="{00000000-0005-0000-0000-0000A7020000}"/>
    <cellStyle name="Normal 16 4 2" xfId="909" xr:uid="{00000000-0005-0000-0000-0000A8020000}"/>
    <cellStyle name="Normal 16 5" xfId="910" xr:uid="{00000000-0005-0000-0000-0000A9020000}"/>
    <cellStyle name="Normal 16 6" xfId="911" xr:uid="{00000000-0005-0000-0000-0000AA020000}"/>
    <cellStyle name="Normal 17" xfId="162" xr:uid="{00000000-0005-0000-0000-0000AB020000}"/>
    <cellStyle name="Normal 17 2" xfId="482" xr:uid="{00000000-0005-0000-0000-0000AC020000}"/>
    <cellStyle name="Normal 17 2 2" xfId="912" xr:uid="{00000000-0005-0000-0000-0000AD020000}"/>
    <cellStyle name="Normal 17 2 2 2" xfId="913" xr:uid="{00000000-0005-0000-0000-0000AE020000}"/>
    <cellStyle name="Normal 17 3" xfId="483" xr:uid="{00000000-0005-0000-0000-0000AF020000}"/>
    <cellStyle name="Normal 17 3 2" xfId="914" xr:uid="{00000000-0005-0000-0000-0000B0020000}"/>
    <cellStyle name="Normal 17 4" xfId="915" xr:uid="{00000000-0005-0000-0000-0000B1020000}"/>
    <cellStyle name="Normal 18" xfId="163" xr:uid="{00000000-0005-0000-0000-0000B2020000}"/>
    <cellStyle name="Normal 18 2" xfId="484" xr:uid="{00000000-0005-0000-0000-0000B3020000}"/>
    <cellStyle name="Normal 18 2 2" xfId="916" xr:uid="{00000000-0005-0000-0000-0000B4020000}"/>
    <cellStyle name="Normal 18 2 2 2" xfId="917" xr:uid="{00000000-0005-0000-0000-0000B5020000}"/>
    <cellStyle name="Normal 18 2 3" xfId="918" xr:uid="{00000000-0005-0000-0000-0000B6020000}"/>
    <cellStyle name="Normal 18 3" xfId="485" xr:uid="{00000000-0005-0000-0000-0000B7020000}"/>
    <cellStyle name="Normal 18 3 2" xfId="919" xr:uid="{00000000-0005-0000-0000-0000B8020000}"/>
    <cellStyle name="Normal 18 3 2 2" xfId="920" xr:uid="{00000000-0005-0000-0000-0000B9020000}"/>
    <cellStyle name="Normal 18 3 3" xfId="921" xr:uid="{00000000-0005-0000-0000-0000BA020000}"/>
    <cellStyle name="Normal 18 4" xfId="922" xr:uid="{00000000-0005-0000-0000-0000BB020000}"/>
    <cellStyle name="Normal 18 4 2" xfId="923" xr:uid="{00000000-0005-0000-0000-0000BC020000}"/>
    <cellStyle name="Normal 18 5" xfId="924" xr:uid="{00000000-0005-0000-0000-0000BD020000}"/>
    <cellStyle name="Normal 18 5 2" xfId="925" xr:uid="{00000000-0005-0000-0000-0000BE020000}"/>
    <cellStyle name="Normal 18 6" xfId="926" xr:uid="{00000000-0005-0000-0000-0000BF020000}"/>
    <cellStyle name="Normal 18 7" xfId="927" xr:uid="{00000000-0005-0000-0000-0000C0020000}"/>
    <cellStyle name="Normal 19" xfId="164" xr:uid="{00000000-0005-0000-0000-0000C1020000}"/>
    <cellStyle name="Normal 19 2" xfId="486" xr:uid="{00000000-0005-0000-0000-0000C2020000}"/>
    <cellStyle name="Normal 19 2 2" xfId="928" xr:uid="{00000000-0005-0000-0000-0000C3020000}"/>
    <cellStyle name="Normal 19 3" xfId="487" xr:uid="{00000000-0005-0000-0000-0000C4020000}"/>
    <cellStyle name="Normal 19 3 2" xfId="929" xr:uid="{00000000-0005-0000-0000-0000C5020000}"/>
    <cellStyle name="Normal 19 4" xfId="930" xr:uid="{00000000-0005-0000-0000-0000C6020000}"/>
    <cellStyle name="Normal 2" xfId="165" xr:uid="{00000000-0005-0000-0000-0000C7020000}"/>
    <cellStyle name="Normal 2 10" xfId="488" xr:uid="{00000000-0005-0000-0000-0000C8020000}"/>
    <cellStyle name="Normal 2 11" xfId="489" xr:uid="{00000000-0005-0000-0000-0000C9020000}"/>
    <cellStyle name="Normal 2 2" xfId="166" xr:uid="{00000000-0005-0000-0000-0000CA020000}"/>
    <cellStyle name="Normal 2 2 2" xfId="167" xr:uid="{00000000-0005-0000-0000-0000CB020000}"/>
    <cellStyle name="Normal 2 2 2 2" xfId="490" xr:uid="{00000000-0005-0000-0000-0000CC020000}"/>
    <cellStyle name="Normal 2 2 2_JE_IS11" xfId="931" xr:uid="{00000000-0005-0000-0000-0000CD020000}"/>
    <cellStyle name="Normal 2 2 3" xfId="168" xr:uid="{00000000-0005-0000-0000-0000CE020000}"/>
    <cellStyle name="Normal 2 2 4" xfId="491" xr:uid="{00000000-0005-0000-0000-0000CF020000}"/>
    <cellStyle name="Normal 2 2 5" xfId="932" xr:uid="{00000000-0005-0000-0000-0000D0020000}"/>
    <cellStyle name="Normal 2 2 6" xfId="933" xr:uid="{00000000-0005-0000-0000-0000D1020000}"/>
    <cellStyle name="Normal 2 2 7" xfId="934" xr:uid="{00000000-0005-0000-0000-0000D2020000}"/>
    <cellStyle name="Normal 2 2 8" xfId="935" xr:uid="{00000000-0005-0000-0000-0000D3020000}"/>
    <cellStyle name="Normal 2 2_4MthProj2" xfId="492" xr:uid="{00000000-0005-0000-0000-0000D4020000}"/>
    <cellStyle name="Normal 2 3" xfId="169" xr:uid="{00000000-0005-0000-0000-0000D5020000}"/>
    <cellStyle name="Normal 2 3 2" xfId="170" xr:uid="{00000000-0005-0000-0000-0000D6020000}"/>
    <cellStyle name="Normal 2 3 2 2" xfId="936" xr:uid="{00000000-0005-0000-0000-0000D7020000}"/>
    <cellStyle name="Normal 2 3 2 3" xfId="937" xr:uid="{00000000-0005-0000-0000-0000D8020000}"/>
    <cellStyle name="Normal 2 3 3" xfId="171" xr:uid="{00000000-0005-0000-0000-0000D9020000}"/>
    <cellStyle name="Normal 2 3 3 2" xfId="938" xr:uid="{00000000-0005-0000-0000-0000DA020000}"/>
    <cellStyle name="Normal 2 3 3 2 2" xfId="939" xr:uid="{00000000-0005-0000-0000-0000DB020000}"/>
    <cellStyle name="Normal 2 3 3 3" xfId="940" xr:uid="{00000000-0005-0000-0000-0000DC020000}"/>
    <cellStyle name="Normal 2 3 4" xfId="941" xr:uid="{00000000-0005-0000-0000-0000DD020000}"/>
    <cellStyle name="Normal 2 3 4 2" xfId="942" xr:uid="{00000000-0005-0000-0000-0000DE020000}"/>
    <cellStyle name="Normal 2 3 5" xfId="943" xr:uid="{00000000-0005-0000-0000-0000DF020000}"/>
    <cellStyle name="Normal 2 3_4MthProj2" xfId="493" xr:uid="{00000000-0005-0000-0000-0000E0020000}"/>
    <cellStyle name="Normal 2 4" xfId="172" xr:uid="{00000000-0005-0000-0000-0000E1020000}"/>
    <cellStyle name="Normal 2 4 2" xfId="494" xr:uid="{00000000-0005-0000-0000-0000E2020000}"/>
    <cellStyle name="Normal 2 4 2 2" xfId="944" xr:uid="{00000000-0005-0000-0000-0000E3020000}"/>
    <cellStyle name="Normal 2 4 3" xfId="945" xr:uid="{00000000-0005-0000-0000-0000E4020000}"/>
    <cellStyle name="Normal 2 4 3 2" xfId="946" xr:uid="{00000000-0005-0000-0000-0000E5020000}"/>
    <cellStyle name="Normal 2 5" xfId="173" xr:uid="{00000000-0005-0000-0000-0000E6020000}"/>
    <cellStyle name="Normal 2 5 2" xfId="947" xr:uid="{00000000-0005-0000-0000-0000E7020000}"/>
    <cellStyle name="Normal 2 5 3" xfId="948" xr:uid="{00000000-0005-0000-0000-0000E8020000}"/>
    <cellStyle name="Normal 2 6" xfId="174" xr:uid="{00000000-0005-0000-0000-0000E9020000}"/>
    <cellStyle name="Normal 2 6 2" xfId="560" xr:uid="{00000000-0005-0000-0000-0000EA020000}"/>
    <cellStyle name="Normal 2 6 2 2" xfId="949" xr:uid="{00000000-0005-0000-0000-0000EB020000}"/>
    <cellStyle name="Normal 2 6 3" xfId="950" xr:uid="{00000000-0005-0000-0000-0000EC020000}"/>
    <cellStyle name="Normal 2 7" xfId="495" xr:uid="{00000000-0005-0000-0000-0000ED020000}"/>
    <cellStyle name="Normal 2 7 2" xfId="951" xr:uid="{00000000-0005-0000-0000-0000EE020000}"/>
    <cellStyle name="Normal 2 8" xfId="496" xr:uid="{00000000-0005-0000-0000-0000EF020000}"/>
    <cellStyle name="Normal 2 9" xfId="497" xr:uid="{00000000-0005-0000-0000-0000F0020000}"/>
    <cellStyle name="Normal 2_2009 Regulated Price Out" xfId="498" xr:uid="{00000000-0005-0000-0000-0000F1020000}"/>
    <cellStyle name="Normal 20" xfId="175" xr:uid="{00000000-0005-0000-0000-0000F2020000}"/>
    <cellStyle name="Normal 20 2" xfId="499" xr:uid="{00000000-0005-0000-0000-0000F3020000}"/>
    <cellStyle name="Normal 20 2 2" xfId="952" xr:uid="{00000000-0005-0000-0000-0000F4020000}"/>
    <cellStyle name="Normal 20 2 3" xfId="953" xr:uid="{00000000-0005-0000-0000-0000F5020000}"/>
    <cellStyle name="Normal 20 3" xfId="500" xr:uid="{00000000-0005-0000-0000-0000F6020000}"/>
    <cellStyle name="Normal 20 4" xfId="954" xr:uid="{00000000-0005-0000-0000-0000F7020000}"/>
    <cellStyle name="Normal 20 4 2" xfId="955" xr:uid="{00000000-0005-0000-0000-0000F8020000}"/>
    <cellStyle name="Normal 20 5" xfId="956" xr:uid="{00000000-0005-0000-0000-0000F9020000}"/>
    <cellStyle name="Normal 20 6" xfId="957" xr:uid="{00000000-0005-0000-0000-0000FA020000}"/>
    <cellStyle name="Normal 21" xfId="176" xr:uid="{00000000-0005-0000-0000-0000FB020000}"/>
    <cellStyle name="Normal 21 2" xfId="501" xr:uid="{00000000-0005-0000-0000-0000FC020000}"/>
    <cellStyle name="Normal 21 2 2" xfId="958" xr:uid="{00000000-0005-0000-0000-0000FD020000}"/>
    <cellStyle name="Normal 21 3" xfId="959" xr:uid="{00000000-0005-0000-0000-0000FE020000}"/>
    <cellStyle name="Normal 21 3 2" xfId="960" xr:uid="{00000000-0005-0000-0000-0000FF020000}"/>
    <cellStyle name="Normal 21 4" xfId="961" xr:uid="{00000000-0005-0000-0000-000000030000}"/>
    <cellStyle name="Normal 22" xfId="177" xr:uid="{00000000-0005-0000-0000-000001030000}"/>
    <cellStyle name="Normal 22 2" xfId="502" xr:uid="{00000000-0005-0000-0000-000002030000}"/>
    <cellStyle name="Normal 22 2 2" xfId="962" xr:uid="{00000000-0005-0000-0000-000003030000}"/>
    <cellStyle name="Normal 22 3" xfId="963" xr:uid="{00000000-0005-0000-0000-000004030000}"/>
    <cellStyle name="Normal 22 3 2" xfId="964" xr:uid="{00000000-0005-0000-0000-000005030000}"/>
    <cellStyle name="Normal 22 4" xfId="965" xr:uid="{00000000-0005-0000-0000-000006030000}"/>
    <cellStyle name="Normal 23" xfId="178" xr:uid="{00000000-0005-0000-0000-000007030000}"/>
    <cellStyle name="Normal 23 2" xfId="503" xr:uid="{00000000-0005-0000-0000-000008030000}"/>
    <cellStyle name="Normal 23 2 2" xfId="966" xr:uid="{00000000-0005-0000-0000-000009030000}"/>
    <cellStyle name="Normal 23 2 3" xfId="967" xr:uid="{00000000-0005-0000-0000-00000A030000}"/>
    <cellStyle name="Normal 23 3" xfId="968" xr:uid="{00000000-0005-0000-0000-00000B030000}"/>
    <cellStyle name="Normal 23 3 2" xfId="969" xr:uid="{00000000-0005-0000-0000-00000C030000}"/>
    <cellStyle name="Normal 23 3 3" xfId="970" xr:uid="{00000000-0005-0000-0000-00000D030000}"/>
    <cellStyle name="Normal 23 4" xfId="971" xr:uid="{00000000-0005-0000-0000-00000E030000}"/>
    <cellStyle name="Normal 24" xfId="179" xr:uid="{00000000-0005-0000-0000-00000F030000}"/>
    <cellStyle name="Normal 24 2" xfId="504" xr:uid="{00000000-0005-0000-0000-000010030000}"/>
    <cellStyle name="Normal 24 2 2" xfId="972" xr:uid="{00000000-0005-0000-0000-000011030000}"/>
    <cellStyle name="Normal 24 2 3" xfId="973" xr:uid="{00000000-0005-0000-0000-000012030000}"/>
    <cellStyle name="Normal 24 3" xfId="974" xr:uid="{00000000-0005-0000-0000-000013030000}"/>
    <cellStyle name="Normal 24 3 2" xfId="975" xr:uid="{00000000-0005-0000-0000-000014030000}"/>
    <cellStyle name="Normal 24 4" xfId="976" xr:uid="{00000000-0005-0000-0000-000015030000}"/>
    <cellStyle name="Normal 25" xfId="180" xr:uid="{00000000-0005-0000-0000-000016030000}"/>
    <cellStyle name="Normal 25 2" xfId="977" xr:uid="{00000000-0005-0000-0000-000017030000}"/>
    <cellStyle name="Normal 25 2 2" xfId="978" xr:uid="{00000000-0005-0000-0000-000018030000}"/>
    <cellStyle name="Normal 25 3" xfId="979" xr:uid="{00000000-0005-0000-0000-000019030000}"/>
    <cellStyle name="Normal 25 4" xfId="980" xr:uid="{00000000-0005-0000-0000-00001A030000}"/>
    <cellStyle name="Normal 26" xfId="181" xr:uid="{00000000-0005-0000-0000-00001B030000}"/>
    <cellStyle name="Normal 26 2" xfId="981" xr:uid="{00000000-0005-0000-0000-00001C030000}"/>
    <cellStyle name="Normal 26 2 2" xfId="982" xr:uid="{00000000-0005-0000-0000-00001D030000}"/>
    <cellStyle name="Normal 26 3" xfId="983" xr:uid="{00000000-0005-0000-0000-00001E030000}"/>
    <cellStyle name="Normal 26 4" xfId="984" xr:uid="{00000000-0005-0000-0000-00001F030000}"/>
    <cellStyle name="Normal 27" xfId="182" xr:uid="{00000000-0005-0000-0000-000020030000}"/>
    <cellStyle name="Normal 27 2" xfId="505" xr:uid="{00000000-0005-0000-0000-000021030000}"/>
    <cellStyle name="Normal 27 2 2" xfId="985" xr:uid="{00000000-0005-0000-0000-000022030000}"/>
    <cellStyle name="Normal 27 2 2 2" xfId="986" xr:uid="{00000000-0005-0000-0000-000023030000}"/>
    <cellStyle name="Normal 27 3" xfId="987" xr:uid="{00000000-0005-0000-0000-000024030000}"/>
    <cellStyle name="Normal 27 3 2" xfId="988" xr:uid="{00000000-0005-0000-0000-000025030000}"/>
    <cellStyle name="Normal 27 4" xfId="989" xr:uid="{00000000-0005-0000-0000-000026030000}"/>
    <cellStyle name="Normal 27 5" xfId="990" xr:uid="{00000000-0005-0000-0000-000027030000}"/>
    <cellStyle name="Normal 28" xfId="183" xr:uid="{00000000-0005-0000-0000-000028030000}"/>
    <cellStyle name="Normal 28 2" xfId="991" xr:uid="{00000000-0005-0000-0000-000029030000}"/>
    <cellStyle name="Normal 28 2 2" xfId="992" xr:uid="{00000000-0005-0000-0000-00002A030000}"/>
    <cellStyle name="Normal 28 3" xfId="993" xr:uid="{00000000-0005-0000-0000-00002B030000}"/>
    <cellStyle name="Normal 28 4" xfId="994" xr:uid="{00000000-0005-0000-0000-00002C030000}"/>
    <cellStyle name="Normal 29" xfId="184" xr:uid="{00000000-0005-0000-0000-00002D030000}"/>
    <cellStyle name="Normal 29 2" xfId="995" xr:uid="{00000000-0005-0000-0000-00002E030000}"/>
    <cellStyle name="Normal 29 3" xfId="996" xr:uid="{00000000-0005-0000-0000-00002F030000}"/>
    <cellStyle name="Normal 29 4" xfId="997" xr:uid="{00000000-0005-0000-0000-000030030000}"/>
    <cellStyle name="Normal 3" xfId="185" xr:uid="{00000000-0005-0000-0000-000031030000}"/>
    <cellStyle name="Normal 3 2" xfId="186" xr:uid="{00000000-0005-0000-0000-000032030000}"/>
    <cellStyle name="Normal 3 2 2" xfId="506" xr:uid="{00000000-0005-0000-0000-000033030000}"/>
    <cellStyle name="Normal 3 2 2 2" xfId="998" xr:uid="{00000000-0005-0000-0000-000034030000}"/>
    <cellStyle name="Normal 3 2 2 2 2" xfId="999" xr:uid="{00000000-0005-0000-0000-000035030000}"/>
    <cellStyle name="Normal 3 2 3" xfId="1000" xr:uid="{00000000-0005-0000-0000-000036030000}"/>
    <cellStyle name="Normal 3 2 3 2" xfId="1001" xr:uid="{00000000-0005-0000-0000-000037030000}"/>
    <cellStyle name="Normal 3 3" xfId="187" xr:uid="{00000000-0005-0000-0000-000038030000}"/>
    <cellStyle name="Normal 3 3 2" xfId="507" xr:uid="{00000000-0005-0000-0000-000039030000}"/>
    <cellStyle name="Normal 3 3 2 2" xfId="1002" xr:uid="{00000000-0005-0000-0000-00003A030000}"/>
    <cellStyle name="Normal 3 3 3" xfId="1003" xr:uid="{00000000-0005-0000-0000-00003B030000}"/>
    <cellStyle name="Normal 3 3 4" xfId="1004" xr:uid="{00000000-0005-0000-0000-00003C030000}"/>
    <cellStyle name="Normal 3 4" xfId="508" xr:uid="{00000000-0005-0000-0000-00003D030000}"/>
    <cellStyle name="Normal 3 4 2" xfId="556" xr:uid="{00000000-0005-0000-0000-00003E030000}"/>
    <cellStyle name="Normal 3_2012 PR" xfId="188" xr:uid="{00000000-0005-0000-0000-00003F030000}"/>
    <cellStyle name="Normal 30" xfId="189" xr:uid="{00000000-0005-0000-0000-000040030000}"/>
    <cellStyle name="Normal 30 2" xfId="1005" xr:uid="{00000000-0005-0000-0000-000041030000}"/>
    <cellStyle name="Normal 30 3" xfId="1006" xr:uid="{00000000-0005-0000-0000-000042030000}"/>
    <cellStyle name="Normal 30 4" xfId="1007" xr:uid="{00000000-0005-0000-0000-000043030000}"/>
    <cellStyle name="Normal 31" xfId="190" xr:uid="{00000000-0005-0000-0000-000044030000}"/>
    <cellStyle name="Normal 31 2" xfId="509" xr:uid="{00000000-0005-0000-0000-000045030000}"/>
    <cellStyle name="Normal 31 2 2" xfId="1008" xr:uid="{00000000-0005-0000-0000-000046030000}"/>
    <cellStyle name="Normal 31 2 2 2" xfId="1009" xr:uid="{00000000-0005-0000-0000-000047030000}"/>
    <cellStyle name="Normal 31 2 3" xfId="1010" xr:uid="{00000000-0005-0000-0000-000048030000}"/>
    <cellStyle name="Normal 31 3" xfId="1011" xr:uid="{00000000-0005-0000-0000-000049030000}"/>
    <cellStyle name="Normal 31 3 2" xfId="1012" xr:uid="{00000000-0005-0000-0000-00004A030000}"/>
    <cellStyle name="Normal 31 3 3" xfId="1013" xr:uid="{00000000-0005-0000-0000-00004B030000}"/>
    <cellStyle name="Normal 31 4" xfId="1014" xr:uid="{00000000-0005-0000-0000-00004C030000}"/>
    <cellStyle name="Normal 31 4 2" xfId="1015" xr:uid="{00000000-0005-0000-0000-00004D030000}"/>
    <cellStyle name="Normal 32" xfId="191" xr:uid="{00000000-0005-0000-0000-00004E030000}"/>
    <cellStyle name="Normal 32 2" xfId="1016" xr:uid="{00000000-0005-0000-0000-00004F030000}"/>
    <cellStyle name="Normal 32 2 2" xfId="1017" xr:uid="{00000000-0005-0000-0000-000050030000}"/>
    <cellStyle name="Normal 32 2 2 2" xfId="1018" xr:uid="{00000000-0005-0000-0000-000051030000}"/>
    <cellStyle name="Normal 32 2 3" xfId="1019" xr:uid="{00000000-0005-0000-0000-000052030000}"/>
    <cellStyle name="Normal 32 3" xfId="1020" xr:uid="{00000000-0005-0000-0000-000053030000}"/>
    <cellStyle name="Normal 32 3 2" xfId="1021" xr:uid="{00000000-0005-0000-0000-000054030000}"/>
    <cellStyle name="Normal 32 4" xfId="1022" xr:uid="{00000000-0005-0000-0000-000055030000}"/>
    <cellStyle name="Normal 32 4 2" xfId="1023" xr:uid="{00000000-0005-0000-0000-000056030000}"/>
    <cellStyle name="Normal 33" xfId="192" xr:uid="{00000000-0005-0000-0000-000057030000}"/>
    <cellStyle name="Normal 33 2" xfId="1024" xr:uid="{00000000-0005-0000-0000-000058030000}"/>
    <cellStyle name="Normal 33 3" xfId="1025" xr:uid="{00000000-0005-0000-0000-000059030000}"/>
    <cellStyle name="Normal 34" xfId="193" xr:uid="{00000000-0005-0000-0000-00005A030000}"/>
    <cellStyle name="Normal 34 2" xfId="1026" xr:uid="{00000000-0005-0000-0000-00005B030000}"/>
    <cellStyle name="Normal 34 3" xfId="1027" xr:uid="{00000000-0005-0000-0000-00005C030000}"/>
    <cellStyle name="Normal 35" xfId="194" xr:uid="{00000000-0005-0000-0000-00005D030000}"/>
    <cellStyle name="Normal 35 2" xfId="1028" xr:uid="{00000000-0005-0000-0000-00005E030000}"/>
    <cellStyle name="Normal 35 2 2" xfId="1029" xr:uid="{00000000-0005-0000-0000-00005F030000}"/>
    <cellStyle name="Normal 35 3" xfId="1030" xr:uid="{00000000-0005-0000-0000-000060030000}"/>
    <cellStyle name="Normal 35 3 2" xfId="1031" xr:uid="{00000000-0005-0000-0000-000061030000}"/>
    <cellStyle name="Normal 36" xfId="195" xr:uid="{00000000-0005-0000-0000-000062030000}"/>
    <cellStyle name="Normal 36 2" xfId="1032" xr:uid="{00000000-0005-0000-0000-000063030000}"/>
    <cellStyle name="Normal 36 2 2" xfId="1033" xr:uid="{00000000-0005-0000-0000-000064030000}"/>
    <cellStyle name="Normal 36 3" xfId="1034" xr:uid="{00000000-0005-0000-0000-000065030000}"/>
    <cellStyle name="Normal 37" xfId="196" xr:uid="{00000000-0005-0000-0000-000066030000}"/>
    <cellStyle name="Normal 37 2" xfId="1035" xr:uid="{00000000-0005-0000-0000-000067030000}"/>
    <cellStyle name="Normal 37 2 2" xfId="1036" xr:uid="{00000000-0005-0000-0000-000068030000}"/>
    <cellStyle name="Normal 37 3" xfId="1037" xr:uid="{00000000-0005-0000-0000-000069030000}"/>
    <cellStyle name="Normal 38" xfId="197" xr:uid="{00000000-0005-0000-0000-00006A030000}"/>
    <cellStyle name="Normal 38 2" xfId="1038" xr:uid="{00000000-0005-0000-0000-00006B030000}"/>
    <cellStyle name="Normal 38 2 2" xfId="1039" xr:uid="{00000000-0005-0000-0000-00006C030000}"/>
    <cellStyle name="Normal 38 3" xfId="1040" xr:uid="{00000000-0005-0000-0000-00006D030000}"/>
    <cellStyle name="Normal 39" xfId="198" xr:uid="{00000000-0005-0000-0000-00006E030000}"/>
    <cellStyle name="Normal 39 2" xfId="1041" xr:uid="{00000000-0005-0000-0000-00006F030000}"/>
    <cellStyle name="Normal 39 2 2" xfId="1042" xr:uid="{00000000-0005-0000-0000-000070030000}"/>
    <cellStyle name="Normal 39 3" xfId="1043" xr:uid="{00000000-0005-0000-0000-000071030000}"/>
    <cellStyle name="Normal 4" xfId="199" xr:uid="{00000000-0005-0000-0000-000072030000}"/>
    <cellStyle name="Normal 4 2" xfId="200" xr:uid="{00000000-0005-0000-0000-000073030000}"/>
    <cellStyle name="Normal 4 2 2" xfId="510" xr:uid="{00000000-0005-0000-0000-000074030000}"/>
    <cellStyle name="Normal 4 2 2 2" xfId="1044" xr:uid="{00000000-0005-0000-0000-000075030000}"/>
    <cellStyle name="Normal 4 2 3" xfId="1045" xr:uid="{00000000-0005-0000-0000-000076030000}"/>
    <cellStyle name="Normal 4 2 4" xfId="1046" xr:uid="{00000000-0005-0000-0000-000077030000}"/>
    <cellStyle name="Normal 4 3" xfId="511" xr:uid="{00000000-0005-0000-0000-000078030000}"/>
    <cellStyle name="Normal 4 3 2" xfId="512" xr:uid="{00000000-0005-0000-0000-000079030000}"/>
    <cellStyle name="Normal 4 3 2 2" xfId="1047" xr:uid="{00000000-0005-0000-0000-00007A030000}"/>
    <cellStyle name="Normal 4 3 3" xfId="1048" xr:uid="{00000000-0005-0000-0000-00007B030000}"/>
    <cellStyle name="Normal 4 4" xfId="1049" xr:uid="{00000000-0005-0000-0000-00007C030000}"/>
    <cellStyle name="Normal 4 4 2" xfId="1050" xr:uid="{00000000-0005-0000-0000-00007D030000}"/>
    <cellStyle name="Normal 4 5" xfId="1051" xr:uid="{00000000-0005-0000-0000-00007E030000}"/>
    <cellStyle name="Normal 4_B&amp;O Taxes" xfId="1052" xr:uid="{00000000-0005-0000-0000-00007F030000}"/>
    <cellStyle name="Normal 40" xfId="201" xr:uid="{00000000-0005-0000-0000-000080030000}"/>
    <cellStyle name="Normal 40 2" xfId="1053" xr:uid="{00000000-0005-0000-0000-000081030000}"/>
    <cellStyle name="Normal 40 2 2" xfId="1054" xr:uid="{00000000-0005-0000-0000-000082030000}"/>
    <cellStyle name="Normal 40 3" xfId="1055" xr:uid="{00000000-0005-0000-0000-000083030000}"/>
    <cellStyle name="Normal 41" xfId="202" xr:uid="{00000000-0005-0000-0000-000084030000}"/>
    <cellStyle name="Normal 41 2" xfId="1056" xr:uid="{00000000-0005-0000-0000-000085030000}"/>
    <cellStyle name="Normal 41 2 2" xfId="1057" xr:uid="{00000000-0005-0000-0000-000086030000}"/>
    <cellStyle name="Normal 41 3" xfId="1058" xr:uid="{00000000-0005-0000-0000-000087030000}"/>
    <cellStyle name="Normal 42" xfId="203" xr:uid="{00000000-0005-0000-0000-000088030000}"/>
    <cellStyle name="Normal 42 2" xfId="1059" xr:uid="{00000000-0005-0000-0000-000089030000}"/>
    <cellStyle name="Normal 42 3" xfId="1060" xr:uid="{00000000-0005-0000-0000-00008A030000}"/>
    <cellStyle name="Normal 43" xfId="204" xr:uid="{00000000-0005-0000-0000-00008B030000}"/>
    <cellStyle name="Normal 43 2" xfId="1061" xr:uid="{00000000-0005-0000-0000-00008C030000}"/>
    <cellStyle name="Normal 43 3" xfId="1062" xr:uid="{00000000-0005-0000-0000-00008D030000}"/>
    <cellStyle name="Normal 44" xfId="205" xr:uid="{00000000-0005-0000-0000-00008E030000}"/>
    <cellStyle name="Normal 44 2" xfId="1063" xr:uid="{00000000-0005-0000-0000-00008F030000}"/>
    <cellStyle name="Normal 44 2 2" xfId="1064" xr:uid="{00000000-0005-0000-0000-000090030000}"/>
    <cellStyle name="Normal 44 3" xfId="1065" xr:uid="{00000000-0005-0000-0000-000091030000}"/>
    <cellStyle name="Normal 45" xfId="206" xr:uid="{00000000-0005-0000-0000-000092030000}"/>
    <cellStyle name="Normal 45 2" xfId="1066" xr:uid="{00000000-0005-0000-0000-000093030000}"/>
    <cellStyle name="Normal 45 3" xfId="1067" xr:uid="{00000000-0005-0000-0000-000094030000}"/>
    <cellStyle name="Normal 46" xfId="207" xr:uid="{00000000-0005-0000-0000-000095030000}"/>
    <cellStyle name="Normal 46 2" xfId="1068" xr:uid="{00000000-0005-0000-0000-000096030000}"/>
    <cellStyle name="Normal 46 3" xfId="1069" xr:uid="{00000000-0005-0000-0000-000097030000}"/>
    <cellStyle name="Normal 47" xfId="208" xr:uid="{00000000-0005-0000-0000-000098030000}"/>
    <cellStyle name="Normal 47 2" xfId="1070" xr:uid="{00000000-0005-0000-0000-000099030000}"/>
    <cellStyle name="Normal 47 3" xfId="1071" xr:uid="{00000000-0005-0000-0000-00009A030000}"/>
    <cellStyle name="Normal 48" xfId="209" xr:uid="{00000000-0005-0000-0000-00009B030000}"/>
    <cellStyle name="Normal 48 2" xfId="1072" xr:uid="{00000000-0005-0000-0000-00009C030000}"/>
    <cellStyle name="Normal 48 3" xfId="1073" xr:uid="{00000000-0005-0000-0000-00009D030000}"/>
    <cellStyle name="Normal 49" xfId="210" xr:uid="{00000000-0005-0000-0000-00009E030000}"/>
    <cellStyle name="Normal 49 2" xfId="1074" xr:uid="{00000000-0005-0000-0000-00009F030000}"/>
    <cellStyle name="Normal 49 3" xfId="1075" xr:uid="{00000000-0005-0000-0000-0000A0030000}"/>
    <cellStyle name="Normal 5" xfId="211" xr:uid="{00000000-0005-0000-0000-0000A1030000}"/>
    <cellStyle name="Normal 5 2" xfId="212" xr:uid="{00000000-0005-0000-0000-0000A2030000}"/>
    <cellStyle name="Normal 5 2 2" xfId="1076" xr:uid="{00000000-0005-0000-0000-0000A3030000}"/>
    <cellStyle name="Normal 5 2 2 2" xfId="1077" xr:uid="{00000000-0005-0000-0000-0000A4030000}"/>
    <cellStyle name="Normal 5 2 2 2 2" xfId="1078" xr:uid="{00000000-0005-0000-0000-0000A5030000}"/>
    <cellStyle name="Normal 5 2 2 3" xfId="1079" xr:uid="{00000000-0005-0000-0000-0000A6030000}"/>
    <cellStyle name="Normal 5 2 3" xfId="1080" xr:uid="{00000000-0005-0000-0000-0000A7030000}"/>
    <cellStyle name="Normal 5 2 3 2" xfId="1081" xr:uid="{00000000-0005-0000-0000-0000A8030000}"/>
    <cellStyle name="Normal 5 2 4" xfId="1082" xr:uid="{00000000-0005-0000-0000-0000A9030000}"/>
    <cellStyle name="Normal 5 3" xfId="513" xr:uid="{00000000-0005-0000-0000-0000AA030000}"/>
    <cellStyle name="Normal 5 3 2" xfId="1083" xr:uid="{00000000-0005-0000-0000-0000AB030000}"/>
    <cellStyle name="Normal 5 3 2 2" xfId="1084" xr:uid="{00000000-0005-0000-0000-0000AC030000}"/>
    <cellStyle name="Normal 5 3 3" xfId="1085" xr:uid="{00000000-0005-0000-0000-0000AD030000}"/>
    <cellStyle name="Normal 5 4" xfId="514" xr:uid="{00000000-0005-0000-0000-0000AE030000}"/>
    <cellStyle name="Normal 5 4 2" xfId="1086" xr:uid="{00000000-0005-0000-0000-0000AF030000}"/>
    <cellStyle name="Normal 5 5" xfId="1087" xr:uid="{00000000-0005-0000-0000-0000B0030000}"/>
    <cellStyle name="Normal 5_2112 DF Schedule" xfId="213" xr:uid="{00000000-0005-0000-0000-0000B1030000}"/>
    <cellStyle name="Normal 50" xfId="214" xr:uid="{00000000-0005-0000-0000-0000B2030000}"/>
    <cellStyle name="Normal 50 2" xfId="1088" xr:uid="{00000000-0005-0000-0000-0000B3030000}"/>
    <cellStyle name="Normal 50 3" xfId="1089" xr:uid="{00000000-0005-0000-0000-0000B4030000}"/>
    <cellStyle name="Normal 51" xfId="215" xr:uid="{00000000-0005-0000-0000-0000B5030000}"/>
    <cellStyle name="Normal 51 2" xfId="1090" xr:uid="{00000000-0005-0000-0000-0000B6030000}"/>
    <cellStyle name="Normal 51 3" xfId="1091" xr:uid="{00000000-0005-0000-0000-0000B7030000}"/>
    <cellStyle name="Normal 52" xfId="216" xr:uid="{00000000-0005-0000-0000-0000B8030000}"/>
    <cellStyle name="Normal 52 2" xfId="1092" xr:uid="{00000000-0005-0000-0000-0000B9030000}"/>
    <cellStyle name="Normal 52 3" xfId="1093" xr:uid="{00000000-0005-0000-0000-0000BA030000}"/>
    <cellStyle name="Normal 53" xfId="217" xr:uid="{00000000-0005-0000-0000-0000BB030000}"/>
    <cellStyle name="Normal 53 2" xfId="1094" xr:uid="{00000000-0005-0000-0000-0000BC030000}"/>
    <cellStyle name="Normal 53 3" xfId="1095" xr:uid="{00000000-0005-0000-0000-0000BD030000}"/>
    <cellStyle name="Normal 54" xfId="218" xr:uid="{00000000-0005-0000-0000-0000BE030000}"/>
    <cellStyle name="Normal 54 2" xfId="1096" xr:uid="{00000000-0005-0000-0000-0000BF030000}"/>
    <cellStyle name="Normal 54 3" xfId="1097" xr:uid="{00000000-0005-0000-0000-0000C0030000}"/>
    <cellStyle name="Normal 55" xfId="219" xr:uid="{00000000-0005-0000-0000-0000C1030000}"/>
    <cellStyle name="Normal 55 2" xfId="1098" xr:uid="{00000000-0005-0000-0000-0000C2030000}"/>
    <cellStyle name="Normal 55 3" xfId="1099" xr:uid="{00000000-0005-0000-0000-0000C3030000}"/>
    <cellStyle name="Normal 56" xfId="220" xr:uid="{00000000-0005-0000-0000-0000C4030000}"/>
    <cellStyle name="Normal 56 2" xfId="1100" xr:uid="{00000000-0005-0000-0000-0000C5030000}"/>
    <cellStyle name="Normal 56 3" xfId="1101" xr:uid="{00000000-0005-0000-0000-0000C6030000}"/>
    <cellStyle name="Normal 57" xfId="221" xr:uid="{00000000-0005-0000-0000-0000C7030000}"/>
    <cellStyle name="Normal 57 2" xfId="1102" xr:uid="{00000000-0005-0000-0000-0000C8030000}"/>
    <cellStyle name="Normal 57 3" xfId="1103" xr:uid="{00000000-0005-0000-0000-0000C9030000}"/>
    <cellStyle name="Normal 58" xfId="222" xr:uid="{00000000-0005-0000-0000-0000CA030000}"/>
    <cellStyle name="Normal 58 2" xfId="1104" xr:uid="{00000000-0005-0000-0000-0000CB030000}"/>
    <cellStyle name="Normal 58 3" xfId="1105" xr:uid="{00000000-0005-0000-0000-0000CC030000}"/>
    <cellStyle name="Normal 59" xfId="223" xr:uid="{00000000-0005-0000-0000-0000CD030000}"/>
    <cellStyle name="Normal 59 2" xfId="1106" xr:uid="{00000000-0005-0000-0000-0000CE030000}"/>
    <cellStyle name="Normal 59 3" xfId="1107" xr:uid="{00000000-0005-0000-0000-0000CF030000}"/>
    <cellStyle name="Normal 6" xfId="224" xr:uid="{00000000-0005-0000-0000-0000D0030000}"/>
    <cellStyle name="Normal 6 2" xfId="313" xr:uid="{00000000-0005-0000-0000-0000D1030000}"/>
    <cellStyle name="Normal 6 2 2" xfId="515" xr:uid="{00000000-0005-0000-0000-0000D2030000}"/>
    <cellStyle name="Normal 6 2 2 2" xfId="1108" xr:uid="{00000000-0005-0000-0000-0000D3030000}"/>
    <cellStyle name="Normal 6 2 2 2 2" xfId="1109" xr:uid="{00000000-0005-0000-0000-0000D4030000}"/>
    <cellStyle name="Normal 6 2 2 3" xfId="1110" xr:uid="{00000000-0005-0000-0000-0000D5030000}"/>
    <cellStyle name="Normal 6 2 3" xfId="1111" xr:uid="{00000000-0005-0000-0000-0000D6030000}"/>
    <cellStyle name="Normal 6 2 3 2" xfId="1112" xr:uid="{00000000-0005-0000-0000-0000D7030000}"/>
    <cellStyle name="Normal 6 2 4" xfId="1113" xr:uid="{00000000-0005-0000-0000-0000D8030000}"/>
    <cellStyle name="Normal 6 3" xfId="516" xr:uid="{00000000-0005-0000-0000-0000D9030000}"/>
    <cellStyle name="Normal 6 3 2" xfId="1114" xr:uid="{00000000-0005-0000-0000-0000DA030000}"/>
    <cellStyle name="Normal 6 3 2 2" xfId="1115" xr:uid="{00000000-0005-0000-0000-0000DB030000}"/>
    <cellStyle name="Normal 6 3 3" xfId="1116" xr:uid="{00000000-0005-0000-0000-0000DC030000}"/>
    <cellStyle name="Normal 6 4" xfId="1117" xr:uid="{00000000-0005-0000-0000-0000DD030000}"/>
    <cellStyle name="Normal 6 4 2" xfId="1118" xr:uid="{00000000-0005-0000-0000-0000DE030000}"/>
    <cellStyle name="Normal 6 5" xfId="1119" xr:uid="{00000000-0005-0000-0000-0000DF030000}"/>
    <cellStyle name="Normal 60" xfId="225" xr:uid="{00000000-0005-0000-0000-0000E0030000}"/>
    <cellStyle name="Normal 60 2" xfId="1120" xr:uid="{00000000-0005-0000-0000-0000E1030000}"/>
    <cellStyle name="Normal 60 3" xfId="1121" xr:uid="{00000000-0005-0000-0000-0000E2030000}"/>
    <cellStyle name="Normal 61" xfId="226" xr:uid="{00000000-0005-0000-0000-0000E3030000}"/>
    <cellStyle name="Normal 61 2" xfId="1122" xr:uid="{00000000-0005-0000-0000-0000E4030000}"/>
    <cellStyle name="Normal 61 3" xfId="1123" xr:uid="{00000000-0005-0000-0000-0000E5030000}"/>
    <cellStyle name="Normal 62" xfId="227" xr:uid="{00000000-0005-0000-0000-0000E6030000}"/>
    <cellStyle name="Normal 62 2" xfId="1124" xr:uid="{00000000-0005-0000-0000-0000E7030000}"/>
    <cellStyle name="Normal 62 3" xfId="1125" xr:uid="{00000000-0005-0000-0000-0000E8030000}"/>
    <cellStyle name="Normal 63" xfId="228" xr:uid="{00000000-0005-0000-0000-0000E9030000}"/>
    <cellStyle name="Normal 63 2" xfId="1126" xr:uid="{00000000-0005-0000-0000-0000EA030000}"/>
    <cellStyle name="Normal 63 3" xfId="1127" xr:uid="{00000000-0005-0000-0000-0000EB030000}"/>
    <cellStyle name="Normal 64" xfId="229" xr:uid="{00000000-0005-0000-0000-0000EC030000}"/>
    <cellStyle name="Normal 64 2" xfId="1128" xr:uid="{00000000-0005-0000-0000-0000ED030000}"/>
    <cellStyle name="Normal 64 3" xfId="1129" xr:uid="{00000000-0005-0000-0000-0000EE030000}"/>
    <cellStyle name="Normal 65" xfId="230" xr:uid="{00000000-0005-0000-0000-0000EF030000}"/>
    <cellStyle name="Normal 65 2" xfId="1130" xr:uid="{00000000-0005-0000-0000-0000F0030000}"/>
    <cellStyle name="Normal 65 3" xfId="1131" xr:uid="{00000000-0005-0000-0000-0000F1030000}"/>
    <cellStyle name="Normal 66" xfId="231" xr:uid="{00000000-0005-0000-0000-0000F2030000}"/>
    <cellStyle name="Normal 66 2" xfId="1132" xr:uid="{00000000-0005-0000-0000-0000F3030000}"/>
    <cellStyle name="Normal 66 3" xfId="1133" xr:uid="{00000000-0005-0000-0000-0000F4030000}"/>
    <cellStyle name="Normal 67" xfId="232" xr:uid="{00000000-0005-0000-0000-0000F5030000}"/>
    <cellStyle name="Normal 67 2" xfId="1134" xr:uid="{00000000-0005-0000-0000-0000F6030000}"/>
    <cellStyle name="Normal 67 3" xfId="1135" xr:uid="{00000000-0005-0000-0000-0000F7030000}"/>
    <cellStyle name="Normal 68" xfId="233" xr:uid="{00000000-0005-0000-0000-0000F8030000}"/>
    <cellStyle name="Normal 68 2" xfId="1136" xr:uid="{00000000-0005-0000-0000-0000F9030000}"/>
    <cellStyle name="Normal 68 3" xfId="1137" xr:uid="{00000000-0005-0000-0000-0000FA030000}"/>
    <cellStyle name="Normal 69" xfId="234" xr:uid="{00000000-0005-0000-0000-0000FB030000}"/>
    <cellStyle name="Normal 69 2" xfId="1138" xr:uid="{00000000-0005-0000-0000-0000FC030000}"/>
    <cellStyle name="Normal 69 3" xfId="1139" xr:uid="{00000000-0005-0000-0000-0000FD030000}"/>
    <cellStyle name="Normal 7" xfId="235" xr:uid="{00000000-0005-0000-0000-0000FE030000}"/>
    <cellStyle name="Normal 7 2" xfId="236" xr:uid="{00000000-0005-0000-0000-0000FF030000}"/>
    <cellStyle name="Normal 7 2 2" xfId="517" xr:uid="{00000000-0005-0000-0000-000000040000}"/>
    <cellStyle name="Normal 7 2 2 2" xfId="1140" xr:uid="{00000000-0005-0000-0000-000001040000}"/>
    <cellStyle name="Normal 7 2 2 2 2" xfId="1141" xr:uid="{00000000-0005-0000-0000-000002040000}"/>
    <cellStyle name="Normal 7 2 2 2 2 2" xfId="1142" xr:uid="{00000000-0005-0000-0000-000003040000}"/>
    <cellStyle name="Normal 7 2 2 2 3" xfId="1143" xr:uid="{00000000-0005-0000-0000-000004040000}"/>
    <cellStyle name="Normal 7 2 2 3" xfId="1144" xr:uid="{00000000-0005-0000-0000-000005040000}"/>
    <cellStyle name="Normal 7 2 2 3 2" xfId="1145" xr:uid="{00000000-0005-0000-0000-000006040000}"/>
    <cellStyle name="Normal 7 2 2 4" xfId="1146" xr:uid="{00000000-0005-0000-0000-000007040000}"/>
    <cellStyle name="Normal 7 2 3" xfId="1147" xr:uid="{00000000-0005-0000-0000-000008040000}"/>
    <cellStyle name="Normal 7 2 3 2" xfId="1148" xr:uid="{00000000-0005-0000-0000-000009040000}"/>
    <cellStyle name="Normal 7 2 3 2 2" xfId="1149" xr:uid="{00000000-0005-0000-0000-00000A040000}"/>
    <cellStyle name="Normal 7 2 3 3" xfId="1150" xr:uid="{00000000-0005-0000-0000-00000B040000}"/>
    <cellStyle name="Normal 7 2 4" xfId="1151" xr:uid="{00000000-0005-0000-0000-00000C040000}"/>
    <cellStyle name="Normal 7 2 4 2" xfId="1152" xr:uid="{00000000-0005-0000-0000-00000D040000}"/>
    <cellStyle name="Normal 7 2 5" xfId="1153" xr:uid="{00000000-0005-0000-0000-00000E040000}"/>
    <cellStyle name="Normal 7 3" xfId="1154" xr:uid="{00000000-0005-0000-0000-00000F040000}"/>
    <cellStyle name="Normal 7 3 2" xfId="1155" xr:uid="{00000000-0005-0000-0000-000010040000}"/>
    <cellStyle name="Normal 7 3 2 2" xfId="1156" xr:uid="{00000000-0005-0000-0000-000011040000}"/>
    <cellStyle name="Normal 7 3 2 2 2" xfId="1157" xr:uid="{00000000-0005-0000-0000-000012040000}"/>
    <cellStyle name="Normal 7 3 2 3" xfId="1158" xr:uid="{00000000-0005-0000-0000-000013040000}"/>
    <cellStyle name="Normal 7 3 3" xfId="1159" xr:uid="{00000000-0005-0000-0000-000014040000}"/>
    <cellStyle name="Normal 7 3 3 2" xfId="1160" xr:uid="{00000000-0005-0000-0000-000015040000}"/>
    <cellStyle name="Normal 7 3 4" xfId="1161" xr:uid="{00000000-0005-0000-0000-000016040000}"/>
    <cellStyle name="Normal 7 4" xfId="1162" xr:uid="{00000000-0005-0000-0000-000017040000}"/>
    <cellStyle name="Normal 7 4 2" xfId="1163" xr:uid="{00000000-0005-0000-0000-000018040000}"/>
    <cellStyle name="Normal 7 4 2 2" xfId="1164" xr:uid="{00000000-0005-0000-0000-000019040000}"/>
    <cellStyle name="Normal 7 4 3" xfId="1165" xr:uid="{00000000-0005-0000-0000-00001A040000}"/>
    <cellStyle name="Normal 7 5" xfId="1166" xr:uid="{00000000-0005-0000-0000-00001B040000}"/>
    <cellStyle name="Normal 7 5 2" xfId="1167" xr:uid="{00000000-0005-0000-0000-00001C040000}"/>
    <cellStyle name="Normal 7 6" xfId="1168" xr:uid="{00000000-0005-0000-0000-00001D040000}"/>
    <cellStyle name="Normal 70" xfId="237" xr:uid="{00000000-0005-0000-0000-00001E040000}"/>
    <cellStyle name="Normal 70 2" xfId="1169" xr:uid="{00000000-0005-0000-0000-00001F040000}"/>
    <cellStyle name="Normal 70 3" xfId="1170" xr:uid="{00000000-0005-0000-0000-000020040000}"/>
    <cellStyle name="Normal 71" xfId="238" xr:uid="{00000000-0005-0000-0000-000021040000}"/>
    <cellStyle name="Normal 72" xfId="239" xr:uid="{00000000-0005-0000-0000-000022040000}"/>
    <cellStyle name="Normal 73" xfId="240" xr:uid="{00000000-0005-0000-0000-000023040000}"/>
    <cellStyle name="Normal 74" xfId="241" xr:uid="{00000000-0005-0000-0000-000024040000}"/>
    <cellStyle name="Normal 75" xfId="242" xr:uid="{00000000-0005-0000-0000-000025040000}"/>
    <cellStyle name="Normal 76" xfId="243" xr:uid="{00000000-0005-0000-0000-000026040000}"/>
    <cellStyle name="Normal 77" xfId="244" xr:uid="{00000000-0005-0000-0000-000027040000}"/>
    <cellStyle name="Normal 78" xfId="245" xr:uid="{00000000-0005-0000-0000-000028040000}"/>
    <cellStyle name="Normal 79" xfId="246" xr:uid="{00000000-0005-0000-0000-000029040000}"/>
    <cellStyle name="Normal 8" xfId="247" xr:uid="{00000000-0005-0000-0000-00002A040000}"/>
    <cellStyle name="Normal 8 2" xfId="518" xr:uid="{00000000-0005-0000-0000-00002B040000}"/>
    <cellStyle name="Normal 8 2 2" xfId="519" xr:uid="{00000000-0005-0000-0000-00002C040000}"/>
    <cellStyle name="Normal 8 2 2 2" xfId="1171" xr:uid="{00000000-0005-0000-0000-00002D040000}"/>
    <cellStyle name="Normal 8 2 2 2 2" xfId="1172" xr:uid="{00000000-0005-0000-0000-00002E040000}"/>
    <cellStyle name="Normal 8 2 2 3" xfId="1173" xr:uid="{00000000-0005-0000-0000-00002F040000}"/>
    <cellStyle name="Normal 8 2 3" xfId="1174" xr:uid="{00000000-0005-0000-0000-000030040000}"/>
    <cellStyle name="Normal 8 2 3 2" xfId="1175" xr:uid="{00000000-0005-0000-0000-000031040000}"/>
    <cellStyle name="Normal 8 2 4" xfId="1176" xr:uid="{00000000-0005-0000-0000-000032040000}"/>
    <cellStyle name="Normal 8 3" xfId="1177" xr:uid="{00000000-0005-0000-0000-000033040000}"/>
    <cellStyle name="Normal 8 3 2" xfId="1178" xr:uid="{00000000-0005-0000-0000-000034040000}"/>
    <cellStyle name="Normal 8 3 2 2" xfId="1179" xr:uid="{00000000-0005-0000-0000-000035040000}"/>
    <cellStyle name="Normal 8 3 3" xfId="1180" xr:uid="{00000000-0005-0000-0000-000036040000}"/>
    <cellStyle name="Normal 8 4" xfId="1181" xr:uid="{00000000-0005-0000-0000-000037040000}"/>
    <cellStyle name="Normal 8 4 2" xfId="1182" xr:uid="{00000000-0005-0000-0000-000038040000}"/>
    <cellStyle name="Normal 8 5" xfId="1183" xr:uid="{00000000-0005-0000-0000-000039040000}"/>
    <cellStyle name="Normal 80" xfId="248" xr:uid="{00000000-0005-0000-0000-00003A040000}"/>
    <cellStyle name="Normal 81" xfId="249" xr:uid="{00000000-0005-0000-0000-00003B040000}"/>
    <cellStyle name="Normal 82" xfId="250" xr:uid="{00000000-0005-0000-0000-00003C040000}"/>
    <cellStyle name="Normal 83" xfId="251" xr:uid="{00000000-0005-0000-0000-00003D040000}"/>
    <cellStyle name="Normal 84" xfId="252" xr:uid="{00000000-0005-0000-0000-00003E040000}"/>
    <cellStyle name="Normal 84 2" xfId="314" xr:uid="{00000000-0005-0000-0000-00003F040000}"/>
    <cellStyle name="Normal 84 3" xfId="520" xr:uid="{00000000-0005-0000-0000-000040040000}"/>
    <cellStyle name="Normal 85" xfId="253" xr:uid="{00000000-0005-0000-0000-000041040000}"/>
    <cellStyle name="Normal 85 2" xfId="521" xr:uid="{00000000-0005-0000-0000-000042040000}"/>
    <cellStyle name="Normal 85 2 2" xfId="1184" xr:uid="{00000000-0005-0000-0000-000043040000}"/>
    <cellStyle name="Normal 85 3" xfId="522" xr:uid="{00000000-0005-0000-0000-000044040000}"/>
    <cellStyle name="Normal 86" xfId="315" xr:uid="{00000000-0005-0000-0000-000045040000}"/>
    <cellStyle name="Normal 86 2" xfId="1185" xr:uid="{00000000-0005-0000-0000-000046040000}"/>
    <cellStyle name="Normal 86 3" xfId="1186" xr:uid="{00000000-0005-0000-0000-000047040000}"/>
    <cellStyle name="Normal 87" xfId="316" xr:uid="{00000000-0005-0000-0000-000048040000}"/>
    <cellStyle name="Normal 87 2" xfId="1187" xr:uid="{00000000-0005-0000-0000-000049040000}"/>
    <cellStyle name="Normal 88" xfId="317" xr:uid="{00000000-0005-0000-0000-00004A040000}"/>
    <cellStyle name="Normal 88 2" xfId="1188" xr:uid="{00000000-0005-0000-0000-00004B040000}"/>
    <cellStyle name="Normal 89" xfId="318" xr:uid="{00000000-0005-0000-0000-00004C040000}"/>
    <cellStyle name="Normal 9" xfId="254" xr:uid="{00000000-0005-0000-0000-00004D040000}"/>
    <cellStyle name="Normal 9 2" xfId="523" xr:uid="{00000000-0005-0000-0000-00004E040000}"/>
    <cellStyle name="Normal 9 2 2" xfId="524" xr:uid="{00000000-0005-0000-0000-00004F040000}"/>
    <cellStyle name="Normal 9 2 2 2" xfId="1189" xr:uid="{00000000-0005-0000-0000-000050040000}"/>
    <cellStyle name="Normal 9 2 2 2 2" xfId="1190" xr:uid="{00000000-0005-0000-0000-000051040000}"/>
    <cellStyle name="Normal 9 2 2 3" xfId="1191" xr:uid="{00000000-0005-0000-0000-000052040000}"/>
    <cellStyle name="Normal 9 2 3" xfId="1192" xr:uid="{00000000-0005-0000-0000-000053040000}"/>
    <cellStyle name="Normal 9 2 3 2" xfId="1193" xr:uid="{00000000-0005-0000-0000-000054040000}"/>
    <cellStyle name="Normal 9 2 4" xfId="1194" xr:uid="{00000000-0005-0000-0000-000055040000}"/>
    <cellStyle name="Normal 9 3" xfId="1195" xr:uid="{00000000-0005-0000-0000-000056040000}"/>
    <cellStyle name="Normal 9 3 2" xfId="1196" xr:uid="{00000000-0005-0000-0000-000057040000}"/>
    <cellStyle name="Normal 9 3 2 2" xfId="1197" xr:uid="{00000000-0005-0000-0000-000058040000}"/>
    <cellStyle name="Normal 9 3 3" xfId="1198" xr:uid="{00000000-0005-0000-0000-000059040000}"/>
    <cellStyle name="Normal 9 4" xfId="1199" xr:uid="{00000000-0005-0000-0000-00005A040000}"/>
    <cellStyle name="Normal 9 4 2" xfId="1200" xr:uid="{00000000-0005-0000-0000-00005B040000}"/>
    <cellStyle name="Normal 9 5" xfId="1201" xr:uid="{00000000-0005-0000-0000-00005C040000}"/>
    <cellStyle name="Normal 90" xfId="319" xr:uid="{00000000-0005-0000-0000-00005D040000}"/>
    <cellStyle name="Normal 91" xfId="320" xr:uid="{00000000-0005-0000-0000-00005E040000}"/>
    <cellStyle name="Normal 92" xfId="525" xr:uid="{00000000-0005-0000-0000-00005F040000}"/>
    <cellStyle name="Normal 92 2" xfId="1202" xr:uid="{00000000-0005-0000-0000-000060040000}"/>
    <cellStyle name="Normal 93" xfId="526" xr:uid="{00000000-0005-0000-0000-000061040000}"/>
    <cellStyle name="Normal 93 2" xfId="1203" xr:uid="{00000000-0005-0000-0000-000062040000}"/>
    <cellStyle name="Normal 94" xfId="527" xr:uid="{00000000-0005-0000-0000-000063040000}"/>
    <cellStyle name="Normal 94 2" xfId="1204" xr:uid="{00000000-0005-0000-0000-000064040000}"/>
    <cellStyle name="Normal 95" xfId="528" xr:uid="{00000000-0005-0000-0000-000065040000}"/>
    <cellStyle name="Normal 95 2" xfId="1205" xr:uid="{00000000-0005-0000-0000-000066040000}"/>
    <cellStyle name="Normal 96" xfId="529" xr:uid="{00000000-0005-0000-0000-000067040000}"/>
    <cellStyle name="Normal 96 2" xfId="1206" xr:uid="{00000000-0005-0000-0000-000068040000}"/>
    <cellStyle name="Normal 97" xfId="530" xr:uid="{00000000-0005-0000-0000-000069040000}"/>
    <cellStyle name="Normal 97 2" xfId="1207" xr:uid="{00000000-0005-0000-0000-00006A040000}"/>
    <cellStyle name="Normal 98" xfId="531" xr:uid="{00000000-0005-0000-0000-00006B040000}"/>
    <cellStyle name="Normal 98 2" xfId="1208" xr:uid="{00000000-0005-0000-0000-00006C040000}"/>
    <cellStyle name="Normal 99" xfId="532" xr:uid="{00000000-0005-0000-0000-00006D040000}"/>
    <cellStyle name="Normal 99 2" xfId="1209" xr:uid="{00000000-0005-0000-0000-00006E040000}"/>
    <cellStyle name="Normal_Regulated Price Out 9-6-2011 Final HL" xfId="3" xr:uid="{00000000-0005-0000-0000-00006F040000}"/>
    <cellStyle name="Note 2" xfId="255" xr:uid="{00000000-0005-0000-0000-000070040000}"/>
    <cellStyle name="Note 2 2" xfId="533" xr:uid="{00000000-0005-0000-0000-000071040000}"/>
    <cellStyle name="Note 2 3" xfId="534" xr:uid="{00000000-0005-0000-0000-000072040000}"/>
    <cellStyle name="Note 2 4" xfId="1210" xr:uid="{00000000-0005-0000-0000-000073040000}"/>
    <cellStyle name="Note 3" xfId="256" xr:uid="{00000000-0005-0000-0000-000074040000}"/>
    <cellStyle name="Note 3 2" xfId="535" xr:uid="{00000000-0005-0000-0000-000075040000}"/>
    <cellStyle name="Note 3 3" xfId="536" xr:uid="{00000000-0005-0000-0000-000076040000}"/>
    <cellStyle name="Note 3 4" xfId="1211" xr:uid="{00000000-0005-0000-0000-000077040000}"/>
    <cellStyle name="Note 4" xfId="257" xr:uid="{00000000-0005-0000-0000-000078040000}"/>
    <cellStyle name="Note 4 2" xfId="1212" xr:uid="{00000000-0005-0000-0000-000079040000}"/>
    <cellStyle name="Note 5" xfId="1213" xr:uid="{00000000-0005-0000-0000-00007A040000}"/>
    <cellStyle name="Notes" xfId="258" xr:uid="{00000000-0005-0000-0000-00007B040000}"/>
    <cellStyle name="Output 2" xfId="259" xr:uid="{00000000-0005-0000-0000-00007C040000}"/>
    <cellStyle name="Output 2 2" xfId="1214" xr:uid="{00000000-0005-0000-0000-00007D040000}"/>
    <cellStyle name="Output 2 2 2" xfId="1215" xr:uid="{00000000-0005-0000-0000-00007E040000}"/>
    <cellStyle name="Output 2 3" xfId="1216" xr:uid="{00000000-0005-0000-0000-00007F040000}"/>
    <cellStyle name="Output 3" xfId="260" xr:uid="{00000000-0005-0000-0000-000080040000}"/>
    <cellStyle name="Output 3 2" xfId="537" xr:uid="{00000000-0005-0000-0000-000081040000}"/>
    <cellStyle name="Output 4" xfId="1217" xr:uid="{00000000-0005-0000-0000-000082040000}"/>
    <cellStyle name="Percent" xfId="2" builtinId="5"/>
    <cellStyle name="Percent 10" xfId="538" xr:uid="{00000000-0005-0000-0000-000084040000}"/>
    <cellStyle name="Percent 10 2" xfId="1218" xr:uid="{00000000-0005-0000-0000-000085040000}"/>
    <cellStyle name="Percent 10 3" xfId="1219" xr:uid="{00000000-0005-0000-0000-000086040000}"/>
    <cellStyle name="Percent 2" xfId="261" xr:uid="{00000000-0005-0000-0000-000087040000}"/>
    <cellStyle name="Percent 2 2" xfId="262" xr:uid="{00000000-0005-0000-0000-000088040000}"/>
    <cellStyle name="Percent 2 2 2" xfId="321" xr:uid="{00000000-0005-0000-0000-000089040000}"/>
    <cellStyle name="Percent 2 2 3" xfId="539" xr:uid="{00000000-0005-0000-0000-00008A040000}"/>
    <cellStyle name="Percent 2 3" xfId="263" xr:uid="{00000000-0005-0000-0000-00008B040000}"/>
    <cellStyle name="Percent 2 4" xfId="540" xr:uid="{00000000-0005-0000-0000-00008C040000}"/>
    <cellStyle name="Percent 2 6" xfId="322" xr:uid="{00000000-0005-0000-0000-00008D040000}"/>
    <cellStyle name="Percent 3" xfId="264" xr:uid="{00000000-0005-0000-0000-00008E040000}"/>
    <cellStyle name="Percent 3 2" xfId="323" xr:uid="{00000000-0005-0000-0000-00008F040000}"/>
    <cellStyle name="Percent 3 2 2" xfId="541" xr:uid="{00000000-0005-0000-0000-000090040000}"/>
    <cellStyle name="Percent 3 2 2 2" xfId="1220" xr:uid="{00000000-0005-0000-0000-000091040000}"/>
    <cellStyle name="Percent 3 2 2 2 2" xfId="1221" xr:uid="{00000000-0005-0000-0000-000092040000}"/>
    <cellStyle name="Percent 3 2 2 3" xfId="1222" xr:uid="{00000000-0005-0000-0000-000093040000}"/>
    <cellStyle name="Percent 3 2 3" xfId="1223" xr:uid="{00000000-0005-0000-0000-000094040000}"/>
    <cellStyle name="Percent 3 2 3 2" xfId="1224" xr:uid="{00000000-0005-0000-0000-000095040000}"/>
    <cellStyle name="Percent 3 2 4" xfId="1225" xr:uid="{00000000-0005-0000-0000-000096040000}"/>
    <cellStyle name="Percent 3 3" xfId="1226" xr:uid="{00000000-0005-0000-0000-000097040000}"/>
    <cellStyle name="Percent 3 3 2" xfId="1227" xr:uid="{00000000-0005-0000-0000-000098040000}"/>
    <cellStyle name="Percent 3 3 2 2" xfId="1228" xr:uid="{00000000-0005-0000-0000-000099040000}"/>
    <cellStyle name="Percent 3 3 3" xfId="1229" xr:uid="{00000000-0005-0000-0000-00009A040000}"/>
    <cellStyle name="Percent 3 4" xfId="1230" xr:uid="{00000000-0005-0000-0000-00009B040000}"/>
    <cellStyle name="Percent 3 4 2" xfId="1231" xr:uid="{00000000-0005-0000-0000-00009C040000}"/>
    <cellStyle name="Percent 3 5" xfId="1232" xr:uid="{00000000-0005-0000-0000-00009D040000}"/>
    <cellStyle name="Percent 3 5 2" xfId="1233" xr:uid="{00000000-0005-0000-0000-00009E040000}"/>
    <cellStyle name="Percent 3 6" xfId="1234" xr:uid="{00000000-0005-0000-0000-00009F040000}"/>
    <cellStyle name="Percent 4" xfId="265" xr:uid="{00000000-0005-0000-0000-0000A0040000}"/>
    <cellStyle name="Percent 4 2" xfId="266" xr:uid="{00000000-0005-0000-0000-0000A1040000}"/>
    <cellStyle name="Percent 4 3" xfId="542" xr:uid="{00000000-0005-0000-0000-0000A2040000}"/>
    <cellStyle name="Percent 4 4" xfId="543" xr:uid="{00000000-0005-0000-0000-0000A3040000}"/>
    <cellStyle name="Percent 4 4 2" xfId="1235" xr:uid="{00000000-0005-0000-0000-0000A4040000}"/>
    <cellStyle name="Percent 4 4 2 2" xfId="1236" xr:uid="{00000000-0005-0000-0000-0000A5040000}"/>
    <cellStyle name="Percent 5" xfId="267" xr:uid="{00000000-0005-0000-0000-0000A6040000}"/>
    <cellStyle name="Percent 5 2" xfId="544" xr:uid="{00000000-0005-0000-0000-0000A7040000}"/>
    <cellStyle name="Percent 5 2 2" xfId="1237" xr:uid="{00000000-0005-0000-0000-0000A8040000}"/>
    <cellStyle name="Percent 5 2 2 2" xfId="1238" xr:uid="{00000000-0005-0000-0000-0000A9040000}"/>
    <cellStyle name="Percent 5 2 3" xfId="1239" xr:uid="{00000000-0005-0000-0000-0000AA040000}"/>
    <cellStyle name="Percent 5 3" xfId="1240" xr:uid="{00000000-0005-0000-0000-0000AB040000}"/>
    <cellStyle name="Percent 5 3 2" xfId="1241" xr:uid="{00000000-0005-0000-0000-0000AC040000}"/>
    <cellStyle name="Percent 5 4" xfId="1242" xr:uid="{00000000-0005-0000-0000-0000AD040000}"/>
    <cellStyle name="Percent 5 4 2" xfId="1243" xr:uid="{00000000-0005-0000-0000-0000AE040000}"/>
    <cellStyle name="Percent 6" xfId="268" xr:uid="{00000000-0005-0000-0000-0000AF040000}"/>
    <cellStyle name="Percent 6 2" xfId="545" xr:uid="{00000000-0005-0000-0000-0000B0040000}"/>
    <cellStyle name="Percent 6 2 2" xfId="1244" xr:uid="{00000000-0005-0000-0000-0000B1040000}"/>
    <cellStyle name="Percent 6 3" xfId="1245" xr:uid="{00000000-0005-0000-0000-0000B2040000}"/>
    <cellStyle name="Percent 7" xfId="269" xr:uid="{00000000-0005-0000-0000-0000B3040000}"/>
    <cellStyle name="Percent 7 2" xfId="324" xr:uid="{00000000-0005-0000-0000-0000B4040000}"/>
    <cellStyle name="Percent 7 2 2" xfId="1246" xr:uid="{00000000-0005-0000-0000-0000B5040000}"/>
    <cellStyle name="Percent 7 3" xfId="546" xr:uid="{00000000-0005-0000-0000-0000B6040000}"/>
    <cellStyle name="Percent 7 4" xfId="1247" xr:uid="{00000000-0005-0000-0000-0000B7040000}"/>
    <cellStyle name="Percent 8" xfId="270" xr:uid="{00000000-0005-0000-0000-0000B8040000}"/>
    <cellStyle name="Percent 8 2" xfId="1248" xr:uid="{00000000-0005-0000-0000-0000B9040000}"/>
    <cellStyle name="Percent 9" xfId="547" xr:uid="{00000000-0005-0000-0000-0000BA040000}"/>
    <cellStyle name="Percent 9 2" xfId="1249" xr:uid="{00000000-0005-0000-0000-0000BB040000}"/>
    <cellStyle name="Percent 9 3" xfId="1250" xr:uid="{00000000-0005-0000-0000-0000BC040000}"/>
    <cellStyle name="Percent(1)" xfId="271" xr:uid="{00000000-0005-0000-0000-0000BD040000}"/>
    <cellStyle name="Percent(2)" xfId="272" xr:uid="{00000000-0005-0000-0000-0000BE040000}"/>
    <cellStyle name="Posting_Period" xfId="1251" xr:uid="{00000000-0005-0000-0000-0000BF040000}"/>
    <cellStyle name="PRM" xfId="273" xr:uid="{00000000-0005-0000-0000-0000C0040000}"/>
    <cellStyle name="PRM 2" xfId="274" xr:uid="{00000000-0005-0000-0000-0000C1040000}"/>
    <cellStyle name="PRM 3" xfId="275" xr:uid="{00000000-0005-0000-0000-0000C2040000}"/>
    <cellStyle name="PRM_2011-11" xfId="276" xr:uid="{00000000-0005-0000-0000-0000C3040000}"/>
    <cellStyle name="PS_Comma" xfId="325" xr:uid="{00000000-0005-0000-0000-0000C4040000}"/>
    <cellStyle name="PSChar" xfId="277" xr:uid="{00000000-0005-0000-0000-0000C5040000}"/>
    <cellStyle name="PSDate" xfId="326" xr:uid="{00000000-0005-0000-0000-0000C6040000}"/>
    <cellStyle name="PSDec" xfId="327" xr:uid="{00000000-0005-0000-0000-0000C7040000}"/>
    <cellStyle name="PSHeading" xfId="278" xr:uid="{00000000-0005-0000-0000-0000C8040000}"/>
    <cellStyle name="PSInt" xfId="328" xr:uid="{00000000-0005-0000-0000-0000C9040000}"/>
    <cellStyle name="PSSpacer" xfId="329" xr:uid="{00000000-0005-0000-0000-0000CA040000}"/>
    <cellStyle name="STYL0 - Style1" xfId="279" xr:uid="{00000000-0005-0000-0000-0000CB040000}"/>
    <cellStyle name="STYL1 - Style2" xfId="280" xr:uid="{00000000-0005-0000-0000-0000CC040000}"/>
    <cellStyle name="STYL2 - Style3" xfId="281" xr:uid="{00000000-0005-0000-0000-0000CD040000}"/>
    <cellStyle name="STYL3 - Style4" xfId="282" xr:uid="{00000000-0005-0000-0000-0000CE040000}"/>
    <cellStyle name="STYL4 - Style5" xfId="283" xr:uid="{00000000-0005-0000-0000-0000CF040000}"/>
    <cellStyle name="STYL5 - Style6" xfId="284" xr:uid="{00000000-0005-0000-0000-0000D0040000}"/>
    <cellStyle name="STYL6 - Style7" xfId="285" xr:uid="{00000000-0005-0000-0000-0000D1040000}"/>
    <cellStyle name="STYL7 - Style8" xfId="286" xr:uid="{00000000-0005-0000-0000-0000D2040000}"/>
    <cellStyle name="Style 1" xfId="287" xr:uid="{00000000-0005-0000-0000-0000D3040000}"/>
    <cellStyle name="Style 1 2" xfId="288" xr:uid="{00000000-0005-0000-0000-0000D4040000}"/>
    <cellStyle name="STYLE1" xfId="289" xr:uid="{00000000-0005-0000-0000-0000D5040000}"/>
    <cellStyle name="STYLE1 2" xfId="1252" xr:uid="{00000000-0005-0000-0000-0000D6040000}"/>
    <cellStyle name="sub heading" xfId="290" xr:uid="{00000000-0005-0000-0000-0000D7040000}"/>
    <cellStyle name="Tax_Rate" xfId="1253" xr:uid="{00000000-0005-0000-0000-0000D8040000}"/>
    <cellStyle name="Title 2" xfId="291" xr:uid="{00000000-0005-0000-0000-0000D9040000}"/>
    <cellStyle name="Title 2 2" xfId="1254" xr:uid="{00000000-0005-0000-0000-0000DA040000}"/>
    <cellStyle name="Title 2 2 2" xfId="1255" xr:uid="{00000000-0005-0000-0000-0000DB040000}"/>
    <cellStyle name="Title 2 3" xfId="1256" xr:uid="{00000000-0005-0000-0000-0000DC040000}"/>
    <cellStyle name="Title 3" xfId="292" xr:uid="{00000000-0005-0000-0000-0000DD040000}"/>
    <cellStyle name="Title 3 2" xfId="548" xr:uid="{00000000-0005-0000-0000-0000DE040000}"/>
    <cellStyle name="Title 4" xfId="1257" xr:uid="{00000000-0005-0000-0000-0000DF040000}"/>
    <cellStyle name="Total 2" xfId="293" xr:uid="{00000000-0005-0000-0000-0000E0040000}"/>
    <cellStyle name="Total 2 2" xfId="549" xr:uid="{00000000-0005-0000-0000-0000E1040000}"/>
    <cellStyle name="Total 2 3" xfId="550" xr:uid="{00000000-0005-0000-0000-0000E2040000}"/>
    <cellStyle name="Total 2 4" xfId="1258" xr:uid="{00000000-0005-0000-0000-0000E3040000}"/>
    <cellStyle name="Total 3" xfId="294" xr:uid="{00000000-0005-0000-0000-0000E4040000}"/>
    <cellStyle name="Total 3 2" xfId="551" xr:uid="{00000000-0005-0000-0000-0000E5040000}"/>
    <cellStyle name="Total 3 3" xfId="552" xr:uid="{00000000-0005-0000-0000-0000E6040000}"/>
    <cellStyle name="Total 4" xfId="295" xr:uid="{00000000-0005-0000-0000-0000E7040000}"/>
    <cellStyle name="Total 4 2" xfId="1259" xr:uid="{00000000-0005-0000-0000-0000E8040000}"/>
    <cellStyle name="Transcript_Date" xfId="1260" xr:uid="{00000000-0005-0000-0000-0000E9040000}"/>
    <cellStyle name="Warning Text 2" xfId="296" xr:uid="{00000000-0005-0000-0000-0000EA040000}"/>
    <cellStyle name="Warning Text 3" xfId="330" xr:uid="{00000000-0005-0000-0000-0000EB040000}"/>
    <cellStyle name="Warning Text 4" xfId="1261" xr:uid="{00000000-0005-0000-0000-0000EC040000}"/>
    <cellStyle name="WM_STANDARD" xfId="331" xr:uid="{00000000-0005-0000-0000-0000E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16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6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74" Type="http://schemas.openxmlformats.org/officeDocument/2006/relationships/externalLink" Target="externalLinks/externalLink69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82" Type="http://schemas.openxmlformats.org/officeDocument/2006/relationships/customXml" Target="../customXml/item3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83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6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Waste%20Management%20-%20Filings/Ellensburg/Year%202009/TG-091472%20(GRC)/Staff/TG-091472%20WM%20of%20Ellensburg%20(Workpaper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LO\2012_Division\Accounting\xx%20Budgets%20xx\2013%20Budget\4105\4105%20Budget%20Workbook%2012_07_20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Chris%20M/Solid%20Waste/Waste%20Management/Sno-King/Year%202009/TG-091933/Staff/TG-091933%20WM%20of%20SnoKing%20GRC%20(Workpaper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IE5\ELL0D4Y3\Proj-2184_2015-12_5728142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LeMay\2183-1%20Pacific%20Disp,%20Butlers%20Cove\Filing%20Possibly%202012\Filing\Audit\Final%20Outcome%208-14-2012\Pro%20Forma%20Pacific%20Disposal_Staf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LeMay%20Companies/2022/General%20Rate%20Filings/PCR%202022/2180_Price%20Out%20by%20Bill%20Area_June.21%20to%20May%2022%20-%20Deliverabl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Mason\Rate%20Increase%201-1-2013\1%20Filing%2011-14-2012\Revised%202-21-2013\staff%20Mason%20Proforma%209-30-2012-Linked%20Cust%20Count%20Fix%2012-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KevinJ\South%20LeMay\Budget%20History\Budget%202019\2149%20Mason\2019%202149%20Budget%20Template%201.5%20pre%20division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effHons\AppData\Local\Interject\FileCache\YYYY-MM_DDDD_BSReconBook_v2.0.3_Blank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4%20Planning%20Requirements\5-20%20Submission\6%20Report%20Requirements\Reports%20Master%20List%20and%20Mockups%20V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Columbia%202025\General%20Filing%204-15-2016\Filed%204-15-16\CRD%20Pro%20forma%203-31-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UTC-Columbia%202025\General%20Filing%204-15-2016\Filed%204-15-16\CRD%20Pro%20forma%203-31-201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Brent_Blair_Kortney\PO%20Report%20by%20Division\PO%20Report_v3b%202013-08-26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ControllerDir\Brent_Blair_Kortney\PO%20Report%20by%20Division\PO%20Report_v3b%202013-08-26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s\Budget%20Reports\2011%20Budget%20Report%20Book%20v2J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pire\Rate%20Increase%2011-1-2010\Filed%209-14-2010\Proforma%209-14-1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gardw\Local%20Settings\Temporary%20Internet%20Files\Content.Outlook\1ZKX32J2\Proforma%209-14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2009%20BUDGET%20REPORTS\2009%20Budget%20Report%20without%20insura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LeMay%20Companies/2018/Budget%20Pro%20formas/PCR%20Pro%20Forma%207.31.18/PCR%20Pro%20froma%207-31-2018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JoeW/My%20Local%20Documents/OPF/Rate%20Reviews/2016/2016%20OPF%20Master%20DCR%20V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Documents%20and%20Settings/cmickels/Desktop/Example%20of%20WM%20of%20SnoKing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Murrey%20%202111\General%20Rate%20Filings\Rate%20Filing%201-1-2019\Fuel%20Stats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ffler\AppData\Local\Interject\FileCache\Budget%20Capital%20Input%20v2.16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IP%20Files\2010%20Clark%20County-%202009%20Vancouver\12.31.2010%20Test%20Year\Proforma%20Clark%20County%20101231%20Filing-Draft-FINAL%20VERSION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IP%20Files\2010%20Clark%20County-%202009%20Vancouver\12.31.2010%20Test%20Year\Proforma%20Clark%20County%20101231%20Filing-Draft-FINAL%20VERS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JoeW\Budgets\Budgets%202009\2012\2009%202012%20Revi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Migrated-TRANS\Company%20Filings%20-%20Solid%20Waste\Pullman%20Disposal%20Service,%20Inc.%20%20(G-42)\Rate%20Case\TG-130759%20GRC\Staff%20workpapers\STAFF%20TG-130759%20PDS_rop_Dec_1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tc.wa.gov/regulatedIndustries/transportation/TransportationDocuments/SolidWaste-NonPublic%20LG%202018%20V5.0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vandenburg\AppData\Local\Interject\FileCache\Capital%20-%20Budget%20Input%20v1.5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111\share\frsx\D0536y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63C24E\staff%20WCI%20Pro%20forma%2010-11-2013%20cos%20from%20meliss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Chris%20M/Solid%20Waste/San%20Juan%20Sanitation%20Co/Year%202010/Staff/W_COMP/Rosario/2007%20rate%20case/Worksheets/070944%20Loan%20Recalculati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112%20Olympic%20Disposal/Misc%20Analysis/2018%20Budget%20Pro%20forma/Olympic%20Pro%20forma%20180731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IP%20Files\2149%20Mason%20County\2021\General%20Rate%20Filing\.Mason%20Pro%20forma11.30.20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dget.wm.com/plan07/F2_24_Month_Condensed_Ops_PnL_0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Empire\Dump%20Fee\DF%20Incr%201-1-2015\Empire%20-%20Spokane%20DF%20Calculations%201-1-2015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Empire%202120/Annual%20Report/Report%202022/Empire%202022%20Solid%20Waste%20Annual%20Report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120%20Empire/Annual%20Report/2021/From%20District/Empire%20Price%20Out%202021.xlsb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Empire%202120/General%20Rate%20Filings/Rate%20Filing%205-1-2023/Audit/FINAL/230182-GRC-Empire%20Disposal-Staff%20Wkbk%20(C)%20-%20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s-2674%20Ken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120%20Empire/General%20Rate%20Filings/Rate%20Filing%20Effective%205-1-2023/Empire%20DF%20Allocation%2012-31-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SRC%20Reports\SRC%20Format\Bonus%20Schedule\PNWR%20SRC%20Bonus%20Schedule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A1" t="str">
            <v>Fixed Assets Reconciliations - Lodi - 0543</v>
          </cell>
        </row>
        <row r="2">
          <cell r="A2" t="str">
            <v>February</v>
          </cell>
        </row>
        <row r="3">
          <cell r="B3" t="str">
            <v>Trucks</v>
          </cell>
          <cell r="C3" t="str">
            <v>Landfill PE</v>
          </cell>
          <cell r="D3" t="str">
            <v>Support Trucks</v>
          </cell>
          <cell r="E3" t="str">
            <v xml:space="preserve">Containers </v>
          </cell>
          <cell r="F3" t="str">
            <v>M&amp;E</v>
          </cell>
          <cell r="G3" t="str">
            <v>OfficeEquip</v>
          </cell>
          <cell r="H3" t="str">
            <v>Building</v>
          </cell>
          <cell r="I3" t="str">
            <v>Leashold Improv</v>
          </cell>
          <cell r="J3" t="str">
            <v>Autos</v>
          </cell>
          <cell r="K3" t="str">
            <v>Land</v>
          </cell>
          <cell r="L3" t="str">
            <v>Total Assets</v>
          </cell>
        </row>
        <row r="4">
          <cell r="A4" t="str">
            <v>Description/A/C</v>
          </cell>
          <cell r="B4" t="str">
            <v>11110 &amp;120</v>
          </cell>
          <cell r="C4">
            <v>11210</v>
          </cell>
          <cell r="D4">
            <v>11310</v>
          </cell>
          <cell r="E4" t="str">
            <v>11410 &amp; 20</v>
          </cell>
          <cell r="F4" t="str">
            <v>11510 &amp; 20</v>
          </cell>
          <cell r="G4" t="str">
            <v>11610 &amp; 20</v>
          </cell>
          <cell r="H4" t="str">
            <v>11710 &amp; 20</v>
          </cell>
          <cell r="I4">
            <v>11810</v>
          </cell>
          <cell r="J4">
            <v>11910</v>
          </cell>
          <cell r="K4">
            <v>13110</v>
          </cell>
        </row>
        <row r="6">
          <cell r="A6" t="str">
            <v>GL Beginning Bal</v>
          </cell>
          <cell r="B6">
            <v>6370279.0000000009</v>
          </cell>
          <cell r="C6">
            <v>1152675.96</v>
          </cell>
          <cell r="D6">
            <v>230167.72999999998</v>
          </cell>
          <cell r="E6">
            <v>9808085.1799999997</v>
          </cell>
          <cell r="F6">
            <v>3002548.89</v>
          </cell>
          <cell r="G6">
            <v>1058753.53</v>
          </cell>
          <cell r="H6">
            <v>5945538.0099999998</v>
          </cell>
          <cell r="I6">
            <v>2233939.7999999998</v>
          </cell>
          <cell r="J6">
            <v>47342.04</v>
          </cell>
          <cell r="K6">
            <v>987725.13</v>
          </cell>
          <cell r="L6">
            <v>30837055.270000003</v>
          </cell>
        </row>
        <row r="8">
          <cell r="A8" t="str">
            <v>Additions:</v>
          </cell>
          <cell r="B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A11" t="str">
            <v>Accruals:</v>
          </cell>
        </row>
        <row r="13">
          <cell r="A13" t="str">
            <v>Deletions:</v>
          </cell>
        </row>
        <row r="15">
          <cell r="A15" t="str">
            <v>Adjusted GL Bal:</v>
          </cell>
          <cell r="B15">
            <v>6370279.0000000009</v>
          </cell>
          <cell r="C15">
            <v>1152675.96</v>
          </cell>
          <cell r="D15">
            <v>230167.72999999998</v>
          </cell>
          <cell r="E15">
            <v>9808085.1799999997</v>
          </cell>
          <cell r="F15">
            <v>3002548.89</v>
          </cell>
          <cell r="G15">
            <v>1058753.53</v>
          </cell>
          <cell r="H15">
            <v>5945538.0099999998</v>
          </cell>
          <cell r="I15">
            <v>2233939.7999999998</v>
          </cell>
          <cell r="J15">
            <v>47342.04</v>
          </cell>
          <cell r="K15">
            <v>987725.13</v>
          </cell>
          <cell r="L15">
            <v>30837055.270000003</v>
          </cell>
        </row>
        <row r="17">
          <cell r="A17" t="str">
            <v>GBA Balances</v>
          </cell>
          <cell r="B17">
            <v>6486957.9000000004</v>
          </cell>
          <cell r="C17">
            <v>1191195.51</v>
          </cell>
          <cell r="D17">
            <v>230167.73</v>
          </cell>
          <cell r="E17">
            <v>9808085.1799999997</v>
          </cell>
          <cell r="F17">
            <v>2783580.08</v>
          </cell>
          <cell r="G17">
            <v>1058752.1299999999</v>
          </cell>
          <cell r="H17">
            <v>5945538.0099999998</v>
          </cell>
          <cell r="I17">
            <v>2233939.7999999998</v>
          </cell>
          <cell r="J17">
            <v>47342.04</v>
          </cell>
          <cell r="K17">
            <v>988191.66</v>
          </cell>
          <cell r="L17">
            <v>30773750.039999999</v>
          </cell>
        </row>
        <row r="19">
          <cell r="A19" t="str">
            <v>Variance</v>
          </cell>
          <cell r="B19">
            <v>-116678.89999999944</v>
          </cell>
          <cell r="C19">
            <v>-38519.550000000047</v>
          </cell>
          <cell r="D19">
            <v>0</v>
          </cell>
          <cell r="E19">
            <v>0</v>
          </cell>
          <cell r="F19">
            <v>218968.81000000006</v>
          </cell>
          <cell r="G19">
            <v>1.4000000001396984</v>
          </cell>
          <cell r="H19">
            <v>0</v>
          </cell>
          <cell r="I19">
            <v>0</v>
          </cell>
          <cell r="J19">
            <v>0</v>
          </cell>
          <cell r="K19">
            <v>-466.53000000002794</v>
          </cell>
          <cell r="L19">
            <v>63305.230000004172</v>
          </cell>
        </row>
      </sheetData>
      <sheetData sheetId="30" refreshError="1">
        <row r="4">
          <cell r="A4" t="str">
            <v>Accumulated Depreciation:</v>
          </cell>
          <cell r="D4">
            <v>65920</v>
          </cell>
          <cell r="F4">
            <v>60925</v>
          </cell>
          <cell r="G4">
            <v>70905</v>
          </cell>
          <cell r="H4">
            <v>90910</v>
          </cell>
        </row>
        <row r="5">
          <cell r="A5" t="str">
            <v>February</v>
          </cell>
          <cell r="B5">
            <v>52930</v>
          </cell>
          <cell r="C5">
            <v>52935</v>
          </cell>
          <cell r="D5">
            <v>60920</v>
          </cell>
          <cell r="E5">
            <v>54935</v>
          </cell>
          <cell r="F5">
            <v>54925</v>
          </cell>
          <cell r="G5">
            <v>60905</v>
          </cell>
          <cell r="H5">
            <v>65910</v>
          </cell>
          <cell r="I5">
            <v>90915</v>
          </cell>
          <cell r="J5">
            <v>90900</v>
          </cell>
        </row>
        <row r="6">
          <cell r="B6" t="str">
            <v>Trucks</v>
          </cell>
          <cell r="C6" t="str">
            <v>Landfill PE</v>
          </cell>
          <cell r="D6" t="str">
            <v>Support Trucks</v>
          </cell>
          <cell r="E6" t="str">
            <v xml:space="preserve">Containers </v>
          </cell>
          <cell r="F6" t="str">
            <v>M&amp;E</v>
          </cell>
          <cell r="G6" t="str">
            <v>OfficeEquip</v>
          </cell>
          <cell r="H6" t="str">
            <v>Building</v>
          </cell>
          <cell r="I6" t="str">
            <v>Leashold Improv</v>
          </cell>
          <cell r="J6" t="str">
            <v>Autos</v>
          </cell>
          <cell r="K6" t="str">
            <v>Land</v>
          </cell>
          <cell r="L6" t="str">
            <v>Total Accumulated</v>
          </cell>
        </row>
        <row r="7">
          <cell r="A7" t="str">
            <v>Description/A/C</v>
          </cell>
          <cell r="B7" t="str">
            <v>121XX</v>
          </cell>
          <cell r="C7" t="str">
            <v>122XX</v>
          </cell>
          <cell r="D7" t="str">
            <v>123XX</v>
          </cell>
          <cell r="E7" t="str">
            <v>124XX</v>
          </cell>
          <cell r="F7" t="str">
            <v>125XX</v>
          </cell>
          <cell r="G7" t="str">
            <v>126XX</v>
          </cell>
          <cell r="H7" t="str">
            <v>127XX</v>
          </cell>
          <cell r="I7" t="str">
            <v>128XX</v>
          </cell>
          <cell r="J7" t="str">
            <v>129XX</v>
          </cell>
          <cell r="K7">
            <v>13250</v>
          </cell>
          <cell r="L7" t="str">
            <v>Depreciation</v>
          </cell>
        </row>
        <row r="9">
          <cell r="A9" t="str">
            <v>GL Beginning Bal</v>
          </cell>
          <cell r="B9">
            <v>-4345139.9400000004</v>
          </cell>
          <cell r="C9">
            <v>-631095.49999999988</v>
          </cell>
          <cell r="D9">
            <v>-197525.75999999998</v>
          </cell>
          <cell r="E9">
            <v>-6570378.0800000001</v>
          </cell>
          <cell r="F9">
            <v>-2358947.5299999998</v>
          </cell>
          <cell r="G9">
            <v>-645903.84000000008</v>
          </cell>
          <cell r="H9">
            <v>-2171023.04</v>
          </cell>
          <cell r="I9">
            <v>-726384.56</v>
          </cell>
          <cell r="J9">
            <v>-36395.379999999997</v>
          </cell>
          <cell r="K9">
            <v>-466.76</v>
          </cell>
          <cell r="L9">
            <v>-17683260.390000001</v>
          </cell>
        </row>
        <row r="11">
          <cell r="A11" t="str">
            <v>Additions:</v>
          </cell>
          <cell r="B11">
            <v>-65915.709999999992</v>
          </cell>
          <cell r="C11">
            <v>-22490.11</v>
          </cell>
          <cell r="D11">
            <v>-2297.98</v>
          </cell>
          <cell r="E11">
            <v>-89579.91</v>
          </cell>
          <cell r="F11">
            <v>-55942.879999999997</v>
          </cell>
          <cell r="G11">
            <v>-29722.478000000003</v>
          </cell>
          <cell r="H11">
            <v>-41958.92</v>
          </cell>
          <cell r="I11">
            <v>-20345.439999999999</v>
          </cell>
          <cell r="J11">
            <v>-729.78</v>
          </cell>
          <cell r="L11">
            <v>-328983.20799999998</v>
          </cell>
        </row>
        <row r="13">
          <cell r="B13">
            <v>5502.79</v>
          </cell>
          <cell r="C13">
            <v>-5502.79</v>
          </cell>
        </row>
        <row r="14">
          <cell r="A14" t="str">
            <v>Accruals:</v>
          </cell>
        </row>
        <row r="16">
          <cell r="A16" t="str">
            <v>Deletions:</v>
          </cell>
        </row>
        <row r="18">
          <cell r="A18" t="str">
            <v>Adjusted GL Bal:</v>
          </cell>
          <cell r="B18">
            <v>-4405552.8600000003</v>
          </cell>
          <cell r="C18">
            <v>-659088.39999999991</v>
          </cell>
          <cell r="D18">
            <v>-199823.74</v>
          </cell>
          <cell r="E18">
            <v>-6659957.9900000002</v>
          </cell>
          <cell r="F18">
            <v>-2414890.4099999997</v>
          </cell>
          <cell r="G18">
            <v>-675626.31800000009</v>
          </cell>
          <cell r="H18">
            <v>-2212981.96</v>
          </cell>
          <cell r="I18">
            <v>-746730</v>
          </cell>
          <cell r="J18">
            <v>-37125.159999999996</v>
          </cell>
          <cell r="K18">
            <v>0</v>
          </cell>
          <cell r="L18">
            <v>-18011776.838</v>
          </cell>
        </row>
        <row r="20">
          <cell r="A20" t="str">
            <v>GBA Balances</v>
          </cell>
          <cell r="B20">
            <v>-4438805.79</v>
          </cell>
          <cell r="C20">
            <v>-659088.4</v>
          </cell>
          <cell r="D20">
            <v>-199823.74</v>
          </cell>
          <cell r="E20">
            <v>-6659957.9900000002</v>
          </cell>
          <cell r="F20">
            <v>-2243545.98</v>
          </cell>
          <cell r="G20">
            <v>-675626.34</v>
          </cell>
          <cell r="H20">
            <v>-2212981.96</v>
          </cell>
          <cell r="I20">
            <v>-746730</v>
          </cell>
          <cell r="J20">
            <v>-37125.160000000003</v>
          </cell>
          <cell r="K20">
            <v>-466.76</v>
          </cell>
          <cell r="L20">
            <v>-17874152.120000005</v>
          </cell>
        </row>
        <row r="22">
          <cell r="A22" t="str">
            <v>Variance</v>
          </cell>
          <cell r="B22">
            <v>33252.929999999702</v>
          </cell>
          <cell r="C22">
            <v>0</v>
          </cell>
          <cell r="D22">
            <v>0</v>
          </cell>
          <cell r="E22">
            <v>0</v>
          </cell>
          <cell r="F22">
            <v>-171344.4299999997</v>
          </cell>
          <cell r="G22">
            <v>2.199999988079071E-2</v>
          </cell>
          <cell r="H22">
            <v>0</v>
          </cell>
          <cell r="I22">
            <v>0</v>
          </cell>
          <cell r="J22">
            <v>0</v>
          </cell>
          <cell r="K22">
            <v>466.76</v>
          </cell>
          <cell r="L22">
            <v>-137624.71799999475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CWRS</v>
          </cell>
        </row>
        <row r="2">
          <cell r="A2" t="str">
            <v>COPMPST AND OTHER SALES</v>
          </cell>
        </row>
        <row r="3">
          <cell r="A3" t="str">
            <v>SALES &amp; USE TAX</v>
          </cell>
        </row>
        <row r="5">
          <cell r="C5" t="str">
            <v>TAXABLE</v>
          </cell>
          <cell r="D5" t="str">
            <v>NONTAXABLE</v>
          </cell>
          <cell r="E5" t="str">
            <v>TOTAL</v>
          </cell>
        </row>
        <row r="7">
          <cell r="A7" t="str">
            <v>OCT 1999:</v>
          </cell>
        </row>
        <row r="8">
          <cell r="A8" t="str">
            <v>T/S SALES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CASH SALES</v>
          </cell>
          <cell r="E9">
            <v>0</v>
          </cell>
        </row>
        <row r="10">
          <cell r="A10" t="str">
            <v>CHARGE SALES</v>
          </cell>
          <cell r="E10">
            <v>0</v>
          </cell>
        </row>
        <row r="11">
          <cell r="A11" t="str">
            <v>RECYCLING SALES</v>
          </cell>
          <cell r="E11">
            <v>0</v>
          </cell>
        </row>
        <row r="12">
          <cell r="A12" t="str">
            <v>OTHER SALES:</v>
          </cell>
        </row>
        <row r="13">
          <cell r="A13" t="str">
            <v xml:space="preserve"> WASTE CARTS</v>
          </cell>
          <cell r="C13">
            <v>645</v>
          </cell>
          <cell r="E13">
            <v>645</v>
          </cell>
        </row>
        <row r="14">
          <cell r="A14" t="str">
            <v xml:space="preserve"> MISC T/S</v>
          </cell>
          <cell r="C14">
            <v>0</v>
          </cell>
          <cell r="E14">
            <v>0</v>
          </cell>
        </row>
        <row r="16">
          <cell r="B16" t="str">
            <v>TOTAL</v>
          </cell>
          <cell r="C16">
            <v>645</v>
          </cell>
          <cell r="D16">
            <v>0</v>
          </cell>
          <cell r="E16">
            <v>645</v>
          </cell>
        </row>
        <row r="18">
          <cell r="A18" t="str">
            <v>NOV 1999:</v>
          </cell>
        </row>
        <row r="19">
          <cell r="A19" t="str">
            <v>T/S SALES</v>
          </cell>
          <cell r="E19">
            <v>0</v>
          </cell>
        </row>
        <row r="20">
          <cell r="A20" t="str">
            <v>CASH SALES</v>
          </cell>
          <cell r="E20">
            <v>0</v>
          </cell>
        </row>
        <row r="21">
          <cell r="A21" t="str">
            <v>CHARGE SALES</v>
          </cell>
          <cell r="E21">
            <v>0</v>
          </cell>
        </row>
        <row r="22">
          <cell r="A22" t="str">
            <v>RECYCLING SALES</v>
          </cell>
          <cell r="E22">
            <v>0</v>
          </cell>
        </row>
        <row r="23">
          <cell r="A23" t="str">
            <v>OTHER SALES:</v>
          </cell>
        </row>
        <row r="24">
          <cell r="A24" t="str">
            <v xml:space="preserve"> WASTE CARTS</v>
          </cell>
          <cell r="C24">
            <v>0</v>
          </cell>
          <cell r="E24">
            <v>0</v>
          </cell>
        </row>
        <row r="25">
          <cell r="A25" t="str">
            <v xml:space="preserve"> MISC T/S</v>
          </cell>
          <cell r="C25">
            <v>0</v>
          </cell>
          <cell r="E25">
            <v>0</v>
          </cell>
        </row>
        <row r="27">
          <cell r="B27" t="str">
            <v>TOTAL</v>
          </cell>
          <cell r="C27">
            <v>0</v>
          </cell>
          <cell r="D27">
            <v>0</v>
          </cell>
          <cell r="E27">
            <v>0</v>
          </cell>
        </row>
        <row r="29">
          <cell r="A29" t="str">
            <v>DEC 1999:</v>
          </cell>
        </row>
        <row r="30">
          <cell r="A30" t="str">
            <v>T/S SALES</v>
          </cell>
          <cell r="E30">
            <v>0</v>
          </cell>
        </row>
        <row r="31">
          <cell r="A31" t="str">
            <v>CASH SALES</v>
          </cell>
          <cell r="E31">
            <v>0</v>
          </cell>
        </row>
        <row r="32">
          <cell r="A32" t="str">
            <v>CHARGE SALES</v>
          </cell>
          <cell r="E32">
            <v>0</v>
          </cell>
        </row>
        <row r="33">
          <cell r="A33" t="str">
            <v>RECYCLING SALES</v>
          </cell>
          <cell r="E33">
            <v>0</v>
          </cell>
        </row>
        <row r="34">
          <cell r="A34" t="str">
            <v>OTHER SALES:</v>
          </cell>
        </row>
        <row r="35">
          <cell r="A35" t="str">
            <v xml:space="preserve"> WASTE CARTS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MISC T/S</v>
          </cell>
          <cell r="C36">
            <v>0</v>
          </cell>
          <cell r="D36">
            <v>0</v>
          </cell>
          <cell r="E36">
            <v>0</v>
          </cell>
        </row>
        <row r="38">
          <cell r="B38" t="str">
            <v>TOTAL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QUARTER TOTAL - 12/31/99:</v>
          </cell>
        </row>
        <row r="41">
          <cell r="A41" t="str">
            <v>T/S SALES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CASH SALES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CHARGE SALES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RECYCLING SALES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OTHER SALES:</v>
          </cell>
          <cell r="C45">
            <v>0</v>
          </cell>
          <cell r="D45">
            <v>0</v>
          </cell>
        </row>
        <row r="46">
          <cell r="A46" t="str">
            <v xml:space="preserve"> WASTE CARTS</v>
          </cell>
          <cell r="C46">
            <v>645</v>
          </cell>
          <cell r="D46">
            <v>0</v>
          </cell>
          <cell r="E46">
            <v>645</v>
          </cell>
        </row>
        <row r="47">
          <cell r="A47" t="str">
            <v xml:space="preserve"> MISC T/S</v>
          </cell>
          <cell r="C47">
            <v>0</v>
          </cell>
          <cell r="D47">
            <v>0</v>
          </cell>
          <cell r="E47">
            <v>0</v>
          </cell>
        </row>
        <row r="49">
          <cell r="B49" t="str">
            <v>TOTAL</v>
          </cell>
          <cell r="C49">
            <v>645</v>
          </cell>
          <cell r="D49">
            <v>0</v>
          </cell>
          <cell r="E49">
            <v>645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'l Priceout"/>
      <sheetName val="Com'l Priceout"/>
      <sheetName val="Roll Off Priceout"/>
      <sheetName val="Roll Off Productivity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Balance Sheet"/>
      <sheetName val="Monthly IS"/>
      <sheetName val="DEPN"/>
      <sheetName val="Fixed Asset Summary"/>
      <sheetName val="Fixed Asset Detail"/>
      <sheetName val="Fuel"/>
      <sheetName val="WTB"/>
      <sheetName val="OH Analysis (2008)"/>
      <sheetName val="Corp. Office OH 2008"/>
      <sheetName val="OH Analysis"/>
      <sheetName val="Corp. Office OH"/>
      <sheetName val="2008 Group Office TB"/>
      <sheetName val="MA Office OH"/>
      <sheetName val="MA Stats"/>
      <sheetName val="2008 Group Office IS"/>
      <sheetName val="2008 West Group IS"/>
      <sheetName val="Legal"/>
      <sheetName val="Lurito 25 bpi"/>
      <sheetName val="Lurito 25 bpi (Rolloff)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D8" t="str">
            <v>#N/A</v>
          </cell>
        </row>
      </sheetData>
      <sheetData sheetId="19"/>
      <sheetData sheetId="20"/>
      <sheetData sheetId="21"/>
      <sheetData sheetId="22"/>
      <sheetData sheetId="23"/>
      <sheetData sheetId="24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3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Act-Fcast P&amp;L"/>
      <sheetName val="9+3"/>
      <sheetName val="2013 Budget"/>
      <sheetName val="Main"/>
      <sheetName val="4105"/>
      <sheetName val="Pricing From Corp as of Dec"/>
      <sheetName val="Qrtly Pricing"/>
      <sheetName val="Intercompany Tonnage"/>
      <sheetName val="Transfer and MRF Bridge"/>
      <sheetName val="Recycle Rev Bridge"/>
      <sheetName val="Rev Reduction Bridge"/>
      <sheetName val="Direct Labor Bridge"/>
      <sheetName val="Truck Variable Bridge"/>
      <sheetName val="Supervisor Exp Bridge"/>
      <sheetName val="Other Op Exp Bridge"/>
      <sheetName val="Ins Exp Bridge"/>
      <sheetName val="G&amp;A Exp 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"/>
      <sheetName val="Monthly IS (SnoKing)"/>
      <sheetName val="Total Lurito"/>
      <sheetName val="Lurito - Garbage"/>
      <sheetName val="Lurito - Recycling"/>
      <sheetName val="Lurito - YW"/>
      <sheetName val="Lurito-Garbage"/>
      <sheetName val="Lurito-Recycling"/>
      <sheetName val="Lurito-YW"/>
      <sheetName val="PC 230"/>
      <sheetName val="PC 220"/>
      <sheetName val="PC 160 - Confidential"/>
      <sheetName val="PC 260-Confidential"/>
      <sheetName val="WUTC Customer Counts"/>
      <sheetName val="Processing Fees"/>
      <sheetName val="YW Processing Fees"/>
      <sheetName val="PR Register-Confidential"/>
      <sheetName val="PR Detail -confidential"/>
      <sheetName val="Wage scale-CONFIDENTIAL"/>
      <sheetName val="Fuel"/>
      <sheetName val="Balance Sheet (SnoKing)"/>
      <sheetName val="DEPN"/>
      <sheetName val="DEPN Summary"/>
      <sheetName val="Fixed Asset Summary"/>
      <sheetName val="Fixed Asset Detail"/>
      <sheetName val="Facility Costs"/>
      <sheetName val="Legal Fees"/>
      <sheetName val="MA Office OH"/>
      <sheetName val="MA Stats"/>
      <sheetName val="OH Analysis"/>
      <sheetName val="Corp. Office OH"/>
      <sheetName val="2008 West Group IS"/>
      <sheetName val="2008 Group Office TB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2)"/>
      <sheetName val="Lurito"/>
      <sheetName val="Fixed Assets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"/>
      <sheetName val="Com'l FL"/>
      <sheetName val="Res'l RL"/>
      <sheetName val="Roll Off"/>
      <sheetName val="Res'l YW"/>
      <sheetName val="Res'l Rec."/>
      <sheetName val="Com'l Rec."/>
      <sheetName val="Summary (2)"/>
      <sheetName val="Customer Counts"/>
      <sheetName val="Com'l FL-2009"/>
      <sheetName val="Res'l RL (2)"/>
      <sheetName val="Res'l YW (2)"/>
      <sheetName val="Res'l Rec. (2)"/>
      <sheetName val="Roll Off (2)"/>
      <sheetName val="Haul Summary"/>
      <sheetName val="Com'l Rec. (2)"/>
      <sheetName val="Hauls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heck"/>
      <sheetName val="Opening"/>
      <sheetName val="Main"/>
      <sheetName val="CopyImport"/>
      <sheetName val="SupportFiles"/>
      <sheetName val="Settings"/>
      <sheetName val="Todo"/>
      <sheetName val="DDLs"/>
      <sheetName val="AutoSupport"/>
      <sheetName val="DetailExa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e">
            <v>#N/A</v>
          </cell>
          <cell r="F3">
            <v>0</v>
          </cell>
          <cell r="I3" t="e">
            <v>#N/A</v>
          </cell>
        </row>
        <row r="4">
          <cell r="I4" t="e">
            <v>#N/A</v>
          </cell>
        </row>
        <row r="5">
          <cell r="F5">
            <v>0</v>
          </cell>
        </row>
        <row r="7">
          <cell r="F7">
            <v>1.4603999999999999</v>
          </cell>
        </row>
        <row r="10">
          <cell r="I10" t="e">
            <v>#VALUE!</v>
          </cell>
        </row>
        <row r="11">
          <cell r="I11" t="e">
            <v>#VALUE!</v>
          </cell>
        </row>
        <row r="12">
          <cell r="I12" t="e">
            <v>#VALUE!</v>
          </cell>
        </row>
        <row r="13">
          <cell r="I13" t="e">
            <v>#VALUE!</v>
          </cell>
        </row>
        <row r="14">
          <cell r="I14" t="e">
            <v>#VALUE!</v>
          </cell>
        </row>
        <row r="15">
          <cell r="I15" t="e">
            <v>#VALUE!</v>
          </cell>
        </row>
        <row r="16">
          <cell r="I16" t="e">
            <v>#VALUE!</v>
          </cell>
        </row>
        <row r="17">
          <cell r="I17" t="e">
            <v>#VALUE!</v>
          </cell>
        </row>
        <row r="18">
          <cell r="I18">
            <v>0</v>
          </cell>
        </row>
        <row r="26">
          <cell r="I26">
            <v>0.05</v>
          </cell>
        </row>
        <row r="27">
          <cell r="I27">
            <v>5000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Customer Count Summary"/>
      <sheetName val="Container Count"/>
      <sheetName val="JBLM Container Count"/>
      <sheetName val="2180 IS"/>
      <sheetName val="2180 (Reg.) - Price Out "/>
      <sheetName val="2180 (Roy) - Price Out"/>
      <sheetName val="2180 (Reg EA.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2180 Comm Recycle"/>
      <sheetName val="JBLM"/>
      <sheetName val="RM Pivot"/>
      <sheetName val=" GW PIVOT"/>
      <sheetName val="RM Data"/>
      <sheetName val="Interject_LastPulledValues"/>
      <sheetName val="P&amp;L"/>
      <sheetName val="YTD Act-Proj (by mo.) vs. Bud"/>
      <sheetName val="C-Rec Cus"/>
      <sheetName val="MF Recy"/>
      <sheetName val="Finance Charges"/>
      <sheetName val="N Lemay Rolloff Count"/>
      <sheetName val="Def Rev. Pivot"/>
      <sheetName val="Recycle Counts Link"/>
      <sheetName val="PI default bill area pricing"/>
      <sheetName val="RMO - Default Bill Area Pricing"/>
      <sheetName val="Cust Counts for Budgets"/>
      <sheetName val="Comm True up"/>
      <sheetName val="RO Man Adj"/>
    </sheetNames>
    <sheetDataSet>
      <sheetData sheetId="0"/>
      <sheetData sheetId="1"/>
      <sheetData sheetId="2"/>
      <sheetData sheetId="3"/>
      <sheetData sheetId="4"/>
      <sheetData sheetId="5">
        <row r="11">
          <cell r="B11" t="str">
            <v>SL035.0G1M001NOREC</v>
          </cell>
        </row>
      </sheetData>
      <sheetData sheetId="6"/>
      <sheetData sheetId="7">
        <row r="11">
          <cell r="B11" t="str">
            <v>SL035.0G1M001WREC</v>
          </cell>
        </row>
      </sheetData>
      <sheetData sheetId="8">
        <row r="11">
          <cell r="B11" t="str">
            <v>SL065.0G1W001WREC</v>
          </cell>
        </row>
      </sheetData>
      <sheetData sheetId="9">
        <row r="11">
          <cell r="B11" t="str">
            <v>BULKY-RES</v>
          </cell>
        </row>
      </sheetData>
      <sheetData sheetId="10">
        <row r="11">
          <cell r="B11" t="str">
            <v>RL020.0G1W001</v>
          </cell>
        </row>
      </sheetData>
      <sheetData sheetId="11">
        <row r="11">
          <cell r="B11" t="str">
            <v>SL020.0G1W001</v>
          </cell>
        </row>
      </sheetData>
      <sheetData sheetId="12">
        <row r="11">
          <cell r="B11" t="str">
            <v>SL035.0G1M001WREC</v>
          </cell>
        </row>
      </sheetData>
      <sheetData sheetId="13">
        <row r="11">
          <cell r="B11" t="str">
            <v>RL010.0G1W001WREC</v>
          </cell>
        </row>
      </sheetData>
      <sheetData sheetId="14">
        <row r="11">
          <cell r="B11" t="str">
            <v>SL035.0GEO001WREC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H8" t="str">
            <v>2022-07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3">
          <cell r="L23">
            <v>2329.3388396454475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ookups"/>
      <sheetName val="Budget Upload"/>
      <sheetName val="Stats"/>
      <sheetName val="RO Rev"/>
      <sheetName val="Labor Analysis"/>
      <sheetName val="Route Rev"/>
      <sheetName val="Commodities"/>
      <sheetName val="Interject_LastPulledValues"/>
      <sheetName val="Commodity Checker"/>
      <sheetName val="Disposal"/>
      <sheetName val="Auto Calcs Help"/>
      <sheetName val="Fuel "/>
      <sheetName val="G&amp;A Salaries"/>
      <sheetName val="Region Alloc"/>
    </sheetNames>
    <sheetDataSet>
      <sheetData sheetId="0">
        <row r="57">
          <cell r="K57" t="str">
            <v>Yes</v>
          </cell>
        </row>
        <row r="58">
          <cell r="K58" t="str">
            <v>No</v>
          </cell>
        </row>
        <row r="82">
          <cell r="I8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Consolidated"/>
      <sheetName val="2140"/>
      <sheetName val="2150"/>
      <sheetName val="2150 Sales Tax"/>
      <sheetName val="2150 Sales Tax(OLD)"/>
      <sheetName val="2160"/>
      <sheetName val="2160 Sales Tax"/>
      <sheetName val="2140 Sales Tax"/>
      <sheetName val="Sales Tax"/>
      <sheetName val="Sales Tax Report"/>
      <sheetName val="Table for Reporting"/>
      <sheetName val="Sales Tax for DOR input"/>
      <sheetName val="Tax Exempt Mthly"/>
      <sheetName val="Interject_LastPulledValues"/>
      <sheetName val="2140_P&amp;L"/>
      <sheetName val="2150_P&amp;L"/>
      <sheetName val="2160_P&amp;L"/>
      <sheetName val="State &amp;Local Tax JE 2020-08"/>
      <sheetName val="Sheet1"/>
    </sheetNames>
    <sheetDataSet>
      <sheetData sheetId="0">
        <row r="8">
          <cell r="J8" t="str">
            <v>ReconBook</v>
          </cell>
        </row>
        <row r="21">
          <cell r="U2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O-22"/>
      <sheetName val="O-23"/>
      <sheetName val="O-24"/>
      <sheetName val="O-25"/>
      <sheetName val="O-26"/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I-1"/>
      <sheetName val="I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inderSetup"/>
      <sheetName val="1_Guidelines"/>
      <sheetName val="2_PLTrend"/>
      <sheetName val="3_BudSum"/>
      <sheetName val="4_BudSumByMth"/>
      <sheetName val="5_Capital"/>
      <sheetName val="6_RevenueBridge"/>
      <sheetName val="7_Contracts"/>
      <sheetName val="8_BudSumDetail"/>
      <sheetName val="9_IS210"/>
      <sheetName val="10_BudSumDetailwith$"/>
      <sheetName val="11_BudSum_WO_Ins"/>
      <sheetName val="Region Capital adj."/>
    </sheetNames>
    <sheetDataSet>
      <sheetData sheetId="0">
        <row r="6">
          <cell r="C6" t="str">
            <v>region western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Consolidated BS"/>
      <sheetName val="IS-2120"/>
      <sheetName val="IS-2121"/>
      <sheetName val="Consolidated IS"/>
      <sheetName val="Proforma"/>
      <sheetName val="Restate-Regulated"/>
      <sheetName val="Restating Expl"/>
      <sheetName val="Pro forma Adj"/>
      <sheetName val="LG"/>
      <sheetName val="LG-Pckr Rts"/>
      <sheetName val="LG-RO"/>
      <sheetName val="LG-Recycl"/>
      <sheetName val="Price-out"/>
      <sheetName val="Rate Schedule"/>
      <sheetName val="2120 Depr Summary"/>
      <sheetName val="2120 Depr"/>
      <sheetName val="2121 Depr Summary"/>
      <sheetName val="2121 Depr"/>
      <sheetName val="2120 Fuel "/>
      <sheetName val="DF-Summary"/>
      <sheetName val="Whitman"/>
      <sheetName val="Spokane"/>
      <sheetName val="Lincoln"/>
      <sheetName val="Med Waste"/>
      <sheetName val="Payroll, 2120"/>
      <sheetName val="Contract-Rev,Cust Cnt"/>
      <sheetName val="Time Allo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Consolidated BS"/>
      <sheetName val="IS-2120"/>
      <sheetName val="IS-2121"/>
      <sheetName val="Consolidated IS"/>
      <sheetName val="Proforma"/>
      <sheetName val="Restate-Regulated"/>
      <sheetName val="Restating Expl"/>
      <sheetName val="Pro forma Adj"/>
      <sheetName val="LG"/>
      <sheetName val="LG-Pckr Rts"/>
      <sheetName val="LG-RO"/>
      <sheetName val="LG-Recycl"/>
      <sheetName val="Price-out"/>
      <sheetName val="Rate Schedule"/>
      <sheetName val="2120 Depr Summary"/>
      <sheetName val="2120 Depr"/>
      <sheetName val="2121 Depr Summary"/>
      <sheetName val="2121 Depr"/>
      <sheetName val="2120 Fuel "/>
      <sheetName val="DF-Summary"/>
      <sheetName val="Whitman"/>
      <sheetName val="Spokane"/>
      <sheetName val="Lincoln"/>
      <sheetName val="Med Waste"/>
      <sheetName val="Payroll, 2120"/>
      <sheetName val="Contract-Rev,Cust Cnt"/>
      <sheetName val="Time Allocation"/>
    </sheetNames>
    <sheetDataSet>
      <sheetData sheetId="0"/>
      <sheetData sheetId="1"/>
      <sheetData sheetId="2"/>
      <sheetData sheetId="3"/>
      <sheetData sheetId="4">
        <row r="91">
          <cell r="C91">
            <v>8686.3100000000013</v>
          </cell>
        </row>
      </sheetData>
      <sheetData sheetId="5"/>
      <sheetData sheetId="6">
        <row r="19">
          <cell r="G19">
            <v>2099422.06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  <sheetName val="Rev YOY Trends"/>
      <sheetName val="VLOOKUP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IS"/>
      <sheetName val="2182 IS"/>
      <sheetName val="Converted IS"/>
      <sheetName val="Ratios"/>
      <sheetName val="2018 YW Tons"/>
      <sheetName val="2180 Disposal"/>
      <sheetName val="LG Total District"/>
      <sheetName val="LG County Area"/>
      <sheetName val="LG EQR"/>
      <sheetName val="LG Cities"/>
      <sheetName val="LG JLBM"/>
      <sheetName val="40109"/>
      <sheetName val="41129"/>
      <sheetName val="43002"/>
      <sheetName val="Revenue-Cust"/>
      <sheetName val="YW Tons"/>
      <sheetName val="Recycle Tons"/>
      <sheetName val="Revenue Summary"/>
      <sheetName val="Explanations-Instructions"/>
      <sheetName val="Restating Adj"/>
      <sheetName val="Restating Adj Expl"/>
      <sheetName val="Pro forma Adj"/>
      <sheetName val="Recycl Mat, Tons, for 2180"/>
      <sheetName val="To Delete --&gt;"/>
      <sheetName val="Dispos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K7">
            <v>30836341.217517916</v>
          </cell>
        </row>
        <row r="8">
          <cell r="K8">
            <v>28756984.927165326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>
            <v>0</v>
          </cell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132534.08000000002</v>
          </cell>
          <cell r="AH13">
            <v>0</v>
          </cell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U23">
            <v>0</v>
          </cell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>
            <v>0</v>
          </cell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>
            <v>0</v>
          </cell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>
            <v>0</v>
          </cell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>
            <v>0</v>
          </cell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>
            <v>0</v>
          </cell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>
            <v>0</v>
          </cell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>
            <v>0</v>
          </cell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>
            <v>0</v>
          </cell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>
            <v>0</v>
          </cell>
          <cell r="I35">
            <v>0</v>
          </cell>
          <cell r="K35">
            <v>0</v>
          </cell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>
            <v>0</v>
          </cell>
          <cell r="AD35">
            <v>0</v>
          </cell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>
            <v>0</v>
          </cell>
          <cell r="I36">
            <v>0</v>
          </cell>
          <cell r="K36">
            <v>0</v>
          </cell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>
            <v>0</v>
          </cell>
          <cell r="AD36">
            <v>0</v>
          </cell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>
            <v>0</v>
          </cell>
          <cell r="I37">
            <v>0</v>
          </cell>
          <cell r="K37">
            <v>0</v>
          </cell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>
            <v>0</v>
          </cell>
          <cell r="AD37">
            <v>0</v>
          </cell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  <cell r="S40">
            <v>0</v>
          </cell>
          <cell r="T40">
            <v>0</v>
          </cell>
          <cell r="W40">
            <v>0</v>
          </cell>
          <cell r="X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I40">
            <v>0</v>
          </cell>
        </row>
        <row r="41">
          <cell r="E41">
            <v>0</v>
          </cell>
          <cell r="F41">
            <v>0</v>
          </cell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>
            <v>0</v>
          </cell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 t="str">
            <v>NEED TO CHECK PERCENTS AGAINST THE BLACK BOX!</v>
          </cell>
          <cell r="N45">
            <v>0</v>
          </cell>
          <cell r="O45">
            <v>0</v>
          </cell>
          <cell r="P45">
            <v>0</v>
          </cell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295020.6315689031</v>
          </cell>
          <cell r="N46">
            <v>0</v>
          </cell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>
            <v>0</v>
          </cell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>
            <v>0</v>
          </cell>
          <cell r="S53">
            <v>60225.333011235838</v>
          </cell>
          <cell r="T53">
            <v>0</v>
          </cell>
          <cell r="U53">
            <v>0</v>
          </cell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109907.81996125523</v>
          </cell>
          <cell r="M59">
            <v>0</v>
          </cell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>
            <v>0</v>
          </cell>
          <cell r="AD59">
            <v>0</v>
          </cell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>
            <v>0</v>
          </cell>
          <cell r="AD61">
            <v>0</v>
          </cell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>
            <v>0</v>
          </cell>
          <cell r="AD62">
            <v>0</v>
          </cell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>
            <v>0</v>
          </cell>
          <cell r="AD63">
            <v>0</v>
          </cell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>
            <v>0</v>
          </cell>
          <cell r="AD64">
            <v>0</v>
          </cell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>
            <v>0</v>
          </cell>
          <cell r="AD68">
            <v>0</v>
          </cell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>
            <v>0</v>
          </cell>
          <cell r="AD70">
            <v>0</v>
          </cell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>
            <v>0</v>
          </cell>
          <cell r="AD72">
            <v>0</v>
          </cell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>
            <v>0</v>
          </cell>
          <cell r="AD73">
            <v>0</v>
          </cell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28308.571266994888</v>
          </cell>
          <cell r="O77">
            <v>28308.571266994888</v>
          </cell>
          <cell r="P77">
            <v>17720.604324025688</v>
          </cell>
          <cell r="Q77">
            <v>0</v>
          </cell>
          <cell r="R77">
            <v>0</v>
          </cell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>
            <v>0</v>
          </cell>
          <cell r="AD77">
            <v>0</v>
          </cell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1693.6444886329532</v>
          </cell>
          <cell r="O78">
            <v>1693.6444886329532</v>
          </cell>
          <cell r="P78">
            <v>857.52611642594184</v>
          </cell>
          <cell r="Q78">
            <v>0</v>
          </cell>
          <cell r="R78">
            <v>0</v>
          </cell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>
            <v>0</v>
          </cell>
          <cell r="AD78">
            <v>0</v>
          </cell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8534.5623532853224</v>
          </cell>
          <cell r="O80">
            <v>8534.5623532853224</v>
          </cell>
          <cell r="P80">
            <v>4321.219806947277</v>
          </cell>
          <cell r="Q80">
            <v>0</v>
          </cell>
          <cell r="R80">
            <v>0</v>
          </cell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>
            <v>0</v>
          </cell>
          <cell r="AD80">
            <v>0</v>
          </cell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1395.9778677125855</v>
          </cell>
          <cell r="O81">
            <v>1395.9778677125855</v>
          </cell>
          <cell r="P81">
            <v>706.81154607740905</v>
          </cell>
          <cell r="Q81">
            <v>0</v>
          </cell>
          <cell r="R81">
            <v>0</v>
          </cell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>
            <v>0</v>
          </cell>
          <cell r="AD81">
            <v>0</v>
          </cell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>
            <v>0</v>
          </cell>
          <cell r="AD82">
            <v>0</v>
          </cell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>
            <v>0</v>
          </cell>
          <cell r="AD83">
            <v>0</v>
          </cell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>
            <v>0</v>
          </cell>
          <cell r="AD84">
            <v>0</v>
          </cell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>
            <v>0</v>
          </cell>
          <cell r="AD85">
            <v>0</v>
          </cell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>
            <v>0</v>
          </cell>
          <cell r="AD86">
            <v>0</v>
          </cell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>
            <v>0</v>
          </cell>
          <cell r="AD87">
            <v>0</v>
          </cell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>
            <v>0</v>
          </cell>
          <cell r="AD88">
            <v>0</v>
          </cell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>
            <v>0</v>
          </cell>
          <cell r="AD89">
            <v>0</v>
          </cell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>
            <v>0</v>
          </cell>
          <cell r="AD90">
            <v>0</v>
          </cell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>
            <v>0</v>
          </cell>
          <cell r="AD91">
            <v>0</v>
          </cell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>
            <v>0</v>
          </cell>
          <cell r="AD92">
            <v>0</v>
          </cell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>
            <v>0</v>
          </cell>
          <cell r="AD93">
            <v>0</v>
          </cell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>
            <v>0</v>
          </cell>
          <cell r="AD94">
            <v>0</v>
          </cell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>
            <v>0</v>
          </cell>
          <cell r="AD95">
            <v>0</v>
          </cell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>
            <v>0</v>
          </cell>
          <cell r="AD96">
            <v>0</v>
          </cell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>
            <v>0</v>
          </cell>
          <cell r="AD98">
            <v>0</v>
          </cell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>
            <v>0</v>
          </cell>
          <cell r="AD99">
            <v>0</v>
          </cell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>
            <v>0</v>
          </cell>
          <cell r="AD102">
            <v>0</v>
          </cell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>
            <v>0</v>
          </cell>
          <cell r="AD103">
            <v>0</v>
          </cell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>
            <v>0</v>
          </cell>
          <cell r="AD104">
            <v>0</v>
          </cell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>
            <v>0</v>
          </cell>
          <cell r="AD106">
            <v>0</v>
          </cell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>
            <v>0</v>
          </cell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>
            <v>0</v>
          </cell>
          <cell r="AD112">
            <v>0</v>
          </cell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>
            <v>0</v>
          </cell>
          <cell r="AD113">
            <v>0</v>
          </cell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>
            <v>0</v>
          </cell>
          <cell r="AD114">
            <v>0</v>
          </cell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>
            <v>0</v>
          </cell>
          <cell r="AD116">
            <v>0</v>
          </cell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>
            <v>0</v>
          </cell>
          <cell r="AD117">
            <v>0</v>
          </cell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>
            <v>0</v>
          </cell>
          <cell r="AD118">
            <v>0</v>
          </cell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>
            <v>0</v>
          </cell>
          <cell r="AD119">
            <v>0</v>
          </cell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>
            <v>0</v>
          </cell>
          <cell r="AD120">
            <v>0</v>
          </cell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>
            <v>0</v>
          </cell>
          <cell r="AD123">
            <v>0</v>
          </cell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>
            <v>0</v>
          </cell>
          <cell r="AD132">
            <v>0</v>
          </cell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>
            <v>0</v>
          </cell>
          <cell r="AD136">
            <v>0</v>
          </cell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>
            <v>0</v>
          </cell>
          <cell r="AD137">
            <v>0</v>
          </cell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>
            <v>0</v>
          </cell>
          <cell r="AD138">
            <v>0</v>
          </cell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>
            <v>0</v>
          </cell>
          <cell r="AD139">
            <v>0</v>
          </cell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>
            <v>0</v>
          </cell>
          <cell r="AD140">
            <v>0</v>
          </cell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>
            <v>0</v>
          </cell>
          <cell r="AD142">
            <v>0</v>
          </cell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>
            <v>0</v>
          </cell>
          <cell r="AD144">
            <v>0</v>
          </cell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>
            <v>0</v>
          </cell>
          <cell r="AD146">
            <v>0</v>
          </cell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>
            <v>0</v>
          </cell>
          <cell r="AD151">
            <v>0</v>
          </cell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>
            <v>0</v>
          </cell>
          <cell r="AD153">
            <v>0</v>
          </cell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>
            <v>0</v>
          </cell>
          <cell r="AD156">
            <v>0</v>
          </cell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>
            <v>0</v>
          </cell>
          <cell r="AD157">
            <v>0</v>
          </cell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>
            <v>0</v>
          </cell>
          <cell r="AD160">
            <v>0</v>
          </cell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>
            <v>0</v>
          </cell>
          <cell r="AD161">
            <v>0</v>
          </cell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>
            <v>0</v>
          </cell>
          <cell r="AD163">
            <v>0</v>
          </cell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>
            <v>0</v>
          </cell>
          <cell r="AD164">
            <v>0</v>
          </cell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>
            <v>0</v>
          </cell>
          <cell r="AD166">
            <v>0</v>
          </cell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>
            <v>0</v>
          </cell>
          <cell r="AD167">
            <v>0</v>
          </cell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>
            <v>0</v>
          </cell>
          <cell r="AD168">
            <v>0</v>
          </cell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>
            <v>0</v>
          </cell>
          <cell r="AD169">
            <v>0</v>
          </cell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>
            <v>0</v>
          </cell>
          <cell r="AD170">
            <v>0</v>
          </cell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>
            <v>0</v>
          </cell>
          <cell r="AD171">
            <v>0</v>
          </cell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>
            <v>0</v>
          </cell>
          <cell r="AD172">
            <v>0</v>
          </cell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>
            <v>0</v>
          </cell>
          <cell r="AD173">
            <v>0</v>
          </cell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>
            <v>0</v>
          </cell>
          <cell r="AD174">
            <v>0</v>
          </cell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>
            <v>0</v>
          </cell>
          <cell r="AD175">
            <v>0</v>
          </cell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>
            <v>0</v>
          </cell>
          <cell r="AD176">
            <v>0</v>
          </cell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>
            <v>0</v>
          </cell>
          <cell r="AD201">
            <v>0</v>
          </cell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>
            <v>0</v>
          </cell>
          <cell r="AD207">
            <v>0</v>
          </cell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>
            <v>0</v>
          </cell>
          <cell r="AD211">
            <v>0</v>
          </cell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>
            <v>0</v>
          </cell>
          <cell r="AD216">
            <v>0</v>
          </cell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>
            <v>0</v>
          </cell>
          <cell r="AD222">
            <v>0</v>
          </cell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>
            <v>0</v>
          </cell>
          <cell r="AD224">
            <v>0</v>
          </cell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>
            <v>0</v>
          </cell>
          <cell r="AD225">
            <v>0</v>
          </cell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>
            <v>0</v>
          </cell>
          <cell r="AD226">
            <v>0</v>
          </cell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>
            <v>0</v>
          </cell>
          <cell r="AD227">
            <v>0</v>
          </cell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>
            <v>0</v>
          </cell>
          <cell r="AD229">
            <v>0</v>
          </cell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>
            <v>0</v>
          </cell>
          <cell r="AD230">
            <v>0</v>
          </cell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>
            <v>0</v>
          </cell>
          <cell r="AD231">
            <v>0</v>
          </cell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>
            <v>0</v>
          </cell>
          <cell r="AD233">
            <v>0</v>
          </cell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>
            <v>0</v>
          </cell>
          <cell r="AD236">
            <v>0</v>
          </cell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>
            <v>0</v>
          </cell>
          <cell r="AD237">
            <v>0</v>
          </cell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>
            <v>0</v>
          </cell>
          <cell r="AD238">
            <v>0</v>
          </cell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>
            <v>0</v>
          </cell>
          <cell r="AD239">
            <v>0</v>
          </cell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763.68707974869699</v>
          </cell>
          <cell r="N250">
            <v>0</v>
          </cell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>
            <v>0</v>
          </cell>
          <cell r="AD255">
            <v>0</v>
          </cell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>
            <v>0</v>
          </cell>
          <cell r="AD258">
            <v>0</v>
          </cell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>
            <v>0</v>
          </cell>
          <cell r="AD260">
            <v>0</v>
          </cell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>
            <v>0</v>
          </cell>
          <cell r="F261">
            <v>0</v>
          </cell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 (Staff Method)"/>
      <sheetName val="Priceout (Company Method)"/>
      <sheetName val="Monthly IS"/>
      <sheetName val="Lurito - Garbage"/>
      <sheetName val="Lurito - Recycling (MF)"/>
      <sheetName val="Lurito - Recycling"/>
      <sheetName val="Lurito - YW"/>
      <sheetName val="Total Lurito"/>
      <sheetName val="Lurito-Garbage"/>
      <sheetName val="Lurito-Recycling"/>
      <sheetName val="Lurito-YW"/>
      <sheetName val="Priceout (Proposed)"/>
      <sheetName val="PC 160 - Confidential"/>
      <sheetName val="PC 220"/>
      <sheetName val="PC 230"/>
      <sheetName val="Processing Fees"/>
      <sheetName val="PC 260-Confidential"/>
      <sheetName val="YW Processing Fees"/>
      <sheetName val="WUTC Customer Counts"/>
      <sheetName val="PR Register-Confidential"/>
      <sheetName val="Wage Scale-Confidential"/>
      <sheetName val="PR Detail - Confidential"/>
      <sheetName val="Earn Codes"/>
      <sheetName val="Fuel"/>
      <sheetName val="Legal Fees"/>
      <sheetName val="Facility Costs"/>
      <sheetName val="Sno-King Com'l Recycling"/>
      <sheetName val="City Contract MF Recycling"/>
      <sheetName val="UTC MF Recycling"/>
      <sheetName val="DEPN Summary"/>
      <sheetName val="DEPN"/>
      <sheetName val="Fixed Asset Summary"/>
      <sheetName val="Fixed Asset Detail"/>
      <sheetName val="Balance Sheet"/>
      <sheetName val="Summary (Cart &amp; Containers)"/>
      <sheetName val="OH Analysis"/>
      <sheetName val="Corp. Office OH"/>
      <sheetName val="2008 Group Office TB"/>
      <sheetName val="MA Office OH"/>
      <sheetName val="MA Stats"/>
      <sheetName val="Bothell"/>
      <sheetName val="Woodinville"/>
      <sheetName val="Seattle"/>
      <sheetName val="South Sound"/>
      <sheetName val="Skagit"/>
      <sheetName val="Brem-Air"/>
      <sheetName val="Hours &amp; Services"/>
      <sheetName val="Operating Cost"/>
      <sheetName val="Head Count"/>
      <sheetName val="Summary MA Headcount"/>
      <sheetName val="MA Headcount"/>
      <sheetName val="Headcount"/>
      <sheetName val="WM Sandpoint"/>
      <sheetName val="WM Brem-Air"/>
      <sheetName val="WM Wenatchee"/>
      <sheetName val="WM Ellensburg"/>
      <sheetName val="WM Klamath Falls"/>
      <sheetName val="WM Coeur d'Alene"/>
      <sheetName val="WM Kennewick"/>
      <sheetName val="WM Skagit"/>
      <sheetName val="WM Spokane"/>
      <sheetName val="WM Oregon"/>
      <sheetName val="WM South Sound"/>
      <sheetName val="WM Northwest"/>
      <sheetName val="WM Sno-King"/>
      <sheetName val="WM Seattle"/>
      <sheetName val="2008 West Group IS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Tonnage)"/>
      <sheetName val="DEPN (CRC)"/>
      <sheetName val="Fixed Assets - Update"/>
      <sheetName val="Fixed Assets"/>
      <sheetName val="Lurito - CRC"/>
      <sheetName val="Lurito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 (Disposal)"/>
      <sheetName val="Com'l FL"/>
      <sheetName val="Res'l RL"/>
      <sheetName val="Roll Off"/>
      <sheetName val="Res'l YW"/>
      <sheetName val="Res'l Rec."/>
      <sheetName val="Com'l Rec."/>
      <sheetName val="Summary (Route)"/>
      <sheetName val="Haul Summary"/>
      <sheetName val="Customer Counts"/>
      <sheetName val="Com'l FL-2009"/>
      <sheetName val="Res'l RL (Route)"/>
      <sheetName val="Res'l YW (Route)"/>
      <sheetName val="Res'l Rec. (Route)"/>
      <sheetName val="Roll Off (Route)"/>
      <sheetName val="Com'l Rec. (Route)"/>
      <sheetName val="Hauls Only"/>
      <sheetName val="Container Shop (Arrows)"/>
      <sheetName val="Summary (Bad Debt)"/>
      <sheetName val="115000-115030 2008"/>
      <sheetName val="115000-115030 2007"/>
      <sheetName val="115000-115030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  <sheetName val="Bud Capita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F11" t="str">
            <v>OK!: ReportRange Formula OK [jAction{}]</v>
          </cell>
        </row>
        <row r="26">
          <cell r="B26" t="str">
            <v>N|Container Delivery</v>
          </cell>
          <cell r="C26" t="str">
            <v>Container Delivery Truck</v>
          </cell>
          <cell r="D26" t="str">
            <v>Container Delivery</v>
          </cell>
        </row>
        <row r="27">
          <cell r="B27" t="str">
            <v>Lookup Key</v>
          </cell>
          <cell r="C27" t="str">
            <v>PO Subtype</v>
          </cell>
          <cell r="D27" t="str">
            <v>Truck Center System Type</v>
          </cell>
        </row>
        <row r="28">
          <cell r="B28" t="str">
            <v>N|Automated Sideloader</v>
          </cell>
          <cell r="C28" t="str">
            <v>Automated</v>
          </cell>
          <cell r="D28" t="str">
            <v>Automated Sideloader</v>
          </cell>
        </row>
        <row r="29">
          <cell r="B29" t="str">
            <v>N|Container Delivery</v>
          </cell>
          <cell r="C29" t="str">
            <v>Container Delivery Truck</v>
          </cell>
          <cell r="D29" t="str">
            <v>Container Delivery</v>
          </cell>
        </row>
        <row r="30">
          <cell r="B30" t="str">
            <v>N|Front Loader</v>
          </cell>
          <cell r="C30" t="str">
            <v>Front Load</v>
          </cell>
          <cell r="D30" t="str">
            <v>Front Loader</v>
          </cell>
        </row>
        <row r="31">
          <cell r="B31" t="str">
            <v>N|Grapple Truck</v>
          </cell>
          <cell r="C31" t="str">
            <v>Grapple Brush Truck</v>
          </cell>
          <cell r="D31" t="str">
            <v>Grapple Truck</v>
          </cell>
        </row>
        <row r="32">
          <cell r="B32" t="str">
            <v>N|Hook Lift</v>
          </cell>
          <cell r="C32" t="str">
            <v>Hook Lift</v>
          </cell>
          <cell r="D32" t="str">
            <v>Hook Lift</v>
          </cell>
        </row>
        <row r="33">
          <cell r="B33" t="str">
            <v>N|Manual Sideloader</v>
          </cell>
          <cell r="C33" t="str">
            <v>Sideloader</v>
          </cell>
          <cell r="D33" t="str">
            <v>Manual Sideloader</v>
          </cell>
        </row>
        <row r="34">
          <cell r="B34" t="str">
            <v>N|Other</v>
          </cell>
          <cell r="C34" t="str">
            <v>Other Truck</v>
          </cell>
          <cell r="D34" t="str">
            <v>Other</v>
          </cell>
        </row>
        <row r="35">
          <cell r="B35" t="str">
            <v>N|Other</v>
          </cell>
          <cell r="C35" t="str">
            <v>Passenger Car</v>
          </cell>
          <cell r="D35" t="str">
            <v>Other</v>
          </cell>
        </row>
        <row r="36">
          <cell r="B36" t="str">
            <v>N|Pickup</v>
          </cell>
          <cell r="C36" t="str">
            <v>Pickup</v>
          </cell>
          <cell r="D36" t="str">
            <v>Pickup</v>
          </cell>
        </row>
        <row r="37">
          <cell r="B37" t="str">
            <v>N|Pumper Truck</v>
          </cell>
          <cell r="C37" t="str">
            <v>Pumper Truck</v>
          </cell>
          <cell r="D37" t="str">
            <v>Pumper Truck</v>
          </cell>
        </row>
        <row r="38">
          <cell r="B38" t="str">
            <v>N|Rear Loader</v>
          </cell>
          <cell r="C38" t="str">
            <v>Rear Load</v>
          </cell>
          <cell r="D38" t="str">
            <v>Rear Loader</v>
          </cell>
        </row>
        <row r="39">
          <cell r="B39" t="str">
            <v>N|Recycle</v>
          </cell>
          <cell r="C39" t="str">
            <v>Recycle Truck</v>
          </cell>
          <cell r="D39" t="str">
            <v>Recycle</v>
          </cell>
        </row>
        <row r="40">
          <cell r="B40" t="str">
            <v>N|Retriever</v>
          </cell>
          <cell r="C40" t="str">
            <v>Retriever</v>
          </cell>
          <cell r="D40" t="str">
            <v>Retriever</v>
          </cell>
        </row>
        <row r="41">
          <cell r="B41" t="str">
            <v>N|Roll Off</v>
          </cell>
          <cell r="C41" t="str">
            <v>Roll Off</v>
          </cell>
          <cell r="D41" t="str">
            <v>Roll Off</v>
          </cell>
        </row>
        <row r="42">
          <cell r="B42" t="str">
            <v>N|Serv Trk-Complete</v>
          </cell>
          <cell r="C42" t="str">
            <v>Service Truck</v>
          </cell>
          <cell r="D42" t="str">
            <v>Serv Trk-Complete</v>
          </cell>
        </row>
        <row r="43">
          <cell r="B43" t="str">
            <v>N|Trailer</v>
          </cell>
          <cell r="C43" t="str">
            <v>Tipper Trailer</v>
          </cell>
          <cell r="D43" t="str">
            <v>Trailer</v>
          </cell>
        </row>
        <row r="44">
          <cell r="B44" t="str">
            <v>N|Trailer</v>
          </cell>
          <cell r="C44" t="str">
            <v>Walking Floor Trailer</v>
          </cell>
          <cell r="D44" t="str">
            <v>Trailer</v>
          </cell>
        </row>
        <row r="45">
          <cell r="B45" t="str">
            <v>N|Trailer</v>
          </cell>
          <cell r="C45" t="str">
            <v>Roll Off Pup Trailer</v>
          </cell>
          <cell r="D45" t="str">
            <v>Trailer</v>
          </cell>
        </row>
        <row r="46">
          <cell r="B46" t="str">
            <v>N|Trailer</v>
          </cell>
          <cell r="C46" t="str">
            <v>Other Trailer</v>
          </cell>
          <cell r="D46" t="str">
            <v>Trailer</v>
          </cell>
        </row>
        <row r="47">
          <cell r="B47" t="str">
            <v>N|Trailer</v>
          </cell>
          <cell r="C47" t="str">
            <v>Container Delivery Trailer</v>
          </cell>
          <cell r="D47" t="str">
            <v>Trailer</v>
          </cell>
        </row>
        <row r="48">
          <cell r="B48" t="str">
            <v>N|Trailer</v>
          </cell>
          <cell r="C48" t="str">
            <v>Railroad Cars</v>
          </cell>
          <cell r="D48" t="str">
            <v>Trailer</v>
          </cell>
        </row>
        <row r="49">
          <cell r="B49" t="str">
            <v>N|Trailer</v>
          </cell>
          <cell r="C49" t="str">
            <v>Barge</v>
          </cell>
          <cell r="D49" t="str">
            <v>Trailer</v>
          </cell>
        </row>
        <row r="50">
          <cell r="B50" t="str">
            <v>N|Transfer Tractor</v>
          </cell>
          <cell r="C50" t="str">
            <v>Transfer Tractor</v>
          </cell>
          <cell r="D50" t="str">
            <v>Transfer Tractor</v>
          </cell>
        </row>
        <row r="51">
          <cell r="B51" t="str">
            <v>N|Yard Mule</v>
          </cell>
          <cell r="C51" t="str">
            <v>ATV/Gator</v>
          </cell>
          <cell r="D51" t="str">
            <v>Yard Mule</v>
          </cell>
        </row>
        <row r="52">
          <cell r="B52" t="str">
            <v>N|Yard Mule</v>
          </cell>
          <cell r="C52" t="str">
            <v>Yard Mule</v>
          </cell>
          <cell r="D52" t="str">
            <v>Yard Mule</v>
          </cell>
        </row>
        <row r="53">
          <cell r="B53" t="str">
            <v>U|Automated Sideloader</v>
          </cell>
          <cell r="C53" t="str">
            <v>Automated</v>
          </cell>
          <cell r="D53" t="str">
            <v>Automated Sideloader</v>
          </cell>
        </row>
        <row r="54">
          <cell r="B54" t="str">
            <v>U|Container Delivery</v>
          </cell>
          <cell r="C54" t="str">
            <v>Container Delivery Truck</v>
          </cell>
          <cell r="D54" t="str">
            <v>Container Delivery</v>
          </cell>
        </row>
        <row r="55">
          <cell r="B55" t="str">
            <v>U|Front Loader</v>
          </cell>
          <cell r="C55" t="str">
            <v>Front Load</v>
          </cell>
          <cell r="D55" t="str">
            <v>Front Loader</v>
          </cell>
        </row>
        <row r="56">
          <cell r="B56" t="str">
            <v>U|Grapple Truck</v>
          </cell>
          <cell r="C56" t="str">
            <v>Grapple Brush Truck</v>
          </cell>
          <cell r="D56" t="str">
            <v>Grapple Truck</v>
          </cell>
        </row>
        <row r="57">
          <cell r="B57" t="str">
            <v>U|Hook Lift</v>
          </cell>
          <cell r="C57" t="str">
            <v>Hook Lift</v>
          </cell>
          <cell r="D57" t="str">
            <v>Hook Lift</v>
          </cell>
        </row>
        <row r="58">
          <cell r="B58" t="str">
            <v>U|Manual Sideloader</v>
          </cell>
          <cell r="C58" t="str">
            <v>Sideloader</v>
          </cell>
          <cell r="D58" t="str">
            <v>Manual Sideloader</v>
          </cell>
        </row>
        <row r="59">
          <cell r="B59" t="str">
            <v>U|Other</v>
          </cell>
          <cell r="C59" t="str">
            <v>Other Truck</v>
          </cell>
          <cell r="D59" t="str">
            <v>Other</v>
          </cell>
        </row>
        <row r="60">
          <cell r="B60" t="str">
            <v>U|Pickup</v>
          </cell>
          <cell r="C60" t="str">
            <v>Pickup</v>
          </cell>
          <cell r="D60" t="str">
            <v>Pickup</v>
          </cell>
        </row>
        <row r="61">
          <cell r="B61" t="str">
            <v>U|Pumper Truck</v>
          </cell>
          <cell r="C61" t="str">
            <v>Pumper Truck</v>
          </cell>
          <cell r="D61" t="str">
            <v>Pumper Truck</v>
          </cell>
        </row>
        <row r="62">
          <cell r="B62" t="str">
            <v>U|Rear Loader</v>
          </cell>
          <cell r="C62" t="str">
            <v>Rear Load</v>
          </cell>
          <cell r="D62" t="str">
            <v>Rear Loader</v>
          </cell>
        </row>
        <row r="63">
          <cell r="B63" t="str">
            <v>U|Recycle</v>
          </cell>
          <cell r="C63" t="str">
            <v>Recycle Truck</v>
          </cell>
          <cell r="D63" t="str">
            <v>Recycle</v>
          </cell>
        </row>
        <row r="64">
          <cell r="B64" t="str">
            <v>U|Retriever</v>
          </cell>
          <cell r="C64" t="str">
            <v>Retriever</v>
          </cell>
          <cell r="D64" t="str">
            <v>Retriever</v>
          </cell>
        </row>
        <row r="65">
          <cell r="B65" t="str">
            <v>U|Roll Off</v>
          </cell>
          <cell r="C65" t="str">
            <v>Roll Off</v>
          </cell>
          <cell r="D65" t="str">
            <v>Roll Off</v>
          </cell>
        </row>
        <row r="66">
          <cell r="B66" t="str">
            <v>U|Serv Trk-Complete</v>
          </cell>
          <cell r="C66" t="str">
            <v>Service Truck</v>
          </cell>
          <cell r="D66" t="str">
            <v>Serv Trk-Complete</v>
          </cell>
        </row>
        <row r="67">
          <cell r="B67" t="str">
            <v>U|Trailer</v>
          </cell>
          <cell r="C67" t="str">
            <v>Tipper Trailer</v>
          </cell>
          <cell r="D67" t="str">
            <v>Trailer</v>
          </cell>
        </row>
        <row r="68">
          <cell r="B68" t="str">
            <v>U|Trailer</v>
          </cell>
          <cell r="C68" t="str">
            <v>Walking Floor Trailer</v>
          </cell>
          <cell r="D68" t="str">
            <v>Trailer</v>
          </cell>
        </row>
        <row r="69">
          <cell r="B69" t="str">
            <v>U|Trailer</v>
          </cell>
          <cell r="C69" t="str">
            <v>Roll Off Pup Trailer</v>
          </cell>
          <cell r="D69" t="str">
            <v>Trailer</v>
          </cell>
        </row>
        <row r="70">
          <cell r="B70" t="str">
            <v>U|Trailer</v>
          </cell>
          <cell r="C70" t="str">
            <v>Barge</v>
          </cell>
          <cell r="D70" t="str">
            <v>Trailer</v>
          </cell>
        </row>
        <row r="71">
          <cell r="B71" t="str">
            <v>U|Trailer</v>
          </cell>
          <cell r="C71" t="str">
            <v>Railroad Cars</v>
          </cell>
          <cell r="D71" t="str">
            <v>Trailer</v>
          </cell>
        </row>
        <row r="72">
          <cell r="B72" t="str">
            <v>U|Trailer</v>
          </cell>
          <cell r="C72" t="str">
            <v>Container Delivery Trailer</v>
          </cell>
          <cell r="D72" t="str">
            <v>Trailer</v>
          </cell>
        </row>
        <row r="73">
          <cell r="B73" t="str">
            <v>U|Trailer</v>
          </cell>
          <cell r="C73" t="str">
            <v>Other Trailer</v>
          </cell>
          <cell r="D73" t="str">
            <v>Trailer</v>
          </cell>
        </row>
        <row r="74">
          <cell r="B74" t="str">
            <v>U|Transfer Tractor</v>
          </cell>
          <cell r="C74" t="str">
            <v>Transfer Tractor</v>
          </cell>
          <cell r="D74" t="str">
            <v>Transfer Tractor</v>
          </cell>
        </row>
      </sheetData>
      <sheetData sheetId="7">
        <row r="7">
          <cell r="C7" t="str">
            <v>OK!: ReportRange Formula OK [jAction{}]</v>
          </cell>
        </row>
      </sheetData>
      <sheetData sheetId="8"/>
      <sheetData sheetId="9" refreshError="1"/>
      <sheetData sheetId="1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  <sheetName val="PL_ActReview3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Report"/>
      <sheetName val="Vol&amp;Price"/>
      <sheetName val="Commodity"/>
      <sheetName val="Labor As % of Rev"/>
      <sheetName val="Group Ins Bridge"/>
      <sheetName val="Region Alloc"/>
      <sheetName val="Fuel"/>
      <sheetName val="2008 Inventory Adj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f"/>
      <sheetName val="pr"/>
      <sheetName val="rev"/>
      <sheetName val="Fuelcosts"/>
      <sheetName val="fuel"/>
      <sheetName val="oth"/>
      <sheetName val="RteHrs"/>
      <sheetName val="debt"/>
      <sheetName val="taxes"/>
      <sheetName val="recy "/>
      <sheetName val="Advertising"/>
      <sheetName val="Parties"/>
      <sheetName val="Donations"/>
      <sheetName val="Dues "/>
      <sheetName val="Hlth Ins"/>
      <sheetName val="Other Ins"/>
      <sheetName val="Postage"/>
      <sheetName val="Pullman EEs"/>
      <sheetName val="Penalties"/>
      <sheetName val="Pensions"/>
      <sheetName val="Payroll"/>
      <sheetName val="LOC"/>
      <sheetName val="Rent "/>
      <sheetName val="2007 COS"/>
      <sheetName val="ProfFees"/>
      <sheetName val="ReplParts"/>
      <sheetName val="RepairMaint"/>
      <sheetName val="LicensesUsedUseful"/>
      <sheetName val="Recycle truck"/>
      <sheetName val="RecycleCarts"/>
      <sheetName val="Depr"/>
      <sheetName val="StaffAdjSummary"/>
      <sheetName val="ProF"/>
      <sheetName val="Balance Sheet"/>
      <sheetName val="nonrg"/>
      <sheetName val="prcout"/>
      <sheetName val="Staff prcout"/>
      <sheetName val="StaffLGAllRegulated"/>
      <sheetName val="LGGarb"/>
      <sheetName val="LGMFam"/>
      <sheetName val="LGCurbRecy"/>
      <sheetName val="LGYdWaste"/>
      <sheetName val="Staff LGCombined"/>
      <sheetName val="LGMedWaste"/>
      <sheetName val="LGCmlEW"/>
      <sheetName val="Sheet1"/>
      <sheetName val="LNI"/>
      <sheetName val="RateCase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d Capital Input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F16" t="str">
            <v>OK!: ReportRange Formula OK [jAction{}]</v>
          </cell>
        </row>
        <row r="29">
          <cell r="C29" t="str">
            <v>PO Subtype</v>
          </cell>
          <cell r="D29" t="str">
            <v>Truck Center System Type</v>
          </cell>
        </row>
        <row r="30">
          <cell r="C30" t="str">
            <v>PO Subtype</v>
          </cell>
          <cell r="D30" t="str">
            <v>Truck Center System Type</v>
          </cell>
        </row>
        <row r="31">
          <cell r="C31" t="str">
            <v>Automated</v>
          </cell>
          <cell r="D31" t="str">
            <v>Automated Sideloader</v>
          </cell>
        </row>
        <row r="32">
          <cell r="C32" t="str">
            <v>Container Delivery Truck</v>
          </cell>
          <cell r="D32" t="str">
            <v>Container Delivery</v>
          </cell>
        </row>
        <row r="33">
          <cell r="C33" t="str">
            <v>Front Load</v>
          </cell>
          <cell r="D33" t="str">
            <v>Front Loader</v>
          </cell>
        </row>
        <row r="34">
          <cell r="C34" t="str">
            <v>Grapple Brush Truck</v>
          </cell>
          <cell r="D34" t="str">
            <v>Grapple Truck</v>
          </cell>
        </row>
        <row r="35">
          <cell r="C35" t="str">
            <v>Hook Lift</v>
          </cell>
          <cell r="D35" t="str">
            <v>Hook Lift</v>
          </cell>
        </row>
        <row r="36">
          <cell r="C36" t="str">
            <v>Sideloader</v>
          </cell>
          <cell r="D36" t="str">
            <v>Sideloader</v>
          </cell>
        </row>
        <row r="37">
          <cell r="C37" t="str">
            <v>Sideloader</v>
          </cell>
          <cell r="D37" t="str">
            <v>Sideloader</v>
          </cell>
        </row>
        <row r="38">
          <cell r="C38" t="str">
            <v>Other Truck</v>
          </cell>
          <cell r="D38" t="str">
            <v>Other</v>
          </cell>
        </row>
        <row r="39">
          <cell r="C39" t="str">
            <v>Passenger Car</v>
          </cell>
          <cell r="D39" t="str">
            <v>Other</v>
          </cell>
        </row>
        <row r="40">
          <cell r="C40" t="str">
            <v>Pickup</v>
          </cell>
          <cell r="D40" t="str">
            <v>Pickup</v>
          </cell>
        </row>
        <row r="41">
          <cell r="C41" t="str">
            <v>Pumper Truck</v>
          </cell>
          <cell r="D41" t="str">
            <v>Pumper Truck</v>
          </cell>
        </row>
        <row r="42">
          <cell r="C42" t="str">
            <v>Rear Load</v>
          </cell>
          <cell r="D42" t="str">
            <v>Rear Loader</v>
          </cell>
        </row>
        <row r="43">
          <cell r="C43" t="str">
            <v>Recycle Truck</v>
          </cell>
          <cell r="D43" t="str">
            <v>Recycle</v>
          </cell>
        </row>
        <row r="44">
          <cell r="C44" t="str">
            <v>Retriever</v>
          </cell>
          <cell r="D44" t="str">
            <v>Retriever</v>
          </cell>
        </row>
        <row r="45">
          <cell r="C45" t="str">
            <v>Roll Off</v>
          </cell>
          <cell r="D45" t="str">
            <v>Roll Off</v>
          </cell>
        </row>
        <row r="46">
          <cell r="C46" t="str">
            <v>Service Truck</v>
          </cell>
          <cell r="D46" t="str">
            <v>Service Truck</v>
          </cell>
        </row>
        <row r="47">
          <cell r="C47" t="str">
            <v>Service Truck</v>
          </cell>
          <cell r="D47" t="str">
            <v>Service Truck</v>
          </cell>
        </row>
        <row r="48">
          <cell r="C48" t="str">
            <v>Tipper Trailer</v>
          </cell>
          <cell r="D48" t="str">
            <v>Trailer</v>
          </cell>
        </row>
        <row r="49">
          <cell r="C49" t="str">
            <v>Walking Floor Trailer</v>
          </cell>
          <cell r="D49" t="str">
            <v>Trailer</v>
          </cell>
        </row>
        <row r="50">
          <cell r="C50" t="str">
            <v>Roll Off Pup Trailer</v>
          </cell>
          <cell r="D50" t="str">
            <v>Trailer</v>
          </cell>
        </row>
        <row r="51">
          <cell r="C51" t="str">
            <v>Other Trailer</v>
          </cell>
          <cell r="D51" t="str">
            <v>Trailer</v>
          </cell>
        </row>
        <row r="52">
          <cell r="C52" t="str">
            <v>Container Delivery Trailer</v>
          </cell>
          <cell r="D52" t="str">
            <v>Trailer</v>
          </cell>
        </row>
        <row r="53">
          <cell r="C53" t="str">
            <v>Railroad Cars</v>
          </cell>
          <cell r="D53" t="str">
            <v>Trailer</v>
          </cell>
        </row>
        <row r="54">
          <cell r="C54" t="str">
            <v>Barge</v>
          </cell>
          <cell r="D54" t="str">
            <v>Trailer</v>
          </cell>
        </row>
        <row r="55">
          <cell r="C55" t="str">
            <v>Transfer Tractor</v>
          </cell>
          <cell r="D55" t="str">
            <v>Transfer Tractor</v>
          </cell>
        </row>
        <row r="56">
          <cell r="C56" t="str">
            <v>ATV/Gator</v>
          </cell>
          <cell r="D56" t="str">
            <v>UTV</v>
          </cell>
        </row>
        <row r="57">
          <cell r="C57" t="str">
            <v>Yard Mule</v>
          </cell>
          <cell r="D57" t="str">
            <v>Yard Mule</v>
          </cell>
        </row>
        <row r="58">
          <cell r="C58" t="str">
            <v>Automated</v>
          </cell>
          <cell r="D58" t="str">
            <v>Automated Sideloader</v>
          </cell>
        </row>
        <row r="59">
          <cell r="C59" t="str">
            <v>Container Delivery Truck</v>
          </cell>
          <cell r="D59" t="str">
            <v>Container Delivery</v>
          </cell>
        </row>
        <row r="60">
          <cell r="C60" t="str">
            <v>Front Load</v>
          </cell>
          <cell r="D60" t="str">
            <v>Front Loader</v>
          </cell>
        </row>
        <row r="61">
          <cell r="C61" t="str">
            <v>Grapple Brush Truck</v>
          </cell>
          <cell r="D61" t="str">
            <v>Grapple Truck</v>
          </cell>
        </row>
        <row r="62">
          <cell r="C62" t="str">
            <v>Hook Lift</v>
          </cell>
          <cell r="D62" t="str">
            <v>Hook Lift</v>
          </cell>
        </row>
        <row r="63">
          <cell r="C63" t="str">
            <v>Sideloader</v>
          </cell>
          <cell r="D63" t="str">
            <v>Manual Sideloader</v>
          </cell>
        </row>
        <row r="64">
          <cell r="C64" t="str">
            <v>Other Truck</v>
          </cell>
          <cell r="D64" t="str">
            <v>Other</v>
          </cell>
        </row>
        <row r="65">
          <cell r="C65" t="str">
            <v>Pickup</v>
          </cell>
          <cell r="D65" t="str">
            <v>Pickup</v>
          </cell>
        </row>
        <row r="66">
          <cell r="C66" t="str">
            <v>Pumper Truck</v>
          </cell>
          <cell r="D66" t="str">
            <v>Pumper Truck</v>
          </cell>
        </row>
        <row r="67">
          <cell r="C67" t="str">
            <v>Rear Load</v>
          </cell>
          <cell r="D67" t="str">
            <v>Rear Loader</v>
          </cell>
        </row>
        <row r="68">
          <cell r="C68" t="str">
            <v>Recycle Truck</v>
          </cell>
          <cell r="D68" t="str">
            <v>Recycle</v>
          </cell>
        </row>
        <row r="69">
          <cell r="C69" t="str">
            <v>Retriever</v>
          </cell>
          <cell r="D69" t="str">
            <v>Retriever</v>
          </cell>
        </row>
        <row r="70">
          <cell r="C70" t="str">
            <v>Roll Off</v>
          </cell>
          <cell r="D70" t="str">
            <v>Roll Off</v>
          </cell>
        </row>
        <row r="71">
          <cell r="C71" t="str">
            <v>Service Truck</v>
          </cell>
          <cell r="D71" t="str">
            <v>Serv Trk-Complete</v>
          </cell>
        </row>
        <row r="72">
          <cell r="C72" t="str">
            <v>Tipper Trailer</v>
          </cell>
          <cell r="D72" t="str">
            <v>Trailer</v>
          </cell>
        </row>
        <row r="73">
          <cell r="C73" t="str">
            <v>Walking Floor Trailer</v>
          </cell>
          <cell r="D73" t="str">
            <v>Trailer</v>
          </cell>
        </row>
        <row r="74">
          <cell r="C74" t="str">
            <v>Roll Off Pup Trailer</v>
          </cell>
          <cell r="D74" t="str">
            <v>Trailer</v>
          </cell>
        </row>
        <row r="75">
          <cell r="C75" t="str">
            <v>Barge</v>
          </cell>
          <cell r="D75" t="str">
            <v>Trailer</v>
          </cell>
        </row>
        <row r="76">
          <cell r="C76" t="str">
            <v>Railroad Cars</v>
          </cell>
          <cell r="D76" t="str">
            <v>Trailer</v>
          </cell>
        </row>
        <row r="77">
          <cell r="C77" t="str">
            <v>Container Delivery Trailer</v>
          </cell>
          <cell r="D77" t="str">
            <v>Trailer</v>
          </cell>
        </row>
        <row r="78">
          <cell r="C78" t="str">
            <v>Other Trailer</v>
          </cell>
          <cell r="D78" t="str">
            <v>Trailer</v>
          </cell>
        </row>
        <row r="79">
          <cell r="C79" t="str">
            <v>Transfer Tractor</v>
          </cell>
          <cell r="D79" t="str">
            <v>Transfer Tractor</v>
          </cell>
        </row>
      </sheetData>
      <sheetData sheetId="8">
        <row r="7">
          <cell r="C7" t="str">
            <v>OK!: ReportRange Formula OK [jAction{}]</v>
          </cell>
        </row>
      </sheetData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S"/>
      <sheetName val="Budget"/>
      <sheetName val="Forecast"/>
      <sheetName val="Internal Rev Growth"/>
      <sheetName val="Rev Roll"/>
      <sheetName val="Intern of Wste"/>
      <sheetName val="Tonnage"/>
      <sheetName val="AR Analysis"/>
      <sheetName val="Cap X"/>
      <sheetName val="Goodwill"/>
      <sheetName val="Other Intangibles"/>
      <sheetName val="Debt Roll"/>
      <sheetName val="Env Liability"/>
      <sheetName val="Census"/>
      <sheetName val="Census Budge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5">
          <cell r="B5">
            <v>536</v>
          </cell>
        </row>
        <row r="7">
          <cell r="B7" t="str">
            <v>WM Grass Valley/Nevada City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>
        <row r="30">
          <cell r="J30">
            <v>2646.7177352709273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Total Reg"/>
      <sheetName val="LG Total Clallum"/>
      <sheetName val="LG Total Jefferson"/>
      <sheetName val="LG Total Mill Haul"/>
      <sheetName val="2112-2148_IS210"/>
      <sheetName val="2113_IS210"/>
      <sheetName val="Revenue"/>
      <sheetName val="Interject_LastPulledValues"/>
      <sheetName val="Debt"/>
      <sheetName val="Converted IS"/>
      <sheetName val="Deprec. Summary"/>
      <sheetName val="Sorted Master-2112-2148"/>
      <sheetName val="2112-2148 Key Allocators"/>
      <sheetName val="Bud Proforma Calcs - Revenue"/>
      <sheetName val="43001"/>
      <sheetName val="52170 - Real Estate Rental"/>
      <sheetName val="Pric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solidated IS"/>
      <sheetName val="Ratios"/>
      <sheetName val="Restating Adj Expl"/>
      <sheetName val="Aug Av. Fuel Price"/>
      <sheetName val="Pro forma Adj"/>
      <sheetName val="LG Total Regulated"/>
      <sheetName val="LG Public - BRG"/>
      <sheetName val="Revenue Summary"/>
      <sheetName val="Region OH"/>
      <sheetName val="70255 JE Query"/>
      <sheetName val="Bud Capital Input 2021"/>
      <sheetName val="2149_BS 08.2020"/>
      <sheetName val="2149_BS 08-2019"/>
    </sheetNames>
    <sheetDataSet>
      <sheetData sheetId="0"/>
      <sheetData sheetId="1">
        <row r="31">
          <cell r="A31">
            <v>57147</v>
          </cell>
        </row>
      </sheetData>
      <sheetData sheetId="2"/>
      <sheetData sheetId="3"/>
      <sheetData sheetId="4">
        <row r="15">
          <cell r="E15">
            <v>44074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4 Month Condensed Ops P&amp;L"/>
      <sheetName val="Report Template"/>
    </sheetNames>
    <sheetDataSet>
      <sheetData sheetId="0"/>
      <sheetData sheetId="1"/>
      <sheetData sheetId="2">
        <row r="2002">
          <cell r="B2002">
            <v>2006</v>
          </cell>
        </row>
        <row r="2003">
          <cell r="B2003">
            <v>2007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Staff Calcs "/>
      <sheetName val="Rate Schedule"/>
      <sheetName val="Co Provided Price Out"/>
    </sheetNames>
    <sheetDataSet>
      <sheetData sheetId="0">
        <row r="56">
          <cell r="G56">
            <v>0.98072499999999996</v>
          </cell>
        </row>
      </sheetData>
      <sheetData sheetId="1"/>
      <sheetData sheetId="2"/>
      <sheetData sheetId="3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FAQs-Instructions-Information"/>
      <sheetName val="Ownership- Industry Info"/>
      <sheetName val="Complaint Contact Information"/>
      <sheetName val="Sch 1 Veh-Mileage-Accident Info"/>
      <sheetName val="Sch 2 Vehicle Listings"/>
      <sheetName val="Sch 3 Fuel Consumption Stats"/>
      <sheetName val="Sch 4 Employee Class-Compen"/>
      <sheetName val="Sch 5 Operating Property"/>
      <sheetName val="Sch 6 Bal Sheet Assests -Total"/>
      <sheetName val="Sch 7 Bal Sheet Liab-Equity"/>
      <sheetName val="Sch 8 Revenues"/>
      <sheetName val="Sch 9 Customers"/>
      <sheetName val="Sch 10 Income Statement"/>
      <sheetName val="Sch 11 Reg Recycle Program"/>
      <sheetName val="Sch 12 Yard Waste-Organics Prog"/>
      <sheetName val="Sch 13 Garbage Disposal Fees"/>
      <sheetName val="Sch 14 Medical Waste "/>
      <sheetName val="Sch 15 Other Disp-Process Exp"/>
      <sheetName val="Sch 16 Contracted Cities"/>
      <sheetName val="Reg Fee Calc Schedule"/>
      <sheetName val="Company Info-Certification"/>
      <sheetName val="Payment and Fi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1">
          <cell r="J11">
            <v>22796.48</v>
          </cell>
        </row>
        <row r="12">
          <cell r="J12">
            <v>8453.094000000001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Cust Count Summary"/>
      <sheetName val="2120_IS210"/>
      <sheetName val="Spokane Reg - Price out"/>
      <sheetName val="Whitman Reg - Price Out"/>
      <sheetName val="Army Non-Reg - Price Out"/>
      <sheetName val="Latah Co Non-Reg - Price Out"/>
      <sheetName val="Rockford Non-Reg - Price Out"/>
      <sheetName val="Spangle Non-Reg - Price Out"/>
      <sheetName val="Starbuck Non-Reg - Price Out"/>
      <sheetName val="Tekoa Non-Reg - Price Out"/>
      <sheetName val="2021 Rev Tool"/>
    </sheetNames>
    <sheetDataSet>
      <sheetData sheetId="0" refreshError="1"/>
      <sheetData sheetId="1" refreshError="1"/>
      <sheetData sheetId="2" refreshError="1"/>
      <sheetData sheetId="3">
        <row r="36">
          <cell r="AD36">
            <v>1425.2101907878748</v>
          </cell>
        </row>
        <row r="84">
          <cell r="AD84">
            <v>111.66760612684044</v>
          </cell>
        </row>
        <row r="101">
          <cell r="AD101">
            <v>5.0379296688761537</v>
          </cell>
        </row>
      </sheetData>
      <sheetData sheetId="4">
        <row r="38">
          <cell r="AD38">
            <v>3572.7325660006491</v>
          </cell>
        </row>
        <row r="135">
          <cell r="AD135">
            <v>826.92291309843961</v>
          </cell>
        </row>
        <row r="167">
          <cell r="AD167">
            <v>12.858370400294405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heet"/>
      <sheetName val="Spokane Reg - Price out 2023"/>
      <sheetName val="Whitman Reg - Price Out"/>
      <sheetName val="2120_IS210 (C)"/>
      <sheetName val="Consolidated IS (C)"/>
      <sheetName val="Staff Calculations"/>
      <sheetName val="Staff Restating Adj Matrix"/>
      <sheetName val="Staff Restating Adj List"/>
      <sheetName val="Staff Pro Forma Adj Matrix"/>
      <sheetName val="Staff Pro Forma Adj List"/>
      <sheetName val="Depr Summary (C)"/>
      <sheetName val="Empire's LOB (C)"/>
      <sheetName val="Allocators (C)"/>
      <sheetName val="Restating Adj's (C)"/>
      <sheetName val="Pro-forma Adj's (C)"/>
      <sheetName val="Proforma Fuel Expense (C)"/>
      <sheetName val="Disposal (C)"/>
      <sheetName val="2120 Payroll Schedule (C) "/>
      <sheetName val="LG Public - Regulated"/>
      <sheetName val="LG Public - MSW"/>
      <sheetName val="LG Public - Recycling"/>
      <sheetName val="Region OH (C)"/>
      <sheetName val="Corp-OH (C)"/>
      <sheetName val="2021-12 BS (C)"/>
      <sheetName val="2022.12 BS (C)"/>
      <sheetName val="Interject_LastPulledValues"/>
      <sheetName val="DVP-DivCon Allocs  (C)"/>
      <sheetName val="40131 JE Query (C)"/>
      <sheetName val="41201 JE Query (C)"/>
      <sheetName val="70195"/>
      <sheetName val="Corp BS &amp; IS"/>
      <sheetName val="2120 Depr Summary"/>
      <sheetName val="FAR 12.2022"/>
      <sheetName val="Staff Invoice review"/>
      <sheetName val="FAR Dep Summary"/>
      <sheetName val="Truck Depr - w Salvage "/>
      <sheetName val="Depr - Cont, Shop, Serv, Office"/>
      <sheetName val="Spokane Reg - Price out"/>
    </sheetNames>
    <sheetDataSet>
      <sheetData sheetId="0"/>
      <sheetData sheetId="1"/>
      <sheetData sheetId="2">
        <row r="3">
          <cell r="AO3">
            <v>-5.5391300050128489E-2</v>
          </cell>
          <cell r="AQ3">
            <v>-5.519130005012849E-2</v>
          </cell>
        </row>
        <row r="37">
          <cell r="AP37">
            <v>150343.91948743814</v>
          </cell>
          <cell r="AR37">
            <v>1528003.8342120119</v>
          </cell>
        </row>
        <row r="42">
          <cell r="AP42">
            <v>-886.32647002602198</v>
          </cell>
          <cell r="AR42">
            <v>15172.843529973976</v>
          </cell>
        </row>
        <row r="123">
          <cell r="AP123">
            <v>153277.23386289773</v>
          </cell>
          <cell r="AR123">
            <v>1557839.4365844941</v>
          </cell>
        </row>
        <row r="150">
          <cell r="AP150">
            <v>18686.032042944793</v>
          </cell>
          <cell r="AR150">
            <v>189916.26204294481</v>
          </cell>
        </row>
        <row r="154">
          <cell r="AR154">
            <v>111602.95000000001</v>
          </cell>
        </row>
        <row r="173">
          <cell r="AR173">
            <v>1660.2900000000045</v>
          </cell>
        </row>
      </sheetData>
      <sheetData sheetId="3"/>
      <sheetData sheetId="4">
        <row r="24">
          <cell r="G24">
            <v>159218.59000000003</v>
          </cell>
          <cell r="H24">
            <v>5803.0720591171039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J20">
            <v>406239.04454662837</v>
          </cell>
        </row>
        <row r="21">
          <cell r="J21">
            <v>4383978.6602565357</v>
          </cell>
        </row>
        <row r="22">
          <cell r="K22">
            <v>0.10212811390222853</v>
          </cell>
        </row>
      </sheetData>
      <sheetData sheetId="20">
        <row r="20">
          <cell r="J20">
            <v>-890.03160302535434</v>
          </cell>
        </row>
        <row r="21">
          <cell r="J21">
            <v>15178.044109584487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132">
          <cell r="D132">
            <v>5924.02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">
          <cell r="AQ2">
            <v>0.10912811390222854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0-10899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Area Disposal"/>
      <sheetName val="References"/>
      <sheetName val="Allocations 2022"/>
      <sheetName val="Spokane Reg - Price out"/>
      <sheetName val="Whitman Reg - Price Out"/>
      <sheetName val="Spokane Non-Reg"/>
      <sheetName val="Whitman Non-Reg"/>
    </sheetNames>
    <sheetDataSet>
      <sheetData sheetId="0" refreshError="1"/>
      <sheetData sheetId="1" refreshError="1"/>
      <sheetData sheetId="2" refreshError="1"/>
      <sheetData sheetId="3">
        <row r="54">
          <cell r="I54">
            <v>5555383.1164862961</v>
          </cell>
        </row>
      </sheetData>
      <sheetData sheetId="4" refreshError="1"/>
      <sheetData sheetId="5">
        <row r="36">
          <cell r="L36">
            <v>1489414.7849577228</v>
          </cell>
        </row>
      </sheetData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K86"/>
  <sheetViews>
    <sheetView view="pageBreakPreview" topLeftCell="A34" zoomScaleNormal="85" zoomScaleSheetLayoutView="100" workbookViewId="0">
      <selection activeCell="A58" sqref="A58"/>
    </sheetView>
  </sheetViews>
  <sheetFormatPr defaultColWidth="9.140625" defaultRowHeight="15"/>
  <cols>
    <col min="1" max="1" width="36.28515625" bestFit="1" customWidth="1"/>
    <col min="2" max="2" width="19" bestFit="1" customWidth="1"/>
    <col min="3" max="3" width="16" bestFit="1" customWidth="1"/>
    <col min="4" max="4" width="13.140625" customWidth="1"/>
    <col min="5" max="5" width="7" bestFit="1" customWidth="1"/>
    <col min="6" max="6" width="11.42578125" bestFit="1" customWidth="1"/>
    <col min="7" max="7" width="10" bestFit="1" customWidth="1"/>
    <col min="8" max="8" width="8" bestFit="1" customWidth="1"/>
    <col min="9" max="9" width="15.85546875" bestFit="1" customWidth="1"/>
    <col min="10" max="10" width="12" bestFit="1" customWidth="1"/>
  </cols>
  <sheetData>
    <row r="1" spans="1:8">
      <c r="A1" s="5" t="s">
        <v>263</v>
      </c>
    </row>
    <row r="2" spans="1:8">
      <c r="A2" s="5" t="s">
        <v>285</v>
      </c>
    </row>
    <row r="4" spans="1:8">
      <c r="A4" s="317" t="s">
        <v>112</v>
      </c>
      <c r="B4" s="317"/>
      <c r="C4" s="317"/>
      <c r="D4" s="317"/>
      <c r="E4" s="317"/>
      <c r="F4" s="317"/>
      <c r="G4" s="317"/>
      <c r="H4" s="317"/>
    </row>
    <row r="5" spans="1:8">
      <c r="A5" t="s">
        <v>113</v>
      </c>
      <c r="B5" s="1" t="s">
        <v>114</v>
      </c>
      <c r="C5" s="1" t="s">
        <v>115</v>
      </c>
      <c r="D5" s="1" t="s">
        <v>116</v>
      </c>
      <c r="E5" s="1" t="s">
        <v>117</v>
      </c>
      <c r="F5" s="1" t="s">
        <v>118</v>
      </c>
      <c r="G5" s="1" t="s">
        <v>119</v>
      </c>
      <c r="H5" s="1" t="s">
        <v>120</v>
      </c>
    </row>
    <row r="6" spans="1:8">
      <c r="A6" t="s">
        <v>121</v>
      </c>
      <c r="B6" s="2">
        <f>52*5/12</f>
        <v>21.666666666666668</v>
      </c>
      <c r="C6" s="3">
        <f>$B$6*2</f>
        <v>43.333333333333336</v>
      </c>
      <c r="D6" s="3">
        <f>$B$6*3</f>
        <v>65</v>
      </c>
      <c r="E6" s="3">
        <f>$B$6*4</f>
        <v>86.666666666666671</v>
      </c>
      <c r="F6" s="3">
        <f>$B$6*5</f>
        <v>108.33333333333334</v>
      </c>
      <c r="G6" s="3">
        <f>$B$6*6</f>
        <v>130</v>
      </c>
      <c r="H6" s="3">
        <f>$B$6*7</f>
        <v>151.66666666666669</v>
      </c>
    </row>
    <row r="7" spans="1:8">
      <c r="A7" t="s">
        <v>122</v>
      </c>
      <c r="B7" s="2">
        <f>52*4/12</f>
        <v>17.333333333333332</v>
      </c>
      <c r="C7" s="3">
        <f>$B$7*2</f>
        <v>34.666666666666664</v>
      </c>
      <c r="D7" s="3">
        <f>$B$7*3</f>
        <v>52</v>
      </c>
      <c r="E7" s="3">
        <f>$B$7*4</f>
        <v>69.333333333333329</v>
      </c>
      <c r="F7" s="3">
        <f>$B$7*5</f>
        <v>86.666666666666657</v>
      </c>
      <c r="G7" s="3">
        <f>$B$7*6</f>
        <v>104</v>
      </c>
      <c r="H7" s="3">
        <f>$B$7*7</f>
        <v>121.33333333333333</v>
      </c>
    </row>
    <row r="8" spans="1:8">
      <c r="A8" t="s">
        <v>123</v>
      </c>
      <c r="B8" s="2">
        <f>52*3/12</f>
        <v>13</v>
      </c>
      <c r="C8" s="3">
        <f>$B$8*2</f>
        <v>26</v>
      </c>
      <c r="D8" s="3">
        <f>$B$8*3</f>
        <v>39</v>
      </c>
      <c r="E8" s="3">
        <f>$B$8*4</f>
        <v>52</v>
      </c>
      <c r="F8" s="3">
        <f>$B$8*5</f>
        <v>65</v>
      </c>
      <c r="G8" s="3">
        <f>$B$8*6</f>
        <v>78</v>
      </c>
      <c r="H8" s="3">
        <f>$B$8*7</f>
        <v>91</v>
      </c>
    </row>
    <row r="9" spans="1:8">
      <c r="A9" t="s">
        <v>124</v>
      </c>
      <c r="B9" s="2">
        <f>52*2/12</f>
        <v>8.6666666666666661</v>
      </c>
      <c r="C9" s="4">
        <f>$B$9*2</f>
        <v>17.333333333333332</v>
      </c>
      <c r="D9" s="4">
        <f>$B$9*3</f>
        <v>26</v>
      </c>
      <c r="E9" s="4">
        <f>$B$9*4</f>
        <v>34.666666666666664</v>
      </c>
      <c r="F9" s="4">
        <f>$B$9*5</f>
        <v>43.333333333333329</v>
      </c>
      <c r="G9" s="4">
        <f>$B$9*6</f>
        <v>52</v>
      </c>
      <c r="H9" s="4">
        <f>$B$9*7</f>
        <v>60.666666666666664</v>
      </c>
    </row>
    <row r="10" spans="1:8">
      <c r="A10" t="s">
        <v>125</v>
      </c>
      <c r="B10" s="2">
        <f>52/12</f>
        <v>4.333333333333333</v>
      </c>
      <c r="C10" s="4">
        <f>$B$10*2</f>
        <v>8.6666666666666661</v>
      </c>
      <c r="D10" s="4">
        <f>$B$10*3</f>
        <v>13</v>
      </c>
      <c r="E10" s="4">
        <f>$B$10*4</f>
        <v>17.333333333333332</v>
      </c>
      <c r="F10" s="4">
        <f>$B$10*5</f>
        <v>21.666666666666664</v>
      </c>
      <c r="G10" s="4">
        <f>$B$10*6</f>
        <v>26</v>
      </c>
      <c r="H10" s="4">
        <f>$B$10*7</f>
        <v>30.333333333333332</v>
      </c>
    </row>
    <row r="11" spans="1:8">
      <c r="A11" t="s">
        <v>126</v>
      </c>
      <c r="B11" s="2">
        <f>26/12</f>
        <v>2.1666666666666665</v>
      </c>
      <c r="C11" s="4">
        <f>$B$11*2</f>
        <v>4.333333333333333</v>
      </c>
      <c r="D11" s="4">
        <f>$B$11*3</f>
        <v>6.5</v>
      </c>
      <c r="E11" s="4">
        <f>$B$11*4</f>
        <v>8.6666666666666661</v>
      </c>
      <c r="F11" s="4">
        <f>$B$11*5</f>
        <v>10.833333333333332</v>
      </c>
      <c r="G11" s="4">
        <f>$B$11*6</f>
        <v>13</v>
      </c>
      <c r="H11" s="4">
        <f>$B$11*7</f>
        <v>15.166666666666666</v>
      </c>
    </row>
    <row r="12" spans="1:8">
      <c r="A12" t="s">
        <v>127</v>
      </c>
      <c r="B12" s="2">
        <f>12/12</f>
        <v>1</v>
      </c>
      <c r="C12" s="4">
        <f>$B$12*2</f>
        <v>2</v>
      </c>
      <c r="D12" s="4">
        <f>$B$12*3</f>
        <v>3</v>
      </c>
      <c r="E12" s="4">
        <f>$B$12*4</f>
        <v>4</v>
      </c>
      <c r="F12" s="4">
        <f>$B$12*5</f>
        <v>5</v>
      </c>
      <c r="G12" s="4">
        <f>$B$12*6</f>
        <v>6</v>
      </c>
      <c r="H12" s="4">
        <f>$B$12*7</f>
        <v>7</v>
      </c>
    </row>
    <row r="13" spans="1:8">
      <c r="B13" s="2"/>
      <c r="C13" s="4"/>
      <c r="D13" s="4"/>
      <c r="E13" s="4"/>
      <c r="F13" s="4"/>
      <c r="G13" s="4"/>
      <c r="H13" s="4"/>
    </row>
    <row r="14" spans="1:8">
      <c r="A14" s="317" t="s">
        <v>128</v>
      </c>
      <c r="B14" s="317"/>
      <c r="C14" s="4"/>
      <c r="D14" s="4"/>
      <c r="E14" s="4"/>
      <c r="F14" s="4"/>
      <c r="G14" s="4"/>
      <c r="H14" s="4"/>
    </row>
    <row r="15" spans="1:8">
      <c r="A15" s="5" t="s">
        <v>129</v>
      </c>
      <c r="B15" s="6" t="s">
        <v>130</v>
      </c>
      <c r="C15" s="4"/>
      <c r="D15" s="4"/>
      <c r="E15" s="4"/>
      <c r="F15" s="4"/>
      <c r="G15" s="4"/>
      <c r="H15" s="4"/>
    </row>
    <row r="16" spans="1:8">
      <c r="A16" s="7" t="s">
        <v>131</v>
      </c>
      <c r="B16" s="8">
        <v>20</v>
      </c>
      <c r="C16" s="4"/>
      <c r="D16" s="4"/>
      <c r="E16" s="4"/>
      <c r="F16" s="4"/>
      <c r="G16" s="4"/>
      <c r="H16" s="4"/>
    </row>
    <row r="17" spans="1:8">
      <c r="A17" s="7" t="s">
        <v>132</v>
      </c>
      <c r="B17" s="8">
        <v>34</v>
      </c>
      <c r="C17" s="4"/>
      <c r="D17" s="4"/>
      <c r="E17" s="4"/>
      <c r="F17" s="4"/>
      <c r="G17" s="4"/>
      <c r="H17" s="4"/>
    </row>
    <row r="18" spans="1:8">
      <c r="A18" s="7" t="s">
        <v>133</v>
      </c>
      <c r="B18" s="8">
        <v>51</v>
      </c>
      <c r="C18" s="4"/>
      <c r="D18" s="4"/>
      <c r="E18" s="4"/>
      <c r="F18" s="4"/>
      <c r="G18" s="4"/>
      <c r="H18" s="4"/>
    </row>
    <row r="19" spans="1:8">
      <c r="A19" s="7" t="s">
        <v>134</v>
      </c>
      <c r="B19" s="8">
        <v>77</v>
      </c>
      <c r="C19" s="4"/>
      <c r="D19" s="4"/>
      <c r="E19" s="4"/>
      <c r="F19" t="s">
        <v>135</v>
      </c>
      <c r="G19" s="8">
        <v>2000</v>
      </c>
      <c r="H19" s="4"/>
    </row>
    <row r="20" spans="1:8">
      <c r="A20" s="7" t="s">
        <v>136</v>
      </c>
      <c r="B20" s="8">
        <v>97</v>
      </c>
      <c r="C20" s="4"/>
      <c r="D20" s="4"/>
      <c r="E20" s="4"/>
      <c r="F20" t="s">
        <v>137</v>
      </c>
      <c r="G20" s="23" t="s">
        <v>138</v>
      </c>
      <c r="H20" s="4"/>
    </row>
    <row r="21" spans="1:8">
      <c r="A21" s="7" t="s">
        <v>139</v>
      </c>
      <c r="B21" s="8">
        <v>117</v>
      </c>
      <c r="C21" s="4"/>
      <c r="D21" s="4"/>
      <c r="E21" s="4"/>
      <c r="H21" s="4"/>
    </row>
    <row r="22" spans="1:8">
      <c r="A22" s="7" t="s">
        <v>140</v>
      </c>
      <c r="B22" s="8">
        <v>157</v>
      </c>
      <c r="C22" s="4"/>
      <c r="D22" s="4"/>
      <c r="E22" s="4"/>
      <c r="F22" s="9"/>
      <c r="G22" s="10"/>
      <c r="H22" s="4"/>
    </row>
    <row r="23" spans="1:8">
      <c r="A23" s="7" t="s">
        <v>141</v>
      </c>
      <c r="B23" s="8">
        <v>47</v>
      </c>
      <c r="C23" s="4"/>
      <c r="D23" s="4" t="s">
        <v>245</v>
      </c>
      <c r="E23" s="4"/>
      <c r="F23" s="4" t="s">
        <v>246</v>
      </c>
      <c r="G23" s="4"/>
      <c r="H23" s="4"/>
    </row>
    <row r="24" spans="1:8">
      <c r="A24" s="7" t="s">
        <v>142</v>
      </c>
      <c r="B24" s="8">
        <v>68</v>
      </c>
      <c r="C24" s="4"/>
      <c r="D24" s="28">
        <v>2</v>
      </c>
      <c r="E24" s="4"/>
      <c r="F24" s="28">
        <v>2</v>
      </c>
      <c r="G24" s="4"/>
      <c r="H24" s="4"/>
    </row>
    <row r="25" spans="1:8">
      <c r="A25" s="7" t="s">
        <v>143</v>
      </c>
      <c r="B25" s="8">
        <v>34</v>
      </c>
      <c r="C25" s="4"/>
      <c r="D25" s="28">
        <v>3</v>
      </c>
      <c r="E25" s="4"/>
      <c r="F25" s="28">
        <v>3</v>
      </c>
      <c r="G25" s="4"/>
      <c r="H25" s="4"/>
    </row>
    <row r="26" spans="1:8">
      <c r="A26" s="7" t="s">
        <v>144</v>
      </c>
      <c r="B26" s="8">
        <v>34</v>
      </c>
      <c r="C26" s="4"/>
      <c r="D26" s="28">
        <v>4</v>
      </c>
      <c r="E26" s="4"/>
      <c r="F26" s="28">
        <v>4</v>
      </c>
      <c r="G26" s="4"/>
      <c r="H26" s="4"/>
    </row>
    <row r="27" spans="1:8">
      <c r="A27" s="5" t="s">
        <v>145</v>
      </c>
      <c r="B27" s="8"/>
      <c r="C27" s="4"/>
      <c r="D27" s="28">
        <v>5</v>
      </c>
      <c r="E27" s="4"/>
      <c r="F27" s="28">
        <v>5</v>
      </c>
      <c r="G27" s="4"/>
      <c r="H27" s="4"/>
    </row>
    <row r="28" spans="1:8">
      <c r="A28" s="7" t="s">
        <v>146</v>
      </c>
      <c r="B28" s="8">
        <v>29</v>
      </c>
      <c r="C28" s="4"/>
      <c r="D28" s="4"/>
      <c r="E28" s="4"/>
      <c r="F28" s="4"/>
      <c r="G28" s="4"/>
      <c r="H28" s="4"/>
    </row>
    <row r="29" spans="1:8">
      <c r="A29" s="7" t="s">
        <v>147</v>
      </c>
      <c r="B29" s="8">
        <v>175</v>
      </c>
      <c r="C29" s="4"/>
      <c r="D29" s="4"/>
      <c r="E29" s="4"/>
      <c r="F29" s="4"/>
      <c r="G29" s="4"/>
      <c r="H29" s="4"/>
    </row>
    <row r="30" spans="1:8">
      <c r="A30" s="7" t="s">
        <v>148</v>
      </c>
      <c r="B30" s="8">
        <v>250</v>
      </c>
      <c r="C30" s="4"/>
      <c r="D30" s="4"/>
      <c r="E30" s="4"/>
      <c r="F30" s="4"/>
      <c r="G30" s="4"/>
      <c r="H30" s="4"/>
    </row>
    <row r="31" spans="1:8">
      <c r="A31" s="7" t="s">
        <v>149</v>
      </c>
      <c r="B31" s="8">
        <v>375</v>
      </c>
      <c r="C31" s="4" t="s">
        <v>150</v>
      </c>
      <c r="D31" s="4"/>
      <c r="E31" s="4"/>
      <c r="F31" s="4"/>
      <c r="G31" s="4"/>
      <c r="H31" s="4"/>
    </row>
    <row r="32" spans="1:8">
      <c r="A32" s="7" t="s">
        <v>151</v>
      </c>
      <c r="B32" s="8">
        <v>324</v>
      </c>
      <c r="C32" s="4"/>
      <c r="D32" s="4"/>
      <c r="E32" s="4"/>
      <c r="F32" s="4"/>
      <c r="G32" s="4"/>
      <c r="H32" s="4"/>
    </row>
    <row r="33" spans="1:8">
      <c r="A33" s="7" t="s">
        <v>152</v>
      </c>
      <c r="B33" s="8">
        <v>473</v>
      </c>
      <c r="C33" s="4"/>
      <c r="D33" s="4"/>
      <c r="E33" s="4"/>
      <c r="F33" s="4"/>
      <c r="G33" s="4"/>
      <c r="H33" s="4"/>
    </row>
    <row r="34" spans="1:8">
      <c r="A34" s="7" t="s">
        <v>153</v>
      </c>
      <c r="B34" s="8">
        <v>710</v>
      </c>
      <c r="C34" s="4" t="s">
        <v>150</v>
      </c>
      <c r="D34" s="4"/>
      <c r="E34" s="4"/>
      <c r="F34" s="4"/>
      <c r="G34" s="4"/>
      <c r="H34" s="4"/>
    </row>
    <row r="35" spans="1:8">
      <c r="A35" s="7" t="s">
        <v>154</v>
      </c>
      <c r="B35" s="8">
        <v>613</v>
      </c>
      <c r="C35" s="4"/>
      <c r="D35" s="4"/>
      <c r="E35" s="4"/>
      <c r="F35" s="4"/>
      <c r="G35" s="4"/>
      <c r="H35" s="4"/>
    </row>
    <row r="36" spans="1:8">
      <c r="A36" s="7" t="s">
        <v>155</v>
      </c>
      <c r="B36" s="8">
        <v>920</v>
      </c>
      <c r="C36" s="4" t="s">
        <v>150</v>
      </c>
      <c r="D36" s="4"/>
      <c r="E36" s="4"/>
      <c r="F36" s="4"/>
      <c r="G36" s="4"/>
      <c r="H36" s="4"/>
    </row>
    <row r="37" spans="1:8">
      <c r="A37" s="7" t="s">
        <v>156</v>
      </c>
      <c r="B37" s="8">
        <v>840</v>
      </c>
      <c r="C37" s="4"/>
      <c r="D37" s="4"/>
      <c r="E37" s="4"/>
      <c r="F37" s="4"/>
      <c r="G37" s="4"/>
      <c r="H37" s="4"/>
    </row>
    <row r="38" spans="1:8">
      <c r="A38" s="7" t="s">
        <v>157</v>
      </c>
      <c r="B38" s="8">
        <v>1260</v>
      </c>
      <c r="C38" s="4" t="s">
        <v>150</v>
      </c>
      <c r="D38" s="4"/>
      <c r="E38" s="4"/>
      <c r="F38" s="4"/>
      <c r="G38" s="4"/>
      <c r="H38" s="4"/>
    </row>
    <row r="39" spans="1:8">
      <c r="A39" s="7" t="s">
        <v>158</v>
      </c>
      <c r="B39" s="8">
        <v>980</v>
      </c>
      <c r="C39" s="4"/>
      <c r="D39" s="4"/>
      <c r="E39" s="4"/>
      <c r="F39" s="4"/>
      <c r="G39" s="4"/>
      <c r="H39" s="4"/>
    </row>
    <row r="40" spans="1:8">
      <c r="A40" s="7" t="s">
        <v>159</v>
      </c>
      <c r="B40" s="8">
        <v>482</v>
      </c>
      <c r="C40" s="4" t="s">
        <v>150</v>
      </c>
      <c r="D40" s="4"/>
      <c r="E40" s="4"/>
      <c r="F40" s="4"/>
      <c r="G40" s="4"/>
      <c r="H40" s="4"/>
    </row>
    <row r="41" spans="1:8">
      <c r="A41" s="7" t="s">
        <v>160</v>
      </c>
      <c r="B41" s="8">
        <v>689</v>
      </c>
      <c r="C41" s="4" t="s">
        <v>150</v>
      </c>
      <c r="D41" s="4"/>
      <c r="E41" s="4"/>
      <c r="F41" s="4"/>
      <c r="G41" s="4"/>
      <c r="H41" s="4"/>
    </row>
    <row r="42" spans="1:8">
      <c r="A42" s="7" t="s">
        <v>161</v>
      </c>
      <c r="B42" s="8">
        <v>892</v>
      </c>
      <c r="C42" s="4" t="s">
        <v>150</v>
      </c>
      <c r="D42" s="4"/>
      <c r="E42" s="4"/>
      <c r="F42" s="4"/>
      <c r="G42" s="4"/>
      <c r="H42" s="4"/>
    </row>
    <row r="43" spans="1:8">
      <c r="A43" s="7" t="s">
        <v>162</v>
      </c>
      <c r="B43" s="8">
        <v>1301</v>
      </c>
      <c r="C43" s="4"/>
      <c r="D43" s="4"/>
      <c r="E43" s="4"/>
      <c r="F43" s="4"/>
      <c r="G43" s="4"/>
      <c r="H43" s="4"/>
    </row>
    <row r="44" spans="1:8">
      <c r="A44" s="7" t="s">
        <v>163</v>
      </c>
      <c r="B44" s="8">
        <v>1686</v>
      </c>
      <c r="C44" s="4"/>
      <c r="D44" s="4"/>
      <c r="E44" s="4"/>
      <c r="F44" s="4"/>
      <c r="G44" s="4"/>
      <c r="H44" s="4"/>
    </row>
    <row r="45" spans="1:8">
      <c r="A45" s="7" t="s">
        <v>164</v>
      </c>
      <c r="B45" s="8">
        <v>2046</v>
      </c>
      <c r="C45" s="4"/>
      <c r="D45" s="4"/>
      <c r="E45" s="4"/>
      <c r="F45" s="4"/>
      <c r="G45" s="4"/>
      <c r="H45" s="4"/>
    </row>
    <row r="46" spans="1:8">
      <c r="A46" s="7" t="s">
        <v>165</v>
      </c>
      <c r="B46" s="8">
        <v>2310</v>
      </c>
      <c r="C46" s="4"/>
      <c r="D46" s="4"/>
      <c r="E46" s="4"/>
      <c r="F46" s="4"/>
      <c r="G46" s="4"/>
      <c r="H46" s="4"/>
    </row>
    <row r="47" spans="1:8">
      <c r="A47" s="7" t="s">
        <v>166</v>
      </c>
      <c r="B47" s="8">
        <v>2800</v>
      </c>
      <c r="C47" s="4" t="s">
        <v>150</v>
      </c>
      <c r="D47" s="4"/>
      <c r="E47" s="4"/>
      <c r="F47" s="4"/>
      <c r="G47" s="4"/>
      <c r="H47" s="4"/>
    </row>
    <row r="48" spans="1:8">
      <c r="A48" s="7" t="s">
        <v>167</v>
      </c>
      <c r="B48" s="8">
        <v>125</v>
      </c>
      <c r="C48" s="4"/>
      <c r="D48" s="4"/>
      <c r="E48" s="4"/>
      <c r="F48" s="4"/>
      <c r="G48" s="4"/>
      <c r="H48" s="4"/>
    </row>
    <row r="49" spans="1:10">
      <c r="B49" s="318" t="s">
        <v>168</v>
      </c>
      <c r="C49" s="318"/>
    </row>
    <row r="50" spans="1:10">
      <c r="A50" s="7" t="s">
        <v>190</v>
      </c>
      <c r="B50" s="17">
        <v>12</v>
      </c>
    </row>
    <row r="52" spans="1:10">
      <c r="F52" s="319" t="s">
        <v>171</v>
      </c>
      <c r="G52" s="319"/>
    </row>
    <row r="53" spans="1:10">
      <c r="A53" s="41" t="s">
        <v>293</v>
      </c>
      <c r="B53" s="42" t="s">
        <v>169</v>
      </c>
      <c r="C53" s="42" t="s">
        <v>170</v>
      </c>
      <c r="F53" t="s">
        <v>173</v>
      </c>
      <c r="G53" s="11">
        <f>0.0175</f>
        <v>1.7500000000000002E-2</v>
      </c>
      <c r="I53" s="18"/>
      <c r="J53" s="19"/>
    </row>
    <row r="54" spans="1:10">
      <c r="A54" s="5" t="s">
        <v>294</v>
      </c>
      <c r="F54" t="s">
        <v>175</v>
      </c>
      <c r="G54" s="12">
        <v>5.1000000000000004E-3</v>
      </c>
      <c r="I54" s="18"/>
      <c r="J54" s="19"/>
    </row>
    <row r="55" spans="1:10">
      <c r="A55" s="16" t="s">
        <v>172</v>
      </c>
      <c r="B55" s="312">
        <v>120.56</v>
      </c>
      <c r="C55" s="79">
        <f>B55/2000</f>
        <v>6.028E-2</v>
      </c>
      <c r="F55" t="s">
        <v>177</v>
      </c>
      <c r="G55" s="13"/>
      <c r="I55" s="18"/>
      <c r="J55" s="20"/>
    </row>
    <row r="56" spans="1:10">
      <c r="A56" s="16" t="s">
        <v>174</v>
      </c>
      <c r="B56" s="313">
        <v>132.62</v>
      </c>
      <c r="C56" s="80">
        <f>B56/2000</f>
        <v>6.6310000000000008E-2</v>
      </c>
      <c r="F56" t="s">
        <v>0</v>
      </c>
      <c r="G56" s="14">
        <f>SUM(G53:G55)</f>
        <v>2.2600000000000002E-2</v>
      </c>
      <c r="I56" s="18"/>
      <c r="J56" s="19"/>
    </row>
    <row r="57" spans="1:10">
      <c r="A57" s="7" t="s">
        <v>176</v>
      </c>
      <c r="B57" s="78">
        <f>B56-B55</f>
        <v>12.060000000000002</v>
      </c>
      <c r="C57" s="81">
        <f>C56-C55</f>
        <v>6.0300000000000076E-3</v>
      </c>
      <c r="D57" s="84">
        <f>B57/B55</f>
        <v>0.1000331785003318</v>
      </c>
      <c r="I57" s="18"/>
      <c r="J57" s="19"/>
    </row>
    <row r="58" spans="1:10">
      <c r="A58" s="5" t="s">
        <v>328</v>
      </c>
      <c r="B58" s="78"/>
      <c r="C58" s="79"/>
      <c r="F58" t="s">
        <v>178</v>
      </c>
      <c r="G58" s="15">
        <f>1-G56</f>
        <v>0.97740000000000005</v>
      </c>
      <c r="I58" s="18"/>
      <c r="J58" s="19"/>
    </row>
    <row r="59" spans="1:10">
      <c r="A59" t="s">
        <v>172</v>
      </c>
      <c r="B59" s="314">
        <v>114</v>
      </c>
      <c r="C59" s="79">
        <f>B59/2000</f>
        <v>5.7000000000000002E-2</v>
      </c>
      <c r="I59" s="18"/>
      <c r="J59" s="20"/>
    </row>
    <row r="60" spans="1:10">
      <c r="A60" s="16" t="s">
        <v>174</v>
      </c>
      <c r="B60" s="313">
        <v>125.4</v>
      </c>
      <c r="C60" s="80">
        <f>B60/2000</f>
        <v>6.2700000000000006E-2</v>
      </c>
    </row>
    <row r="61" spans="1:10">
      <c r="A61" s="7" t="s">
        <v>176</v>
      </c>
      <c r="B61" s="78">
        <f>B60-B59</f>
        <v>11.400000000000006</v>
      </c>
      <c r="C61" s="81">
        <f>C60-C59</f>
        <v>5.7000000000000037E-3</v>
      </c>
      <c r="D61" s="84">
        <f>B61/B59</f>
        <v>0.10000000000000005</v>
      </c>
    </row>
    <row r="62" spans="1:10">
      <c r="D62" s="84"/>
    </row>
    <row r="63" spans="1:10">
      <c r="B63" s="42" t="s">
        <v>296</v>
      </c>
      <c r="C63" s="42" t="s">
        <v>295</v>
      </c>
    </row>
    <row r="64" spans="1:10">
      <c r="A64" t="s">
        <v>297</v>
      </c>
      <c r="B64" s="21">
        <f>B57</f>
        <v>12.060000000000002</v>
      </c>
      <c r="C64" s="21">
        <f>B61</f>
        <v>11.400000000000006</v>
      </c>
    </row>
    <row r="65" spans="1:11">
      <c r="A65" t="s">
        <v>264</v>
      </c>
      <c r="B65" s="21">
        <f>B64/$G$58</f>
        <v>12.338858195211788</v>
      </c>
      <c r="C65" s="21">
        <f>C64/$G$58</f>
        <v>11.66359729895642</v>
      </c>
    </row>
    <row r="66" spans="1:11">
      <c r="A66" t="s">
        <v>265</v>
      </c>
      <c r="B66" s="291">
        <f>'Disposal 2023'!L43*'Disposal 2023'!I54</f>
        <v>248.01613451650127</v>
      </c>
      <c r="C66" s="291">
        <f>'Disposal 2023'!E43*'Disposal 2023'!I54</f>
        <v>1020.0275666818042</v>
      </c>
      <c r="D66" s="85"/>
    </row>
    <row r="67" spans="1:11">
      <c r="A67" s="5" t="s">
        <v>266</v>
      </c>
      <c r="B67" s="22">
        <f>B65*B66</f>
        <v>3060.235913923681</v>
      </c>
      <c r="C67" s="22">
        <f t="shared" ref="C67" si="0">C65*C66</f>
        <v>11897.19077161098</v>
      </c>
      <c r="D67" s="22">
        <f>SUM(B67:C67)</f>
        <v>14957.426685534661</v>
      </c>
    </row>
    <row r="69" spans="1:11" ht="15.75" thickBot="1">
      <c r="B69" s="43"/>
    </row>
    <row r="70" spans="1:11">
      <c r="A70" s="71" t="s">
        <v>267</v>
      </c>
      <c r="B70" s="76" t="s">
        <v>268</v>
      </c>
    </row>
    <row r="71" spans="1:11">
      <c r="A71" s="72" t="s">
        <v>269</v>
      </c>
      <c r="B71" s="68">
        <f>'Spokane DF Calc'!R46</f>
        <v>15075.166426264137</v>
      </c>
    </row>
    <row r="72" spans="1:11">
      <c r="A72" s="72" t="s">
        <v>270</v>
      </c>
      <c r="B72" s="68">
        <f>B71-D67</f>
        <v>117.73974072947567</v>
      </c>
      <c r="C72" s="83"/>
    </row>
    <row r="73" spans="1:11" ht="15.75" thickBot="1">
      <c r="A73" s="74"/>
      <c r="B73" s="75"/>
    </row>
    <row r="74" spans="1:11">
      <c r="B74" s="27"/>
      <c r="C74" s="17"/>
      <c r="I74" s="17"/>
      <c r="J74" s="17"/>
    </row>
    <row r="75" spans="1:11">
      <c r="B75" s="17"/>
      <c r="C75" s="22"/>
      <c r="D75" s="21"/>
      <c r="I75" s="22"/>
      <c r="J75" s="22"/>
      <c r="K75" s="21"/>
    </row>
    <row r="76" spans="1:11">
      <c r="A76" s="5"/>
      <c r="B76" s="22"/>
      <c r="C76" s="21"/>
      <c r="D76" s="21"/>
    </row>
    <row r="80" spans="1:11">
      <c r="A80" s="5"/>
      <c r="B80" s="23"/>
    </row>
    <row r="81" spans="1:2">
      <c r="B81" s="18"/>
    </row>
    <row r="82" spans="1:2">
      <c r="B82" s="18"/>
    </row>
    <row r="84" spans="1:2">
      <c r="A84" s="5"/>
      <c r="B84" s="23"/>
    </row>
    <row r="85" spans="1:2">
      <c r="B85" s="18"/>
    </row>
    <row r="86" spans="1:2">
      <c r="A86" s="16"/>
      <c r="B86" s="18"/>
    </row>
  </sheetData>
  <mergeCells count="4">
    <mergeCell ref="A4:H4"/>
    <mergeCell ref="A14:B14"/>
    <mergeCell ref="B49:C49"/>
    <mergeCell ref="F52:G52"/>
  </mergeCells>
  <pageMargins left="0.7" right="0.7" top="0.75" bottom="0.75" header="0.3" footer="0.3"/>
  <pageSetup scale="64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Z74"/>
  <sheetViews>
    <sheetView view="pageBreakPreview" zoomScale="85" zoomScaleNormal="85" zoomScaleSheetLayoutView="85" workbookViewId="0">
      <pane xSplit="3" ySplit="5" topLeftCell="D37" activePane="bottomRight" state="frozen"/>
      <selection activeCell="J43" sqref="J43"/>
      <selection pane="topRight" activeCell="J43" sqref="J43"/>
      <selection pane="bottomLeft" activeCell="J43" sqref="J43"/>
      <selection pane="bottomRight" activeCell="L58" sqref="L58"/>
    </sheetView>
  </sheetViews>
  <sheetFormatPr defaultColWidth="9.140625" defaultRowHeight="15"/>
  <cols>
    <col min="1" max="1" width="4.140625" customWidth="1"/>
    <col min="2" max="2" width="7.7109375" style="23" customWidth="1"/>
    <col min="3" max="3" width="26.140625" customWidth="1"/>
    <col min="4" max="4" width="32.85546875" style="46" customWidth="1"/>
    <col min="5" max="5" width="10.7109375" style="53" customWidth="1"/>
    <col min="6" max="6" width="14.5703125" style="46" bestFit="1" customWidth="1"/>
    <col min="7" max="7" width="15" style="46" bestFit="1" customWidth="1"/>
    <col min="8" max="9" width="12" style="46" customWidth="1"/>
    <col min="10" max="10" width="10.28515625" style="59" bestFit="1" customWidth="1"/>
    <col min="11" max="11" width="11.5703125" style="59" bestFit="1" customWidth="1"/>
    <col min="12" max="12" width="10.28515625" style="59" customWidth="1"/>
    <col min="13" max="13" width="12.42578125" style="59" bestFit="1" customWidth="1"/>
    <col min="14" max="14" width="10.85546875" style="59" customWidth="1"/>
    <col min="15" max="15" width="23.7109375" style="59" bestFit="1" customWidth="1"/>
    <col min="16" max="17" width="15.42578125" style="59" customWidth="1"/>
    <col min="18" max="18" width="13.42578125" style="59" customWidth="1"/>
    <col min="19" max="19" width="15.140625" style="59" customWidth="1"/>
    <col min="20" max="20" width="11.28515625" style="59" bestFit="1" customWidth="1"/>
    <col min="22" max="22" width="10.5703125" bestFit="1" customWidth="1"/>
    <col min="23" max="23" width="11.5703125" bestFit="1" customWidth="1"/>
    <col min="24" max="24" width="10.7109375" bestFit="1" customWidth="1"/>
    <col min="25" max="26" width="8.85546875" customWidth="1"/>
  </cols>
  <sheetData>
    <row r="1" spans="1:26">
      <c r="A1" s="5" t="s">
        <v>263</v>
      </c>
    </row>
    <row r="2" spans="1:26">
      <c r="A2" s="5" t="s">
        <v>291</v>
      </c>
    </row>
    <row r="3" spans="1:26">
      <c r="A3" s="106" t="s">
        <v>467</v>
      </c>
      <c r="B3" s="107"/>
      <c r="C3" s="105"/>
    </row>
    <row r="4" spans="1:26">
      <c r="A4" s="69" t="s">
        <v>468</v>
      </c>
    </row>
    <row r="5" spans="1:26" ht="45" customHeight="1">
      <c r="A5" s="44"/>
      <c r="B5" s="44" t="s">
        <v>271</v>
      </c>
      <c r="C5" s="44" t="s">
        <v>272</v>
      </c>
      <c r="D5" s="44" t="s">
        <v>181</v>
      </c>
      <c r="E5" s="44" t="s">
        <v>182</v>
      </c>
      <c r="F5" s="44" t="s">
        <v>183</v>
      </c>
      <c r="G5" s="44" t="s">
        <v>128</v>
      </c>
      <c r="H5" s="44" t="s">
        <v>184</v>
      </c>
      <c r="I5" s="44" t="s">
        <v>185</v>
      </c>
      <c r="J5" s="44" t="s">
        <v>176</v>
      </c>
      <c r="K5" s="44" t="s">
        <v>186</v>
      </c>
      <c r="L5" s="44" t="s">
        <v>273</v>
      </c>
      <c r="M5" s="44" t="s">
        <v>187</v>
      </c>
      <c r="N5" s="44" t="s">
        <v>274</v>
      </c>
      <c r="O5" s="44" t="s">
        <v>188</v>
      </c>
      <c r="P5" s="44" t="s">
        <v>189</v>
      </c>
      <c r="Q5" s="44" t="s">
        <v>247</v>
      </c>
      <c r="R5" s="44" t="s">
        <v>275</v>
      </c>
      <c r="S5" s="44" t="s">
        <v>276</v>
      </c>
      <c r="T5" s="44" t="s">
        <v>277</v>
      </c>
    </row>
    <row r="6" spans="1:26" ht="15" customHeight="1">
      <c r="A6" s="321" t="s">
        <v>179</v>
      </c>
      <c r="B6" s="28" t="s">
        <v>321</v>
      </c>
      <c r="C6" t="s">
        <v>9</v>
      </c>
      <c r="D6" s="46">
        <f>+INDEX('Spokane Reg - Price out 2023'!AE:AE,MATCH(C6,'Spokane Reg - Price out 2023'!C:C,0))</f>
        <v>7.0000000000000009</v>
      </c>
      <c r="E6" s="53">
        <f>+References!B10</f>
        <v>4.333333333333333</v>
      </c>
      <c r="F6" s="46">
        <f>D6*E6*References!$B$50</f>
        <v>364</v>
      </c>
      <c r="G6" s="46">
        <f>+References!B16</f>
        <v>20</v>
      </c>
      <c r="H6" s="46">
        <f>F6*G6</f>
        <v>7280</v>
      </c>
      <c r="I6" s="46">
        <f t="shared" ref="I6:I21" si="0">H6*$D$67</f>
        <v>3388.3852137365016</v>
      </c>
      <c r="J6" s="59">
        <f>(I6*References!$C$57*'Spokane DF Calc'!$E$73)+('Spokane DF Calc'!I6*References!$C$61*'Spokane DF Calc'!$E$72)</f>
        <v>19.532497555400361</v>
      </c>
      <c r="K6" s="59">
        <f>J6/References!$G$58</f>
        <v>19.984139099038632</v>
      </c>
      <c r="L6" s="59">
        <f>ROUND((K6/F6*E6),2)</f>
        <v>0.24</v>
      </c>
      <c r="M6" s="59">
        <f>+'Proposed Rates'!B10</f>
        <v>19.742480427459668</v>
      </c>
      <c r="N6" s="59">
        <f>L6+M6</f>
        <v>19.982480427459667</v>
      </c>
      <c r="O6" s="59">
        <f>+'Proposed Rates'!D10</f>
        <v>19.982480427459667</v>
      </c>
      <c r="P6" s="59">
        <f>D6*M6*References!$B$50</f>
        <v>1658.3683559066126</v>
      </c>
      <c r="Q6" s="59">
        <f>D6*O6*References!$B$50</f>
        <v>1678.5283559066122</v>
      </c>
      <c r="R6" s="59">
        <f>Q6-P6</f>
        <v>20.159999999999627</v>
      </c>
      <c r="S6" s="59">
        <f>D6*N6*References!$B$50</f>
        <v>1678.5283559066122</v>
      </c>
      <c r="T6" s="59">
        <f>Q6-S6</f>
        <v>0</v>
      </c>
      <c r="V6" s="4">
        <f t="shared" ref="V6:V18" si="1">G6*$D$67</f>
        <v>9.3087505871881913</v>
      </c>
      <c r="W6" s="59">
        <f>((V6*References!$C$57*'Spokane DF Calc'!$E$73)+('Spokane DF Calc'!V6*References!$C$61*'Spokane DF Calc'!$E$72))*E6</f>
        <v>0.23252973280238526</v>
      </c>
      <c r="X6" s="59">
        <f>W6/References!$G$58</f>
        <v>0.23790641784569802</v>
      </c>
      <c r="Y6" s="59">
        <f>L6-X6</f>
        <v>2.0935821543019706E-3</v>
      </c>
      <c r="Z6" s="4"/>
    </row>
    <row r="7" spans="1:26">
      <c r="A7" s="322"/>
      <c r="B7" s="28" t="s">
        <v>321</v>
      </c>
      <c r="C7" t="s">
        <v>11</v>
      </c>
      <c r="D7" s="46">
        <f>+INDEX('Spokane Reg - Price out 2023'!AE:AE,MATCH(C7,'Spokane Reg - Price out 2023'!C:C,0))</f>
        <v>8.0000913742690063</v>
      </c>
      <c r="E7" s="53">
        <f>+References!B12</f>
        <v>1</v>
      </c>
      <c r="F7" s="46">
        <f>D7*E7*References!$B$50</f>
        <v>96.001096491228083</v>
      </c>
      <c r="G7" s="46">
        <f>+References!B17</f>
        <v>34</v>
      </c>
      <c r="H7" s="46">
        <f t="shared" ref="H7:H21" si="2">F7*G7</f>
        <v>3264.0372807017548</v>
      </c>
      <c r="I7" s="46">
        <f t="shared" si="0"/>
        <v>1519.2054476668304</v>
      </c>
      <c r="J7" s="59">
        <f>(I7*References!$C$57*'Spokane DF Calc'!$E$73)+('Spokane DF Calc'!I7*References!$C$61*'Spokane DF Calc'!$E$72)</f>
        <v>8.7575275008300384</v>
      </c>
      <c r="K7" s="59">
        <f>J7/References!$G$58</f>
        <v>8.9600240442296268</v>
      </c>
      <c r="L7" s="59">
        <f t="shared" ref="L7:L21" si="3">ROUND((K7/F7*E7),2)</f>
        <v>0.09</v>
      </c>
      <c r="M7" s="59">
        <f>+'Proposed Rates'!B19</f>
        <v>15.206146441599552</v>
      </c>
      <c r="N7" s="59">
        <f t="shared" ref="N7:N21" si="4">L7+M7</f>
        <v>15.296146441599552</v>
      </c>
      <c r="O7" s="59">
        <f>+'Proposed Rates'!D19</f>
        <v>15.296146441599552</v>
      </c>
      <c r="P7" s="59">
        <f>D7*M7*References!$B$50</f>
        <v>1459.8067317997429</v>
      </c>
      <c r="Q7" s="59">
        <f>D7*O7*References!$B$50</f>
        <v>1468.4468304839534</v>
      </c>
      <c r="R7" s="59">
        <f t="shared" ref="R7:R21" si="5">Q7-P7</f>
        <v>8.640098684210443</v>
      </c>
      <c r="S7" s="59">
        <f>D7*N7*References!$B$50</f>
        <v>1468.4468304839534</v>
      </c>
      <c r="T7" s="59">
        <f t="shared" ref="T7:T21" si="6">Q7-S7</f>
        <v>0</v>
      </c>
      <c r="V7" s="4">
        <f t="shared" si="1"/>
        <v>15.824875998219925</v>
      </c>
      <c r="W7" s="59">
        <f>((V7*References!$C$57*'Spokane DF Calc'!$E$73)+('Spokane DF Calc'!V7*References!$C$61*'Spokane DF Calc'!$E$72))*E7</f>
        <v>9.1223202868628075E-2</v>
      </c>
      <c r="X7" s="59">
        <f>W7/References!$G$58</f>
        <v>9.3332517770235393E-2</v>
      </c>
      <c r="Y7" s="59">
        <f t="shared" ref="Y7:Y31" si="7">L7-X7</f>
        <v>-3.3325177702353964E-3</v>
      </c>
    </row>
    <row r="8" spans="1:26">
      <c r="A8" s="322"/>
      <c r="B8" s="28" t="s">
        <v>321</v>
      </c>
      <c r="C8" t="s">
        <v>13</v>
      </c>
      <c r="D8" s="46">
        <f>+INDEX('Spokane Reg - Price out 2023'!AE:AE,MATCH(C8,'Spokane Reg - Price out 2023'!C:C,0))</f>
        <v>385.5743084055328</v>
      </c>
      <c r="E8" s="53">
        <f>+References!B10</f>
        <v>4.333333333333333</v>
      </c>
      <c r="F8" s="46">
        <f>D8*E8*References!$B$50</f>
        <v>20049.864037087704</v>
      </c>
      <c r="G8" s="46">
        <f>+References!B17</f>
        <v>34</v>
      </c>
      <c r="H8" s="46">
        <f t="shared" si="2"/>
        <v>681695.37726098194</v>
      </c>
      <c r="I8" s="46">
        <f t="shared" si="0"/>
        <v>317286.61216808209</v>
      </c>
      <c r="J8" s="59">
        <f>(I8*References!$C$57*'Spokane DF Calc'!$E$73)+('Spokane DF Calc'!I8*References!$C$61*'Spokane DF Calc'!$E$72)</f>
        <v>1829.012814543662</v>
      </c>
      <c r="K8" s="59">
        <f>J8/References!$G$58</f>
        <v>1871.3042915322917</v>
      </c>
      <c r="L8" s="59">
        <f t="shared" si="3"/>
        <v>0.4</v>
      </c>
      <c r="M8" s="59">
        <f>+'Proposed Rates'!B11</f>
        <v>24.456274911544142</v>
      </c>
      <c r="N8" s="59">
        <f t="shared" si="4"/>
        <v>24.856274911544141</v>
      </c>
      <c r="O8" s="59">
        <f>+'Proposed Rates'!D11</f>
        <v>24.856274911544141</v>
      </c>
      <c r="P8" s="59">
        <f>D8*M8*References!$B$50</f>
        <v>113156.53542233058</v>
      </c>
      <c r="Q8" s="59">
        <f>D8*O8*References!$B$50</f>
        <v>115007.29210267714</v>
      </c>
      <c r="R8" s="59">
        <f t="shared" si="5"/>
        <v>1850.7566803465597</v>
      </c>
      <c r="S8" s="59">
        <f>D8*N8*References!$B$50</f>
        <v>115007.29210267714</v>
      </c>
      <c r="T8" s="59">
        <f>Q8-S8</f>
        <v>0</v>
      </c>
      <c r="V8" s="4">
        <f t="shared" si="1"/>
        <v>15.824875998219925</v>
      </c>
      <c r="W8" s="59">
        <f>((V8*References!$C$57*'Spokane DF Calc'!$E$73)+('Spokane DF Calc'!V8*References!$C$61*'Spokane DF Calc'!$E$72))*E8</f>
        <v>0.39530054576405499</v>
      </c>
      <c r="X8" s="59">
        <f>W8/References!$G$58</f>
        <v>0.4044409103376867</v>
      </c>
      <c r="Y8" s="59">
        <f t="shared" si="7"/>
        <v>-4.4409103376866765E-3</v>
      </c>
    </row>
    <row r="9" spans="1:26">
      <c r="A9" s="322"/>
      <c r="B9" s="28" t="s">
        <v>321</v>
      </c>
      <c r="C9" t="s">
        <v>15</v>
      </c>
      <c r="D9" s="46">
        <f>+INDEX('Spokane Reg - Price out 2023'!AE:AE,MATCH(C9,'Spokane Reg - Price out 2023'!C:C,0))</f>
        <v>90.988740191336106</v>
      </c>
      <c r="E9" s="53">
        <f>+References!B10</f>
        <v>4.333333333333333</v>
      </c>
      <c r="F9" s="46">
        <f>D9*E9*References!$B$50</f>
        <v>4731.4144899494768</v>
      </c>
      <c r="G9" s="46">
        <f>+References!B18</f>
        <v>51</v>
      </c>
      <c r="H9" s="46">
        <f t="shared" si="2"/>
        <v>241302.13898742333</v>
      </c>
      <c r="I9" s="46">
        <f t="shared" si="0"/>
        <v>112311.07139944717</v>
      </c>
      <c r="J9" s="59">
        <f>(I9*References!$C$57*'Spokane DF Calc'!$E$73)+('Spokane DF Calc'!I9*References!$C$61*'Spokane DF Calc'!$E$72)</f>
        <v>647.42217580834131</v>
      </c>
      <c r="K9" s="59">
        <f>J9/References!$G$58</f>
        <v>662.39224044233811</v>
      </c>
      <c r="L9" s="59">
        <f t="shared" si="3"/>
        <v>0.61</v>
      </c>
      <c r="M9" s="59">
        <f>+'Proposed Rates'!B12</f>
        <v>34.593705872610506</v>
      </c>
      <c r="N9" s="59">
        <f t="shared" si="4"/>
        <v>35.203705872610506</v>
      </c>
      <c r="O9" s="59">
        <f>+'Proposed Rates'!D12</f>
        <v>35.203705872610506</v>
      </c>
      <c r="P9" s="59">
        <f>D9*M9*References!$B$50</f>
        <v>37771.652590781465</v>
      </c>
      <c r="Q9" s="59">
        <f>D9*O9*References!$B$50</f>
        <v>38437.690168982044</v>
      </c>
      <c r="R9" s="59">
        <f t="shared" si="5"/>
        <v>666.03757820057945</v>
      </c>
      <c r="S9" s="59">
        <f>D9*N9*References!$B$50</f>
        <v>38437.690168982044</v>
      </c>
      <c r="T9" s="59">
        <f t="shared" si="6"/>
        <v>0</v>
      </c>
      <c r="V9" s="4">
        <f t="shared" si="1"/>
        <v>23.737313997329888</v>
      </c>
      <c r="W9" s="59">
        <f>((V9*References!$C$57*'Spokane DF Calc'!$E$73)+('Spokane DF Calc'!V9*References!$C$61*'Spokane DF Calc'!$E$72))*E9</f>
        <v>0.59295081864608234</v>
      </c>
      <c r="X9" s="59">
        <f>W9/References!$G$58</f>
        <v>0.60666136550652994</v>
      </c>
      <c r="Y9" s="59">
        <f t="shared" si="7"/>
        <v>3.3386344934700496E-3</v>
      </c>
    </row>
    <row r="10" spans="1:26">
      <c r="A10" s="322"/>
      <c r="B10" s="28" t="s">
        <v>321</v>
      </c>
      <c r="C10" t="s">
        <v>17</v>
      </c>
      <c r="D10" s="46">
        <f>+INDEX('Spokane Reg - Price out 2023'!AE:AE,MATCH(C10,'Spokane Reg - Price out 2023'!C:C,0))</f>
        <v>0.70833333333333337</v>
      </c>
      <c r="E10" s="53">
        <f>+References!B10</f>
        <v>4.333333333333333</v>
      </c>
      <c r="F10" s="46">
        <f>D10*E10*References!$B$50</f>
        <v>36.833333333333329</v>
      </c>
      <c r="G10" s="46">
        <f>+References!B19</f>
        <v>77</v>
      </c>
      <c r="H10" s="46">
        <f t="shared" si="2"/>
        <v>2836.1666666666665</v>
      </c>
      <c r="I10" s="46">
        <f t="shared" si="0"/>
        <v>1320.0584061848454</v>
      </c>
      <c r="J10" s="59">
        <f>(I10*References!$C$57*'Spokane DF Calc'!$E$73)+('Spokane DF Calc'!I10*References!$C$61*'Spokane DF Calc'!$E$72)</f>
        <v>7.6095355059580578</v>
      </c>
      <c r="K10" s="59">
        <f>J10/References!$G$58</f>
        <v>7.7854875240004677</v>
      </c>
      <c r="L10" s="59">
        <f t="shared" si="3"/>
        <v>0.92</v>
      </c>
      <c r="M10" s="59">
        <f>+'Proposed Rates'!B13</f>
        <v>49.456022598900375</v>
      </c>
      <c r="N10" s="59">
        <f t="shared" si="4"/>
        <v>50.376022598900377</v>
      </c>
      <c r="O10" s="59">
        <f>+'Proposed Rates'!D13</f>
        <v>50.376022598900377</v>
      </c>
      <c r="P10" s="59">
        <f>D10*M10*References!$B$50</f>
        <v>420.37619209065315</v>
      </c>
      <c r="Q10" s="59">
        <f>D10*O10*References!$B$50</f>
        <v>428.1961920906532</v>
      </c>
      <c r="R10" s="59">
        <f t="shared" si="5"/>
        <v>7.82000000000005</v>
      </c>
      <c r="S10" s="59">
        <f>D10*N10*References!$B$50</f>
        <v>428.1961920906532</v>
      </c>
      <c r="T10" s="59">
        <f t="shared" si="6"/>
        <v>0</v>
      </c>
      <c r="V10" s="4">
        <f t="shared" si="1"/>
        <v>35.838689760674541</v>
      </c>
      <c r="W10" s="59">
        <f>((V10*References!$C$57*'Spokane DF Calc'!$E$73)+('Spokane DF Calc'!V10*References!$C$61*'Spokane DF Calc'!$E$72))*E10</f>
        <v>0.89523947128918324</v>
      </c>
      <c r="X10" s="59">
        <f>W10/References!$G$58</f>
        <v>0.91593970870593744</v>
      </c>
      <c r="Y10" s="59">
        <f t="shared" si="7"/>
        <v>4.0602912940626013E-3</v>
      </c>
    </row>
    <row r="11" spans="1:26">
      <c r="A11" s="322"/>
      <c r="B11" s="28" t="s">
        <v>321</v>
      </c>
      <c r="C11" t="s">
        <v>19</v>
      </c>
      <c r="D11" s="46">
        <f>+INDEX('Spokane Reg - Price out 2023'!AE:AE,MATCH(C11,'Spokane Reg - Price out 2023'!C:C,0))</f>
        <v>530.83806272129482</v>
      </c>
      <c r="E11" s="53">
        <f>+References!$B$10</f>
        <v>4.333333333333333</v>
      </c>
      <c r="F11" s="46">
        <f>D11*E11*References!$B$50</f>
        <v>27603.57926150733</v>
      </c>
      <c r="G11" s="46">
        <f>+References!B23</f>
        <v>47</v>
      </c>
      <c r="H11" s="46">
        <f t="shared" si="2"/>
        <v>1297368.2252908444</v>
      </c>
      <c r="I11" s="46">
        <f t="shared" si="0"/>
        <v>603843.86144877248</v>
      </c>
      <c r="J11" s="59">
        <f>(I11*References!$C$57*'Spokane DF Calc'!$E$73)+('Spokane DF Calc'!I11*References!$C$61*'Spokane DF Calc'!$E$72)</f>
        <v>3480.8848473829021</v>
      </c>
      <c r="K11" s="59">
        <f>J11/References!$G$58</f>
        <v>3561.371851220485</v>
      </c>
      <c r="L11" s="59">
        <f t="shared" si="3"/>
        <v>0.56000000000000005</v>
      </c>
      <c r="M11" s="59">
        <f>+'Proposed Rates'!B17</f>
        <v>36.723231851302778</v>
      </c>
      <c r="N11" s="59">
        <f t="shared" si="4"/>
        <v>37.28323185130278</v>
      </c>
      <c r="O11" s="59">
        <f>+'Proposed Rates'!D17</f>
        <v>37.28323185130278</v>
      </c>
      <c r="P11" s="59">
        <f>D11*M11*References!$B$50</f>
        <v>233929.07103372616</v>
      </c>
      <c r="Q11" s="59">
        <f>D11*O11*References!$B$50</f>
        <v>237496.30281521333</v>
      </c>
      <c r="R11" s="59">
        <f t="shared" si="5"/>
        <v>3567.2317814871785</v>
      </c>
      <c r="S11" s="59">
        <f>D11*N11*References!$B$50</f>
        <v>237496.30281521333</v>
      </c>
      <c r="T11" s="59">
        <f t="shared" si="6"/>
        <v>0</v>
      </c>
      <c r="V11" s="4">
        <f t="shared" si="1"/>
        <v>21.875563879892251</v>
      </c>
      <c r="W11" s="59">
        <f>((V11*References!$C$57*'Spokane DF Calc'!$E$73)+('Spokane DF Calc'!V11*References!$C$61*'Spokane DF Calc'!$E$72))*E11</f>
        <v>0.54644487208560544</v>
      </c>
      <c r="X11" s="59">
        <f>W11/References!$G$58</f>
        <v>0.55908008193739045</v>
      </c>
      <c r="Y11" s="59">
        <f t="shared" si="7"/>
        <v>9.1991806260960374E-4</v>
      </c>
    </row>
    <row r="12" spans="1:26">
      <c r="A12" s="322"/>
      <c r="B12" s="28" t="s">
        <v>321</v>
      </c>
      <c r="C12" t="s">
        <v>252</v>
      </c>
      <c r="D12" s="46">
        <f>+INDEX('Spokane Reg - Price out 2023'!AE:AE,MATCH(C12,'Spokane Reg - Price out 2023'!C:C,0))</f>
        <v>1.7497976732422862</v>
      </c>
      <c r="E12" s="82">
        <f>+References!$B$10</f>
        <v>4.333333333333333</v>
      </c>
      <c r="F12" s="49">
        <f>D12*E12*References!$B$50</f>
        <v>90.989479008598863</v>
      </c>
      <c r="G12" s="49">
        <f>+References!B23*2</f>
        <v>94</v>
      </c>
      <c r="H12" s="46">
        <f t="shared" ref="H12" si="8">F12*G12</f>
        <v>8553.0110268082935</v>
      </c>
      <c r="I12" s="46">
        <f t="shared" si="0"/>
        <v>3980.8923209014388</v>
      </c>
      <c r="J12" s="59">
        <f>(I12*References!$C$57*'Spokane DF Calc'!$E$73)+('Spokane DF Calc'!I12*References!$C$61*'Spokane DF Calc'!$E$72)</f>
        <v>22.9480311775337</v>
      </c>
      <c r="K12" s="59">
        <f>J12/References!$G$58</f>
        <v>23.478648636723655</v>
      </c>
      <c r="L12" s="59">
        <f t="shared" si="3"/>
        <v>1.1200000000000001</v>
      </c>
      <c r="M12" s="59">
        <f>+'Proposed Rates'!B17*2</f>
        <v>73.446463702605556</v>
      </c>
      <c r="N12" s="59">
        <f>L12+M12</f>
        <v>74.56646370260556</v>
      </c>
      <c r="O12" s="59">
        <f>+'Proposed Rates'!D17*2</f>
        <v>74.56646370260556</v>
      </c>
      <c r="P12" s="59">
        <f>D12*M12*References!$B$50</f>
        <v>1542.1974155363189</v>
      </c>
      <c r="Q12" s="59">
        <f>D12*O12*References!$B$50</f>
        <v>1565.714696264695</v>
      </c>
      <c r="R12" s="59">
        <f t="shared" si="5"/>
        <v>23.517280728376136</v>
      </c>
      <c r="S12" s="59">
        <f>D12*N12*References!$B$50</f>
        <v>1565.714696264695</v>
      </c>
      <c r="T12" s="110">
        <f>Q12-S12</f>
        <v>0</v>
      </c>
      <c r="U12" s="111" t="s">
        <v>384</v>
      </c>
      <c r="V12" s="4">
        <f t="shared" si="1"/>
        <v>43.751127759784502</v>
      </c>
      <c r="W12" s="59">
        <f>((V12*References!$C$57*'Spokane DF Calc'!$E$73)+('Spokane DF Calc'!V12*References!$C$61*'Spokane DF Calc'!$E$72))*E12</f>
        <v>1.0928897441712109</v>
      </c>
      <c r="X12" s="59">
        <f>W12/References!$G$58</f>
        <v>1.1181601638747809</v>
      </c>
      <c r="Y12" s="59">
        <f t="shared" si="7"/>
        <v>1.8398361252192075E-3</v>
      </c>
    </row>
    <row r="13" spans="1:26">
      <c r="A13" s="322"/>
      <c r="B13" s="28" t="s">
        <v>321</v>
      </c>
      <c r="C13" t="s">
        <v>21</v>
      </c>
      <c r="D13" s="46">
        <f>+INDEX('Spokane Reg - Price out 2023'!AE:AE,MATCH(C13,'Spokane Reg - Price out 2023'!C:C,0))</f>
        <v>439.60303250262126</v>
      </c>
      <c r="E13" s="53">
        <f>+References!B10</f>
        <v>4.333333333333333</v>
      </c>
      <c r="F13" s="46">
        <f>D13*E13*References!$B$50</f>
        <v>22859.357690136305</v>
      </c>
      <c r="G13" s="46">
        <f>+References!$B$24</f>
        <v>68</v>
      </c>
      <c r="H13" s="46">
        <f t="shared" si="2"/>
        <v>1554436.3229292687</v>
      </c>
      <c r="I13" s="46">
        <f t="shared" si="0"/>
        <v>723493.00169072417</v>
      </c>
      <c r="J13" s="59">
        <f>(I13*References!$C$57*'Spokane DF Calc'!$E$73)+('Spokane DF Calc'!I13*References!$C$61*'Spokane DF Calc'!$E$72)</f>
        <v>4170.6076480276752</v>
      </c>
      <c r="K13" s="59">
        <f>J13/References!$G$58</f>
        <v>4267.0428156616281</v>
      </c>
      <c r="L13" s="59">
        <f t="shared" si="3"/>
        <v>0.81</v>
      </c>
      <c r="M13" s="59">
        <f>+'Proposed Rates'!B18</f>
        <v>46.106455694915653</v>
      </c>
      <c r="N13" s="59">
        <f t="shared" si="4"/>
        <v>46.916455694915655</v>
      </c>
      <c r="O13" s="59">
        <f>+'Proposed Rates'!D18</f>
        <v>46.916455694915655</v>
      </c>
      <c r="P13" s="59">
        <f>D13*M13*References!$B$50</f>
        <v>243222.45289719207</v>
      </c>
      <c r="Q13" s="59">
        <f>D13*O13*References!$B$50</f>
        <v>247495.3943731176</v>
      </c>
      <c r="R13" s="59">
        <f t="shared" si="5"/>
        <v>4272.9414759255305</v>
      </c>
      <c r="S13" s="59">
        <f>D13*N13*References!$B$50</f>
        <v>247495.3943731176</v>
      </c>
      <c r="T13" s="59">
        <f t="shared" si="6"/>
        <v>0</v>
      </c>
      <c r="V13" s="4">
        <f t="shared" si="1"/>
        <v>31.64975199643985</v>
      </c>
      <c r="W13" s="59">
        <f>((V13*References!$C$57*'Spokane DF Calc'!$E$73)+('Spokane DF Calc'!V13*References!$C$61*'Spokane DF Calc'!$E$72))*E13</f>
        <v>0.79060109152810998</v>
      </c>
      <c r="X13" s="59">
        <f>W13/References!$G$58</f>
        <v>0.8088818206753734</v>
      </c>
      <c r="Y13" s="59">
        <f t="shared" si="7"/>
        <v>1.1181793246266558E-3</v>
      </c>
    </row>
    <row r="14" spans="1:26">
      <c r="A14" s="322"/>
      <c r="B14" s="28" t="s">
        <v>321</v>
      </c>
      <c r="C14" t="s">
        <v>23</v>
      </c>
      <c r="D14" s="46">
        <f>+INDEX('Spokane Reg - Price out 2023'!AE:AE,MATCH(C14,'Spokane Reg - Price out 2023'!C:C,0))</f>
        <v>15.708671062182434</v>
      </c>
      <c r="E14" s="82">
        <f>+References!$B$10</f>
        <v>4.333333333333333</v>
      </c>
      <c r="F14" s="46">
        <f>D14*E14*References!$B$50</f>
        <v>816.85089523348643</v>
      </c>
      <c r="G14" s="49">
        <f>+References!B24*2</f>
        <v>136</v>
      </c>
      <c r="H14" s="46">
        <f t="shared" si="2"/>
        <v>111091.72175175416</v>
      </c>
      <c r="I14" s="46">
        <f t="shared" si="0"/>
        <v>51706.256504419434</v>
      </c>
      <c r="J14" s="59">
        <f>(I14*References!$C$57*'Spokane DF Calc'!$E$73)+('Spokane DF Calc'!I14*References!$C$61*'Spokane DF Calc'!$E$72)</f>
        <v>298.06301971721916</v>
      </c>
      <c r="K14" s="59">
        <f>J14/References!$G$58</f>
        <v>304.95500278004823</v>
      </c>
      <c r="L14" s="59">
        <f t="shared" si="3"/>
        <v>1.62</v>
      </c>
      <c r="M14" s="59">
        <f>+'Proposed Rates'!B18*2</f>
        <v>92.212911389831305</v>
      </c>
      <c r="N14" s="59">
        <f t="shared" si="4"/>
        <v>93.83291138983131</v>
      </c>
      <c r="O14" s="59">
        <f>N14</f>
        <v>93.83291138983131</v>
      </c>
      <c r="P14" s="59">
        <f>D14*M14*References!$B$50</f>
        <v>17382.507512508433</v>
      </c>
      <c r="Q14" s="59">
        <f>D14*O14*References!$B$50</f>
        <v>17687.884077957257</v>
      </c>
      <c r="R14" s="59">
        <f t="shared" si="5"/>
        <v>305.37656544882338</v>
      </c>
      <c r="S14" s="59">
        <f>D14*N14*References!$B$50</f>
        <v>17687.884077957257</v>
      </c>
      <c r="T14" s="59">
        <f>Q14-S14</f>
        <v>0</v>
      </c>
      <c r="V14" s="4">
        <f t="shared" si="1"/>
        <v>63.2995039928797</v>
      </c>
      <c r="W14" s="59">
        <f>((V14*References!$C$57*'Spokane DF Calc'!$E$73)+('Spokane DF Calc'!V14*References!$C$61*'Spokane DF Calc'!$E$72))*E14</f>
        <v>1.58120218305622</v>
      </c>
      <c r="X14" s="59">
        <f>W14/References!$G$58</f>
        <v>1.6177636413507468</v>
      </c>
      <c r="Y14" s="59">
        <f t="shared" si="7"/>
        <v>2.2363586492533116E-3</v>
      </c>
    </row>
    <row r="15" spans="1:26">
      <c r="A15" s="322"/>
      <c r="B15" s="28" t="s">
        <v>321</v>
      </c>
      <c r="C15" t="s">
        <v>306</v>
      </c>
      <c r="D15" s="46">
        <f>+INDEX('Spokane Reg - Price out 2023'!AE:AE,MATCH(C15,'Spokane Reg - Price out 2023'!C:C,0))</f>
        <v>1.6041616259375757</v>
      </c>
      <c r="E15" s="82">
        <f>+References!$B$10</f>
        <v>4.333333333333333</v>
      </c>
      <c r="F15" s="46">
        <f>D15*E15*References!$B$50</f>
        <v>83.416404548753931</v>
      </c>
      <c r="G15" s="46">
        <f>+References!$B$24*3</f>
        <v>204</v>
      </c>
      <c r="H15" s="46">
        <f t="shared" si="2"/>
        <v>17016.946527945802</v>
      </c>
      <c r="I15" s="46">
        <f t="shared" si="0"/>
        <v>7920.3255492082772</v>
      </c>
      <c r="J15" s="59">
        <f>(I15*References!$C$57*'Spokane DF Calc'!$E$73)+('Spokane DF Calc'!I15*References!$C$61*'Spokane DF Calc'!$E$72)</f>
        <v>45.657069568335174</v>
      </c>
      <c r="K15" s="59">
        <f>J15/References!$G$58</f>
        <v>46.712778359254322</v>
      </c>
      <c r="L15" s="59">
        <f t="shared" si="3"/>
        <v>2.4300000000000002</v>
      </c>
      <c r="M15" s="59">
        <f>M13*3</f>
        <v>138.31936708474694</v>
      </c>
      <c r="N15" s="59">
        <f t="shared" ref="N15" si="9">L15+M15</f>
        <v>140.74936708474695</v>
      </c>
      <c r="O15" s="59">
        <f>N15</f>
        <v>140.74936708474695</v>
      </c>
      <c r="P15" s="59">
        <f>D15*M15*References!$B$50</f>
        <v>2662.6394496158887</v>
      </c>
      <c r="Q15" s="59">
        <f>D15*O15*References!$B$50</f>
        <v>2709.4168026282287</v>
      </c>
      <c r="R15" s="59">
        <f t="shared" ref="R15" si="10">Q15-P15</f>
        <v>46.777353012339972</v>
      </c>
      <c r="S15" s="59">
        <f>D15*N15*References!$B$50</f>
        <v>2709.4168026282287</v>
      </c>
      <c r="T15" s="59">
        <f>Q15-S15</f>
        <v>0</v>
      </c>
      <c r="V15" s="4">
        <f t="shared" si="1"/>
        <v>94.949255989319553</v>
      </c>
      <c r="W15" s="59">
        <f>((V15*References!$C$57*'Spokane DF Calc'!$E$73)+('Spokane DF Calc'!V15*References!$C$61*'Spokane DF Calc'!$E$72))*E15</f>
        <v>2.3718032745843294</v>
      </c>
      <c r="X15" s="59">
        <f>W15/References!$G$58</f>
        <v>2.4266454620261197</v>
      </c>
      <c r="Y15" s="59">
        <f t="shared" si="7"/>
        <v>3.3545379738804115E-3</v>
      </c>
    </row>
    <row r="16" spans="1:26">
      <c r="A16" s="322"/>
      <c r="B16" s="28" t="s">
        <v>322</v>
      </c>
      <c r="C16" t="s">
        <v>423</v>
      </c>
      <c r="D16" s="46">
        <f>+INDEX('Spokane Reg - Price out 2023'!AE:AE,MATCH(C16,'Spokane Reg - Price out 2023'!C:C,0))</f>
        <v>1.2488325550366912</v>
      </c>
      <c r="E16" s="53">
        <f>+References!$B$12</f>
        <v>1</v>
      </c>
      <c r="F16" s="46">
        <f>D16*E16*References!$B$50</f>
        <v>14.985990660440294</v>
      </c>
      <c r="G16" s="46">
        <f>+References!$B$24</f>
        <v>68</v>
      </c>
      <c r="H16" s="46">
        <f t="shared" si="2"/>
        <v>1019.0473649099399</v>
      </c>
      <c r="I16" s="46">
        <f t="shared" si="0"/>
        <v>474.30288782389914</v>
      </c>
      <c r="J16" s="59">
        <f>(I16*References!$C$57*'Spokane DF Calc'!$E$73)+('Spokane DF Calc'!I16*References!$C$61*'Spokane DF Calc'!$E$72)</f>
        <v>2.7341401324094212</v>
      </c>
      <c r="K16" s="59">
        <f>J16/References!$G$58</f>
        <v>2.7973604792402509</v>
      </c>
      <c r="L16" s="59">
        <f t="shared" si="3"/>
        <v>0.19</v>
      </c>
      <c r="M16" s="59">
        <f>+'Proposed Rates'!B24</f>
        <v>16.659104270811472</v>
      </c>
      <c r="N16" s="59">
        <f t="shared" si="4"/>
        <v>16.849104270811473</v>
      </c>
      <c r="O16" s="59">
        <f>+'Proposed Rates'!D24</f>
        <v>16.849104270811473</v>
      </c>
      <c r="P16" s="59">
        <f>F16*M16</f>
        <v>249.65318101368172</v>
      </c>
      <c r="Q16" s="59">
        <f>F16*O16</f>
        <v>252.50051923916541</v>
      </c>
      <c r="R16" s="59">
        <f t="shared" si="5"/>
        <v>2.8473382254836963</v>
      </c>
      <c r="S16" s="59">
        <f>F16*N16</f>
        <v>252.50051923916541</v>
      </c>
      <c r="T16" s="59">
        <f t="shared" si="6"/>
        <v>0</v>
      </c>
      <c r="V16" s="4">
        <f t="shared" si="1"/>
        <v>31.64975199643985</v>
      </c>
      <c r="W16" s="59">
        <f>((V16*References!$C$57*'Spokane DF Calc'!$E$73)+('Spokane DF Calc'!V16*References!$C$61*'Spokane DF Calc'!$E$72))*E16</f>
        <v>0.18244640573725615</v>
      </c>
      <c r="X16" s="59">
        <f>W16/References!$G$58</f>
        <v>0.18666503554047079</v>
      </c>
      <c r="Y16" s="59">
        <f t="shared" si="7"/>
        <v>3.3349644595292161E-3</v>
      </c>
    </row>
    <row r="17" spans="1:25">
      <c r="A17" s="322"/>
      <c r="B17" s="28" t="s">
        <v>322</v>
      </c>
      <c r="C17" t="s">
        <v>26</v>
      </c>
      <c r="D17" s="46">
        <f>+INDEX('Spokane Reg - Price out 2023'!AE:AE,MATCH(C17,'Spokane Reg - Price out 2023'!C:C,0))</f>
        <v>114.74376199616124</v>
      </c>
      <c r="E17" s="53">
        <f>+References!$B$12</f>
        <v>1</v>
      </c>
      <c r="F17" s="46">
        <f>D17*E17*References!$B$50</f>
        <v>1376.9251439539348</v>
      </c>
      <c r="G17" s="46">
        <f>+References!B26</f>
        <v>34</v>
      </c>
      <c r="H17" s="46">
        <f t="shared" si="2"/>
        <v>46815.454894433788</v>
      </c>
      <c r="I17" s="46">
        <f t="shared" si="0"/>
        <v>21789.669661902142</v>
      </c>
      <c r="J17" s="59">
        <f>(I17*References!$C$57*'Spokane DF Calc'!$E$73)+('Spokane DF Calc'!I17*References!$C$61*'Spokane DF Calc'!$E$72)</f>
        <v>125.60752174182473</v>
      </c>
      <c r="K17" s="59">
        <f>J17/References!$G$58</f>
        <v>128.51189046636455</v>
      </c>
      <c r="L17" s="59">
        <f t="shared" si="3"/>
        <v>0.09</v>
      </c>
      <c r="M17" s="59">
        <f>+'Proposed Rates'!B22</f>
        <v>5.8118313168476776</v>
      </c>
      <c r="N17" s="59">
        <f t="shared" si="4"/>
        <v>5.9018313168476775</v>
      </c>
      <c r="O17" s="59">
        <f>+'Proposed Rates'!D22</f>
        <v>5.9018313168476775</v>
      </c>
      <c r="P17" s="59">
        <f t="shared" ref="P17:P21" si="11">F17*M17</f>
        <v>8002.4566725864752</v>
      </c>
      <c r="Q17" s="59">
        <f t="shared" ref="Q17:Q21" si="12">F17*O17</f>
        <v>8126.3799355423289</v>
      </c>
      <c r="R17" s="59">
        <f t="shared" si="5"/>
        <v>123.92326295585372</v>
      </c>
      <c r="S17" s="59">
        <f t="shared" ref="S17:S21" si="13">F17*N17</f>
        <v>8126.3799355423289</v>
      </c>
      <c r="T17" s="59">
        <f t="shared" si="6"/>
        <v>0</v>
      </c>
      <c r="V17" s="4">
        <f t="shared" si="1"/>
        <v>15.824875998219925</v>
      </c>
      <c r="W17" s="59">
        <f>((V17*References!$C$57*'Spokane DF Calc'!$E$73)+('Spokane DF Calc'!V17*References!$C$61*'Spokane DF Calc'!$E$72))*E17</f>
        <v>9.1223202868628075E-2</v>
      </c>
      <c r="X17" s="59">
        <f>W17/References!$G$58</f>
        <v>9.3332517770235393E-2</v>
      </c>
      <c r="Y17" s="59">
        <f t="shared" si="7"/>
        <v>-3.3325177702353964E-3</v>
      </c>
    </row>
    <row r="18" spans="1:25">
      <c r="A18" s="322"/>
      <c r="B18" s="28" t="s">
        <v>323</v>
      </c>
      <c r="C18" t="s">
        <v>28</v>
      </c>
      <c r="D18" s="25">
        <f>+INDEX('Spokane Reg - Price out 2023'!AE:AE,MATCH(C18,'Spokane Reg - Price out 2023'!C:C,0))</f>
        <v>1.9984181219944317</v>
      </c>
      <c r="E18" s="56">
        <f>+References!$B$12</f>
        <v>1</v>
      </c>
      <c r="F18" s="25">
        <f>D18*E18*References!$B$50</f>
        <v>23.981017463933181</v>
      </c>
      <c r="G18" s="25">
        <f>+References!B48</f>
        <v>125</v>
      </c>
      <c r="H18" s="25">
        <f t="shared" si="2"/>
        <v>2997.6271829916477</v>
      </c>
      <c r="I18" s="25">
        <f t="shared" si="0"/>
        <v>1395.2081899922393</v>
      </c>
      <c r="J18" s="59">
        <f>(I18*References!$C$57*'Spokane DF Calc'!$E$73)+('Spokane DF Calc'!I18*References!$C$61*'Spokane DF Calc'!$E$72)</f>
        <v>8.0427397834870931</v>
      </c>
      <c r="K18" s="59">
        <f>J18/References!$G$58</f>
        <v>8.2287085977973113</v>
      </c>
      <c r="L18" s="59">
        <f t="shared" si="3"/>
        <v>0.34</v>
      </c>
      <c r="M18" s="59">
        <f>+'Proposed Rates'!B30</f>
        <v>29.33</v>
      </c>
      <c r="N18" s="59">
        <f t="shared" si="4"/>
        <v>29.669999999999998</v>
      </c>
      <c r="O18" s="59">
        <f>'Proposed Rates'!D27</f>
        <v>29.669999999999998</v>
      </c>
      <c r="P18" s="59">
        <f t="shared" si="11"/>
        <v>703.36324221716018</v>
      </c>
      <c r="Q18" s="59">
        <f t="shared" si="12"/>
        <v>711.51678815489743</v>
      </c>
      <c r="R18" s="59">
        <f t="shared" si="5"/>
        <v>8.153545937737249</v>
      </c>
      <c r="S18" s="59">
        <f t="shared" si="13"/>
        <v>711.51678815489743</v>
      </c>
      <c r="T18" s="59">
        <f t="shared" si="6"/>
        <v>0</v>
      </c>
      <c r="V18" s="4">
        <f t="shared" si="1"/>
        <v>58.179691169926194</v>
      </c>
      <c r="W18" s="59">
        <f>((V18*References!$C$57*'Spokane DF Calc'!$E$73)+('Spokane DF Calc'!V18*References!$C$61*'Spokane DF Calc'!$E$72))*E18</f>
        <v>0.3353794223111326</v>
      </c>
      <c r="X18" s="59">
        <f>W18/References!$G$58</f>
        <v>0.34313425650821833</v>
      </c>
      <c r="Y18" s="59">
        <f t="shared" si="7"/>
        <v>-3.1342565082183027E-3</v>
      </c>
    </row>
    <row r="19" spans="1:25">
      <c r="A19" s="322"/>
      <c r="B19" s="28" t="s">
        <v>323</v>
      </c>
      <c r="C19" t="s">
        <v>34</v>
      </c>
      <c r="D19" s="25">
        <f>+INDEX('Spokane Reg - Price out 2023'!AE:AE,MATCH(C19,'Spokane Reg - Price out 2023'!C:C,0))</f>
        <v>0.75</v>
      </c>
      <c r="E19" s="56">
        <f>+References!$B$12</f>
        <v>1</v>
      </c>
      <c r="F19" s="25">
        <v>1</v>
      </c>
      <c r="G19" s="25">
        <f>+References!B10</f>
        <v>4.333333333333333</v>
      </c>
      <c r="H19" s="25">
        <f t="shared" si="2"/>
        <v>4.333333333333333</v>
      </c>
      <c r="I19" s="25">
        <f t="shared" si="0"/>
        <v>2.0168959605574415</v>
      </c>
      <c r="J19" s="59">
        <f>(I19*References!$C$57*'Spokane DF Calc'!$E$73)+('Spokane DF Calc'!I19*References!$C$61*'Spokane DF Calc'!$E$72)</f>
        <v>1.1626486640119265E-2</v>
      </c>
      <c r="K19" s="59">
        <f>J19/References!$G$58</f>
        <v>1.1895320892284903E-2</v>
      </c>
      <c r="L19" s="59">
        <f>K19/F19*E19</f>
        <v>1.1895320892284903E-2</v>
      </c>
      <c r="M19" s="59">
        <f>+'Proposed Rates'!B27</f>
        <v>29.33</v>
      </c>
      <c r="N19" s="59">
        <f>L19+M19</f>
        <v>29.341895320892284</v>
      </c>
      <c r="O19" s="59">
        <f>+'Proposed Rates'!B27</f>
        <v>29.33</v>
      </c>
      <c r="P19" s="59">
        <f t="shared" ref="P19" si="14">F19*M19</f>
        <v>29.33</v>
      </c>
      <c r="Q19" s="59">
        <f t="shared" ref="Q19" si="15">F19*O19</f>
        <v>29.33</v>
      </c>
      <c r="R19" s="59">
        <f t="shared" ref="R19" si="16">Q19-P19</f>
        <v>0</v>
      </c>
      <c r="S19" s="59">
        <f t="shared" ref="S19" si="17">F19*N19</f>
        <v>29.341895320892284</v>
      </c>
      <c r="T19" s="110">
        <f t="shared" ref="T19" si="18">Q19-S19</f>
        <v>-1.1895320892286065E-2</v>
      </c>
      <c r="U19" s="111" t="s">
        <v>384</v>
      </c>
      <c r="V19" s="4"/>
      <c r="W19" s="59"/>
      <c r="X19" s="59"/>
      <c r="Y19" s="59"/>
    </row>
    <row r="20" spans="1:25">
      <c r="A20" s="322"/>
      <c r="B20" s="28" t="s">
        <v>320</v>
      </c>
      <c r="C20" t="s">
        <v>30</v>
      </c>
      <c r="D20" s="46">
        <f>+INDEX('Spokane Reg - Price out 2023'!AE:AE,MATCH(C20,'Spokane Reg - Price out 2023'!C:C,0))</f>
        <v>0.25</v>
      </c>
      <c r="E20" s="53">
        <f>+References!$B$12</f>
        <v>1</v>
      </c>
      <c r="F20" s="46">
        <f>D20*E20*References!$B$50</f>
        <v>3</v>
      </c>
      <c r="G20" s="46">
        <f>+References!B17</f>
        <v>34</v>
      </c>
      <c r="H20" s="46">
        <f t="shared" si="2"/>
        <v>102</v>
      </c>
      <c r="I20" s="46">
        <f t="shared" si="0"/>
        <v>47.474627994659777</v>
      </c>
      <c r="J20" s="59">
        <f>(I20*References!$C$57*'Spokane DF Calc'!$E$73)+('Spokane DF Calc'!I20*References!$C$61*'Spokane DF Calc'!$E$72)</f>
        <v>0.27366960860588418</v>
      </c>
      <c r="K20" s="59">
        <f>J20/References!$G$58</f>
        <v>0.27999755331070614</v>
      </c>
      <c r="L20" s="59">
        <f t="shared" si="3"/>
        <v>0.09</v>
      </c>
      <c r="M20" s="59">
        <f>+'Proposed Rates'!B7</f>
        <v>5.81</v>
      </c>
      <c r="N20" s="59">
        <f t="shared" si="4"/>
        <v>5.8999999999999995</v>
      </c>
      <c r="O20" s="59">
        <f>+'Proposed Rates'!D7</f>
        <v>5.8999999999999995</v>
      </c>
      <c r="P20" s="59">
        <f t="shared" si="11"/>
        <v>17.43</v>
      </c>
      <c r="Q20" s="59">
        <f t="shared" si="12"/>
        <v>17.7</v>
      </c>
      <c r="R20" s="59">
        <f t="shared" si="5"/>
        <v>0.26999999999999957</v>
      </c>
      <c r="S20" s="59">
        <f t="shared" si="13"/>
        <v>17.7</v>
      </c>
      <c r="T20" s="59">
        <f t="shared" si="6"/>
        <v>0</v>
      </c>
      <c r="V20" s="4">
        <f>G20*$D$67</f>
        <v>15.824875998219925</v>
      </c>
      <c r="W20" s="59">
        <f>((V20*References!$C$57*'Spokane DF Calc'!$E$73)+('Spokane DF Calc'!V20*References!$C$61*'Spokane DF Calc'!$E$72))*E20</f>
        <v>9.1223202868628075E-2</v>
      </c>
      <c r="X20" s="59">
        <f>W20/References!$G$58</f>
        <v>9.3332517770235393E-2</v>
      </c>
      <c r="Y20" s="59">
        <f t="shared" si="7"/>
        <v>-3.3325177702353964E-3</v>
      </c>
    </row>
    <row r="21" spans="1:25">
      <c r="A21" s="322"/>
      <c r="B21" s="28" t="s">
        <v>320</v>
      </c>
      <c r="C21" t="s">
        <v>32</v>
      </c>
      <c r="D21" s="46">
        <f>+INDEX('Spokane Reg - Price out 2023'!AE:AE,MATCH(C21,'Spokane Reg - Price out 2023'!C:C,0))</f>
        <v>1.0833333333333333</v>
      </c>
      <c r="E21" s="53">
        <f>+References!$B$12</f>
        <v>1</v>
      </c>
      <c r="F21" s="46">
        <f>D21*E21*References!$B$50</f>
        <v>13</v>
      </c>
      <c r="G21" s="46">
        <f>+References!B17</f>
        <v>34</v>
      </c>
      <c r="H21" s="46">
        <f t="shared" si="2"/>
        <v>442</v>
      </c>
      <c r="I21" s="46">
        <f t="shared" si="0"/>
        <v>205.72338797685904</v>
      </c>
      <c r="J21" s="59">
        <f>(I21*References!$C$57*'Spokane DF Calc'!$E$73)+('Spokane DF Calc'!I21*References!$C$61*'Spokane DF Calc'!$E$72)</f>
        <v>1.1859016372921649</v>
      </c>
      <c r="K21" s="59">
        <f>J21/References!$G$58</f>
        <v>1.2133227310130601</v>
      </c>
      <c r="L21" s="59">
        <f t="shared" si="3"/>
        <v>0.09</v>
      </c>
      <c r="M21" s="59">
        <f>+'Proposed Rates'!B7</f>
        <v>5.81</v>
      </c>
      <c r="N21" s="59">
        <f t="shared" si="4"/>
        <v>5.8999999999999995</v>
      </c>
      <c r="O21" s="59">
        <f>+'Proposed Rates'!D7</f>
        <v>5.8999999999999995</v>
      </c>
      <c r="P21" s="59">
        <f t="shared" si="11"/>
        <v>75.53</v>
      </c>
      <c r="Q21" s="59">
        <f t="shared" si="12"/>
        <v>76.699999999999989</v>
      </c>
      <c r="R21" s="59">
        <f t="shared" si="5"/>
        <v>1.1699999999999875</v>
      </c>
      <c r="S21" s="59">
        <f t="shared" si="13"/>
        <v>76.699999999999989</v>
      </c>
      <c r="T21" s="59">
        <f t="shared" si="6"/>
        <v>0</v>
      </c>
      <c r="V21" s="4">
        <f>G21*$D$67</f>
        <v>15.824875998219925</v>
      </c>
      <c r="W21" s="59">
        <f>((V21*References!$C$57*'Spokane DF Calc'!$E$73)+('Spokane DF Calc'!V21*References!$C$61*'Spokane DF Calc'!$E$72))*E21</f>
        <v>9.1223202868628075E-2</v>
      </c>
      <c r="X21" s="59">
        <f>W21/References!$G$58</f>
        <v>9.3332517770235393E-2</v>
      </c>
      <c r="Y21" s="59">
        <f t="shared" si="7"/>
        <v>-3.3325177702353964E-3</v>
      </c>
    </row>
    <row r="22" spans="1:25">
      <c r="A22" s="40"/>
      <c r="B22" s="38"/>
      <c r="C22" s="37" t="s">
        <v>0</v>
      </c>
      <c r="D22" s="47">
        <f>SUM(D6:D21)</f>
        <v>1601.8495448962756</v>
      </c>
      <c r="E22" s="54"/>
      <c r="F22" s="47">
        <f>SUM(F6:F21)</f>
        <v>78165.198839374512</v>
      </c>
      <c r="G22" s="48"/>
      <c r="H22" s="47">
        <f>SUM(H6:H21)</f>
        <v>3976224.410498064</v>
      </c>
      <c r="I22" s="47">
        <f>SUM(I6:I21)</f>
        <v>1850684.0658007937</v>
      </c>
      <c r="J22" s="60"/>
      <c r="K22" s="60"/>
      <c r="L22" s="61"/>
      <c r="M22" s="61"/>
      <c r="N22" s="61"/>
      <c r="O22" s="61"/>
      <c r="P22" s="47">
        <f>SUM(P6:P21)</f>
        <v>662283.37069730519</v>
      </c>
      <c r="Q22" s="47">
        <f>SUM(Q6:Q21)</f>
        <v>673188.99365825765</v>
      </c>
      <c r="R22" s="47">
        <f>SUM(R6:R21)</f>
        <v>10905.622960952673</v>
      </c>
      <c r="S22" s="47">
        <f>SUM(S6:S21)</f>
        <v>673189.00555357861</v>
      </c>
      <c r="T22" s="47">
        <f t="shared" ref="T22" si="19">SUM(T6:T21)</f>
        <v>-1.1895320892286065E-2</v>
      </c>
      <c r="V22" s="85"/>
      <c r="X22" s="101"/>
    </row>
    <row r="23" spans="1:25" ht="15" customHeight="1">
      <c r="A23" s="324" t="s">
        <v>180</v>
      </c>
      <c r="B23" s="28" t="s">
        <v>326</v>
      </c>
      <c r="C23" t="s">
        <v>43</v>
      </c>
      <c r="D23" s="46">
        <f>+INDEX('Spokane Reg - Price out 2023'!AE:AE,MATCH(C23,'Spokane Reg - Price out 2023'!C:C,0))</f>
        <v>34.062458361092602</v>
      </c>
      <c r="E23" s="53">
        <f>+References!B10</f>
        <v>4.333333333333333</v>
      </c>
      <c r="F23" s="46">
        <f>D23*E23*References!$B$50</f>
        <v>1771.2478347768154</v>
      </c>
      <c r="G23" s="46">
        <f>+References!$B$29</f>
        <v>175</v>
      </c>
      <c r="H23" s="46">
        <f t="shared" ref="H23:H44" si="20">F23*G23</f>
        <v>309968.37108594266</v>
      </c>
      <c r="I23" s="46">
        <f t="shared" ref="I23:I44" si="21">H23*$D$67</f>
        <v>144270.91281780181</v>
      </c>
      <c r="J23" s="59">
        <f>(I23*References!$C$57*'Spokane DF Calc'!$E$73)+('Spokane DF Calc'!I23*References!$C$61*'Spokane DF Calc'!$E$72)</f>
        <v>831.65610583621003</v>
      </c>
      <c r="K23" s="59">
        <f>J23/References!$G$58</f>
        <v>850.88613242910787</v>
      </c>
      <c r="L23" s="59">
        <f>ROUND((K23/F23),2)</f>
        <v>0.48</v>
      </c>
      <c r="M23" s="59">
        <f>+'Proposed Rates'!B41</f>
        <v>23.225142705112667</v>
      </c>
      <c r="N23" s="59">
        <f t="shared" ref="N23:N44" si="22">L23+M23</f>
        <v>23.705142705112667</v>
      </c>
      <c r="O23" s="59">
        <f>+'Proposed Rates'!D41</f>
        <v>23.705142705112667</v>
      </c>
      <c r="P23" s="59">
        <f>F23*M23</f>
        <v>41137.483728813357</v>
      </c>
      <c r="Q23" s="59">
        <f>F23*O23</f>
        <v>41987.682689506233</v>
      </c>
      <c r="R23" s="59">
        <f>Q23-P23</f>
        <v>850.19896069287643</v>
      </c>
      <c r="S23" s="59">
        <f>F23*N23</f>
        <v>41987.682689506233</v>
      </c>
      <c r="T23" s="59">
        <f>Q23-S23</f>
        <v>0</v>
      </c>
      <c r="V23" s="4">
        <f t="shared" ref="V23:V29" si="23">G23*$D$67</f>
        <v>81.451567637896673</v>
      </c>
      <c r="W23" s="59">
        <f>(V23*References!$C$57*'Spokane DF Calc'!$E$73)+('Spokane DF Calc'!V23*References!$C$61*'Spokane DF Calc'!$E$72)</f>
        <v>0.46953119123558562</v>
      </c>
      <c r="X23" s="59">
        <f>W23/References!$G$58</f>
        <v>0.48038795911150561</v>
      </c>
      <c r="Y23" s="59">
        <f t="shared" si="7"/>
        <v>-3.8795911150563134E-4</v>
      </c>
    </row>
    <row r="24" spans="1:25">
      <c r="A24" s="323"/>
      <c r="B24" s="28" t="s">
        <v>326</v>
      </c>
      <c r="C24" t="s">
        <v>45</v>
      </c>
      <c r="D24" s="46">
        <f>+INDEX('Spokane Reg - Price out 2023'!AE:AE,MATCH(C24,'Spokane Reg - Price out 2023'!C:C,0))</f>
        <v>15.729152752009895</v>
      </c>
      <c r="E24" s="53">
        <f>+References!$B$10</f>
        <v>4.333333333333333</v>
      </c>
      <c r="F24" s="46">
        <f>D24*E24*References!$B$50</f>
        <v>817.91594310451455</v>
      </c>
      <c r="G24" s="46">
        <f>+References!$B$30</f>
        <v>250</v>
      </c>
      <c r="H24" s="46">
        <f t="shared" si="20"/>
        <v>204478.98577612863</v>
      </c>
      <c r="I24" s="46">
        <f t="shared" si="21"/>
        <v>95172.193945559164</v>
      </c>
      <c r="J24" s="59">
        <f>(I24*References!$C$57*'Spokane DF Calc'!$E$73)+('Spokane DF Calc'!I24*References!$C$61*'Spokane DF Calc'!$E$72)</f>
        <v>548.6243529949146</v>
      </c>
      <c r="K24" s="59">
        <f>J24/References!$G$58</f>
        <v>561.30995804677161</v>
      </c>
      <c r="L24" s="59">
        <f>ROUND((K24/F24),2)</f>
        <v>0.69</v>
      </c>
      <c r="M24" s="59">
        <f>+'Proposed Rates'!B42</f>
        <v>34.737892527417799</v>
      </c>
      <c r="N24" s="59">
        <f t="shared" si="22"/>
        <v>35.427892527417796</v>
      </c>
      <c r="O24" s="59">
        <f>+'Proposed Rates'!D42</f>
        <v>35.427892527417796</v>
      </c>
      <c r="P24" s="59">
        <f t="shared" ref="P24:P44" si="24">F24*M24</f>
        <v>28412.676128026196</v>
      </c>
      <c r="Q24" s="59">
        <f t="shared" ref="Q24:Q44" si="25">F24*O24</f>
        <v>28977.038128768312</v>
      </c>
      <c r="R24" s="59">
        <f t="shared" ref="R24:R44" si="26">Q24-P24</f>
        <v>564.36200074211592</v>
      </c>
      <c r="S24" s="59">
        <f t="shared" ref="S24:S44" si="27">F24*N24</f>
        <v>28977.038128768312</v>
      </c>
      <c r="T24" s="59">
        <f t="shared" ref="T24:T44" si="28">Q24-S24</f>
        <v>0</v>
      </c>
      <c r="V24" s="4">
        <f t="shared" si="23"/>
        <v>116.35938233985239</v>
      </c>
      <c r="W24" s="59">
        <f>(V24*References!$C$57*'Spokane DF Calc'!$E$73)+('Spokane DF Calc'!V24*References!$C$61*'Spokane DF Calc'!$E$72)</f>
        <v>0.6707588446222652</v>
      </c>
      <c r="X24" s="59">
        <f>W24/References!$G$58</f>
        <v>0.68626851301643665</v>
      </c>
      <c r="Y24" s="59">
        <f t="shared" si="7"/>
        <v>3.7314869835632924E-3</v>
      </c>
    </row>
    <row r="25" spans="1:25">
      <c r="A25" s="323"/>
      <c r="B25" s="28" t="s">
        <v>326</v>
      </c>
      <c r="C25" t="s">
        <v>49</v>
      </c>
      <c r="D25" s="46">
        <f>+INDEX('Spokane Reg - Price out 2023'!AE:AE,MATCH(C25,'Spokane Reg - Price out 2023'!C:C,0))</f>
        <v>7.4791608430703853</v>
      </c>
      <c r="E25" s="82">
        <f>+References!$B$10</f>
        <v>4.333333333333333</v>
      </c>
      <c r="F25" s="46">
        <f>D25*E25*References!$B$50</f>
        <v>388.91636383966005</v>
      </c>
      <c r="G25" s="46">
        <f>References!$B$32</f>
        <v>324</v>
      </c>
      <c r="H25" s="46">
        <f t="shared" si="20"/>
        <v>126008.90188404986</v>
      </c>
      <c r="I25" s="46">
        <f t="shared" si="21"/>
        <v>58649.27197020442</v>
      </c>
      <c r="J25" s="59">
        <f>(I25*References!$C$57*'Spokane DF Calc'!$E$73)+('Spokane DF Calc'!I25*References!$C$61*'Spokane DF Calc'!$E$72)</f>
        <v>338.08634175946264</v>
      </c>
      <c r="K25" s="59">
        <f>J25/References!$G$58</f>
        <v>345.90376689120382</v>
      </c>
      <c r="L25" s="59">
        <f>ROUND((K25/F25),2)</f>
        <v>0.89</v>
      </c>
      <c r="M25" s="59">
        <f>'Proposed Rates'!B43</f>
        <v>46.106455694915631</v>
      </c>
      <c r="N25" s="59">
        <f t="shared" si="22"/>
        <v>46.996455694915632</v>
      </c>
      <c r="O25" s="59">
        <f>'Proposed Rates'!D43</f>
        <v>46.996455694915632</v>
      </c>
      <c r="P25" s="59">
        <f t="shared" si="24"/>
        <v>17931.555098400975</v>
      </c>
      <c r="Q25" s="59">
        <f t="shared" si="25"/>
        <v>18277.690662218272</v>
      </c>
      <c r="R25" s="59">
        <f t="shared" si="26"/>
        <v>346.13556381729722</v>
      </c>
      <c r="S25" s="59">
        <f t="shared" si="27"/>
        <v>18277.690662218272</v>
      </c>
      <c r="T25" s="59">
        <f t="shared" si="28"/>
        <v>0</v>
      </c>
      <c r="V25" s="4">
        <f t="shared" si="23"/>
        <v>150.80175951244871</v>
      </c>
      <c r="W25" s="59">
        <f>(V25*References!$C$57*'Spokane DF Calc'!$E$73)+('Spokane DF Calc'!V25*References!$C$61*'Spokane DF Calc'!$E$72)</f>
        <v>0.86930346263045588</v>
      </c>
      <c r="X25" s="59">
        <f>W25/References!$G$58</f>
        <v>0.88940399286930205</v>
      </c>
      <c r="Y25" s="59">
        <f t="shared" si="7"/>
        <v>5.9600713069796196E-4</v>
      </c>
    </row>
    <row r="26" spans="1:25">
      <c r="A26" s="323"/>
      <c r="B26" s="28" t="s">
        <v>326</v>
      </c>
      <c r="C26" t="s">
        <v>51</v>
      </c>
      <c r="D26" s="46">
        <f>+INDEX('Spokane Reg - Price out 2023'!AE:AE,MATCH(C26,'Spokane Reg - Price out 2023'!C:C,0))</f>
        <v>3.7083316765411483</v>
      </c>
      <c r="E26" s="82">
        <f>+References!$B$10</f>
        <v>4.333333333333333</v>
      </c>
      <c r="F26" s="49">
        <f>D26*E26*References!$B$50</f>
        <v>192.83324718013967</v>
      </c>
      <c r="G26" s="46">
        <f>References!$B$33</f>
        <v>473</v>
      </c>
      <c r="H26" s="46">
        <f t="shared" si="20"/>
        <v>91210.12591620606</v>
      </c>
      <c r="I26" s="46">
        <f t="shared" si="21"/>
        <v>42452.615658999603</v>
      </c>
      <c r="J26" s="59">
        <f>(I26*References!$C$57*'Spokane DF Calc'!$E$73)+('Spokane DF Calc'!I26*References!$C$61*'Spokane DF Calc'!$E$72)</f>
        <v>244.71999470962282</v>
      </c>
      <c r="K26" s="59">
        <f>J26/References!$G$58</f>
        <v>250.37854993822674</v>
      </c>
      <c r="L26" s="59">
        <f>ROUND((K26/F26),2)</f>
        <v>1.3</v>
      </c>
      <c r="M26" s="59">
        <f>'Proposed Rates'!$B$44</f>
        <v>64.839629538724296</v>
      </c>
      <c r="N26" s="59">
        <f t="shared" si="22"/>
        <v>66.139629538724293</v>
      </c>
      <c r="O26" s="59">
        <f>'Proposed Rates'!$D$44</f>
        <v>66.139629538724293</v>
      </c>
      <c r="P26" s="59">
        <f t="shared" si="24"/>
        <v>12503.236309909507</v>
      </c>
      <c r="Q26" s="59">
        <f t="shared" si="25"/>
        <v>12753.919531243688</v>
      </c>
      <c r="R26" s="59">
        <f t="shared" si="26"/>
        <v>250.68322133418042</v>
      </c>
      <c r="S26" s="59">
        <f t="shared" si="27"/>
        <v>12753.919531243688</v>
      </c>
      <c r="T26" s="59">
        <f t="shared" si="28"/>
        <v>0</v>
      </c>
      <c r="V26" s="4">
        <f t="shared" si="23"/>
        <v>220.15195138700074</v>
      </c>
      <c r="W26" s="59">
        <f>(V26*References!$C$57*'Spokane DF Calc'!$E$73)+('Spokane DF Calc'!V26*References!$C$61*'Spokane DF Calc'!$E$72)</f>
        <v>1.2690757340253258</v>
      </c>
      <c r="X26" s="59">
        <f>W26/References!$G$58</f>
        <v>1.2984200266270982</v>
      </c>
      <c r="Y26" s="59">
        <f t="shared" si="7"/>
        <v>1.5799733729018328E-3</v>
      </c>
    </row>
    <row r="27" spans="1:25">
      <c r="A27" s="323"/>
      <c r="B27" s="28" t="s">
        <v>326</v>
      </c>
      <c r="C27" t="s">
        <v>53</v>
      </c>
      <c r="D27" s="46">
        <f>+INDEX('Spokane Reg - Price out 2023'!AE:AE,MATCH(C27,'Spokane Reg - Price out 2023'!C:C,0))</f>
        <v>1</v>
      </c>
      <c r="E27" s="82">
        <f>+References!$B$10</f>
        <v>4.333333333333333</v>
      </c>
      <c r="F27" s="49">
        <f>D27*E27*References!$B$50</f>
        <v>52</v>
      </c>
      <c r="G27" s="46">
        <f>G26*2</f>
        <v>946</v>
      </c>
      <c r="H27" s="46">
        <f t="shared" si="20"/>
        <v>49192</v>
      </c>
      <c r="I27" s="46">
        <f t="shared" si="21"/>
        <v>22895.802944248077</v>
      </c>
      <c r="J27" s="59">
        <f>(I27*References!$C$57*'Spokane DF Calc'!$E$73)+('Spokane DF Calc'!I27*References!$C$61*'Spokane DF Calc'!$E$72)</f>
        <v>131.98387633863388</v>
      </c>
      <c r="K27" s="59">
        <f>J27/References!$G$58</f>
        <v>135.0356827692182</v>
      </c>
      <c r="L27" s="59">
        <f>ROUND((K27/(F27*2)),2)</f>
        <v>1.3</v>
      </c>
      <c r="M27" s="59">
        <f>'Proposed Rates'!$B$44</f>
        <v>64.839629538724296</v>
      </c>
      <c r="N27" s="59">
        <f t="shared" si="22"/>
        <v>66.139629538724293</v>
      </c>
      <c r="O27" s="59">
        <f>'Proposed Rates'!$D$44</f>
        <v>66.139629538724293</v>
      </c>
      <c r="P27" s="59">
        <f>F27*2*M27</f>
        <v>6743.3214720273263</v>
      </c>
      <c r="Q27" s="59">
        <f>F27*2*O27</f>
        <v>6878.5214720273261</v>
      </c>
      <c r="R27" s="59">
        <f t="shared" si="26"/>
        <v>135.19999999999982</v>
      </c>
      <c r="S27" s="59">
        <f>F27*2*N27</f>
        <v>6878.5214720273261</v>
      </c>
      <c r="T27" s="59">
        <f t="shared" si="28"/>
        <v>0</v>
      </c>
      <c r="V27" s="4">
        <f t="shared" si="23"/>
        <v>440.30390277400147</v>
      </c>
      <c r="W27" s="59">
        <f>((V27*References!$C$57*'Spokane DF Calc'!$E$73)+('Spokane DF Calc'!V27*References!$C$61*'Spokane DF Calc'!$E$72))/2</f>
        <v>1.2690757340253258</v>
      </c>
      <c r="X27" s="59">
        <f>W27/References!$G$58</f>
        <v>1.2984200266270982</v>
      </c>
      <c r="Y27" s="59">
        <f t="shared" si="7"/>
        <v>1.5799733729018328E-3</v>
      </c>
    </row>
    <row r="28" spans="1:25">
      <c r="A28" s="323"/>
      <c r="B28" s="28" t="s">
        <v>326</v>
      </c>
      <c r="C28" t="s">
        <v>55</v>
      </c>
      <c r="D28" s="46">
        <f>+INDEX('Spokane Reg - Price out 2023'!AE:AE,MATCH(C28,'Spokane Reg - Price out 2023'!C:C,0))</f>
        <v>11.583330830003908</v>
      </c>
      <c r="E28" s="53">
        <f>+References!$B$10</f>
        <v>4.333333333333333</v>
      </c>
      <c r="F28" s="46">
        <f>D28*E28*References!$B$50</f>
        <v>602.33320316020308</v>
      </c>
      <c r="G28" s="46">
        <f>References!$B$35</f>
        <v>613</v>
      </c>
      <c r="H28" s="46">
        <f t="shared" si="20"/>
        <v>369230.25353720447</v>
      </c>
      <c r="I28" s="46">
        <f t="shared" si="21"/>
        <v>171853.61697110484</v>
      </c>
      <c r="J28" s="59">
        <f>(I28*References!$C$57*'Spokane DF Calc'!$E$73)+('Spokane DF Calc'!I28*References!$C$61*'Spokane DF Calc'!$E$72)</f>
        <v>990.65783304880529</v>
      </c>
      <c r="K28" s="59">
        <f>J28/References!$G$58</f>
        <v>1013.5643882226368</v>
      </c>
      <c r="L28" s="59">
        <f>ROUND((K28/F28),2)</f>
        <v>1.68</v>
      </c>
      <c r="M28" s="59">
        <f>'Proposed Rates'!$B$45</f>
        <v>85.824333453754434</v>
      </c>
      <c r="N28" s="59">
        <f t="shared" si="22"/>
        <v>87.504333453754441</v>
      </c>
      <c r="O28" s="59">
        <f>'Proposed Rates'!$D$45</f>
        <v>87.504333453754441</v>
      </c>
      <c r="P28" s="59">
        <f t="shared" si="24"/>
        <v>51694.845678289283</v>
      </c>
      <c r="Q28" s="59">
        <f t="shared" si="25"/>
        <v>52706.765459598428</v>
      </c>
      <c r="R28" s="59">
        <f t="shared" si="26"/>
        <v>1011.919781309145</v>
      </c>
      <c r="S28" s="59">
        <f t="shared" si="27"/>
        <v>52706.765459598428</v>
      </c>
      <c r="T28" s="59">
        <f t="shared" si="28"/>
        <v>0</v>
      </c>
      <c r="V28" s="4">
        <f t="shared" si="23"/>
        <v>285.31320549731805</v>
      </c>
      <c r="W28" s="59">
        <f>(V28*References!$C$57*'Spokane DF Calc'!$E$73)+('Spokane DF Calc'!V28*References!$C$61*'Spokane DF Calc'!$E$72)</f>
        <v>1.6447006870137943</v>
      </c>
      <c r="X28" s="59">
        <f>W28/References!$G$58</f>
        <v>1.6827303939163027</v>
      </c>
      <c r="Y28" s="59">
        <f t="shared" si="7"/>
        <v>-2.730393916302809E-3</v>
      </c>
    </row>
    <row r="29" spans="1:25">
      <c r="A29" s="323"/>
      <c r="B29" s="28" t="s">
        <v>326</v>
      </c>
      <c r="C29" t="s">
        <v>57</v>
      </c>
      <c r="D29" s="46">
        <f>+INDEX('Spokane Reg - Price out 2023'!AE:AE,MATCH(C29,'Spokane Reg - Price out 2023'!C:C,0))</f>
        <v>1</v>
      </c>
      <c r="E29" s="53">
        <f>+References!$B$10</f>
        <v>4.333333333333333</v>
      </c>
      <c r="F29" s="46">
        <f>D29*E29*References!$B$50</f>
        <v>52</v>
      </c>
      <c r="G29" s="46">
        <f>G28*2</f>
        <v>1226</v>
      </c>
      <c r="H29" s="46">
        <f t="shared" si="20"/>
        <v>63752</v>
      </c>
      <c r="I29" s="46">
        <f t="shared" si="21"/>
        <v>29672.573371721079</v>
      </c>
      <c r="J29" s="59">
        <f>(I29*References!$C$57*'Spokane DF Calc'!$E$73)+('Spokane DF Calc'!I29*References!$C$61*'Spokane DF Calc'!$E$72)</f>
        <v>171.04887144943461</v>
      </c>
      <c r="K29" s="59">
        <f>J29/References!$G$58</f>
        <v>175.00396096729548</v>
      </c>
      <c r="L29" s="59">
        <f>ROUND((K29/(F29*2)),2)</f>
        <v>1.68</v>
      </c>
      <c r="M29" s="59">
        <f>'Proposed Rates'!$B$45</f>
        <v>85.824333453754434</v>
      </c>
      <c r="N29" s="59">
        <f t="shared" si="22"/>
        <v>87.504333453754441</v>
      </c>
      <c r="O29" s="59">
        <f>'Proposed Rates'!$D$45</f>
        <v>87.504333453754441</v>
      </c>
      <c r="P29" s="59">
        <f t="shared" ref="P29:P31" si="29">F29*2*M29</f>
        <v>8925.7306791904612</v>
      </c>
      <c r="Q29" s="59">
        <f t="shared" ref="Q29:Q31" si="30">F29*2*O29</f>
        <v>9100.4506791904623</v>
      </c>
      <c r="R29" s="59">
        <f t="shared" ref="R29:R31" si="31">Q29-P29</f>
        <v>174.72000000000116</v>
      </c>
      <c r="S29" s="59">
        <f t="shared" ref="S29:S31" si="32">F29*2*N29</f>
        <v>9100.4506791904623</v>
      </c>
      <c r="T29" s="59">
        <f t="shared" si="28"/>
        <v>0</v>
      </c>
      <c r="V29" s="4">
        <f t="shared" si="23"/>
        <v>570.6264109946361</v>
      </c>
      <c r="W29" s="59">
        <f>((V29*References!$C$57*'Spokane DF Calc'!$E$73)+('Spokane DF Calc'!V29*References!$C$61*'Spokane DF Calc'!$E$72))/2</f>
        <v>1.6447006870137943</v>
      </c>
      <c r="X29" s="59">
        <f>W29/References!$G$58</f>
        <v>1.6827303939163027</v>
      </c>
      <c r="Y29" s="59">
        <f t="shared" si="7"/>
        <v>-2.730393916302809E-3</v>
      </c>
    </row>
    <row r="30" spans="1:25">
      <c r="A30" s="323"/>
      <c r="B30" s="28" t="s">
        <v>326</v>
      </c>
      <c r="C30" t="s">
        <v>432</v>
      </c>
      <c r="D30" s="46">
        <f>+INDEX('Spokane Reg - Price out 2023'!AE:AE,MATCH(C30,'Spokane Reg - Price out 2023'!C:C,0))</f>
        <v>1</v>
      </c>
      <c r="E30" s="53">
        <f>+References!$B$10</f>
        <v>4.333333333333333</v>
      </c>
      <c r="F30" s="46">
        <f>D30*E30*References!$B$50</f>
        <v>52</v>
      </c>
      <c r="G30" s="46">
        <f>References!B37</f>
        <v>840</v>
      </c>
      <c r="H30" s="46">
        <f t="shared" ref="H30" si="33">F30*G30</f>
        <v>43680</v>
      </c>
      <c r="I30" s="46">
        <f t="shared" si="21"/>
        <v>20330.31128241901</v>
      </c>
      <c r="J30" s="59">
        <f>(I30*References!$C$57*'Spokane DF Calc'!$E$73)+('Spokane DF Calc'!I30*References!$C$61*'Spokane DF Calc'!$E$72)</f>
        <v>117.19498533240218</v>
      </c>
      <c r="K30" s="59">
        <f>J30/References!$G$58</f>
        <v>119.90483459423182</v>
      </c>
      <c r="L30" s="59">
        <f>ROUND((K30/(F30)),2)</f>
        <v>2.31</v>
      </c>
      <c r="M30" s="59">
        <f>'Proposed Rates'!B46</f>
        <v>124.2667138816057</v>
      </c>
      <c r="N30" s="59">
        <f t="shared" ref="N30" si="34">L30+M30</f>
        <v>126.5767138816057</v>
      </c>
      <c r="O30" s="59">
        <f>'Proposed Rates'!$D$46</f>
        <v>126.5767138816057</v>
      </c>
      <c r="P30" s="59">
        <f t="shared" ref="P30" si="35">F30*2*M30</f>
        <v>12923.738243686992</v>
      </c>
      <c r="Q30" s="59">
        <f t="shared" ref="Q30" si="36">F30*2*O30</f>
        <v>13163.978243686992</v>
      </c>
      <c r="R30" s="59">
        <f t="shared" ref="R30" si="37">Q30-P30</f>
        <v>240.23999999999978</v>
      </c>
      <c r="S30" s="59">
        <f t="shared" ref="S30" si="38">F30*2*N30</f>
        <v>13163.978243686992</v>
      </c>
      <c r="T30" s="59">
        <f t="shared" ref="T30" si="39">Q30-S30</f>
        <v>0</v>
      </c>
      <c r="V30" s="4"/>
      <c r="W30" s="59"/>
      <c r="X30" s="59"/>
      <c r="Y30" s="59"/>
    </row>
    <row r="31" spans="1:25">
      <c r="A31" s="323"/>
      <c r="B31" s="28" t="s">
        <v>326</v>
      </c>
      <c r="C31" t="s">
        <v>59</v>
      </c>
      <c r="D31" s="46">
        <f>+INDEX('Spokane Reg - Price out 2023'!AE:AE,MATCH(C31,'Spokane Reg - Price out 2023'!C:C,0))</f>
        <v>1</v>
      </c>
      <c r="E31" s="53">
        <f>+References!$B$10</f>
        <v>4.333333333333333</v>
      </c>
      <c r="F31" s="46">
        <f>D31*E31*References!$B$50</f>
        <v>52</v>
      </c>
      <c r="G31" s="46">
        <f>References!B37*2</f>
        <v>1680</v>
      </c>
      <c r="H31" s="46">
        <f t="shared" si="20"/>
        <v>87360</v>
      </c>
      <c r="I31" s="46">
        <f t="shared" si="21"/>
        <v>40660.62256483802</v>
      </c>
      <c r="J31" s="59">
        <f>(I31*References!$C$57*'Spokane DF Calc'!$E$73)+('Spokane DF Calc'!I31*References!$C$61*'Spokane DF Calc'!$E$72)</f>
        <v>234.38997066480437</v>
      </c>
      <c r="K31" s="59">
        <f>J31/References!$G$58</f>
        <v>239.80966918846363</v>
      </c>
      <c r="L31" s="59">
        <f>ROUND((K31/(F31*2)),2)</f>
        <v>2.31</v>
      </c>
      <c r="M31" s="59">
        <f>'Proposed Rates'!B46</f>
        <v>124.2667138816057</v>
      </c>
      <c r="N31" s="59">
        <f t="shared" si="22"/>
        <v>126.5767138816057</v>
      </c>
      <c r="O31" s="59">
        <f>'Proposed Rates'!D46</f>
        <v>126.5767138816057</v>
      </c>
      <c r="P31" s="59">
        <f t="shared" si="29"/>
        <v>12923.738243686992</v>
      </c>
      <c r="Q31" s="59">
        <f t="shared" si="30"/>
        <v>13163.978243686992</v>
      </c>
      <c r="R31" s="59">
        <f t="shared" si="31"/>
        <v>240.23999999999978</v>
      </c>
      <c r="S31" s="59">
        <f t="shared" si="32"/>
        <v>13163.978243686992</v>
      </c>
      <c r="T31" s="59">
        <f t="shared" si="28"/>
        <v>0</v>
      </c>
      <c r="V31" s="4">
        <f t="shared" ref="V31:V37" si="40">G31*$D$67</f>
        <v>781.93504932380813</v>
      </c>
      <c r="W31" s="59">
        <f>((V31*References!$C$57*'Spokane DF Calc'!$E$73)+('Spokane DF Calc'!V31*References!$C$61*'Spokane DF Calc'!$E$72))/2</f>
        <v>2.2537497179308112</v>
      </c>
      <c r="X31" s="59">
        <f>W31/References!$G$58</f>
        <v>2.3058622037352272</v>
      </c>
      <c r="Y31" s="59">
        <f t="shared" si="7"/>
        <v>4.1377962647728417E-3</v>
      </c>
    </row>
    <row r="32" spans="1:25">
      <c r="A32" s="323"/>
      <c r="B32" s="28" t="s">
        <v>327</v>
      </c>
      <c r="C32" t="s">
        <v>61</v>
      </c>
      <c r="D32" s="46">
        <f>+INDEX('Spokane Reg - Price out 2023'!AE:AE,MATCH(C32,'Spokane Reg - Price out 2023'!C:C,0))</f>
        <v>5.0728933631618203</v>
      </c>
      <c r="E32" s="53">
        <f>+References!B10</f>
        <v>4.333333333333333</v>
      </c>
      <c r="F32" s="46">
        <f>D32*E32*References!$B$50</f>
        <v>263.7904548844146</v>
      </c>
      <c r="G32" s="46">
        <f>References!$B$28</f>
        <v>29</v>
      </c>
      <c r="H32" s="46">
        <f t="shared" si="20"/>
        <v>7649.923191648023</v>
      </c>
      <c r="I32" s="46">
        <f t="shared" si="21"/>
        <v>3560.5613501099051</v>
      </c>
      <c r="J32" s="59">
        <f>(I32*References!$C$57*'Spokane DF Calc'!$E$73)+('Spokane DF Calc'!I32*References!$C$61*'Spokane DF Calc'!$E$72)</f>
        <v>20.525014565915598</v>
      </c>
      <c r="K32" s="59">
        <f>J32/References!$G$58</f>
        <v>20.999605653688967</v>
      </c>
      <c r="L32" s="59">
        <f>ROUND((K32/F32),2)</f>
        <v>0.08</v>
      </c>
      <c r="M32" s="59">
        <f>'Proposed Rates'!$B$66</f>
        <v>5.51</v>
      </c>
      <c r="N32" s="59">
        <f t="shared" si="22"/>
        <v>5.59</v>
      </c>
      <c r="O32" s="59">
        <f>'Proposed Rates'!$D$66</f>
        <v>5.59</v>
      </c>
      <c r="P32" s="59">
        <f t="shared" si="24"/>
        <v>1453.4854064131243</v>
      </c>
      <c r="Q32" s="59">
        <f t="shared" si="25"/>
        <v>1474.5886428038775</v>
      </c>
      <c r="R32" s="59">
        <f t="shared" si="26"/>
        <v>21.103236390753182</v>
      </c>
      <c r="S32" s="59">
        <f t="shared" si="27"/>
        <v>1474.5886428038775</v>
      </c>
      <c r="T32" s="59">
        <f t="shared" si="28"/>
        <v>0</v>
      </c>
      <c r="V32" s="4">
        <f t="shared" si="40"/>
        <v>13.497688351422878</v>
      </c>
      <c r="W32" s="59">
        <f>((V32*References!$C$57*'Spokane DF Calc'!$E$73)+('Spokane DF Calc'!V32*References!$C$61*'Spokane DF Calc'!$E$72))</f>
        <v>7.7808025976182763E-2</v>
      </c>
      <c r="X32" s="59">
        <f>W32/References!$G$58</f>
        <v>7.9607147509906648E-2</v>
      </c>
      <c r="Y32" s="59">
        <f t="shared" ref="Y32:Y44" si="41">L32-X32</f>
        <v>3.9285249009335388E-4</v>
      </c>
    </row>
    <row r="33" spans="1:25">
      <c r="A33" s="323"/>
      <c r="B33" s="28" t="s">
        <v>327</v>
      </c>
      <c r="C33" t="s">
        <v>63</v>
      </c>
      <c r="D33" s="46">
        <f>+INDEX('Spokane Reg - Price out 2023'!AE:AE,MATCH(C33,'Spokane Reg - Price out 2023'!C:C,0))</f>
        <v>1</v>
      </c>
      <c r="E33" s="82">
        <f>+References!$B$10</f>
        <v>4.333333333333333</v>
      </c>
      <c r="F33" s="49">
        <f>D33*E33*References!$B$50</f>
        <v>52</v>
      </c>
      <c r="G33" s="46">
        <f>References!$B$28*2</f>
        <v>58</v>
      </c>
      <c r="H33" s="46">
        <f t="shared" si="20"/>
        <v>3016</v>
      </c>
      <c r="I33" s="46">
        <f t="shared" si="21"/>
        <v>1403.7595885479793</v>
      </c>
      <c r="J33" s="59">
        <f>(I33*References!$C$57*'Spokane DF Calc'!$E$73)+('Spokane DF Calc'!I33*References!$C$61*'Spokane DF Calc'!$E$72)</f>
        <v>8.0920347015230085</v>
      </c>
      <c r="K33" s="59">
        <f>J33/References!$G$58</f>
        <v>8.2791433410302933</v>
      </c>
      <c r="L33" s="59">
        <f>ROUND((K33/(F33*2)),2)</f>
        <v>0.08</v>
      </c>
      <c r="M33" s="59">
        <f>'Proposed Rates'!$B$66</f>
        <v>5.51</v>
      </c>
      <c r="N33" s="59">
        <f t="shared" si="22"/>
        <v>5.59</v>
      </c>
      <c r="O33" s="59">
        <f>'Proposed Rates'!$D$66</f>
        <v>5.59</v>
      </c>
      <c r="P33" s="59">
        <f>(F33*2)*M33</f>
        <v>573.04</v>
      </c>
      <c r="Q33" s="59">
        <f>(F33*2)*O33</f>
        <v>581.36</v>
      </c>
      <c r="R33" s="59">
        <f t="shared" si="26"/>
        <v>8.32000000000005</v>
      </c>
      <c r="S33" s="59">
        <f>(F33*2)*N33</f>
        <v>581.36</v>
      </c>
      <c r="T33" s="59">
        <f t="shared" si="28"/>
        <v>0</v>
      </c>
      <c r="V33" s="4">
        <f t="shared" si="40"/>
        <v>26.995376702845757</v>
      </c>
      <c r="W33" s="59">
        <f>((V33*References!$C$57*'Spokane DF Calc'!$E$73)+('Spokane DF Calc'!V33*References!$C$61*'Spokane DF Calc'!$E$72))/2</f>
        <v>7.7808025976182763E-2</v>
      </c>
      <c r="X33" s="59">
        <f>W33/References!$G$58</f>
        <v>7.9607147509906648E-2</v>
      </c>
      <c r="Y33" s="59">
        <f t="shared" si="41"/>
        <v>3.9285249009335388E-4</v>
      </c>
    </row>
    <row r="34" spans="1:25">
      <c r="A34" s="323"/>
      <c r="B34" s="28" t="s">
        <v>327</v>
      </c>
      <c r="C34" t="s">
        <v>65</v>
      </c>
      <c r="D34" s="46">
        <f>+INDEX('Spokane Reg - Price out 2023'!AE:AE,MATCH(C34,'Spokane Reg - Price out 2023'!C:C,0))</f>
        <v>7.1458283528568005</v>
      </c>
      <c r="E34" s="82">
        <f>+References!$B$10</f>
        <v>4.333333333333333</v>
      </c>
      <c r="F34" s="46">
        <f>D34*E34*References!$B$50</f>
        <v>371.58307434855362</v>
      </c>
      <c r="G34" s="46">
        <f>References!$B$23</f>
        <v>47</v>
      </c>
      <c r="H34" s="46">
        <f t="shared" si="20"/>
        <v>17464.404494382019</v>
      </c>
      <c r="I34" s="46">
        <f t="shared" si="21"/>
        <v>8128.5892795985355</v>
      </c>
      <c r="J34" s="59">
        <f>(I34*References!$C$57*'Spokane DF Calc'!$E$73)+('Spokane DF Calc'!I34*References!$C$61*'Spokane DF Calc'!$E$72)</f>
        <v>46.857615122670317</v>
      </c>
      <c r="K34" s="59">
        <f>J34/References!$G$58</f>
        <v>47.941083612308489</v>
      </c>
      <c r="L34" s="59">
        <f>ROUND((K34/F34),2)</f>
        <v>0.13</v>
      </c>
      <c r="M34" s="59">
        <f>'Proposed Rates'!$B$73</f>
        <v>10.758542704851614</v>
      </c>
      <c r="N34" s="59">
        <f t="shared" si="22"/>
        <v>10.888542704851615</v>
      </c>
      <c r="O34" s="59">
        <f>'Proposed Rates'!$D$73</f>
        <v>10.888542704851615</v>
      </c>
      <c r="P34" s="59">
        <f t="shared" si="24"/>
        <v>3997.6923737789666</v>
      </c>
      <c r="Q34" s="59">
        <f t="shared" si="25"/>
        <v>4045.9981734442786</v>
      </c>
      <c r="R34" s="59">
        <f t="shared" si="26"/>
        <v>48.305799665311952</v>
      </c>
      <c r="S34" s="59">
        <f t="shared" si="27"/>
        <v>4045.9981734442786</v>
      </c>
      <c r="T34" s="59">
        <f t="shared" si="28"/>
        <v>0</v>
      </c>
      <c r="V34" s="4">
        <f t="shared" si="40"/>
        <v>21.875563879892251</v>
      </c>
      <c r="W34" s="59">
        <f>((V34*References!$C$57*'Spokane DF Calc'!$E$73)+('Spokane DF Calc'!V34*References!$C$61*'Spokane DF Calc'!$E$72))</f>
        <v>0.12610266278898588</v>
      </c>
      <c r="X34" s="59">
        <f>W34/References!$G$58</f>
        <v>0.12901848044709011</v>
      </c>
      <c r="Y34" s="59">
        <f t="shared" si="41"/>
        <v>9.8151955290989856E-4</v>
      </c>
    </row>
    <row r="35" spans="1:25">
      <c r="A35" s="323"/>
      <c r="B35" s="28" t="s">
        <v>327</v>
      </c>
      <c r="C35" t="s">
        <v>67</v>
      </c>
      <c r="D35" s="46">
        <f>+INDEX('Spokane Reg - Price out 2023'!AE:AE,MATCH(C35,'Spokane Reg - Price out 2023'!C:C,0))</f>
        <v>11</v>
      </c>
      <c r="E35" s="82">
        <f>+References!$B$10</f>
        <v>4.333333333333333</v>
      </c>
      <c r="F35" s="46">
        <f>D35*E35*References!$B$50</f>
        <v>572</v>
      </c>
      <c r="G35" s="46">
        <f>References!$B$24</f>
        <v>68</v>
      </c>
      <c r="H35" s="46">
        <f t="shared" si="20"/>
        <v>38896</v>
      </c>
      <c r="I35" s="46">
        <f t="shared" si="21"/>
        <v>18103.658141963595</v>
      </c>
      <c r="J35" s="59">
        <f>(I35*References!$C$57*'Spokane DF Calc'!$E$73)+('Spokane DF Calc'!I35*References!$C$61*'Spokane DF Calc'!$E$72)</f>
        <v>104.35934408171052</v>
      </c>
      <c r="K35" s="59">
        <f>J35/References!$G$58</f>
        <v>106.77240032914929</v>
      </c>
      <c r="L35" s="59">
        <f>ROUND((K35/F35),2)</f>
        <v>0.19</v>
      </c>
      <c r="M35" s="59">
        <f>'Proposed Rates'!$B$77</f>
        <v>13.242989679992609</v>
      </c>
      <c r="N35" s="59">
        <f t="shared" si="22"/>
        <v>13.432989679992609</v>
      </c>
      <c r="O35" s="59">
        <f>'Proposed Rates'!$D$77</f>
        <v>13.432989679992609</v>
      </c>
      <c r="P35" s="59">
        <f t="shared" si="24"/>
        <v>7574.990096955773</v>
      </c>
      <c r="Q35" s="59">
        <f t="shared" si="25"/>
        <v>7683.6700969557724</v>
      </c>
      <c r="R35" s="59">
        <f t="shared" si="26"/>
        <v>108.67999999999938</v>
      </c>
      <c r="S35" s="59">
        <f t="shared" si="27"/>
        <v>7683.6700969557724</v>
      </c>
      <c r="T35" s="59">
        <f t="shared" si="28"/>
        <v>0</v>
      </c>
      <c r="V35" s="4">
        <f t="shared" si="40"/>
        <v>31.64975199643985</v>
      </c>
      <c r="W35" s="59">
        <f>((V35*References!$C$57*'Spokane DF Calc'!$E$73)+('Spokane DF Calc'!V35*References!$C$61*'Spokane DF Calc'!$E$72))</f>
        <v>0.18244640573725615</v>
      </c>
      <c r="X35" s="59">
        <f>W35/References!$G$58</f>
        <v>0.18666503554047079</v>
      </c>
      <c r="Y35" s="59">
        <f t="shared" si="41"/>
        <v>3.3349644595292161E-3</v>
      </c>
    </row>
    <row r="36" spans="1:25">
      <c r="A36" s="323"/>
      <c r="B36" s="28" t="s">
        <v>327</v>
      </c>
      <c r="C36" t="s">
        <v>70</v>
      </c>
      <c r="D36" s="46">
        <f>+INDEX('Spokane Reg - Price out 2023'!AE:AE,MATCH(C36,'Spokane Reg - Price out 2023'!C:C,0))</f>
        <v>0.25</v>
      </c>
      <c r="E36" s="82">
        <f>References!$B$12</f>
        <v>1</v>
      </c>
      <c r="F36" s="49">
        <f>D36*E36*References!$B$50</f>
        <v>3</v>
      </c>
      <c r="G36" s="46">
        <f>References!$B$28</f>
        <v>29</v>
      </c>
      <c r="H36" s="46">
        <f t="shared" si="20"/>
        <v>87</v>
      </c>
      <c r="I36" s="46">
        <f t="shared" si="21"/>
        <v>40.493065054268634</v>
      </c>
      <c r="J36" s="59">
        <f>(I36*References!$C$57*'Spokane DF Calc'!$E$73)+('Spokane DF Calc'!I36*References!$C$61*'Spokane DF Calc'!$E$72)</f>
        <v>0.2334240779285483</v>
      </c>
      <c r="K36" s="59">
        <f>J36/References!$G$58</f>
        <v>0.23882144252971996</v>
      </c>
      <c r="L36" s="59">
        <f t="shared" ref="L36:L44" si="42">ROUND((K36/F36),2)</f>
        <v>0.08</v>
      </c>
      <c r="M36" s="59">
        <f>'Proposed Rates'!$B$66</f>
        <v>5.51</v>
      </c>
      <c r="N36" s="59">
        <f t="shared" si="22"/>
        <v>5.59</v>
      </c>
      <c r="O36" s="59">
        <f>'Proposed Rates'!$D$66</f>
        <v>5.59</v>
      </c>
      <c r="P36" s="59">
        <f>F36*2*M36</f>
        <v>33.06</v>
      </c>
      <c r="Q36" s="59">
        <f>F36*2*O36</f>
        <v>33.54</v>
      </c>
      <c r="R36" s="59">
        <f t="shared" si="26"/>
        <v>0.47999999999999687</v>
      </c>
      <c r="S36" s="59">
        <f>F36*2*N36</f>
        <v>33.54</v>
      </c>
      <c r="T36" s="59">
        <f t="shared" si="28"/>
        <v>0</v>
      </c>
      <c r="V36" s="4">
        <f t="shared" si="40"/>
        <v>13.497688351422878</v>
      </c>
      <c r="W36" s="59">
        <f>((V36*References!$C$57*'Spokane DF Calc'!$E$73)+('Spokane DF Calc'!V36*References!$C$61*'Spokane DF Calc'!$E$72))</f>
        <v>7.7808025976182763E-2</v>
      </c>
      <c r="X36" s="59">
        <f>W36/References!$G$58</f>
        <v>7.9607147509906648E-2</v>
      </c>
      <c r="Y36" s="59">
        <f t="shared" si="41"/>
        <v>3.9285249009335388E-4</v>
      </c>
    </row>
    <row r="37" spans="1:25">
      <c r="A37" s="323"/>
      <c r="B37" s="28" t="s">
        <v>326</v>
      </c>
      <c r="C37" t="s">
        <v>75</v>
      </c>
      <c r="D37" s="46">
        <f>+INDEX('Spokane Reg - Price out 2023'!AE:AE,MATCH(C37,'Spokane Reg - Price out 2023'!C:C,0))</f>
        <v>0.25</v>
      </c>
      <c r="E37" s="82">
        <f>References!$B$12</f>
        <v>1</v>
      </c>
      <c r="F37" s="46">
        <f>D37*E37*References!$B$50</f>
        <v>3</v>
      </c>
      <c r="G37" s="46">
        <f>+References!$B$30</f>
        <v>250</v>
      </c>
      <c r="H37" s="46">
        <f t="shared" si="20"/>
        <v>750</v>
      </c>
      <c r="I37" s="46">
        <f t="shared" si="21"/>
        <v>349.07814701955721</v>
      </c>
      <c r="J37" s="59">
        <f>(I37*References!$C$57*'Spokane DF Calc'!$E$73)+('Spokane DF Calc'!I37*References!$C$61*'Spokane DF Calc'!$E$72)</f>
        <v>2.0122765338667961</v>
      </c>
      <c r="K37" s="59">
        <f>J37/References!$G$58</f>
        <v>2.0588055390493105</v>
      </c>
      <c r="L37" s="59">
        <f t="shared" si="42"/>
        <v>0.69</v>
      </c>
      <c r="M37" s="59">
        <f>'Proposed Rates'!$B$50</f>
        <v>86.378897510705571</v>
      </c>
      <c r="N37" s="59">
        <f t="shared" si="22"/>
        <v>87.068897510705568</v>
      </c>
      <c r="O37" s="59">
        <f>'Proposed Rates'!$D$50</f>
        <v>87.068897510705568</v>
      </c>
      <c r="P37" s="59">
        <f t="shared" si="24"/>
        <v>259.13669253211674</v>
      </c>
      <c r="Q37" s="59">
        <f t="shared" si="25"/>
        <v>261.20669253211668</v>
      </c>
      <c r="R37" s="59">
        <f t="shared" si="26"/>
        <v>2.0699999999999363</v>
      </c>
      <c r="S37" s="59">
        <f t="shared" si="27"/>
        <v>261.20669253211668</v>
      </c>
      <c r="T37" s="59">
        <f t="shared" si="28"/>
        <v>0</v>
      </c>
      <c r="V37" s="4">
        <f t="shared" si="40"/>
        <v>116.35938233985239</v>
      </c>
      <c r="W37" s="59">
        <f>((V37*References!$C$57*'Spokane DF Calc'!$E$73)+('Spokane DF Calc'!V37*References!$C$61*'Spokane DF Calc'!$E$72))</f>
        <v>0.6707588446222652</v>
      </c>
      <c r="X37" s="59">
        <f>W37/References!$G$58</f>
        <v>0.68626851301643665</v>
      </c>
      <c r="Y37" s="59">
        <f t="shared" si="41"/>
        <v>3.7314869835632924E-3</v>
      </c>
    </row>
    <row r="38" spans="1:25">
      <c r="A38" s="323"/>
      <c r="B38" s="28" t="s">
        <v>326</v>
      </c>
      <c r="C38" s="117" t="s">
        <v>434</v>
      </c>
      <c r="D38" s="46">
        <f>+INDEX('Spokane Reg - Price out 2023'!AE:AE,MATCH(C38,'Spokane Reg - Price out 2023'!C:C,0))</f>
        <v>0.16666666666666666</v>
      </c>
      <c r="E38" s="82">
        <f>References!$B$12</f>
        <v>1</v>
      </c>
      <c r="F38" s="46">
        <f>D38*E38*References!$B$50</f>
        <v>2</v>
      </c>
      <c r="G38" s="49">
        <f>References!$B$32</f>
        <v>324</v>
      </c>
      <c r="H38" s="46">
        <f t="shared" ref="H38" si="43">F38*G38</f>
        <v>648</v>
      </c>
      <c r="I38" s="46">
        <f t="shared" si="21"/>
        <v>301.60351902489742</v>
      </c>
      <c r="J38" s="59">
        <f>(I38*References!$C$57*'Spokane DF Calc'!$E$73)+('Spokane DF Calc'!I38*References!$C$61*'Spokane DF Calc'!$E$72)</f>
        <v>1.7386069252609118</v>
      </c>
      <c r="K38" s="59">
        <f>J38/References!$G$58</f>
        <v>1.7788079857386041</v>
      </c>
      <c r="L38" s="59">
        <f t="shared" ref="L38" si="44">ROUND((K38/F38),2)</f>
        <v>0.89</v>
      </c>
      <c r="M38" s="59">
        <f>+'Proposed Rates'!B51</f>
        <v>100.90847580282475</v>
      </c>
      <c r="N38" s="59">
        <f t="shared" ref="N38" si="45">L38+M38</f>
        <v>101.79847580282475</v>
      </c>
      <c r="O38" s="59">
        <f>'Proposed Rates'!$D$51</f>
        <v>101.79847580282475</v>
      </c>
      <c r="P38" s="59">
        <f t="shared" ref="P38" si="46">F38*M38</f>
        <v>201.81695160564951</v>
      </c>
      <c r="Q38" s="59">
        <f t="shared" ref="Q38" si="47">F38*O38</f>
        <v>203.59695160564951</v>
      </c>
      <c r="R38" s="59">
        <f t="shared" ref="R38" si="48">Q38-P38</f>
        <v>1.7800000000000011</v>
      </c>
      <c r="S38" s="59">
        <f t="shared" ref="S38" si="49">F38*N38</f>
        <v>203.59695160564951</v>
      </c>
      <c r="T38" s="59">
        <f t="shared" ref="T38" si="50">Q38-S38</f>
        <v>0</v>
      </c>
      <c r="V38" s="4"/>
      <c r="W38" s="59"/>
      <c r="X38" s="59"/>
      <c r="Y38" s="59"/>
    </row>
    <row r="39" spans="1:25">
      <c r="A39" s="323"/>
      <c r="B39" s="28" t="s">
        <v>326</v>
      </c>
      <c r="C39" t="s">
        <v>77</v>
      </c>
      <c r="D39" s="46">
        <f>+INDEX('Spokane Reg - Price out 2023'!AE:AE,MATCH(C39,'Spokane Reg - Price out 2023'!C:C,0))</f>
        <v>0.33333333333333331</v>
      </c>
      <c r="E39" s="82">
        <f>References!$B$12</f>
        <v>1</v>
      </c>
      <c r="F39" s="49">
        <f>D39*E39*References!$B$50</f>
        <v>4</v>
      </c>
      <c r="G39" s="46">
        <f>+References!$B$30</f>
        <v>250</v>
      </c>
      <c r="H39" s="46">
        <f t="shared" si="20"/>
        <v>1000</v>
      </c>
      <c r="I39" s="46">
        <f t="shared" si="21"/>
        <v>465.43752935940955</v>
      </c>
      <c r="J39" s="59">
        <f>(I39*References!$C$57*'Spokane DF Calc'!$E$73)+('Spokane DF Calc'!I39*References!$C$61*'Spokane DF Calc'!$E$72)</f>
        <v>2.6830353784890608</v>
      </c>
      <c r="K39" s="59">
        <f>J39/References!$G$58</f>
        <v>2.7450740520657466</v>
      </c>
      <c r="L39" s="59">
        <f t="shared" si="42"/>
        <v>0.69</v>
      </c>
      <c r="M39" s="59">
        <f>'Proposed Rates'!$B$58</f>
        <v>42.424150356760251</v>
      </c>
      <c r="N39" s="59">
        <f t="shared" si="22"/>
        <v>43.114150356760248</v>
      </c>
      <c r="O39" s="59">
        <f>'Proposed Rates'!$D$58</f>
        <v>43.114150356760248</v>
      </c>
      <c r="P39" s="59">
        <f>F39*2*M39</f>
        <v>339.39320285408201</v>
      </c>
      <c r="Q39" s="59">
        <f>F39*2*O39</f>
        <v>344.91320285408199</v>
      </c>
      <c r="R39" s="59">
        <f t="shared" si="26"/>
        <v>5.5199999999999818</v>
      </c>
      <c r="S39" s="59">
        <f>F39*2*N39</f>
        <v>344.91320285408199</v>
      </c>
      <c r="T39" s="59">
        <f t="shared" si="28"/>
        <v>0</v>
      </c>
      <c r="V39" s="4">
        <f t="shared" ref="V39:V44" si="51">G39*$D$67</f>
        <v>116.35938233985239</v>
      </c>
      <c r="W39" s="59">
        <f>((V39*References!$C$57*'Spokane DF Calc'!$E$73)+('Spokane DF Calc'!V39*References!$C$61*'Spokane DF Calc'!$E$72))</f>
        <v>0.6707588446222652</v>
      </c>
      <c r="X39" s="59">
        <f>W39/References!$G$58</f>
        <v>0.68626851301643665</v>
      </c>
      <c r="Y39" s="59">
        <f t="shared" si="41"/>
        <v>3.7314869835632924E-3</v>
      </c>
    </row>
    <row r="40" spans="1:25">
      <c r="A40" s="323"/>
      <c r="B40" s="28" t="s">
        <v>326</v>
      </c>
      <c r="C40" t="s">
        <v>80</v>
      </c>
      <c r="D40" s="46">
        <f>+INDEX('Spokane Reg - Price out 2023'!AE:AE,MATCH(C40,'Spokane Reg - Price out 2023'!C:C,0))</f>
        <v>0.5802228602679792</v>
      </c>
      <c r="E40" s="82">
        <f>References!$B$12</f>
        <v>1</v>
      </c>
      <c r="F40" s="46">
        <f>D40*E40*References!$B$50</f>
        <v>6.9626743232157509</v>
      </c>
      <c r="G40" s="46">
        <f>References!$B$32</f>
        <v>324</v>
      </c>
      <c r="H40" s="46">
        <f t="shared" si="20"/>
        <v>2255.9064807219033</v>
      </c>
      <c r="I40" s="46">
        <f t="shared" si="21"/>
        <v>1049.9835388530832</v>
      </c>
      <c r="J40" s="59">
        <f>(I40*References!$C$57*'Spokane DF Calc'!$E$73)+('Spokane DF Calc'!I40*References!$C$61*'Spokane DF Calc'!$E$72)</f>
        <v>6.0526768983396178</v>
      </c>
      <c r="K40" s="59">
        <f>J40/References!$G$58</f>
        <v>6.1926303441166537</v>
      </c>
      <c r="L40" s="59">
        <f t="shared" si="42"/>
        <v>0.89</v>
      </c>
      <c r="M40" s="59">
        <f>'Proposed Rates'!$B$59</f>
        <v>54.369460143487238</v>
      </c>
      <c r="N40" s="59">
        <f t="shared" si="22"/>
        <v>55.259460143487239</v>
      </c>
      <c r="O40" s="59">
        <f>'Proposed Rates'!$D$59</f>
        <v>55.259460143487239</v>
      </c>
      <c r="P40" s="59">
        <f t="shared" si="24"/>
        <v>378.55684410816076</v>
      </c>
      <c r="Q40" s="59">
        <f t="shared" si="25"/>
        <v>384.75362425582279</v>
      </c>
      <c r="R40" s="59">
        <f t="shared" si="26"/>
        <v>6.1967801476620252</v>
      </c>
      <c r="S40" s="59">
        <f t="shared" si="27"/>
        <v>384.75362425582279</v>
      </c>
      <c r="T40" s="59">
        <f t="shared" si="28"/>
        <v>0</v>
      </c>
      <c r="V40" s="4">
        <f t="shared" si="51"/>
        <v>150.80175951244871</v>
      </c>
      <c r="W40" s="59">
        <f>((V40*References!$C$57*'Spokane DF Calc'!$E$73)+('Spokane DF Calc'!V40*References!$C$61*'Spokane DF Calc'!$E$72))</f>
        <v>0.86930346263045588</v>
      </c>
      <c r="X40" s="59">
        <f>W40/References!$G$58</f>
        <v>0.88940399286930205</v>
      </c>
      <c r="Y40" s="59">
        <f t="shared" si="41"/>
        <v>5.9600713069796196E-4</v>
      </c>
    </row>
    <row r="41" spans="1:25">
      <c r="A41" s="323"/>
      <c r="B41" s="28" t="s">
        <v>326</v>
      </c>
      <c r="C41" t="s">
        <v>82</v>
      </c>
      <c r="D41" s="46">
        <f>+INDEX('Spokane Reg - Price out 2023'!AE:AE,MATCH(C41,'Spokane Reg - Price out 2023'!C:C,0))</f>
        <v>1.3333333333333333</v>
      </c>
      <c r="E41" s="82">
        <f>References!$B$12</f>
        <v>1</v>
      </c>
      <c r="F41" s="46">
        <f>D41*E41*References!$B$50</f>
        <v>16</v>
      </c>
      <c r="G41" s="46">
        <f>References!$B$33</f>
        <v>473</v>
      </c>
      <c r="H41" s="46">
        <f t="shared" si="20"/>
        <v>7568</v>
      </c>
      <c r="I41" s="46">
        <f t="shared" si="21"/>
        <v>3522.4312221920118</v>
      </c>
      <c r="J41" s="59">
        <f>(I41*References!$C$57*'Spokane DF Calc'!$E$73)+('Spokane DF Calc'!I41*References!$C$61*'Spokane DF Calc'!$E$72)</f>
        <v>20.305211744405213</v>
      </c>
      <c r="K41" s="59">
        <f>J41/References!$G$58</f>
        <v>20.774720426033571</v>
      </c>
      <c r="L41" s="59">
        <f t="shared" si="42"/>
        <v>1.3</v>
      </c>
      <c r="M41" s="59">
        <f>'Proposed Rates'!$B$60</f>
        <v>76.596387546087897</v>
      </c>
      <c r="N41" s="59">
        <f t="shared" si="22"/>
        <v>77.896387546087894</v>
      </c>
      <c r="O41" s="59">
        <f>'Proposed Rates'!$D$60</f>
        <v>77.896387546087894</v>
      </c>
      <c r="P41" s="59">
        <f t="shared" si="24"/>
        <v>1225.5422007374063</v>
      </c>
      <c r="Q41" s="59">
        <f t="shared" si="25"/>
        <v>1246.3422007374063</v>
      </c>
      <c r="R41" s="59">
        <f t="shared" si="26"/>
        <v>20.799999999999955</v>
      </c>
      <c r="S41" s="59">
        <f t="shared" si="27"/>
        <v>1246.3422007374063</v>
      </c>
      <c r="T41" s="59">
        <f t="shared" si="28"/>
        <v>0</v>
      </c>
      <c r="V41" s="4">
        <f t="shared" si="51"/>
        <v>220.15195138700074</v>
      </c>
      <c r="W41" s="59">
        <f>((V41*References!$C$57*'Spokane DF Calc'!$E$73)+('Spokane DF Calc'!V41*References!$C$61*'Spokane DF Calc'!$E$72))</f>
        <v>1.2690757340253258</v>
      </c>
      <c r="X41" s="59">
        <f>W41/References!$G$58</f>
        <v>1.2984200266270982</v>
      </c>
      <c r="Y41" s="59">
        <f t="shared" si="41"/>
        <v>1.5799733729018328E-3</v>
      </c>
    </row>
    <row r="42" spans="1:25">
      <c r="A42" s="323"/>
      <c r="B42" s="28" t="s">
        <v>326</v>
      </c>
      <c r="C42" t="s">
        <v>84</v>
      </c>
      <c r="D42" s="46">
        <f>+INDEX('Spokane Reg - Price out 2023'!AE:AE,MATCH(C42,'Spokane Reg - Price out 2023'!C:C,0))</f>
        <v>5.666666666666667</v>
      </c>
      <c r="E42" s="82">
        <f>References!$B$12</f>
        <v>1</v>
      </c>
      <c r="F42" s="46">
        <f>D42*E42*References!$B$50</f>
        <v>68</v>
      </c>
      <c r="G42" s="46">
        <f>References!$B$35</f>
        <v>613</v>
      </c>
      <c r="H42" s="46">
        <f t="shared" ref="H42" si="52">F42*G42</f>
        <v>41684</v>
      </c>
      <c r="I42" s="46">
        <f t="shared" si="21"/>
        <v>19401.297973817629</v>
      </c>
      <c r="J42" s="59">
        <f>(I42*References!$C$57*'Spokane DF Calc'!$E$73)+('Spokane DF Calc'!I42*References!$C$61*'Spokane DF Calc'!$E$72)</f>
        <v>111.83964671693802</v>
      </c>
      <c r="K42" s="59">
        <f>J42/References!$G$58</f>
        <v>114.42566678630858</v>
      </c>
      <c r="L42" s="59">
        <f t="shared" si="42"/>
        <v>1.68</v>
      </c>
      <c r="M42" s="59">
        <f>'Proposed Rates'!$B$61</f>
        <v>102.13960800925622</v>
      </c>
      <c r="N42" s="59">
        <f t="shared" si="22"/>
        <v>103.81960800925623</v>
      </c>
      <c r="O42" s="59">
        <f>'Proposed Rates'!$D$61</f>
        <v>103.81960800925623</v>
      </c>
      <c r="P42" s="59">
        <f t="shared" si="24"/>
        <v>6945.4933446294235</v>
      </c>
      <c r="Q42" s="59">
        <f t="shared" si="25"/>
        <v>7059.7333446294233</v>
      </c>
      <c r="R42" s="59">
        <f t="shared" si="26"/>
        <v>114.23999999999978</v>
      </c>
      <c r="S42" s="59">
        <f t="shared" si="27"/>
        <v>7059.7333446294233</v>
      </c>
      <c r="T42" s="59">
        <f t="shared" si="28"/>
        <v>0</v>
      </c>
      <c r="V42" s="4">
        <f t="shared" si="51"/>
        <v>285.31320549731805</v>
      </c>
      <c r="W42" s="59">
        <f>((V42*References!$C$57*'Spokane DF Calc'!$E$73)+('Spokane DF Calc'!V42*References!$C$61*'Spokane DF Calc'!$E$72))</f>
        <v>1.6447006870137943</v>
      </c>
      <c r="X42" s="59">
        <f>W42/References!$G$58</f>
        <v>1.6827303939163027</v>
      </c>
      <c r="Y42" s="59">
        <f t="shared" si="41"/>
        <v>-2.730393916302809E-3</v>
      </c>
    </row>
    <row r="43" spans="1:25" ht="15" customHeight="1">
      <c r="A43" s="323"/>
      <c r="B43" s="28" t="s">
        <v>327</v>
      </c>
      <c r="C43" t="s">
        <v>72</v>
      </c>
      <c r="D43" s="46">
        <f>+INDEX('Spokane Reg - Price out 2023'!AE:AE,MATCH(C43,'Spokane Reg - Price out 2023'!C:C,0))</f>
        <v>9.1959595959595948</v>
      </c>
      <c r="E43" s="82">
        <f>References!$B$12</f>
        <v>1</v>
      </c>
      <c r="F43" s="46">
        <f>D43*E43*References!$B$50</f>
        <v>110.35151515151514</v>
      </c>
      <c r="G43" s="46">
        <f>References!$B$28</f>
        <v>29</v>
      </c>
      <c r="H43" s="46">
        <f t="shared" si="20"/>
        <v>3200.1939393939392</v>
      </c>
      <c r="I43" s="46">
        <f t="shared" si="21"/>
        <v>1489.4903606224711</v>
      </c>
      <c r="J43" s="59">
        <f>(I43*References!$C$57*'Spokane DF Calc'!$E$73)+('Spokane DF Calc'!I43*References!$C$61*'Spokane DF Calc'!$E$72)</f>
        <v>8.5862335574202167</v>
      </c>
      <c r="K43" s="59">
        <f>J43/References!$G$58</f>
        <v>8.7847693446083657</v>
      </c>
      <c r="L43" s="59">
        <f t="shared" si="42"/>
        <v>0.08</v>
      </c>
      <c r="M43" s="59">
        <f>'Proposed Rates'!B66</f>
        <v>5.51</v>
      </c>
      <c r="N43" s="59">
        <f t="shared" si="22"/>
        <v>5.59</v>
      </c>
      <c r="O43" s="59">
        <f>'Proposed Rates'!D66</f>
        <v>5.59</v>
      </c>
      <c r="P43" s="59">
        <f t="shared" si="24"/>
        <v>608.03684848484841</v>
      </c>
      <c r="Q43" s="59">
        <f t="shared" si="25"/>
        <v>616.86496969696964</v>
      </c>
      <c r="R43" s="59">
        <f t="shared" si="26"/>
        <v>8.828121212121232</v>
      </c>
      <c r="S43" s="59">
        <f t="shared" si="27"/>
        <v>616.86496969696964</v>
      </c>
      <c r="T43" s="59">
        <f t="shared" si="28"/>
        <v>0</v>
      </c>
      <c r="V43" s="4">
        <f t="shared" si="51"/>
        <v>13.497688351422878</v>
      </c>
      <c r="W43" s="59">
        <f>((V43*References!$C$57*'Spokane DF Calc'!$E$73)+('Spokane DF Calc'!V43*References!$C$61*'Spokane DF Calc'!$E$72))</f>
        <v>7.7808025976182763E-2</v>
      </c>
      <c r="X43" s="59">
        <f>W43/References!$G$58</f>
        <v>7.9607147509906648E-2</v>
      </c>
      <c r="Y43" s="59">
        <f t="shared" si="41"/>
        <v>3.9285249009335388E-4</v>
      </c>
    </row>
    <row r="44" spans="1:25">
      <c r="A44" s="323"/>
      <c r="B44" s="28" t="s">
        <v>323</v>
      </c>
      <c r="C44" t="s">
        <v>86</v>
      </c>
      <c r="D44" s="46">
        <f>+INDEX('Spokane Reg - Price out 2023'!AE:AE,MATCH(C44,'Spokane Reg - Price out 2023'!C:C,0))</f>
        <v>2.3333333333333335</v>
      </c>
      <c r="E44" s="82">
        <f>References!$B$12</f>
        <v>1</v>
      </c>
      <c r="F44" s="46">
        <f>D44*E44*References!$B$50</f>
        <v>28</v>
      </c>
      <c r="G44" s="46">
        <f>References!B48</f>
        <v>125</v>
      </c>
      <c r="H44" s="46">
        <f t="shared" si="20"/>
        <v>3500</v>
      </c>
      <c r="I44" s="46">
        <f t="shared" si="21"/>
        <v>1629.0313527579335</v>
      </c>
      <c r="J44" s="59">
        <f>(I44*References!$C$57*'Spokane DF Calc'!$E$73)+('Spokane DF Calc'!I44*References!$C$61*'Spokane DF Calc'!$E$72)</f>
        <v>9.3906238247117138</v>
      </c>
      <c r="K44" s="59">
        <f>J44/References!$G$58</f>
        <v>9.6077591822301134</v>
      </c>
      <c r="L44" s="59">
        <f t="shared" si="42"/>
        <v>0.34</v>
      </c>
      <c r="M44" s="59">
        <f>'Proposed Rates'!B27</f>
        <v>29.33</v>
      </c>
      <c r="N44" s="59">
        <f t="shared" si="22"/>
        <v>29.669999999999998</v>
      </c>
      <c r="O44" s="59">
        <f>'Proposed Rates'!D27</f>
        <v>29.669999999999998</v>
      </c>
      <c r="P44" s="59">
        <f t="shared" si="24"/>
        <v>821.24</v>
      </c>
      <c r="Q44" s="59">
        <f t="shared" si="25"/>
        <v>830.76</v>
      </c>
      <c r="R44" s="59">
        <f t="shared" si="26"/>
        <v>9.5199999999999818</v>
      </c>
      <c r="S44" s="59">
        <f t="shared" si="27"/>
        <v>830.76</v>
      </c>
      <c r="T44" s="59">
        <f t="shared" si="28"/>
        <v>0</v>
      </c>
      <c r="V44" s="4">
        <f t="shared" si="51"/>
        <v>58.179691169926194</v>
      </c>
      <c r="W44" s="59">
        <f>((V44*References!$C$57*'Spokane DF Calc'!$E$73)+('Spokane DF Calc'!V44*References!$C$61*'Spokane DF Calc'!$E$72))</f>
        <v>0.3353794223111326</v>
      </c>
      <c r="X44" s="59">
        <f>W44/References!$G$58</f>
        <v>0.34313425650821833</v>
      </c>
      <c r="Y44" s="59">
        <f t="shared" si="41"/>
        <v>-3.1342565082183027E-3</v>
      </c>
    </row>
    <row r="45" spans="1:25">
      <c r="A45" s="40"/>
      <c r="B45" s="38"/>
      <c r="C45" s="37" t="s">
        <v>0</v>
      </c>
      <c r="D45" s="47">
        <f>SUM(D23:D44)</f>
        <v>120.89067196829745</v>
      </c>
      <c r="E45" s="54"/>
      <c r="F45" s="47">
        <f>SUM(F23:F44)</f>
        <v>5481.934310769032</v>
      </c>
      <c r="G45" s="48"/>
      <c r="H45" s="47">
        <f>SUM(H23:H44)</f>
        <v>1472600.0663056774</v>
      </c>
      <c r="I45" s="47">
        <f>SUM(I23:I44)</f>
        <v>685403.33659581759</v>
      </c>
      <c r="J45" s="60"/>
      <c r="K45" s="60"/>
      <c r="L45" s="61"/>
      <c r="M45" s="61"/>
      <c r="N45" s="61"/>
      <c r="O45" s="61"/>
      <c r="P45" s="47">
        <f>SUM(P23:P44)</f>
        <v>217607.80954413061</v>
      </c>
      <c r="Q45" s="47">
        <f>SUM(Q23:Q44)</f>
        <v>221777.35300944207</v>
      </c>
      <c r="R45" s="47">
        <f>SUM(R23:R44)</f>
        <v>4169.5434653114644</v>
      </c>
      <c r="S45" s="47">
        <f>SUM(S23:S44)</f>
        <v>221777.35300944207</v>
      </c>
      <c r="T45" s="47">
        <f>SUM(T23:T44)</f>
        <v>0</v>
      </c>
      <c r="V45" s="85"/>
      <c r="W45" s="85"/>
      <c r="X45" s="101"/>
    </row>
    <row r="46" spans="1:25">
      <c r="C46" s="39" t="s">
        <v>278</v>
      </c>
      <c r="D46" s="50">
        <f>+D22+D45</f>
        <v>1722.7402168645731</v>
      </c>
      <c r="E46" s="53">
        <f>+D45-'Spokane Reg - Price out 2023'!AE79</f>
        <v>0</v>
      </c>
      <c r="F46" s="50">
        <f>+F22+F45</f>
        <v>83647.133150143549</v>
      </c>
      <c r="H46" s="50">
        <f>+H22+H45</f>
        <v>5448824.4768037414</v>
      </c>
      <c r="I46" s="50">
        <f>+I22+I45</f>
        <v>2536087.4023966114</v>
      </c>
      <c r="P46" s="62">
        <f>+P22+P45</f>
        <v>879891.18024143577</v>
      </c>
      <c r="Q46" s="62">
        <f>+Q22+Q45</f>
        <v>894966.34666769975</v>
      </c>
      <c r="R46" s="62">
        <f>+R22+R45</f>
        <v>15075.166426264137</v>
      </c>
      <c r="S46" s="62">
        <f>+S22+S45</f>
        <v>894966.35856302071</v>
      </c>
      <c r="T46" s="62">
        <f>+T22+T45</f>
        <v>-1.1895320892286065E-2</v>
      </c>
    </row>
    <row r="48" spans="1:25">
      <c r="R48" s="98" t="s">
        <v>329</v>
      </c>
      <c r="S48" s="98" t="s">
        <v>330</v>
      </c>
      <c r="T48" s="98" t="s">
        <v>5</v>
      </c>
    </row>
    <row r="49" spans="1:24" ht="15" customHeight="1">
      <c r="A49" s="29"/>
      <c r="B49" s="30"/>
      <c r="C49" s="31" t="s">
        <v>248</v>
      </c>
      <c r="D49" s="51"/>
      <c r="E49" s="55"/>
      <c r="F49" s="32"/>
      <c r="G49" s="32"/>
      <c r="H49" s="32"/>
      <c r="I49" s="32"/>
      <c r="J49" s="63"/>
      <c r="K49" s="64"/>
      <c r="L49" s="64"/>
      <c r="M49" s="64"/>
      <c r="N49" s="64"/>
      <c r="O49" s="64"/>
      <c r="Q49" s="93" t="s">
        <v>179</v>
      </c>
      <c r="R49" s="59">
        <f>R22</f>
        <v>10905.622960952673</v>
      </c>
      <c r="S49" s="96">
        <f>+R22/P22</f>
        <v>1.6466702084744111E-2</v>
      </c>
      <c r="T49" s="46">
        <f>SUM(D6:D15)</f>
        <v>1481.7751988897498</v>
      </c>
    </row>
    <row r="50" spans="1:24">
      <c r="A50" s="91"/>
      <c r="B50" s="28" t="s">
        <v>321</v>
      </c>
      <c r="C50" t="s">
        <v>309</v>
      </c>
      <c r="D50" s="46">
        <v>0</v>
      </c>
      <c r="E50" s="53">
        <f>+References!B10</f>
        <v>4.333333333333333</v>
      </c>
      <c r="F50" s="49">
        <v>52</v>
      </c>
      <c r="G50" s="49">
        <f>+References!B20</f>
        <v>97</v>
      </c>
      <c r="H50" s="46">
        <f>F50*G50</f>
        <v>5044</v>
      </c>
      <c r="I50" s="46">
        <f>H50*$D$67</f>
        <v>2347.6668980888617</v>
      </c>
      <c r="J50" s="59">
        <f>(I50*References!$C$57*'Spokane DF Calc'!$E$73)+('Spokane DF Calc'!I50*References!$C$61*'Spokane DF Calc'!$E$72)</f>
        <v>13.533230449098822</v>
      </c>
      <c r="K50" s="59">
        <f>J50/References!$G$58</f>
        <v>13.846153518619625</v>
      </c>
      <c r="L50" s="59">
        <f>K50/F50*E50</f>
        <v>1.1538461265516353</v>
      </c>
      <c r="M50" s="59">
        <f>+'Proposed Rates'!B14</f>
        <v>71.250390037079171</v>
      </c>
      <c r="N50" s="59">
        <f>L50+M50</f>
        <v>72.404236163630813</v>
      </c>
      <c r="O50" s="59">
        <f>+'Proposed Rates'!D14</f>
        <v>72.400390037079177</v>
      </c>
      <c r="Q50" s="93" t="s">
        <v>180</v>
      </c>
      <c r="R50" s="59">
        <f>R45</f>
        <v>4169.5434653114644</v>
      </c>
      <c r="S50" s="96">
        <f>+R45/P45</f>
        <v>1.9160817224557768E-2</v>
      </c>
      <c r="T50" s="46">
        <f>SUM(D23:D35)</f>
        <v>100.78115617873655</v>
      </c>
    </row>
    <row r="51" spans="1:24">
      <c r="A51" s="323"/>
      <c r="B51" s="28" t="s">
        <v>321</v>
      </c>
      <c r="C51" s="33" t="s">
        <v>249</v>
      </c>
      <c r="D51" s="46">
        <v>0</v>
      </c>
      <c r="E51" s="56">
        <f>+References!B10</f>
        <v>4.333333333333333</v>
      </c>
      <c r="F51" s="34">
        <f>E51*References!$B$50</f>
        <v>52</v>
      </c>
      <c r="G51" s="34">
        <f>+References!B21</f>
        <v>117</v>
      </c>
      <c r="H51" s="46">
        <f t="shared" ref="H51:H60" si="53">F51*G51</f>
        <v>6084</v>
      </c>
      <c r="I51" s="25">
        <f>H51*$D$67</f>
        <v>2831.7219286226477</v>
      </c>
      <c r="J51" s="59">
        <f>(I51*References!$C$57*'Spokane DF Calc'!$E$73)+('Spokane DF Calc'!I51*References!$C$61*'Spokane DF Calc'!$E$72)</f>
        <v>16.323587242727449</v>
      </c>
      <c r="K51" s="59">
        <f>J51/References!$G$58</f>
        <v>16.701030532768005</v>
      </c>
      <c r="L51" s="59">
        <f t="shared" ref="L51:L52" si="54">K51/F51*E51</f>
        <v>1.3917525443973335</v>
      </c>
      <c r="M51" s="65">
        <f>'Proposed Rates'!B15</f>
        <v>87.210743596132232</v>
      </c>
      <c r="N51" s="65">
        <f t="shared" ref="N51:N52" si="55">K51+M51</f>
        <v>103.91177412890023</v>
      </c>
      <c r="O51" s="65">
        <f>'Proposed Rates'!D15</f>
        <v>88.600743596132233</v>
      </c>
      <c r="Q51" s="93" t="s">
        <v>0</v>
      </c>
      <c r="R51" s="95">
        <f>SUM(R49:R50)</f>
        <v>15075.166426264137</v>
      </c>
    </row>
    <row r="52" spans="1:24">
      <c r="A52" s="323"/>
      <c r="B52" s="28" t="s">
        <v>321</v>
      </c>
      <c r="C52" s="33" t="s">
        <v>250</v>
      </c>
      <c r="D52" s="46">
        <v>0</v>
      </c>
      <c r="E52" s="56">
        <f>+References!B10</f>
        <v>4.333333333333333</v>
      </c>
      <c r="F52" s="34">
        <f>E52*References!$B$50</f>
        <v>52</v>
      </c>
      <c r="G52" s="34">
        <f>+References!B22</f>
        <v>157</v>
      </c>
      <c r="H52" s="46">
        <f t="shared" si="53"/>
        <v>8164</v>
      </c>
      <c r="I52" s="25">
        <f>H52*$D$67</f>
        <v>3799.8319896902199</v>
      </c>
      <c r="J52" s="59">
        <f>(I52*References!$C$57*'Spokane DF Calc'!$E$73)+('Spokane DF Calc'!I52*References!$C$61*'Spokane DF Calc'!$E$72)</f>
        <v>21.904300829984699</v>
      </c>
      <c r="K52" s="59">
        <f>J52/References!$G$58</f>
        <v>22.410784561064762</v>
      </c>
      <c r="L52" s="59">
        <f t="shared" si="54"/>
        <v>1.8675653800887302</v>
      </c>
      <c r="M52" s="65">
        <f>'Proposed Rates'!B16</f>
        <v>101.40758345408076</v>
      </c>
      <c r="N52" s="65">
        <f t="shared" si="55"/>
        <v>123.81836801514552</v>
      </c>
      <c r="O52" s="65">
        <f>'Proposed Rates'!D16</f>
        <v>103.27758345408077</v>
      </c>
      <c r="R52" s="59">
        <f>+R51-R46</f>
        <v>0</v>
      </c>
    </row>
    <row r="53" spans="1:24">
      <c r="A53" s="36"/>
      <c r="B53" s="28" t="s">
        <v>322</v>
      </c>
      <c r="C53" t="s">
        <v>24</v>
      </c>
      <c r="D53" s="46">
        <v>0</v>
      </c>
      <c r="E53" s="53">
        <f>+References!$B$12</f>
        <v>1</v>
      </c>
      <c r="F53" s="34">
        <f>E53*References!$B$50</f>
        <v>12</v>
      </c>
      <c r="G53" s="49">
        <f>+References!B17</f>
        <v>34</v>
      </c>
      <c r="H53" s="46">
        <f t="shared" si="53"/>
        <v>408</v>
      </c>
      <c r="I53" s="46">
        <f>H53*$D$67</f>
        <v>189.89851197863911</v>
      </c>
      <c r="J53" s="59">
        <f>(I53*References!$C$57*'Spokane DF Calc'!$E$73)+('Spokane DF Calc'!I53*References!$C$61*'Spokane DF Calc'!$E$72)</f>
        <v>1.0946784344235367</v>
      </c>
      <c r="K53" s="59">
        <f>J53/References!$G$58</f>
        <v>1.1199902132428246</v>
      </c>
      <c r="L53" s="59">
        <f t="shared" ref="L53" si="56">ROUND((K53/F53*E53),2)</f>
        <v>0.09</v>
      </c>
      <c r="M53" s="59">
        <f>+'Proposed Rates'!B24</f>
        <v>16.659104270811472</v>
      </c>
      <c r="N53" s="59">
        <f t="shared" ref="N53" si="57">L53+M53</f>
        <v>16.749104270811472</v>
      </c>
      <c r="O53" s="59">
        <f>+'Proposed Rates'!D61</f>
        <v>103.81960800925623</v>
      </c>
    </row>
    <row r="54" spans="1:24" ht="13.9" customHeight="1">
      <c r="A54" s="36"/>
      <c r="B54" s="28" t="s">
        <v>327</v>
      </c>
      <c r="C54" t="s">
        <v>68</v>
      </c>
      <c r="D54" s="46">
        <v>0</v>
      </c>
      <c r="E54" s="82">
        <f>+References!$B$10</f>
        <v>4.333333333333333</v>
      </c>
      <c r="F54" s="34">
        <f>E54*References!$B$50</f>
        <v>52</v>
      </c>
      <c r="G54" s="49">
        <f>References!$B$24*2</f>
        <v>136</v>
      </c>
      <c r="H54" s="46">
        <f t="shared" si="53"/>
        <v>7072</v>
      </c>
      <c r="I54" s="46">
        <f t="shared" ref="I54" si="58">H54*$D$67</f>
        <v>3291.5742076297447</v>
      </c>
      <c r="J54" s="59">
        <f>(I54*References!$C$57*'Spokane DF Calc'!$E$73)+('Spokane DF Calc'!I54*References!$C$61*'Spokane DF Calc'!$E$72)</f>
        <v>18.974426196674639</v>
      </c>
      <c r="K54" s="59">
        <f>J54/References!$G$58</f>
        <v>19.413163696208962</v>
      </c>
      <c r="L54" s="59">
        <f>ROUND((K54/(F54*2)),2)</f>
        <v>0.19</v>
      </c>
      <c r="M54" s="59">
        <f>'Proposed Rates'!$B$77</f>
        <v>13.242989679992609</v>
      </c>
      <c r="N54" s="59">
        <f t="shared" ref="N54:N55" si="59">L54+M54</f>
        <v>13.432989679992609</v>
      </c>
      <c r="O54" s="59">
        <f>O52</f>
        <v>103.27758345408077</v>
      </c>
    </row>
    <row r="55" spans="1:24">
      <c r="A55" s="36"/>
      <c r="B55" s="28" t="s">
        <v>326</v>
      </c>
      <c r="C55" t="s">
        <v>343</v>
      </c>
      <c r="D55" s="46">
        <v>0</v>
      </c>
      <c r="E55" s="53">
        <v>1</v>
      </c>
      <c r="F55" s="34">
        <f>E55*References!$B$50</f>
        <v>12</v>
      </c>
      <c r="G55" s="49">
        <f>+References!$B$29</f>
        <v>175</v>
      </c>
      <c r="H55" s="46">
        <f t="shared" si="53"/>
        <v>2100</v>
      </c>
      <c r="I55" s="46">
        <f t="shared" ref="I55:I60" si="60">H55*$D$67</f>
        <v>977.41881165476013</v>
      </c>
      <c r="J55" s="59">
        <f>(I55*References!$C$57*'Spokane DF Calc'!$E$73)+('Spokane DF Calc'!I55*References!$C$61*'Spokane DF Calc'!$E$72)</f>
        <v>5.6343742948270279</v>
      </c>
      <c r="K55" s="59">
        <f>J55/References!$G$58</f>
        <v>5.764655509338068</v>
      </c>
      <c r="L55" s="59">
        <f>ROUND((K55/F55),2)</f>
        <v>0.48</v>
      </c>
      <c r="M55" s="59">
        <f>+'Proposed Rates'!B41</f>
        <v>23.225142705112667</v>
      </c>
      <c r="N55" s="59">
        <f t="shared" si="59"/>
        <v>23.705142705112667</v>
      </c>
      <c r="O55" s="59">
        <f>+'Proposed Rates'!D74</f>
        <v>21.358712100088649</v>
      </c>
    </row>
    <row r="56" spans="1:24">
      <c r="A56" s="36"/>
      <c r="B56" s="28" t="s">
        <v>326</v>
      </c>
      <c r="C56" t="s">
        <v>46</v>
      </c>
      <c r="D56" s="46">
        <v>0</v>
      </c>
      <c r="E56" s="82">
        <f>+References!$B$10</f>
        <v>4.333333333333333</v>
      </c>
      <c r="F56" s="34">
        <f>E56*References!$B$50</f>
        <v>52</v>
      </c>
      <c r="G56" s="49">
        <f>+References!B30*2</f>
        <v>500</v>
      </c>
      <c r="H56" s="46">
        <f t="shared" si="53"/>
        <v>26000</v>
      </c>
      <c r="I56" s="46">
        <f t="shared" si="60"/>
        <v>12101.375763344649</v>
      </c>
      <c r="J56" s="59">
        <f>(I56*References!$C$57*'Spokane DF Calc'!$E$73)+('Spokane DF Calc'!I56*References!$C$61*'Spokane DF Calc'!$E$72)</f>
        <v>69.758919840715578</v>
      </c>
      <c r="K56" s="59">
        <f>J56/References!$G$58</f>
        <v>71.3719253537094</v>
      </c>
      <c r="L56" s="59">
        <f>ROUND((K56/(F56*2)),2)</f>
        <v>0.69</v>
      </c>
      <c r="M56" s="59">
        <f>+'Proposed Rates'!B42</f>
        <v>34.737892527417799</v>
      </c>
      <c r="N56" s="59">
        <f>L56+M56</f>
        <v>35.427892527417796</v>
      </c>
      <c r="O56" s="59">
        <f>+'Proposed Rates'!D74</f>
        <v>21.358712100088649</v>
      </c>
    </row>
    <row r="57" spans="1:24">
      <c r="A57" s="92"/>
      <c r="B57" s="28" t="s">
        <v>326</v>
      </c>
      <c r="C57" t="s">
        <v>47</v>
      </c>
      <c r="D57" s="46">
        <v>0</v>
      </c>
      <c r="E57" s="82">
        <f>+References!$B$10</f>
        <v>4.333333333333333</v>
      </c>
      <c r="F57" s="34">
        <f>E57*References!$B$50</f>
        <v>52</v>
      </c>
      <c r="G57" s="49">
        <f>+References!B30*3</f>
        <v>750</v>
      </c>
      <c r="H57" s="46">
        <f t="shared" si="53"/>
        <v>39000</v>
      </c>
      <c r="I57" s="46">
        <f t="shared" si="60"/>
        <v>18152.063645016973</v>
      </c>
      <c r="J57" s="59">
        <f>(I57*References!$C$57*'Spokane DF Calc'!$E$73)+('Spokane DF Calc'!I57*References!$C$61*'Spokane DF Calc'!$E$72)</f>
        <v>104.63837976107337</v>
      </c>
      <c r="K57" s="59">
        <f>J57/References!$G$58</f>
        <v>107.05788803056411</v>
      </c>
      <c r="L57" s="59">
        <f>ROUND((K57/(F57*3)),2)</f>
        <v>0.69</v>
      </c>
      <c r="M57" s="59">
        <f>+'Proposed Rates'!B42</f>
        <v>34.737892527417799</v>
      </c>
      <c r="N57" s="59">
        <f t="shared" ref="N57" si="61">L57+M57</f>
        <v>35.427892527417796</v>
      </c>
      <c r="O57" s="59">
        <f>+'Proposed Rates'!D74</f>
        <v>21.358712100088649</v>
      </c>
    </row>
    <row r="58" spans="1:24" ht="17.25">
      <c r="A58" s="36"/>
      <c r="B58" s="23" t="s">
        <v>326</v>
      </c>
      <c r="C58" s="35" t="s">
        <v>219</v>
      </c>
      <c r="D58" s="26">
        <v>0</v>
      </c>
      <c r="E58" s="57">
        <v>1</v>
      </c>
      <c r="F58" s="34">
        <f>E58*References!$B$50</f>
        <v>12</v>
      </c>
      <c r="G58" s="34">
        <f>References!B39</f>
        <v>980</v>
      </c>
      <c r="H58" s="46">
        <f t="shared" si="53"/>
        <v>11760</v>
      </c>
      <c r="I58" s="25">
        <f t="shared" si="60"/>
        <v>5473.545345266657</v>
      </c>
      <c r="J58" s="59">
        <f>(I58*References!$C$57*'Spokane DF Calc'!$E$73)+('Spokane DF Calc'!I58*References!$C$61*'Spokane DF Calc'!$E$72)</f>
        <v>31.552496051031355</v>
      </c>
      <c r="K58" s="65">
        <f>J58/[66]References!$G$56</f>
        <v>32.172623366419081</v>
      </c>
      <c r="L58" s="59">
        <f>ROUND((K58/(F58*3)),2)</f>
        <v>0.89</v>
      </c>
      <c r="M58" s="65">
        <f>'Proposed Rates'!B79</f>
        <v>57.389985707014318</v>
      </c>
      <c r="N58" s="65">
        <f t="shared" ref="N58" si="62">K58+M58</f>
        <v>89.562609073433407</v>
      </c>
      <c r="O58" s="65">
        <f>'Proposed Rates'!D79</f>
        <v>58.213319040347649</v>
      </c>
      <c r="Q58" s="94" t="s">
        <v>317</v>
      </c>
    </row>
    <row r="59" spans="1:24">
      <c r="A59" s="36"/>
      <c r="B59" s="28" t="s">
        <v>326</v>
      </c>
      <c r="C59" t="s">
        <v>73</v>
      </c>
      <c r="D59" s="46">
        <v>0</v>
      </c>
      <c r="E59" s="82">
        <f>References!$B$12</f>
        <v>1</v>
      </c>
      <c r="F59" s="34">
        <f>E59*References!$B$50</f>
        <v>12</v>
      </c>
      <c r="G59" s="49">
        <f>+References!$B$29</f>
        <v>175</v>
      </c>
      <c r="H59" s="46">
        <f t="shared" si="53"/>
        <v>2100</v>
      </c>
      <c r="I59" s="46">
        <f t="shared" si="60"/>
        <v>977.41881165476013</v>
      </c>
      <c r="J59" s="59">
        <f>(I59*References!$C$57*'Spokane DF Calc'!$E$73)+('Spokane DF Calc'!I59*References!$C$61*'Spokane DF Calc'!$E$72)</f>
        <v>5.6343742948270279</v>
      </c>
      <c r="K59" s="59">
        <f>J59/References!$G$58</f>
        <v>5.764655509338068</v>
      </c>
      <c r="L59" s="59">
        <f t="shared" ref="L59:L60" si="63">ROUND((K59/F59),2)</f>
        <v>0.48</v>
      </c>
      <c r="M59" s="59">
        <f>'Proposed Rates'!$B$49</f>
        <v>60.780220641842128</v>
      </c>
      <c r="N59" s="59">
        <f t="shared" ref="N59:N60" si="64">L59+M59</f>
        <v>61.260220641842125</v>
      </c>
      <c r="O59" s="59">
        <f>'Proposed Rates'!$D$49</f>
        <v>61.260220641842125</v>
      </c>
      <c r="P59" s="67"/>
      <c r="Q59" s="93" t="s">
        <v>318</v>
      </c>
      <c r="R59" s="59">
        <f>'Disposal 2023'!B43*References!B61</f>
        <v>2320.3560000000011</v>
      </c>
    </row>
    <row r="60" spans="1:24">
      <c r="B60" s="28" t="s">
        <v>326</v>
      </c>
      <c r="C60" t="s">
        <v>78</v>
      </c>
      <c r="D60" s="46">
        <v>0</v>
      </c>
      <c r="E60" s="82">
        <f>References!$B$12</f>
        <v>1</v>
      </c>
      <c r="F60" s="34">
        <f>E60*References!$B$50</f>
        <v>12</v>
      </c>
      <c r="G60" s="49">
        <f>+References!$B$29</f>
        <v>175</v>
      </c>
      <c r="H60" s="46">
        <f t="shared" si="53"/>
        <v>2100</v>
      </c>
      <c r="I60" s="46">
        <f t="shared" si="60"/>
        <v>977.41881165476013</v>
      </c>
      <c r="J60" s="59">
        <f>(I60*References!$C$57*'Spokane DF Calc'!$E$73)+('Spokane DF Calc'!I60*References!$C$61*'Spokane DF Calc'!$E$72)</f>
        <v>5.6343742948270279</v>
      </c>
      <c r="K60" s="59">
        <f>J60/References!$G$58</f>
        <v>5.764655509338068</v>
      </c>
      <c r="L60" s="59">
        <f t="shared" si="63"/>
        <v>0.48</v>
      </c>
      <c r="M60" s="59">
        <f>'Proposed Rates'!$B$57</f>
        <v>28.227310498811718</v>
      </c>
      <c r="N60" s="59">
        <f t="shared" si="64"/>
        <v>28.707310498811719</v>
      </c>
      <c r="O60" s="59">
        <f>'Proposed Rates'!$D$57</f>
        <v>28.707310498811719</v>
      </c>
      <c r="Q60" s="93" t="s">
        <v>319</v>
      </c>
      <c r="R60" s="66">
        <f>'Disposal 2023'!I43*References!B57</f>
        <v>870.12900000000025</v>
      </c>
    </row>
    <row r="61" spans="1:24">
      <c r="F61" s="49"/>
      <c r="G61" s="49"/>
      <c r="R61" s="62">
        <f>SUM(R59:R60)</f>
        <v>3190.4850000000015</v>
      </c>
      <c r="V61" s="59"/>
      <c r="W61" s="46"/>
      <c r="X61" s="101"/>
    </row>
    <row r="62" spans="1:24">
      <c r="C62" s="317" t="s">
        <v>192</v>
      </c>
      <c r="D62" s="317"/>
      <c r="E62" s="58"/>
      <c r="F62" s="52"/>
      <c r="X62" s="101"/>
    </row>
    <row r="63" spans="1:24">
      <c r="D63" s="24" t="s">
        <v>0</v>
      </c>
      <c r="Q63" s="320"/>
      <c r="R63" s="320"/>
      <c r="S63" s="320"/>
      <c r="T63" s="320"/>
    </row>
    <row r="64" spans="1:24">
      <c r="C64" t="s">
        <v>193</v>
      </c>
      <c r="D64" s="73">
        <f>D74</f>
        <v>1268.0437011983054</v>
      </c>
      <c r="Q64" s="108" t="s">
        <v>471</v>
      </c>
      <c r="R64" s="59">
        <f>+'[67]Sch 13 Garbage Disposal Fees'!$J$11+'[67]Sch 13 Garbage Disposal Fees'!$J$12</f>
        <v>31249.574000000001</v>
      </c>
      <c r="S64" s="59">
        <v>18459</v>
      </c>
      <c r="T64" s="83"/>
    </row>
    <row r="65" spans="3:26">
      <c r="C65" t="s">
        <v>194</v>
      </c>
      <c r="D65" s="26">
        <f>D64*References!G19</f>
        <v>2536087.4023966109</v>
      </c>
      <c r="Q65" s="108" t="s">
        <v>176</v>
      </c>
      <c r="R65" s="109">
        <f>R61/R64</f>
        <v>0.1020969117851015</v>
      </c>
      <c r="S65" s="59" t="s">
        <v>470</v>
      </c>
      <c r="T65" s="83"/>
    </row>
    <row r="66" spans="3:26" ht="15" customHeight="1">
      <c r="C66" t="s">
        <v>195</v>
      </c>
      <c r="D66" s="26">
        <f>+F46</f>
        <v>83647.133150143549</v>
      </c>
      <c r="V66" s="112"/>
      <c r="W66" s="112" t="s">
        <v>379</v>
      </c>
      <c r="X66" s="112" t="s">
        <v>380</v>
      </c>
      <c r="Y66" s="112" t="s">
        <v>381</v>
      </c>
      <c r="Z66" s="112"/>
    </row>
    <row r="67" spans="3:26">
      <c r="C67" s="16" t="s">
        <v>196</v>
      </c>
      <c r="D67" s="70">
        <f>D65/H46</f>
        <v>0.46543752935940957</v>
      </c>
      <c r="V67" s="113" t="s">
        <v>377</v>
      </c>
      <c r="W67" s="114">
        <f>+'[68]Spokane Reg - Price out'!$AD$36</f>
        <v>1425.2101907878748</v>
      </c>
      <c r="X67" s="115">
        <f>+'[68]Whitman Reg - Price Out'!$AD$38</f>
        <v>3572.7325660006491</v>
      </c>
      <c r="Y67" s="114">
        <f>SUM(W67:X67)</f>
        <v>4997.9427567885241</v>
      </c>
      <c r="Z67" s="112"/>
    </row>
    <row r="68" spans="3:26">
      <c r="V68" s="113" t="s">
        <v>378</v>
      </c>
      <c r="W68" s="114">
        <f>+'[68]Spokane Reg - Price out'!$AD$84</f>
        <v>111.66760612684044</v>
      </c>
      <c r="X68" s="115">
        <f>+'[68]Whitman Reg - Price Out'!$AD$135</f>
        <v>826.92291309843961</v>
      </c>
      <c r="Y68" s="114">
        <f>SUM(W68:X68)</f>
        <v>938.5905192252801</v>
      </c>
      <c r="Z68" s="112"/>
    </row>
    <row r="69" spans="3:26">
      <c r="V69" s="113" t="s">
        <v>382</v>
      </c>
      <c r="W69" s="115">
        <f>+'[68]Spokane Reg - Price out'!$AD$101</f>
        <v>5.0379296688761537</v>
      </c>
      <c r="X69" s="115">
        <f>+'[68]Whitman Reg - Price Out'!$AD$167</f>
        <v>12.858370400294405</v>
      </c>
      <c r="Y69" s="114">
        <f>SUM(W69:X69)</f>
        <v>17.896300069170557</v>
      </c>
      <c r="Z69" s="112"/>
    </row>
    <row r="70" spans="3:26">
      <c r="C70" s="317" t="s">
        <v>301</v>
      </c>
      <c r="D70" s="317"/>
      <c r="E70" s="317"/>
      <c r="V70" s="112"/>
      <c r="W70" s="112"/>
      <c r="X70" s="112"/>
      <c r="Y70" s="112"/>
      <c r="Z70" s="112"/>
    </row>
    <row r="71" spans="3:26">
      <c r="D71" s="86"/>
      <c r="E71"/>
    </row>
    <row r="72" spans="3:26">
      <c r="C72" t="s">
        <v>302</v>
      </c>
      <c r="D72" s="88">
        <f>References!C66</f>
        <v>1020.0275666818042</v>
      </c>
      <c r="E72" s="83">
        <f>D72/D74</f>
        <v>0.80441042033320687</v>
      </c>
    </row>
    <row r="73" spans="3:26">
      <c r="C73" s="87" t="s">
        <v>296</v>
      </c>
      <c r="D73" s="89">
        <f>References!B66</f>
        <v>248.01613451650127</v>
      </c>
      <c r="E73" s="83">
        <f>D73/D74</f>
        <v>0.19558957966679322</v>
      </c>
    </row>
    <row r="74" spans="3:26">
      <c r="C74" s="87" t="s">
        <v>296</v>
      </c>
      <c r="D74" s="90">
        <f>SUM(D72:D73)</f>
        <v>1268.0437011983054</v>
      </c>
      <c r="E74" s="83"/>
    </row>
  </sheetData>
  <mergeCells count="6">
    <mergeCell ref="Q63:T63"/>
    <mergeCell ref="A6:A21"/>
    <mergeCell ref="C70:E70"/>
    <mergeCell ref="C62:D62"/>
    <mergeCell ref="A51:A52"/>
    <mergeCell ref="A23:A44"/>
  </mergeCells>
  <printOptions horizontalCentered="1" verticalCentered="1"/>
  <pageMargins left="0.5" right="0.5" top="0.5" bottom="0.5" header="0.3" footer="0.3"/>
  <pageSetup scale="43" orientation="landscape" r:id="rId1"/>
  <headerFooter>
    <oddFooter>&amp;L&amp;F - &amp;A&amp;R&amp;P of &amp;N</oddFooter>
  </headerFooter>
  <rowBreaks count="1" manualBreakCount="1">
    <brk id="42" max="1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K97"/>
  <sheetViews>
    <sheetView tabSelected="1" view="pageBreakPreview" zoomScale="110" zoomScaleNormal="85" zoomScaleSheetLayoutView="110" workbookViewId="0">
      <pane ySplit="5" topLeftCell="A74" activePane="bottomLeft" state="frozen"/>
      <selection activeCell="J43" sqref="J43"/>
      <selection pane="bottomLeft" activeCell="D83" sqref="D83:D89"/>
    </sheetView>
  </sheetViews>
  <sheetFormatPr defaultColWidth="9.140625" defaultRowHeight="15"/>
  <cols>
    <col min="1" max="1" width="26.28515625" customWidth="1"/>
    <col min="2" max="2" width="14" style="53" customWidth="1"/>
    <col min="3" max="3" width="12.28515625" style="53" customWidth="1"/>
    <col min="4" max="4" width="12" style="102" customWidth="1"/>
    <col min="6" max="6" width="11.28515625" style="53" customWidth="1"/>
    <col min="7" max="10" width="11.7109375" style="53" customWidth="1"/>
    <col min="11" max="11" width="9.5703125" bestFit="1" customWidth="1"/>
  </cols>
  <sheetData>
    <row r="1" spans="1:6">
      <c r="A1" s="5" t="s">
        <v>263</v>
      </c>
      <c r="C1" s="45"/>
    </row>
    <row r="2" spans="1:6">
      <c r="A2" s="5" t="s">
        <v>469</v>
      </c>
    </row>
    <row r="5" spans="1:6" ht="45">
      <c r="B5" s="77" t="s">
        <v>279</v>
      </c>
      <c r="C5" s="77" t="s">
        <v>280</v>
      </c>
      <c r="D5" s="103" t="s">
        <v>472</v>
      </c>
    </row>
    <row r="6" spans="1:6">
      <c r="A6" s="5" t="s">
        <v>310</v>
      </c>
      <c r="B6" s="82"/>
      <c r="C6" s="82"/>
      <c r="D6" s="104"/>
      <c r="F6" s="97" t="s">
        <v>286</v>
      </c>
    </row>
    <row r="7" spans="1:6">
      <c r="A7" t="s">
        <v>197</v>
      </c>
      <c r="B7" s="82">
        <v>5.81</v>
      </c>
      <c r="C7" s="82">
        <f>ROUND('Spokane DF Calc'!L21,2)</f>
        <v>0.09</v>
      </c>
      <c r="D7" s="104">
        <f>SUM(B7:C7)</f>
        <v>5.8999999999999995</v>
      </c>
      <c r="E7" s="315"/>
    </row>
    <row r="8" spans="1:6">
      <c r="B8" s="82"/>
      <c r="C8" s="82"/>
      <c r="D8" s="104"/>
      <c r="E8" s="315"/>
    </row>
    <row r="9" spans="1:6">
      <c r="A9" s="5" t="s">
        <v>311</v>
      </c>
      <c r="B9" s="82"/>
      <c r="C9" s="82"/>
      <c r="D9" s="104"/>
      <c r="E9" s="315"/>
    </row>
    <row r="10" spans="1:6">
      <c r="A10" t="s">
        <v>198</v>
      </c>
      <c r="B10" s="82">
        <v>19.742480427459668</v>
      </c>
      <c r="C10" s="82">
        <f>+ROUND('Spokane DF Calc'!L6,2)</f>
        <v>0.24</v>
      </c>
      <c r="D10" s="104">
        <f t="shared" ref="D10:D75" si="0">SUM(B10:C10)</f>
        <v>19.982480427459667</v>
      </c>
      <c r="E10" s="315"/>
    </row>
    <row r="11" spans="1:6">
      <c r="A11" t="s">
        <v>199</v>
      </c>
      <c r="B11" s="82">
        <v>24.456274911544142</v>
      </c>
      <c r="C11" s="82">
        <f>+ROUND('Spokane DF Calc'!L8,2)</f>
        <v>0.4</v>
      </c>
      <c r="D11" s="104">
        <f t="shared" si="0"/>
        <v>24.856274911544141</v>
      </c>
      <c r="E11" s="315"/>
    </row>
    <row r="12" spans="1:6">
      <c r="A12" t="s">
        <v>200</v>
      </c>
      <c r="B12" s="82">
        <v>34.593705872610506</v>
      </c>
      <c r="C12" s="82">
        <f>+ROUND('Spokane DF Calc'!L9,2)</f>
        <v>0.61</v>
      </c>
      <c r="D12" s="104">
        <f t="shared" si="0"/>
        <v>35.203705872610506</v>
      </c>
      <c r="E12" s="315"/>
    </row>
    <row r="13" spans="1:6">
      <c r="A13" t="s">
        <v>201</v>
      </c>
      <c r="B13" s="82">
        <v>49.456022598900375</v>
      </c>
      <c r="C13" s="82">
        <f>+ROUND('Spokane DF Calc'!L10,2)</f>
        <v>0.92</v>
      </c>
      <c r="D13" s="104">
        <f t="shared" si="0"/>
        <v>50.376022598900377</v>
      </c>
      <c r="E13" s="315"/>
    </row>
    <row r="14" spans="1:6">
      <c r="A14" t="s">
        <v>202</v>
      </c>
      <c r="B14" s="82">
        <v>71.250390037079171</v>
      </c>
      <c r="C14" s="82">
        <f>+ROUND('Spokane DF Calc'!L50,2)</f>
        <v>1.1499999999999999</v>
      </c>
      <c r="D14" s="104">
        <f t="shared" si="0"/>
        <v>72.400390037079177</v>
      </c>
      <c r="E14" s="315"/>
    </row>
    <row r="15" spans="1:6">
      <c r="A15" t="s">
        <v>203</v>
      </c>
      <c r="B15" s="82">
        <v>87.210743596132232</v>
      </c>
      <c r="C15" s="82">
        <f>+ROUND('Spokane DF Calc'!L51,2)</f>
        <v>1.39</v>
      </c>
      <c r="D15" s="104">
        <f t="shared" si="0"/>
        <v>88.600743596132233</v>
      </c>
      <c r="E15" s="315"/>
    </row>
    <row r="16" spans="1:6">
      <c r="A16" t="s">
        <v>204</v>
      </c>
      <c r="B16" s="82">
        <v>101.40758345408076</v>
      </c>
      <c r="C16" s="82">
        <f>+ROUND('Spokane DF Calc'!L52,2)</f>
        <v>1.87</v>
      </c>
      <c r="D16" s="104">
        <f t="shared" si="0"/>
        <v>103.27758345408077</v>
      </c>
      <c r="E16" s="315"/>
    </row>
    <row r="17" spans="1:5">
      <c r="A17" t="s">
        <v>205</v>
      </c>
      <c r="B17" s="82">
        <v>36.723231851302778</v>
      </c>
      <c r="C17" s="82">
        <f>+ROUND('Spokane DF Calc'!L11,2)</f>
        <v>0.56000000000000005</v>
      </c>
      <c r="D17" s="104">
        <f t="shared" si="0"/>
        <v>37.28323185130278</v>
      </c>
      <c r="E17" s="315"/>
    </row>
    <row r="18" spans="1:5">
      <c r="A18" t="s">
        <v>206</v>
      </c>
      <c r="B18" s="82">
        <v>46.106455694915653</v>
      </c>
      <c r="C18" s="82">
        <f>+ROUND('Spokane DF Calc'!L13,2)</f>
        <v>0.81</v>
      </c>
      <c r="D18" s="104">
        <f t="shared" si="0"/>
        <v>46.916455694915655</v>
      </c>
      <c r="E18" s="315"/>
    </row>
    <row r="19" spans="1:5">
      <c r="A19" t="s">
        <v>383</v>
      </c>
      <c r="B19" s="82">
        <v>15.206146441599552</v>
      </c>
      <c r="C19" s="82">
        <f>+ROUND('Spokane DF Calc'!L7,2)</f>
        <v>0.09</v>
      </c>
      <c r="D19" s="104">
        <f t="shared" si="0"/>
        <v>15.296146441599552</v>
      </c>
      <c r="E19" s="315"/>
    </row>
    <row r="20" spans="1:5">
      <c r="B20" s="82"/>
      <c r="C20" s="82"/>
      <c r="D20" s="104"/>
      <c r="E20" s="315"/>
    </row>
    <row r="21" spans="1:5">
      <c r="A21" s="5" t="s">
        <v>312</v>
      </c>
      <c r="B21" s="82"/>
      <c r="C21" s="82"/>
      <c r="D21" s="104"/>
      <c r="E21" s="315"/>
    </row>
    <row r="22" spans="1:5">
      <c r="A22" t="s">
        <v>207</v>
      </c>
      <c r="B22" s="82">
        <v>5.8118313168476776</v>
      </c>
      <c r="C22" s="82">
        <f>+ROUND('Spokane DF Calc'!L17,2)</f>
        <v>0.09</v>
      </c>
      <c r="D22" s="104">
        <f t="shared" si="0"/>
        <v>5.9018313168476775</v>
      </c>
      <c r="E22" s="315"/>
    </row>
    <row r="23" spans="1:5">
      <c r="A23" t="s">
        <v>208</v>
      </c>
      <c r="B23" s="82">
        <v>5.8118313168476776</v>
      </c>
      <c r="C23" s="82">
        <f>+ROUND('Spokane DF Calc'!L17,2)</f>
        <v>0.09</v>
      </c>
      <c r="D23" s="104">
        <f t="shared" si="0"/>
        <v>5.9018313168476775</v>
      </c>
      <c r="E23" s="315"/>
    </row>
    <row r="24" spans="1:5">
      <c r="A24" t="s">
        <v>209</v>
      </c>
      <c r="B24" s="82">
        <v>16.659104270811472</v>
      </c>
      <c r="C24" s="82">
        <f>+ROUND('Spokane DF Calc'!L16,2)</f>
        <v>0.19</v>
      </c>
      <c r="D24" s="104">
        <f t="shared" si="0"/>
        <v>16.849104270811473</v>
      </c>
      <c r="E24" s="315"/>
    </row>
    <row r="25" spans="1:5">
      <c r="B25" s="82"/>
      <c r="C25" s="82"/>
      <c r="D25" s="104"/>
      <c r="E25" s="315"/>
    </row>
    <row r="26" spans="1:5">
      <c r="A26" s="5" t="s">
        <v>313</v>
      </c>
      <c r="B26" s="82"/>
      <c r="C26" s="82"/>
      <c r="D26" s="104"/>
      <c r="E26" s="315"/>
    </row>
    <row r="27" spans="1:5">
      <c r="A27" t="s">
        <v>210</v>
      </c>
      <c r="B27" s="82">
        <v>29.33</v>
      </c>
      <c r="C27" s="82">
        <f>+ROUND('Spokane DF Calc'!L18,2)</f>
        <v>0.34</v>
      </c>
      <c r="D27" s="104">
        <f t="shared" si="0"/>
        <v>29.669999999999998</v>
      </c>
      <c r="E27" s="315"/>
    </row>
    <row r="28" spans="1:5">
      <c r="A28" t="s">
        <v>211</v>
      </c>
      <c r="B28" s="82">
        <f>+B27</f>
        <v>29.33</v>
      </c>
      <c r="C28" s="82">
        <f>+ROUND('Spokane DF Calc'!L18,2)</f>
        <v>0.34</v>
      </c>
      <c r="D28" s="104">
        <f t="shared" si="0"/>
        <v>29.669999999999998</v>
      </c>
      <c r="E28" s="315"/>
    </row>
    <row r="29" spans="1:5">
      <c r="A29" t="s">
        <v>212</v>
      </c>
      <c r="B29" s="82">
        <f t="shared" ref="B29:B32" si="1">+B28</f>
        <v>29.33</v>
      </c>
      <c r="C29" s="82">
        <f>+ROUND('Spokane DF Calc'!L18,2)</f>
        <v>0.34</v>
      </c>
      <c r="D29" s="104">
        <f t="shared" si="0"/>
        <v>29.669999999999998</v>
      </c>
      <c r="E29" s="315"/>
    </row>
    <row r="30" spans="1:5">
      <c r="A30" t="s">
        <v>331</v>
      </c>
      <c r="B30" s="82">
        <f t="shared" si="1"/>
        <v>29.33</v>
      </c>
      <c r="C30" s="82">
        <f>+ROUND('Spokane DF Calc'!L18,2)</f>
        <v>0.34</v>
      </c>
      <c r="D30" s="104">
        <f t="shared" si="0"/>
        <v>29.669999999999998</v>
      </c>
      <c r="E30" s="315"/>
    </row>
    <row r="31" spans="1:5">
      <c r="A31" t="s">
        <v>332</v>
      </c>
      <c r="B31" s="82">
        <f t="shared" si="1"/>
        <v>29.33</v>
      </c>
      <c r="C31" s="82">
        <f>+ROUND('Spokane DF Calc'!L18,2)</f>
        <v>0.34</v>
      </c>
      <c r="D31" s="104">
        <f t="shared" si="0"/>
        <v>29.669999999999998</v>
      </c>
      <c r="E31" s="315"/>
    </row>
    <row r="32" spans="1:5">
      <c r="A32" t="s">
        <v>333</v>
      </c>
      <c r="B32" s="82">
        <f t="shared" si="1"/>
        <v>29.33</v>
      </c>
      <c r="C32" s="82">
        <f>+ROUND('Spokane DF Calc'!L18,2)</f>
        <v>0.34</v>
      </c>
      <c r="D32" s="104">
        <f t="shared" si="0"/>
        <v>29.669999999999998</v>
      </c>
      <c r="E32" s="315"/>
    </row>
    <row r="33" spans="1:10">
      <c r="B33" s="82"/>
      <c r="C33" s="82"/>
      <c r="D33" s="104"/>
      <c r="E33" s="315"/>
    </row>
    <row r="34" spans="1:10">
      <c r="B34" s="82"/>
      <c r="C34" s="82"/>
      <c r="D34" s="104"/>
      <c r="E34" s="315"/>
    </row>
    <row r="35" spans="1:10">
      <c r="A35" s="5" t="s">
        <v>281</v>
      </c>
      <c r="B35" s="82"/>
      <c r="C35" s="82"/>
      <c r="D35" s="104"/>
      <c r="E35" s="315"/>
    </row>
    <row r="36" spans="1:10">
      <c r="A36" t="s">
        <v>324</v>
      </c>
      <c r="B36" s="82">
        <f>+References!B55</f>
        <v>120.56</v>
      </c>
      <c r="C36" s="82">
        <f>+ROUND(D36-B36,2)</f>
        <v>12.06</v>
      </c>
      <c r="D36" s="104">
        <f>+References!B56</f>
        <v>132.62</v>
      </c>
      <c r="E36" s="315"/>
    </row>
    <row r="37" spans="1:10">
      <c r="A37" t="s">
        <v>325</v>
      </c>
      <c r="B37" s="82">
        <f>+References!B59</f>
        <v>114</v>
      </c>
      <c r="C37" s="82">
        <f>D37-B37</f>
        <v>11.400000000000006</v>
      </c>
      <c r="D37" s="104">
        <f>+References!B60</f>
        <v>125.4</v>
      </c>
      <c r="E37" s="315"/>
    </row>
    <row r="38" spans="1:10">
      <c r="B38" s="82"/>
      <c r="C38" s="82"/>
      <c r="D38" s="104"/>
      <c r="E38" s="315"/>
    </row>
    <row r="39" spans="1:10">
      <c r="A39" s="5" t="s">
        <v>314</v>
      </c>
      <c r="B39" s="82"/>
      <c r="C39" s="82"/>
      <c r="D39" s="104"/>
      <c r="E39" s="315"/>
      <c r="F39"/>
      <c r="G39"/>
      <c r="H39"/>
      <c r="I39"/>
      <c r="J39"/>
    </row>
    <row r="40" spans="1:10">
      <c r="A40" s="316" t="s">
        <v>334</v>
      </c>
      <c r="B40" s="82"/>
      <c r="C40" s="82"/>
      <c r="D40" s="104"/>
      <c r="E40" s="315"/>
      <c r="F40" s="97" t="s">
        <v>286</v>
      </c>
      <c r="G40" s="97" t="s">
        <v>287</v>
      </c>
      <c r="H40" s="97" t="s">
        <v>288</v>
      </c>
      <c r="I40" s="97" t="s">
        <v>289</v>
      </c>
      <c r="J40" s="97" t="s">
        <v>290</v>
      </c>
    </row>
    <row r="41" spans="1:10">
      <c r="A41" t="s">
        <v>213</v>
      </c>
      <c r="B41" s="82">
        <v>23.225142705112667</v>
      </c>
      <c r="C41" s="82">
        <f>+ROUND('Spokane DF Calc'!$L$23,2)</f>
        <v>0.48</v>
      </c>
      <c r="D41" s="104">
        <f t="shared" si="0"/>
        <v>23.705142705112667</v>
      </c>
      <c r="E41" s="315"/>
      <c r="F41" s="46">
        <f>ROUND(D41*References!$B$10,2)</f>
        <v>102.72</v>
      </c>
      <c r="G41" s="46">
        <f>ROUND($D41*References!$B$9,2)</f>
        <v>205.44</v>
      </c>
      <c r="H41" s="46">
        <f>ROUND($D41*References!$B$8,2)</f>
        <v>308.17</v>
      </c>
      <c r="I41" s="46">
        <f>ROUND($D41*References!$B$7,2)</f>
        <v>410.89</v>
      </c>
      <c r="J41" s="46">
        <f>ROUND($D41*References!$B$6,2)</f>
        <v>513.61</v>
      </c>
    </row>
    <row r="42" spans="1:10">
      <c r="A42" t="s">
        <v>214</v>
      </c>
      <c r="B42" s="82">
        <v>34.737892527417799</v>
      </c>
      <c r="C42" s="82">
        <f>+ROUND('Spokane DF Calc'!$L$24,2)</f>
        <v>0.69</v>
      </c>
      <c r="D42" s="104">
        <f t="shared" si="0"/>
        <v>35.427892527417796</v>
      </c>
      <c r="E42" s="315"/>
      <c r="F42" s="46">
        <f>ROUND(D42*References!$B$10,2)</f>
        <v>153.52000000000001</v>
      </c>
      <c r="G42" s="46">
        <f>ROUND($D42*References!$B$9,2)</f>
        <v>307.04000000000002</v>
      </c>
      <c r="H42" s="46">
        <f>ROUND($D42*References!$B$8,2)</f>
        <v>460.56</v>
      </c>
      <c r="I42" s="46">
        <f>ROUND($D42*References!$B$7,2)</f>
        <v>614.08000000000004</v>
      </c>
      <c r="J42" s="46">
        <f>ROUND($D42*References!$B$6,2)</f>
        <v>767.6</v>
      </c>
    </row>
    <row r="43" spans="1:10">
      <c r="A43" t="s">
        <v>215</v>
      </c>
      <c r="B43" s="82">
        <v>46.106455694915631</v>
      </c>
      <c r="C43" s="82">
        <f>+ROUND('Spokane DF Calc'!$L$25,2)</f>
        <v>0.89</v>
      </c>
      <c r="D43" s="104">
        <f t="shared" si="0"/>
        <v>46.996455694915632</v>
      </c>
      <c r="E43" s="315"/>
      <c r="F43" s="46">
        <f>ROUND(D43*References!$B$10,2)</f>
        <v>203.65</v>
      </c>
      <c r="G43" s="46">
        <f>ROUND($D43*References!$B$9,2)</f>
        <v>407.3</v>
      </c>
      <c r="H43" s="46">
        <f>ROUND($D43*References!$B$8,2)</f>
        <v>610.95000000000005</v>
      </c>
      <c r="I43" s="46">
        <f>ROUND($D43*References!$B$7,2)</f>
        <v>814.61</v>
      </c>
      <c r="J43" s="46">
        <f>ROUND($D43*References!$B$6,2)</f>
        <v>1018.26</v>
      </c>
    </row>
    <row r="44" spans="1:10">
      <c r="A44" t="s">
        <v>216</v>
      </c>
      <c r="B44" s="82">
        <v>64.839629538724296</v>
      </c>
      <c r="C44" s="82">
        <f>+ROUND('Spokane DF Calc'!L26,2)</f>
        <v>1.3</v>
      </c>
      <c r="D44" s="104">
        <f t="shared" si="0"/>
        <v>66.139629538724293</v>
      </c>
      <c r="E44" s="315"/>
      <c r="F44" s="46">
        <f>ROUND(D44*References!$B$10,2)</f>
        <v>286.61</v>
      </c>
      <c r="G44" s="46">
        <f>ROUND($D44*References!$B$9,2)</f>
        <v>573.21</v>
      </c>
      <c r="H44" s="46">
        <f>ROUND($D44*References!$B$8,2)</f>
        <v>859.82</v>
      </c>
      <c r="I44" s="46">
        <f>ROUND($D44*References!$B$7,2)</f>
        <v>1146.42</v>
      </c>
      <c r="J44" s="46">
        <f>ROUND($D44*References!$B$6,2)</f>
        <v>1433.03</v>
      </c>
    </row>
    <row r="45" spans="1:10">
      <c r="A45" t="s">
        <v>217</v>
      </c>
      <c r="B45" s="82">
        <v>85.824333453754434</v>
      </c>
      <c r="C45" s="82">
        <f>+ROUND('Spokane DF Calc'!L28,2)</f>
        <v>1.68</v>
      </c>
      <c r="D45" s="104">
        <f t="shared" si="0"/>
        <v>87.504333453754441</v>
      </c>
      <c r="E45" s="315"/>
      <c r="F45" s="46">
        <f>ROUND(D45*References!$B$10,2)</f>
        <v>379.19</v>
      </c>
      <c r="G45" s="46">
        <f>ROUND($D45*References!$B$9,2)</f>
        <v>758.37</v>
      </c>
      <c r="H45" s="46">
        <f>ROUND($D45*References!$B$8,2)</f>
        <v>1137.56</v>
      </c>
      <c r="I45" s="46">
        <f>ROUND($D45*References!$B$7,2)</f>
        <v>1516.74</v>
      </c>
      <c r="J45" s="46">
        <f>ROUND($D45*References!$B$6,2)</f>
        <v>1895.93</v>
      </c>
    </row>
    <row r="46" spans="1:10">
      <c r="A46" t="s">
        <v>218</v>
      </c>
      <c r="B46" s="82">
        <v>124.2667138816057</v>
      </c>
      <c r="C46" s="82">
        <f>+ROUND('Spokane DF Calc'!L30,2)</f>
        <v>2.31</v>
      </c>
      <c r="D46" s="104">
        <f t="shared" si="0"/>
        <v>126.5767138816057</v>
      </c>
      <c r="E46" s="315"/>
      <c r="F46" s="46">
        <f>ROUND(D46*References!$B$10,2)</f>
        <v>548.5</v>
      </c>
      <c r="G46" s="46">
        <f>ROUND($D46*References!$B$9,2)</f>
        <v>1097</v>
      </c>
      <c r="H46" s="46">
        <f>ROUND($D46*References!$B$8,2)</f>
        <v>1645.5</v>
      </c>
      <c r="I46" s="46">
        <f>ROUND($D46*References!$B$7,2)</f>
        <v>2194</v>
      </c>
      <c r="J46" s="46">
        <f>ROUND($D46*References!$B$6,2)</f>
        <v>2742.5</v>
      </c>
    </row>
    <row r="47" spans="1:10">
      <c r="A47" t="s">
        <v>219</v>
      </c>
      <c r="B47" s="82">
        <v>162.34308203186919</v>
      </c>
      <c r="C47" s="82">
        <f>+ROUND('Spokane DF Calc'!L58,2)</f>
        <v>0.89</v>
      </c>
      <c r="D47" s="104">
        <f t="shared" si="0"/>
        <v>163.23308203186917</v>
      </c>
      <c r="E47" s="315"/>
      <c r="F47" s="46">
        <f>ROUND(D47*References!$B$10,2)</f>
        <v>707.34</v>
      </c>
      <c r="G47" s="46">
        <f>ROUND($D47*References!$B$9,2)</f>
        <v>1414.69</v>
      </c>
      <c r="H47" s="46">
        <f>ROUND($D47*References!$B$8,2)</f>
        <v>2122.0300000000002</v>
      </c>
      <c r="I47" s="46">
        <f>ROUND($D47*References!$B$7,2)</f>
        <v>2829.37</v>
      </c>
      <c r="J47" s="46">
        <f>ROUND($D47*References!$B$6,2)</f>
        <v>3536.72</v>
      </c>
    </row>
    <row r="48" spans="1:10">
      <c r="B48" s="82"/>
      <c r="C48" s="82"/>
      <c r="D48" s="104"/>
      <c r="E48" s="315"/>
    </row>
    <row r="49" spans="1:6">
      <c r="A49" t="s">
        <v>220</v>
      </c>
      <c r="B49" s="82">
        <v>60.780220641842128</v>
      </c>
      <c r="C49" s="82">
        <f t="shared" ref="C49:C55" si="2">+ROUND(C41,2)</f>
        <v>0.48</v>
      </c>
      <c r="D49" s="104">
        <f t="shared" si="0"/>
        <v>61.260220641842125</v>
      </c>
      <c r="E49" s="315"/>
    </row>
    <row r="50" spans="1:6">
      <c r="A50" t="s">
        <v>221</v>
      </c>
      <c r="B50" s="82">
        <v>86.378897510705571</v>
      </c>
      <c r="C50" s="82">
        <f t="shared" si="2"/>
        <v>0.69</v>
      </c>
      <c r="D50" s="104">
        <f t="shared" si="0"/>
        <v>87.068897510705568</v>
      </c>
      <c r="E50" s="315"/>
    </row>
    <row r="51" spans="1:6">
      <c r="A51" t="s">
        <v>222</v>
      </c>
      <c r="B51" s="82">
        <v>100.90847580282475</v>
      </c>
      <c r="C51" s="82">
        <f t="shared" si="2"/>
        <v>0.89</v>
      </c>
      <c r="D51" s="104">
        <f t="shared" si="0"/>
        <v>101.79847580282475</v>
      </c>
      <c r="E51" s="315"/>
    </row>
    <row r="52" spans="1:6">
      <c r="A52" t="s">
        <v>223</v>
      </c>
      <c r="B52" s="82">
        <v>133.17301263624057</v>
      </c>
      <c r="C52" s="82">
        <f t="shared" si="2"/>
        <v>1.3</v>
      </c>
      <c r="D52" s="104">
        <f t="shared" si="0"/>
        <v>134.47301263624058</v>
      </c>
      <c r="E52" s="315"/>
    </row>
    <row r="53" spans="1:6">
      <c r="A53" t="s">
        <v>224</v>
      </c>
      <c r="B53" s="82">
        <v>156.77525890008002</v>
      </c>
      <c r="C53" s="82">
        <f t="shared" si="2"/>
        <v>1.68</v>
      </c>
      <c r="D53" s="104">
        <f t="shared" si="0"/>
        <v>158.45525890008003</v>
      </c>
      <c r="E53" s="315"/>
    </row>
    <row r="54" spans="1:6">
      <c r="A54" t="s">
        <v>225</v>
      </c>
      <c r="B54" s="82">
        <v>210.71215907914535</v>
      </c>
      <c r="C54" s="82">
        <f t="shared" si="2"/>
        <v>2.31</v>
      </c>
      <c r="D54" s="104">
        <f t="shared" si="0"/>
        <v>213.02215907914535</v>
      </c>
      <c r="E54" s="315"/>
    </row>
    <row r="55" spans="1:6">
      <c r="A55" t="s">
        <v>226</v>
      </c>
      <c r="B55" s="82">
        <v>261.26621851080898</v>
      </c>
      <c r="C55" s="82">
        <f t="shared" si="2"/>
        <v>0.89</v>
      </c>
      <c r="D55" s="104">
        <f t="shared" si="0"/>
        <v>262.15621851080897</v>
      </c>
      <c r="E55" s="315"/>
    </row>
    <row r="56" spans="1:6">
      <c r="B56" s="82"/>
      <c r="C56" s="82"/>
      <c r="D56" s="104"/>
      <c r="E56" s="315"/>
      <c r="F56" s="97" t="s">
        <v>286</v>
      </c>
    </row>
    <row r="57" spans="1:6">
      <c r="A57" t="s">
        <v>227</v>
      </c>
      <c r="B57" s="82">
        <v>28.227310498811718</v>
      </c>
      <c r="C57" s="82">
        <f t="shared" ref="C57:C63" si="3">+ROUND(C41,2)</f>
        <v>0.48</v>
      </c>
      <c r="D57" s="104">
        <f t="shared" si="0"/>
        <v>28.707310498811719</v>
      </c>
      <c r="E57" s="315"/>
      <c r="F57" s="53">
        <f>ROUND(D57*References!$B$10,2)</f>
        <v>124.4</v>
      </c>
    </row>
    <row r="58" spans="1:6">
      <c r="A58" t="s">
        <v>228</v>
      </c>
      <c r="B58" s="82">
        <v>42.424150356760251</v>
      </c>
      <c r="C58" s="82">
        <f t="shared" si="3"/>
        <v>0.69</v>
      </c>
      <c r="D58" s="104">
        <f t="shared" si="0"/>
        <v>43.114150356760248</v>
      </c>
      <c r="E58" s="315"/>
      <c r="F58" s="53">
        <f>ROUND(D58*References!$B$10,2)</f>
        <v>186.83</v>
      </c>
    </row>
    <row r="59" spans="1:6">
      <c r="A59" t="s">
        <v>229</v>
      </c>
      <c r="B59" s="82">
        <v>54.369460143487238</v>
      </c>
      <c r="C59" s="82">
        <f t="shared" si="3"/>
        <v>0.89</v>
      </c>
      <c r="D59" s="104">
        <f t="shared" si="0"/>
        <v>55.259460143487239</v>
      </c>
      <c r="E59" s="315"/>
      <c r="F59" s="53">
        <f>ROUND(D59*References!$B$10,2)</f>
        <v>239.46</v>
      </c>
    </row>
    <row r="60" spans="1:6">
      <c r="A60" t="s">
        <v>230</v>
      </c>
      <c r="B60" s="82">
        <v>76.596387546087897</v>
      </c>
      <c r="C60" s="82">
        <f t="shared" si="3"/>
        <v>1.3</v>
      </c>
      <c r="D60" s="104">
        <f t="shared" si="0"/>
        <v>77.896387546087894</v>
      </c>
      <c r="E60" s="315"/>
      <c r="F60" s="53">
        <f>ROUND(D60*References!$B$10,2)</f>
        <v>337.55</v>
      </c>
    </row>
    <row r="61" spans="1:6">
      <c r="A61" t="s">
        <v>231</v>
      </c>
      <c r="B61" s="82">
        <v>102.13960800925622</v>
      </c>
      <c r="C61" s="82">
        <f t="shared" si="3"/>
        <v>1.68</v>
      </c>
      <c r="D61" s="104">
        <f t="shared" si="0"/>
        <v>103.81960800925623</v>
      </c>
      <c r="E61" s="315"/>
      <c r="F61" s="53">
        <f>ROUND(D61*References!$B$10,2)</f>
        <v>449.88</v>
      </c>
    </row>
    <row r="62" spans="1:6">
      <c r="A62" t="s">
        <v>232</v>
      </c>
      <c r="B62" s="82">
        <v>144.76340142651884</v>
      </c>
      <c r="C62" s="82">
        <f t="shared" si="3"/>
        <v>2.31</v>
      </c>
      <c r="D62" s="104">
        <f t="shared" si="0"/>
        <v>147.07340142651884</v>
      </c>
      <c r="E62" s="315"/>
      <c r="F62" s="53">
        <f>ROUND(D62*References!$B$10,2)</f>
        <v>637.32000000000005</v>
      </c>
    </row>
    <row r="63" spans="1:6">
      <c r="A63" t="s">
        <v>233</v>
      </c>
      <c r="B63" s="82">
        <v>194.33033683680944</v>
      </c>
      <c r="C63" s="82">
        <f t="shared" si="3"/>
        <v>0.89</v>
      </c>
      <c r="D63" s="104">
        <f t="shared" si="0"/>
        <v>195.22033683680942</v>
      </c>
      <c r="E63" s="315"/>
      <c r="F63" s="53">
        <f>ROUND(D63*References!$B$10,2)</f>
        <v>845.95</v>
      </c>
    </row>
    <row r="64" spans="1:6">
      <c r="B64" s="82"/>
      <c r="C64" s="82"/>
      <c r="D64" s="104"/>
      <c r="E64" s="315"/>
    </row>
    <row r="65" spans="1:10">
      <c r="A65" s="5" t="s">
        <v>315</v>
      </c>
      <c r="B65" s="82"/>
      <c r="C65" s="82"/>
      <c r="D65" s="104"/>
      <c r="E65" s="315"/>
      <c r="F65" s="97" t="s">
        <v>286</v>
      </c>
      <c r="G65" s="97" t="s">
        <v>287</v>
      </c>
      <c r="H65" s="97" t="s">
        <v>288</v>
      </c>
      <c r="I65" s="97" t="s">
        <v>289</v>
      </c>
      <c r="J65" s="97" t="s">
        <v>290</v>
      </c>
    </row>
    <row r="66" spans="1:10">
      <c r="A66" t="s">
        <v>335</v>
      </c>
      <c r="B66" s="82">
        <v>5.51</v>
      </c>
      <c r="C66" s="82">
        <f>+ROUND('Spokane DF Calc'!L32,2)</f>
        <v>0.08</v>
      </c>
      <c r="D66" s="104">
        <f t="shared" si="0"/>
        <v>5.59</v>
      </c>
      <c r="E66" s="315"/>
      <c r="F66" s="53">
        <f>ROUND(D66*References!$B$10,2)</f>
        <v>24.22</v>
      </c>
      <c r="G66" s="53">
        <f>ROUND($D66*References!$B$9,2)</f>
        <v>48.45</v>
      </c>
      <c r="H66" s="53">
        <f>ROUND($D66*References!$B$8,2)</f>
        <v>72.67</v>
      </c>
      <c r="I66" s="53">
        <f>ROUND($D66*References!$B$7,2)</f>
        <v>96.89</v>
      </c>
      <c r="J66" s="53">
        <f>ROUND($D66*References!$B$6,2)</f>
        <v>121.12</v>
      </c>
    </row>
    <row r="67" spans="1:10">
      <c r="A67" t="s">
        <v>336</v>
      </c>
      <c r="B67" s="82">
        <f>+B66</f>
        <v>5.51</v>
      </c>
      <c r="C67" s="82">
        <f>+ROUND(C66,2)</f>
        <v>0.08</v>
      </c>
      <c r="D67" s="104">
        <f t="shared" si="0"/>
        <v>5.59</v>
      </c>
      <c r="E67" s="315"/>
    </row>
    <row r="68" spans="1:10">
      <c r="A68" t="s">
        <v>337</v>
      </c>
      <c r="B68" s="82">
        <f t="shared" ref="B68:B69" si="4">+B67</f>
        <v>5.51</v>
      </c>
      <c r="C68" s="82">
        <f>+ROUND(C66,2)</f>
        <v>0.08</v>
      </c>
      <c r="D68" s="104">
        <f t="shared" si="0"/>
        <v>5.59</v>
      </c>
      <c r="E68" s="315"/>
    </row>
    <row r="69" spans="1:10">
      <c r="A69" t="s">
        <v>338</v>
      </c>
      <c r="B69" s="82">
        <f t="shared" si="4"/>
        <v>5.51</v>
      </c>
      <c r="C69" s="82">
        <f>+ROUND(+'Spokane DF Calc'!L43,2)</f>
        <v>0.08</v>
      </c>
      <c r="D69" s="104">
        <f t="shared" si="0"/>
        <v>5.59</v>
      </c>
      <c r="E69" s="315"/>
    </row>
    <row r="70" spans="1:10">
      <c r="A70" t="s">
        <v>284</v>
      </c>
      <c r="B70" s="82">
        <v>15.56</v>
      </c>
      <c r="C70" s="82">
        <f>+ROUND(C66,2)</f>
        <v>0.08</v>
      </c>
      <c r="D70" s="104">
        <f t="shared" si="0"/>
        <v>15.64</v>
      </c>
      <c r="E70" s="315"/>
    </row>
    <row r="71" spans="1:10">
      <c r="A71" t="s">
        <v>234</v>
      </c>
      <c r="B71" s="82">
        <v>24.88</v>
      </c>
      <c r="C71" s="82">
        <f>+C66*References!B10</f>
        <v>0.34666666666666662</v>
      </c>
      <c r="D71" s="104">
        <f t="shared" si="0"/>
        <v>25.226666666666667</v>
      </c>
      <c r="E71" s="315"/>
    </row>
    <row r="72" spans="1:10">
      <c r="B72" s="82"/>
      <c r="C72" s="82"/>
      <c r="D72" s="104"/>
      <c r="E72" s="315"/>
    </row>
    <row r="73" spans="1:10">
      <c r="A73" t="s">
        <v>235</v>
      </c>
      <c r="B73" s="82">
        <v>10.758542704851614</v>
      </c>
      <c r="C73" s="82">
        <f>+ROUND('Spokane DF Calc'!L34,2)</f>
        <v>0.13</v>
      </c>
      <c r="D73" s="104">
        <f t="shared" si="0"/>
        <v>10.888542704851615</v>
      </c>
      <c r="E73" s="315"/>
      <c r="F73" s="53">
        <f>ROUND(D73*References!$B$10,2)</f>
        <v>47.18</v>
      </c>
      <c r="G73" s="53">
        <f>ROUND($D73*References!$B$9,2)</f>
        <v>94.37</v>
      </c>
      <c r="H73" s="53">
        <f>ROUND($D73*References!$B$8,2)</f>
        <v>141.55000000000001</v>
      </c>
      <c r="I73" s="53">
        <f>ROUND($D73*References!$B$7,2)</f>
        <v>188.73</v>
      </c>
      <c r="J73" s="53">
        <f>ROUND($D73*References!$B$6,2)</f>
        <v>235.92</v>
      </c>
    </row>
    <row r="74" spans="1:10">
      <c r="A74" t="s">
        <v>283</v>
      </c>
      <c r="B74" s="82">
        <v>21.22871210008865</v>
      </c>
      <c r="C74" s="82">
        <f>+ROUND(C73,2)</f>
        <v>0.13</v>
      </c>
      <c r="D74" s="104">
        <f t="shared" si="0"/>
        <v>21.358712100088649</v>
      </c>
      <c r="E74" s="315"/>
    </row>
    <row r="75" spans="1:10">
      <c r="A75" t="s">
        <v>234</v>
      </c>
      <c r="B75" s="82">
        <v>46.546409846763517</v>
      </c>
      <c r="C75" s="82">
        <f>+C73*References!B10</f>
        <v>0.56333333333333335</v>
      </c>
      <c r="D75" s="104">
        <f t="shared" si="0"/>
        <v>47.109743180096849</v>
      </c>
      <c r="E75" s="82"/>
    </row>
    <row r="76" spans="1:10">
      <c r="B76" s="82"/>
      <c r="C76" s="82"/>
      <c r="D76" s="104"/>
      <c r="E76" s="315"/>
    </row>
    <row r="77" spans="1:10">
      <c r="A77" t="s">
        <v>236</v>
      </c>
      <c r="B77" s="82">
        <v>13.242989679992609</v>
      </c>
      <c r="C77" s="82">
        <f>+ROUND('Spokane DF Calc'!L35,2)</f>
        <v>0.19</v>
      </c>
      <c r="D77" s="104">
        <f t="shared" ref="D77:D97" si="5">SUM(B77:C77)</f>
        <v>13.432989679992609</v>
      </c>
      <c r="E77" s="315"/>
      <c r="F77" s="53">
        <f>ROUND(D77*References!$B$10,2)</f>
        <v>58.21</v>
      </c>
      <c r="G77" s="53">
        <f>ROUND($D77*References!$B$9,2)</f>
        <v>116.42</v>
      </c>
      <c r="H77" s="53">
        <f>ROUND($D77*References!$B$8,2)</f>
        <v>174.63</v>
      </c>
      <c r="I77" s="53">
        <f>ROUND($D77*References!$B$7,2)</f>
        <v>232.84</v>
      </c>
      <c r="J77" s="53">
        <f>ROUND($D77*References!$B$6,2)</f>
        <v>291.05</v>
      </c>
    </row>
    <row r="78" spans="1:10">
      <c r="A78" t="s">
        <v>282</v>
      </c>
      <c r="B78" s="82">
        <v>26.09778452011944</v>
      </c>
      <c r="C78" s="82">
        <f>+ROUND(C77,2)</f>
        <v>0.19</v>
      </c>
      <c r="D78" s="104">
        <f t="shared" si="5"/>
        <v>26.287784520119441</v>
      </c>
      <c r="E78" s="315"/>
    </row>
    <row r="79" spans="1:10">
      <c r="A79" t="s">
        <v>234</v>
      </c>
      <c r="B79" s="82">
        <v>57.389985707014318</v>
      </c>
      <c r="C79" s="82">
        <f>+C77*References!B10</f>
        <v>0.82333333333333325</v>
      </c>
      <c r="D79" s="104">
        <f t="shared" si="5"/>
        <v>58.213319040347649</v>
      </c>
      <c r="E79" s="82"/>
    </row>
    <row r="80" spans="1:10">
      <c r="B80" s="82"/>
      <c r="C80" s="82"/>
      <c r="D80" s="104"/>
      <c r="E80" s="315"/>
    </row>
    <row r="81" spans="1:11">
      <c r="A81" s="5" t="s">
        <v>316</v>
      </c>
      <c r="B81" s="82"/>
      <c r="C81" s="82"/>
      <c r="D81" s="104"/>
      <c r="E81" s="315"/>
      <c r="F81" s="97"/>
      <c r="G81" s="97"/>
      <c r="H81" s="97"/>
      <c r="I81" s="97"/>
      <c r="J81" s="97"/>
    </row>
    <row r="82" spans="1:11">
      <c r="A82" s="316" t="s">
        <v>334</v>
      </c>
      <c r="B82" s="82"/>
      <c r="C82" s="82"/>
      <c r="D82" s="104"/>
      <c r="E82" s="315"/>
      <c r="F82" s="97" t="s">
        <v>286</v>
      </c>
      <c r="G82" s="97" t="s">
        <v>287</v>
      </c>
      <c r="H82" s="97" t="s">
        <v>288</v>
      </c>
      <c r="I82" s="97" t="s">
        <v>289</v>
      </c>
      <c r="J82" s="97" t="s">
        <v>290</v>
      </c>
    </row>
    <row r="83" spans="1:11">
      <c r="A83" t="s">
        <v>237</v>
      </c>
      <c r="B83" s="82">
        <v>78.709999999999994</v>
      </c>
      <c r="C83" s="82">
        <f t="shared" ref="C83:C89" si="6">+ROUND(C41,2)</f>
        <v>0.48</v>
      </c>
      <c r="D83" s="104">
        <f t="shared" si="5"/>
        <v>79.19</v>
      </c>
      <c r="E83" s="315"/>
      <c r="F83" s="53">
        <f>ROUND(D83*References!$B$10,2)</f>
        <v>343.16</v>
      </c>
      <c r="G83" s="53">
        <f>ROUND($D83*References!$B$9,2)</f>
        <v>686.31</v>
      </c>
      <c r="H83" s="53">
        <f>ROUND($D83*References!$B$8,2)</f>
        <v>1029.47</v>
      </c>
      <c r="I83" s="53">
        <f>ROUND($D83*References!$B$7,2)</f>
        <v>1372.63</v>
      </c>
      <c r="J83" s="53">
        <f>ROUND($D83*References!$B$6,2)</f>
        <v>1715.78</v>
      </c>
      <c r="K83" s="4"/>
    </row>
    <row r="84" spans="1:11">
      <c r="A84" t="s">
        <v>238</v>
      </c>
      <c r="B84" s="82">
        <v>101</v>
      </c>
      <c r="C84" s="82">
        <f t="shared" si="6"/>
        <v>0.69</v>
      </c>
      <c r="D84" s="104">
        <f t="shared" si="5"/>
        <v>101.69</v>
      </c>
      <c r="E84" s="315"/>
      <c r="F84" s="53">
        <f>ROUND(D84*References!$B$10,2)</f>
        <v>440.66</v>
      </c>
      <c r="G84" s="53">
        <f>ROUND($D84*References!$B$9,2)</f>
        <v>881.31</v>
      </c>
      <c r="H84" s="53">
        <f>ROUND($D84*References!$B$8,2)</f>
        <v>1321.97</v>
      </c>
      <c r="I84" s="53">
        <f>ROUND($D84*References!$B$7,2)</f>
        <v>1762.63</v>
      </c>
      <c r="J84" s="53">
        <f>ROUND($D84*References!$B$6,2)</f>
        <v>2203.2800000000002</v>
      </c>
      <c r="K84" s="4"/>
    </row>
    <row r="85" spans="1:11">
      <c r="A85" t="s">
        <v>215</v>
      </c>
      <c r="B85" s="82">
        <v>134.29</v>
      </c>
      <c r="C85" s="82">
        <f t="shared" si="6"/>
        <v>0.89</v>
      </c>
      <c r="D85" s="104">
        <f t="shared" si="5"/>
        <v>135.17999999999998</v>
      </c>
      <c r="E85" s="315"/>
      <c r="F85" s="53">
        <f>ROUND(D85*References!$B$10,2)</f>
        <v>585.78</v>
      </c>
      <c r="G85" s="53">
        <f>ROUND($D85*References!$B$9,2)</f>
        <v>1171.56</v>
      </c>
      <c r="H85" s="53">
        <f>ROUND($D85*References!$B$8,2)</f>
        <v>1757.34</v>
      </c>
      <c r="I85" s="53">
        <f>ROUND($D85*References!$B$7,2)</f>
        <v>2343.12</v>
      </c>
      <c r="J85" s="53">
        <f>ROUND($D85*References!$B$6,2)</f>
        <v>2928.9</v>
      </c>
    </row>
    <row r="86" spans="1:11">
      <c r="A86" t="s">
        <v>216</v>
      </c>
      <c r="B86" s="82">
        <v>188.67</v>
      </c>
      <c r="C86" s="82">
        <f t="shared" si="6"/>
        <v>1.3</v>
      </c>
      <c r="D86" s="104">
        <f t="shared" si="5"/>
        <v>189.97</v>
      </c>
      <c r="E86" s="315"/>
      <c r="F86" s="53">
        <f>ROUND(D86*References!$B$10,2)</f>
        <v>823.2</v>
      </c>
      <c r="G86" s="53">
        <f>ROUND($D86*References!$B$9,2)</f>
        <v>1646.41</v>
      </c>
      <c r="H86" s="53">
        <f>ROUND($D86*References!$B$8,2)</f>
        <v>2469.61</v>
      </c>
      <c r="I86" s="53">
        <f>ROUND($D86*References!$B$7,2)</f>
        <v>3292.81</v>
      </c>
      <c r="J86" s="53">
        <f>ROUND($D86*References!$B$6,2)</f>
        <v>4116.0200000000004</v>
      </c>
    </row>
    <row r="87" spans="1:11">
      <c r="A87" t="s">
        <v>217</v>
      </c>
      <c r="B87" s="82">
        <v>249.92</v>
      </c>
      <c r="C87" s="82">
        <f t="shared" si="6"/>
        <v>1.68</v>
      </c>
      <c r="D87" s="104">
        <f t="shared" si="5"/>
        <v>251.6</v>
      </c>
      <c r="E87" s="315"/>
      <c r="F87" s="53">
        <f>ROUND(D87*References!$B$10,2)</f>
        <v>1090.27</v>
      </c>
      <c r="G87" s="53">
        <f>ROUND($D87*References!$B$9,2)</f>
        <v>2180.5300000000002</v>
      </c>
      <c r="H87" s="53">
        <f>ROUND($D87*References!$B$8,2)</f>
        <v>3270.8</v>
      </c>
      <c r="I87" s="53">
        <f>ROUND($D87*References!$B$7,2)</f>
        <v>4361.07</v>
      </c>
      <c r="J87" s="53">
        <f>ROUND($D87*References!$B$6,2)</f>
        <v>5451.33</v>
      </c>
    </row>
    <row r="88" spans="1:11">
      <c r="A88" t="s">
        <v>239</v>
      </c>
      <c r="B88" s="82">
        <v>362.35</v>
      </c>
      <c r="C88" s="82">
        <f t="shared" si="6"/>
        <v>2.31</v>
      </c>
      <c r="D88" s="104">
        <f t="shared" si="5"/>
        <v>364.66</v>
      </c>
      <c r="E88" s="315"/>
      <c r="F88" s="53">
        <f>ROUND(D88*References!$B$10,2)</f>
        <v>1580.19</v>
      </c>
      <c r="G88" s="53">
        <f>ROUND($D88*References!$B$9,2)</f>
        <v>3160.39</v>
      </c>
      <c r="H88" s="53">
        <f>ROUND($D88*References!$B$8,2)</f>
        <v>4740.58</v>
      </c>
      <c r="I88" s="53">
        <f>ROUND($D88*References!$B$7,2)</f>
        <v>6320.77</v>
      </c>
      <c r="J88" s="53">
        <f>ROUND($D88*References!$B$6,2)</f>
        <v>7900.97</v>
      </c>
    </row>
    <row r="89" spans="1:11">
      <c r="A89" t="s">
        <v>240</v>
      </c>
      <c r="B89" s="82">
        <v>396.68</v>
      </c>
      <c r="C89" s="82">
        <f t="shared" si="6"/>
        <v>0.89</v>
      </c>
      <c r="D89" s="104">
        <f t="shared" si="5"/>
        <v>397.57</v>
      </c>
      <c r="E89" s="315"/>
      <c r="F89" s="53">
        <f>ROUND(D89*References!$B$10,2)</f>
        <v>1722.8</v>
      </c>
      <c r="G89" s="53">
        <f>ROUND($D89*References!$B$9,2)</f>
        <v>3445.61</v>
      </c>
      <c r="H89" s="53">
        <f>ROUND($D89*References!$B$8,2)</f>
        <v>5168.41</v>
      </c>
      <c r="I89" s="53">
        <f>ROUND($D89*References!$B$7,2)</f>
        <v>6891.21</v>
      </c>
      <c r="J89" s="53">
        <f>ROUND($D89*References!$B$6,2)</f>
        <v>8614.02</v>
      </c>
    </row>
    <row r="90" spans="1:11">
      <c r="B90" s="82"/>
      <c r="C90" s="82"/>
      <c r="D90" s="104"/>
      <c r="E90" s="315"/>
    </row>
    <row r="91" spans="1:11">
      <c r="A91" t="s">
        <v>241</v>
      </c>
      <c r="B91" s="82">
        <v>139.96</v>
      </c>
      <c r="C91" s="82">
        <f t="shared" ref="C91:C97" si="7">+ROUND(C41,2)</f>
        <v>0.48</v>
      </c>
      <c r="D91" s="104">
        <f t="shared" si="5"/>
        <v>140.44</v>
      </c>
      <c r="E91" s="315"/>
    </row>
    <row r="92" spans="1:11">
      <c r="A92" t="s">
        <v>242</v>
      </c>
      <c r="B92" s="82">
        <v>192.67</v>
      </c>
      <c r="C92" s="82">
        <f t="shared" si="7"/>
        <v>0.69</v>
      </c>
      <c r="D92" s="104">
        <f t="shared" si="5"/>
        <v>193.35999999999999</v>
      </c>
      <c r="E92" s="315"/>
    </row>
    <row r="93" spans="1:11">
      <c r="A93" t="s">
        <v>222</v>
      </c>
      <c r="B93" s="82">
        <v>255.39</v>
      </c>
      <c r="C93" s="82">
        <f t="shared" si="7"/>
        <v>0.89</v>
      </c>
      <c r="D93" s="104">
        <f t="shared" si="5"/>
        <v>256.27999999999997</v>
      </c>
      <c r="E93" s="315"/>
    </row>
    <row r="94" spans="1:11">
      <c r="A94" t="s">
        <v>223</v>
      </c>
      <c r="B94" s="82">
        <v>381.88</v>
      </c>
      <c r="C94" s="82">
        <f t="shared" si="7"/>
        <v>1.3</v>
      </c>
      <c r="D94" s="104">
        <f t="shared" si="5"/>
        <v>383.18</v>
      </c>
      <c r="E94" s="315"/>
    </row>
    <row r="95" spans="1:11">
      <c r="A95" t="s">
        <v>224</v>
      </c>
      <c r="B95" s="82">
        <v>505.24</v>
      </c>
      <c r="C95" s="82">
        <f t="shared" si="7"/>
        <v>1.68</v>
      </c>
      <c r="D95" s="104">
        <f t="shared" si="5"/>
        <v>506.92</v>
      </c>
      <c r="E95" s="315"/>
    </row>
    <row r="96" spans="1:11">
      <c r="A96" t="s">
        <v>243</v>
      </c>
      <c r="B96" s="82">
        <v>642.99</v>
      </c>
      <c r="C96" s="82">
        <f t="shared" si="7"/>
        <v>2.31</v>
      </c>
      <c r="D96" s="104">
        <f t="shared" si="5"/>
        <v>645.29999999999995</v>
      </c>
      <c r="E96" s="315"/>
    </row>
    <row r="97" spans="1:5">
      <c r="A97" t="s">
        <v>244</v>
      </c>
      <c r="B97" s="82">
        <v>750.24</v>
      </c>
      <c r="C97" s="82">
        <f t="shared" si="7"/>
        <v>0.89</v>
      </c>
      <c r="D97" s="104">
        <f t="shared" si="5"/>
        <v>751.13</v>
      </c>
      <c r="E97" s="315"/>
    </row>
  </sheetData>
  <pageMargins left="0.7" right="0.7" top="0.75" bottom="0.75" header="0.3" footer="0.3"/>
  <pageSetup fitToHeight="0" orientation="portrait" r:id="rId1"/>
  <headerFooter>
    <oddFooter>&amp;L&amp;F - &amp;A&amp;R&amp;P of &amp;N</oddFooter>
  </headerFooter>
  <rowBreaks count="2" manualBreakCount="2">
    <brk id="38" max="4" man="1"/>
    <brk id="7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B23F-8E3B-4DCE-8F4D-47DF3D5B0ABF}">
  <sheetPr>
    <tabColor theme="7" tint="0.59999389629810485"/>
  </sheetPr>
  <dimension ref="A1:AU125"/>
  <sheetViews>
    <sheetView topLeftCell="A73" workbookViewId="0">
      <selection activeCell="AE97" sqref="AE97"/>
    </sheetView>
  </sheetViews>
  <sheetFormatPr defaultColWidth="9.140625" defaultRowHeight="12.75" outlineLevelCol="1"/>
  <cols>
    <col min="1" max="1" width="9.140625" style="117"/>
    <col min="2" max="2" width="21.7109375" style="117" customWidth="1"/>
    <col min="3" max="3" width="25.7109375" style="117" customWidth="1"/>
    <col min="4" max="4" width="14" style="117" customWidth="1"/>
    <col min="5" max="16" width="14" style="117" hidden="1" customWidth="1" outlineLevel="1"/>
    <col min="17" max="17" width="14.140625" style="117" bestFit="1" customWidth="1" collapsed="1"/>
    <col min="18" max="18" width="0.7109375" style="117" customWidth="1"/>
    <col min="19" max="30" width="13" style="117" hidden="1" customWidth="1" outlineLevel="1"/>
    <col min="31" max="31" width="12.140625" style="197" customWidth="1" collapsed="1"/>
    <col min="32" max="32" width="0.85546875" style="197" customWidth="1"/>
    <col min="33" max="33" width="10.7109375" style="117" customWidth="1"/>
    <col min="34" max="34" width="17.7109375" style="117" customWidth="1"/>
    <col min="35" max="36" width="9.140625" style="117"/>
    <col min="37" max="37" width="18.5703125" style="117" bestFit="1" customWidth="1"/>
    <col min="38" max="39" width="9.140625" style="117"/>
    <col min="40" max="40" width="10" style="150" bestFit="1" customWidth="1"/>
    <col min="41" max="41" width="13.5703125" style="117" bestFit="1" customWidth="1"/>
    <col min="42" max="42" width="12" style="117" bestFit="1" customWidth="1"/>
    <col min="43" max="44" width="13.5703125" style="117" bestFit="1" customWidth="1"/>
    <col min="45" max="45" width="11.28515625" style="117" bestFit="1" customWidth="1"/>
    <col min="46" max="46" width="11.5703125" style="117" bestFit="1" customWidth="1"/>
    <col min="47" max="49" width="9.140625" style="117"/>
    <col min="50" max="50" width="10.7109375" style="117" bestFit="1" customWidth="1"/>
    <col min="51" max="51" width="9.140625" style="117"/>
    <col min="52" max="52" width="14.140625" style="117" customWidth="1"/>
    <col min="53" max="16384" width="9.140625" style="117"/>
  </cols>
  <sheetData>
    <row r="1" spans="1:47" ht="12" customHeight="1" thickBot="1">
      <c r="B1" s="118" t="s">
        <v>303</v>
      </c>
      <c r="C1" s="119"/>
      <c r="D1" s="120" t="s">
        <v>339</v>
      </c>
      <c r="E1" s="121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7"/>
      <c r="AF1" s="117"/>
      <c r="AN1" s="122"/>
      <c r="AO1" s="123" t="s">
        <v>385</v>
      </c>
      <c r="AP1" s="123" t="s">
        <v>386</v>
      </c>
      <c r="AQ1" s="123" t="s">
        <v>387</v>
      </c>
      <c r="AR1" s="123" t="s">
        <v>388</v>
      </c>
      <c r="AS1" s="123" t="s">
        <v>389</v>
      </c>
      <c r="AT1" s="123" t="s">
        <v>390</v>
      </c>
    </row>
    <row r="2" spans="1:47" ht="12" customHeight="1">
      <c r="B2" s="118" t="s">
        <v>304</v>
      </c>
      <c r="C2" s="119"/>
      <c r="D2" s="121"/>
      <c r="E2" s="121"/>
      <c r="F2" s="124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7"/>
      <c r="AF2" s="117"/>
      <c r="AG2" s="119"/>
      <c r="AK2" s="126" t="s">
        <v>391</v>
      </c>
      <c r="AL2" s="127">
        <f>+AH35+AH79</f>
        <v>1029.9818451471383</v>
      </c>
      <c r="AN2" s="128" t="s">
        <v>392</v>
      </c>
      <c r="AO2" s="129">
        <f>+'[69]LG Public - MSW'!K22</f>
        <v>0.10212811390222853</v>
      </c>
      <c r="AP2" s="130">
        <v>7.0000000000000001E-3</v>
      </c>
      <c r="AQ2" s="131">
        <f>+AO2+AP2</f>
        <v>0.10912811390222854</v>
      </c>
      <c r="AR2" s="132">
        <f>+AO122+'[69]Whitman Reg - Price Out'!AP181</f>
        <v>416222.64862486004</v>
      </c>
      <c r="AS2" s="133">
        <f>+'[69]LG Public - MSW'!J20</f>
        <v>406239.04454662837</v>
      </c>
      <c r="AT2" s="134">
        <f>AR2-AS2</f>
        <v>9983.6040782316704</v>
      </c>
      <c r="AU2" s="135" t="s">
        <v>393</v>
      </c>
    </row>
    <row r="3" spans="1:47" ht="12" customHeight="1">
      <c r="B3" s="136" t="s">
        <v>394</v>
      </c>
      <c r="C3" s="119"/>
      <c r="D3" s="121"/>
      <c r="E3" s="121"/>
      <c r="F3" s="137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7"/>
      <c r="AF3" s="117"/>
      <c r="AG3" s="119"/>
      <c r="AK3" s="138" t="s">
        <v>395</v>
      </c>
      <c r="AL3" s="139">
        <v>0</v>
      </c>
      <c r="AN3" s="128" t="s">
        <v>396</v>
      </c>
      <c r="AO3" s="140">
        <f>+'[69]Whitman Reg - Price Out'!AO3</f>
        <v>-5.5391300050128489E-2</v>
      </c>
      <c r="AP3" s="141">
        <v>0</v>
      </c>
      <c r="AQ3" s="141">
        <f>+'[69]Whitman Reg - Price Out'!AQ3</f>
        <v>-5.519130005012849E-2</v>
      </c>
      <c r="AR3" s="142">
        <f>+AO123</f>
        <v>-886.32647002602198</v>
      </c>
      <c r="AS3" s="142">
        <f>+'[69]LG Public - Recycling'!J20</f>
        <v>-890.03160302535434</v>
      </c>
      <c r="AT3" s="143">
        <f>+'[69]Whitman Reg - Price Out'!AS3</f>
        <v>0</v>
      </c>
    </row>
    <row r="4" spans="1:47" ht="12" customHeight="1">
      <c r="B4" s="119"/>
      <c r="C4" s="144"/>
      <c r="D4" s="145" t="s">
        <v>397</v>
      </c>
      <c r="E4" s="146" t="s">
        <v>398</v>
      </c>
      <c r="F4" s="146" t="s">
        <v>399</v>
      </c>
      <c r="G4" s="146" t="s">
        <v>400</v>
      </c>
      <c r="H4" s="146" t="s">
        <v>401</v>
      </c>
      <c r="I4" s="146" t="s">
        <v>402</v>
      </c>
      <c r="J4" s="146" t="s">
        <v>403</v>
      </c>
      <c r="K4" s="146" t="s">
        <v>404</v>
      </c>
      <c r="L4" s="146" t="s">
        <v>405</v>
      </c>
      <c r="M4" s="146" t="s">
        <v>406</v>
      </c>
      <c r="N4" s="146" t="s">
        <v>407</v>
      </c>
      <c r="O4" s="146" t="s">
        <v>408</v>
      </c>
      <c r="P4" s="146" t="s">
        <v>409</v>
      </c>
      <c r="Q4" s="147" t="s">
        <v>0</v>
      </c>
      <c r="R4" s="119"/>
      <c r="S4" s="100" t="str">
        <f t="shared" ref="S4:AD4" si="0">E4</f>
        <v>Jan</v>
      </c>
      <c r="T4" s="100" t="str">
        <f t="shared" si="0"/>
        <v>Feb</v>
      </c>
      <c r="U4" s="100" t="str">
        <f t="shared" si="0"/>
        <v>Mar</v>
      </c>
      <c r="V4" s="100" t="str">
        <f t="shared" si="0"/>
        <v>Apr</v>
      </c>
      <c r="W4" s="100" t="str">
        <f t="shared" si="0"/>
        <v>May</v>
      </c>
      <c r="X4" s="100" t="str">
        <f t="shared" si="0"/>
        <v>Jun</v>
      </c>
      <c r="Y4" s="100" t="str">
        <f t="shared" si="0"/>
        <v>Jul</v>
      </c>
      <c r="Z4" s="100" t="str">
        <f t="shared" si="0"/>
        <v>Aug</v>
      </c>
      <c r="AA4" s="100" t="str">
        <f t="shared" si="0"/>
        <v>Sep</v>
      </c>
      <c r="AB4" s="100" t="str">
        <f t="shared" si="0"/>
        <v>Oct</v>
      </c>
      <c r="AC4" s="100" t="str">
        <f t="shared" si="0"/>
        <v>Nov</v>
      </c>
      <c r="AD4" s="100" t="str">
        <f t="shared" si="0"/>
        <v>Dec</v>
      </c>
      <c r="AE4" s="148" t="s">
        <v>340</v>
      </c>
      <c r="AF4" s="149"/>
      <c r="AG4" s="119"/>
      <c r="AH4" s="117" t="s">
        <v>410</v>
      </c>
      <c r="AI4" s="117" t="s">
        <v>411</v>
      </c>
      <c r="AK4" s="138" t="s">
        <v>412</v>
      </c>
      <c r="AL4" s="139">
        <f>+AH78</f>
        <v>87.47599065631924</v>
      </c>
    </row>
    <row r="5" spans="1:47" ht="12" customHeight="1">
      <c r="B5" s="151" t="s">
        <v>1</v>
      </c>
      <c r="C5" s="144" t="s">
        <v>2</v>
      </c>
      <c r="D5" s="144" t="s">
        <v>3</v>
      </c>
      <c r="E5" s="99" t="s">
        <v>4</v>
      </c>
      <c r="F5" s="99" t="s">
        <v>4</v>
      </c>
      <c r="G5" s="99" t="s">
        <v>4</v>
      </c>
      <c r="H5" s="99" t="s">
        <v>4</v>
      </c>
      <c r="I5" s="99" t="s">
        <v>4</v>
      </c>
      <c r="J5" s="99" t="s">
        <v>4</v>
      </c>
      <c r="K5" s="99" t="s">
        <v>4</v>
      </c>
      <c r="L5" s="99" t="s">
        <v>4</v>
      </c>
      <c r="M5" s="99" t="s">
        <v>4</v>
      </c>
      <c r="N5" s="99" t="s">
        <v>4</v>
      </c>
      <c r="O5" s="99" t="s">
        <v>4</v>
      </c>
      <c r="P5" s="99" t="s">
        <v>4</v>
      </c>
      <c r="Q5" s="147" t="s">
        <v>4</v>
      </c>
      <c r="R5" s="119"/>
      <c r="S5" s="99" t="s">
        <v>5</v>
      </c>
      <c r="T5" s="99" t="s">
        <v>5</v>
      </c>
      <c r="U5" s="99" t="s">
        <v>5</v>
      </c>
      <c r="V5" s="99" t="s">
        <v>5</v>
      </c>
      <c r="W5" s="99" t="s">
        <v>5</v>
      </c>
      <c r="X5" s="99" t="s">
        <v>5</v>
      </c>
      <c r="Y5" s="99" t="s">
        <v>5</v>
      </c>
      <c r="Z5" s="99" t="s">
        <v>5</v>
      </c>
      <c r="AA5" s="99" t="s">
        <v>5</v>
      </c>
      <c r="AB5" s="99" t="s">
        <v>5</v>
      </c>
      <c r="AC5" s="99" t="s">
        <v>5</v>
      </c>
      <c r="AD5" s="99" t="s">
        <v>5</v>
      </c>
      <c r="AE5" s="152" t="s">
        <v>342</v>
      </c>
      <c r="AF5" s="144"/>
      <c r="AG5" s="119"/>
      <c r="AK5" s="138" t="s">
        <v>413</v>
      </c>
      <c r="AL5" s="139">
        <v>0</v>
      </c>
    </row>
    <row r="6" spans="1:47" ht="12" customHeight="1" thickBot="1">
      <c r="AE6" s="117"/>
      <c r="AF6" s="117"/>
      <c r="AK6" s="153" t="s">
        <v>256</v>
      </c>
      <c r="AL6" s="154">
        <f>+AH96</f>
        <v>5.6744830802594288</v>
      </c>
    </row>
    <row r="7" spans="1:47" s="119" customFormat="1" ht="8.25" customHeight="1">
      <c r="D7" s="121"/>
      <c r="E7" s="121"/>
      <c r="AE7" s="117"/>
      <c r="AF7" s="117"/>
      <c r="AN7" s="155"/>
    </row>
    <row r="8" spans="1:47" s="119" customFormat="1" ht="8.25" customHeight="1">
      <c r="D8" s="121"/>
      <c r="E8" s="121"/>
      <c r="AE8" s="117"/>
      <c r="AF8" s="117"/>
      <c r="AN8" s="155"/>
    </row>
    <row r="9" spans="1:47" s="119" customFormat="1" ht="12" customHeight="1">
      <c r="B9" s="156" t="s">
        <v>6</v>
      </c>
      <c r="C9" s="156" t="s">
        <v>6</v>
      </c>
      <c r="D9" s="121"/>
      <c r="E9" s="121"/>
      <c r="AE9" s="117"/>
      <c r="AF9" s="117"/>
      <c r="AN9" s="157" t="s">
        <v>414</v>
      </c>
      <c r="AO9" s="158" t="s">
        <v>415</v>
      </c>
      <c r="AP9" s="158" t="s">
        <v>416</v>
      </c>
      <c r="AQ9" s="158" t="s">
        <v>417</v>
      </c>
      <c r="AR9" s="158" t="s">
        <v>341</v>
      </c>
    </row>
    <row r="10" spans="1:47" s="119" customFormat="1" ht="12.75" customHeight="1">
      <c r="B10" s="156"/>
      <c r="C10" s="156"/>
      <c r="D10" s="121"/>
      <c r="E10" s="121"/>
      <c r="AE10" s="117"/>
      <c r="AF10" s="117"/>
      <c r="AN10" s="159" t="s">
        <v>3</v>
      </c>
      <c r="AO10" s="160" t="s">
        <v>418</v>
      </c>
      <c r="AP10" s="160" t="s">
        <v>176</v>
      </c>
      <c r="AQ10" s="160" t="s">
        <v>419</v>
      </c>
      <c r="AR10" s="160" t="s">
        <v>420</v>
      </c>
    </row>
    <row r="11" spans="1:47" s="119" customFormat="1" ht="12" customHeight="1">
      <c r="A11" s="136" t="s">
        <v>421</v>
      </c>
      <c r="B11" s="136" t="s">
        <v>7</v>
      </c>
      <c r="C11" s="136" t="s">
        <v>7</v>
      </c>
      <c r="D11" s="161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25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17"/>
      <c r="AF11" s="117"/>
      <c r="AN11" s="155"/>
    </row>
    <row r="12" spans="1:47" s="119" customFormat="1" ht="12" customHeight="1">
      <c r="A12" s="119" t="s">
        <v>321</v>
      </c>
      <c r="B12" s="117" t="s">
        <v>8</v>
      </c>
      <c r="C12" s="117" t="s">
        <v>9</v>
      </c>
      <c r="D12" s="161">
        <v>17.73</v>
      </c>
      <c r="E12" s="161">
        <v>124.005</v>
      </c>
      <c r="F12" s="161">
        <v>124.11</v>
      </c>
      <c r="G12" s="161">
        <v>124.11</v>
      </c>
      <c r="H12" s="161">
        <v>124.11</v>
      </c>
      <c r="I12" s="161">
        <v>124.11</v>
      </c>
      <c r="J12" s="161">
        <v>124.11</v>
      </c>
      <c r="K12" s="161">
        <v>124.11</v>
      </c>
      <c r="L12" s="161">
        <v>124.11</v>
      </c>
      <c r="M12" s="161">
        <v>124.11</v>
      </c>
      <c r="N12" s="161">
        <v>124.11</v>
      </c>
      <c r="O12" s="161">
        <v>124.11</v>
      </c>
      <c r="P12" s="161">
        <v>124.215</v>
      </c>
      <c r="Q12" s="125">
        <v>1489.3199999999997</v>
      </c>
      <c r="S12" s="163">
        <f t="shared" ref="S12:AD33" si="1">IFERROR(E12/$D12,0)</f>
        <v>6.9940778341793566</v>
      </c>
      <c r="T12" s="163">
        <f t="shared" si="1"/>
        <v>7</v>
      </c>
      <c r="U12" s="163">
        <f t="shared" si="1"/>
        <v>7</v>
      </c>
      <c r="V12" s="163">
        <f t="shared" si="1"/>
        <v>7</v>
      </c>
      <c r="W12" s="163">
        <f t="shared" si="1"/>
        <v>7</v>
      </c>
      <c r="X12" s="163">
        <f t="shared" si="1"/>
        <v>7</v>
      </c>
      <c r="Y12" s="163">
        <f t="shared" si="1"/>
        <v>7</v>
      </c>
      <c r="Z12" s="163">
        <f t="shared" si="1"/>
        <v>7</v>
      </c>
      <c r="AA12" s="163">
        <f t="shared" si="1"/>
        <v>7</v>
      </c>
      <c r="AB12" s="163">
        <f t="shared" si="1"/>
        <v>7</v>
      </c>
      <c r="AC12" s="163">
        <f t="shared" si="1"/>
        <v>7</v>
      </c>
      <c r="AD12" s="163">
        <f t="shared" si="1"/>
        <v>7.0059221658206434</v>
      </c>
      <c r="AE12" s="306">
        <f t="shared" ref="AE12:AE33" si="2">SUM(S12:AD12)/12</f>
        <v>7.0000000000000009</v>
      </c>
      <c r="AF12" s="165"/>
      <c r="AG12" s="125">
        <f>+SUMIF('Spokane DF Calc'!$C$6:$C$21,'Spokane Reg - Price out 2023'!C12,'Spokane DF Calc'!$D$6:$D$21)-AE12</f>
        <v>0</v>
      </c>
      <c r="AH12" s="166"/>
      <c r="AN12" s="167">
        <v>17.8</v>
      </c>
      <c r="AO12" s="168">
        <f>+AN12*$AQ$2</f>
        <v>1.9424804274596681</v>
      </c>
      <c r="AP12" s="168">
        <f>+AO12*AE12*12</f>
        <v>163.16835590661213</v>
      </c>
      <c r="AQ12" s="125">
        <f>+AN12+AO12</f>
        <v>19.742480427459668</v>
      </c>
      <c r="AR12" s="125">
        <f>+AQ12*AE12*12</f>
        <v>1658.3683559066126</v>
      </c>
    </row>
    <row r="13" spans="1:47" s="119" customFormat="1" ht="12" customHeight="1">
      <c r="A13" s="119" t="s">
        <v>321</v>
      </c>
      <c r="B13" s="117" t="s">
        <v>10</v>
      </c>
      <c r="C13" s="117" t="s">
        <v>11</v>
      </c>
      <c r="D13" s="161">
        <v>13.68</v>
      </c>
      <c r="E13" s="161">
        <v>109.41</v>
      </c>
      <c r="F13" s="161">
        <v>116.28</v>
      </c>
      <c r="G13" s="161">
        <v>116.28</v>
      </c>
      <c r="H13" s="161">
        <v>82.08</v>
      </c>
      <c r="I13" s="161">
        <v>109.44</v>
      </c>
      <c r="J13" s="161">
        <v>109.44</v>
      </c>
      <c r="K13" s="161">
        <v>109.44</v>
      </c>
      <c r="L13" s="161">
        <v>109.44</v>
      </c>
      <c r="M13" s="161">
        <v>109.44</v>
      </c>
      <c r="N13" s="161">
        <v>109.44</v>
      </c>
      <c r="O13" s="161">
        <v>109.44</v>
      </c>
      <c r="P13" s="161">
        <v>123.16499999999999</v>
      </c>
      <c r="Q13" s="125">
        <v>1313.2950000000003</v>
      </c>
      <c r="S13" s="163">
        <f t="shared" si="1"/>
        <v>7.9978070175438596</v>
      </c>
      <c r="T13" s="163">
        <f t="shared" si="1"/>
        <v>8.5</v>
      </c>
      <c r="U13" s="163">
        <f t="shared" si="1"/>
        <v>8.5</v>
      </c>
      <c r="V13" s="163">
        <f t="shared" si="1"/>
        <v>6</v>
      </c>
      <c r="W13" s="163">
        <f t="shared" si="1"/>
        <v>8</v>
      </c>
      <c r="X13" s="163">
        <f t="shared" si="1"/>
        <v>8</v>
      </c>
      <c r="Y13" s="163">
        <f t="shared" si="1"/>
        <v>8</v>
      </c>
      <c r="Z13" s="163">
        <f t="shared" si="1"/>
        <v>8</v>
      </c>
      <c r="AA13" s="163">
        <f t="shared" si="1"/>
        <v>8</v>
      </c>
      <c r="AB13" s="163">
        <f t="shared" si="1"/>
        <v>8</v>
      </c>
      <c r="AC13" s="163">
        <f t="shared" si="1"/>
        <v>8</v>
      </c>
      <c r="AD13" s="163">
        <f t="shared" si="1"/>
        <v>9.0032894736842106</v>
      </c>
      <c r="AE13" s="306">
        <f t="shared" si="2"/>
        <v>8.0000913742690063</v>
      </c>
      <c r="AF13" s="165"/>
      <c r="AG13" s="125">
        <f>+SUMIF('Spokane DF Calc'!$C$6:$C$21,'Spokane Reg - Price out 2023'!C13,'Spokane DF Calc'!$D$6:$D$21)-AE13</f>
        <v>0</v>
      </c>
      <c r="AH13" s="166"/>
      <c r="AN13" s="167">
        <v>13.71</v>
      </c>
      <c r="AO13" s="168">
        <f t="shared" ref="AO13:AO33" si="3">+AN13*$AQ$2</f>
        <v>1.4961464415995533</v>
      </c>
      <c r="AP13" s="168">
        <f t="shared" ref="AP13:AP33" si="4">+AO13*AE13*12</f>
        <v>143.63169890500626</v>
      </c>
      <c r="AQ13" s="125">
        <f t="shared" ref="AQ13:AQ33" si="5">+AN13+AO13</f>
        <v>15.206146441599554</v>
      </c>
      <c r="AR13" s="125">
        <f t="shared" ref="AR13:AR33" si="6">+AQ13*AE13*12</f>
        <v>1459.8067317997431</v>
      </c>
    </row>
    <row r="14" spans="1:47" s="119" customFormat="1" ht="12" customHeight="1">
      <c r="A14" s="119" t="s">
        <v>321</v>
      </c>
      <c r="B14" s="117" t="s">
        <v>12</v>
      </c>
      <c r="C14" s="117" t="s">
        <v>13</v>
      </c>
      <c r="D14" s="161">
        <v>21.93</v>
      </c>
      <c r="E14" s="161">
        <v>8462.1550000000007</v>
      </c>
      <c r="F14" s="161">
        <v>8451.2250000000004</v>
      </c>
      <c r="G14" s="161">
        <v>8453.880000000001</v>
      </c>
      <c r="H14" s="161">
        <v>8464.875</v>
      </c>
      <c r="I14" s="161">
        <v>8468.6350000000002</v>
      </c>
      <c r="J14" s="161">
        <v>8495.1099999999988</v>
      </c>
      <c r="K14" s="161">
        <v>8429.3449999999993</v>
      </c>
      <c r="L14" s="161">
        <v>8475.94</v>
      </c>
      <c r="M14" s="161">
        <v>8495.1450000000004</v>
      </c>
      <c r="N14" s="161">
        <v>8519.7999999999993</v>
      </c>
      <c r="O14" s="161">
        <v>8393.7199999999993</v>
      </c>
      <c r="P14" s="161">
        <v>8357.9050000000007</v>
      </c>
      <c r="Q14" s="125">
        <v>101467.73500000002</v>
      </c>
      <c r="S14" s="163">
        <f t="shared" si="1"/>
        <v>385.87118103055178</v>
      </c>
      <c r="T14" s="163">
        <f t="shared" si="1"/>
        <v>385.3727770177839</v>
      </c>
      <c r="U14" s="163">
        <f t="shared" si="1"/>
        <v>385.49384404924768</v>
      </c>
      <c r="V14" s="163">
        <f t="shared" si="1"/>
        <v>385.99521203830369</v>
      </c>
      <c r="W14" s="163">
        <f t="shared" si="1"/>
        <v>386.16666666666669</v>
      </c>
      <c r="X14" s="163">
        <f t="shared" si="1"/>
        <v>387.37391700866385</v>
      </c>
      <c r="Y14" s="163">
        <f t="shared" si="1"/>
        <v>384.37505699954397</v>
      </c>
      <c r="Z14" s="163">
        <f t="shared" si="1"/>
        <v>386.499772001824</v>
      </c>
      <c r="AA14" s="163">
        <f t="shared" si="1"/>
        <v>387.37551299589603</v>
      </c>
      <c r="AB14" s="163">
        <f t="shared" si="1"/>
        <v>388.49977200182394</v>
      </c>
      <c r="AC14" s="163">
        <f t="shared" si="1"/>
        <v>382.75056999544</v>
      </c>
      <c r="AD14" s="163">
        <f t="shared" si="1"/>
        <v>381.11741906064753</v>
      </c>
      <c r="AE14" s="306">
        <f t="shared" si="2"/>
        <v>385.5743084055328</v>
      </c>
      <c r="AF14" s="165"/>
      <c r="AG14" s="125">
        <f>+SUMIF('Spokane DF Calc'!$C$6:$C$21,'Spokane Reg - Price out 2023'!C14,'Spokane DF Calc'!$D$6:$D$21)-AE14</f>
        <v>0</v>
      </c>
      <c r="AH14" s="166"/>
      <c r="AN14" s="167">
        <v>22.05</v>
      </c>
      <c r="AO14" s="168">
        <f t="shared" si="3"/>
        <v>2.4062749115441395</v>
      </c>
      <c r="AP14" s="168">
        <f t="shared" si="4"/>
        <v>11133.573418226595</v>
      </c>
      <c r="AQ14" s="125">
        <f t="shared" si="5"/>
        <v>24.456274911544142</v>
      </c>
      <c r="AR14" s="125">
        <f t="shared" si="6"/>
        <v>113156.53542233058</v>
      </c>
    </row>
    <row r="15" spans="1:47" s="119" customFormat="1" ht="12" customHeight="1">
      <c r="A15" s="119" t="s">
        <v>321</v>
      </c>
      <c r="B15" s="117" t="s">
        <v>14</v>
      </c>
      <c r="C15" s="117" t="s">
        <v>15</v>
      </c>
      <c r="D15" s="161">
        <v>31.01</v>
      </c>
      <c r="E15" s="161">
        <v>2880.33</v>
      </c>
      <c r="F15" s="161">
        <v>2837.41</v>
      </c>
      <c r="G15" s="161">
        <v>2814.15</v>
      </c>
      <c r="H15" s="161">
        <v>2852.9199999999996</v>
      </c>
      <c r="I15" s="161">
        <v>2903.3049999999998</v>
      </c>
      <c r="J15" s="161">
        <v>2872.2949999999996</v>
      </c>
      <c r="K15" s="161">
        <v>2818.03</v>
      </c>
      <c r="L15" s="161">
        <v>2798.645</v>
      </c>
      <c r="M15" s="161">
        <v>2771.5149999999999</v>
      </c>
      <c r="N15" s="161">
        <v>2790.9</v>
      </c>
      <c r="O15" s="161">
        <v>2759.89</v>
      </c>
      <c r="P15" s="161">
        <v>2759.34</v>
      </c>
      <c r="Q15" s="125">
        <v>33858.729999999996</v>
      </c>
      <c r="S15" s="163">
        <f t="shared" si="1"/>
        <v>92.883908416639784</v>
      </c>
      <c r="T15" s="163">
        <f t="shared" si="1"/>
        <v>91.499838761689773</v>
      </c>
      <c r="U15" s="163">
        <f t="shared" si="1"/>
        <v>90.74975814253466</v>
      </c>
      <c r="V15" s="163">
        <f t="shared" si="1"/>
        <v>91.999999999999986</v>
      </c>
      <c r="W15" s="163">
        <f t="shared" si="1"/>
        <v>93.624798452112216</v>
      </c>
      <c r="X15" s="163">
        <f t="shared" si="1"/>
        <v>92.624798452112202</v>
      </c>
      <c r="Y15" s="163">
        <f t="shared" si="1"/>
        <v>90.87487907126733</v>
      </c>
      <c r="Z15" s="163">
        <f t="shared" si="1"/>
        <v>90.24975814253466</v>
      </c>
      <c r="AA15" s="163">
        <f t="shared" si="1"/>
        <v>89.37487907126733</v>
      </c>
      <c r="AB15" s="163">
        <f t="shared" si="1"/>
        <v>90</v>
      </c>
      <c r="AC15" s="163">
        <f t="shared" si="1"/>
        <v>88.999999999999986</v>
      </c>
      <c r="AD15" s="163">
        <f t="shared" si="1"/>
        <v>88.982263785875517</v>
      </c>
      <c r="AE15" s="306">
        <f t="shared" si="2"/>
        <v>90.988740191336106</v>
      </c>
      <c r="AF15" s="165"/>
      <c r="AG15" s="125">
        <f>+SUMIF('Spokane DF Calc'!$C$6:$C$21,'Spokane Reg - Price out 2023'!C15,'Spokane DF Calc'!$D$6:$D$21)-AE15</f>
        <v>0</v>
      </c>
      <c r="AH15" s="166"/>
      <c r="AN15" s="167">
        <v>31.19</v>
      </c>
      <c r="AO15" s="168">
        <f t="shared" si="3"/>
        <v>3.4037058726105083</v>
      </c>
      <c r="AP15" s="168">
        <f t="shared" si="4"/>
        <v>3716.3869119681904</v>
      </c>
      <c r="AQ15" s="125">
        <f t="shared" si="5"/>
        <v>34.593705872610506</v>
      </c>
      <c r="AR15" s="125">
        <f t="shared" si="6"/>
        <v>37771.652590781465</v>
      </c>
    </row>
    <row r="16" spans="1:47" s="119" customFormat="1" ht="12" customHeight="1">
      <c r="A16" s="119" t="s">
        <v>321</v>
      </c>
      <c r="B16" s="117" t="s">
        <v>16</v>
      </c>
      <c r="C16" s="117" t="s">
        <v>17</v>
      </c>
      <c r="D16" s="161">
        <v>44.32</v>
      </c>
      <c r="E16" s="161">
        <v>44.32</v>
      </c>
      <c r="F16" s="161">
        <v>44.32</v>
      </c>
      <c r="G16" s="161">
        <v>44.32</v>
      </c>
      <c r="H16" s="161">
        <v>44.32</v>
      </c>
      <c r="I16" s="161">
        <v>22.16</v>
      </c>
      <c r="J16" s="161">
        <v>44.32</v>
      </c>
      <c r="K16" s="161">
        <v>44.32</v>
      </c>
      <c r="L16" s="161">
        <v>44.32</v>
      </c>
      <c r="M16" s="161">
        <v>44.32</v>
      </c>
      <c r="N16" s="161">
        <v>0</v>
      </c>
      <c r="O16" s="161">
        <v>0</v>
      </c>
      <c r="P16" s="161">
        <v>0</v>
      </c>
      <c r="Q16" s="125">
        <v>376.71999999999997</v>
      </c>
      <c r="S16" s="163">
        <f t="shared" si="1"/>
        <v>1</v>
      </c>
      <c r="T16" s="163">
        <f t="shared" si="1"/>
        <v>1</v>
      </c>
      <c r="U16" s="163">
        <f t="shared" si="1"/>
        <v>1</v>
      </c>
      <c r="V16" s="163">
        <f t="shared" si="1"/>
        <v>1</v>
      </c>
      <c r="W16" s="163">
        <f t="shared" si="1"/>
        <v>0.5</v>
      </c>
      <c r="X16" s="163">
        <f t="shared" si="1"/>
        <v>1</v>
      </c>
      <c r="Y16" s="163">
        <f t="shared" si="1"/>
        <v>1</v>
      </c>
      <c r="Z16" s="163">
        <f t="shared" si="1"/>
        <v>1</v>
      </c>
      <c r="AA16" s="163">
        <f t="shared" si="1"/>
        <v>1</v>
      </c>
      <c r="AB16" s="163">
        <f t="shared" si="1"/>
        <v>0</v>
      </c>
      <c r="AC16" s="163">
        <f t="shared" si="1"/>
        <v>0</v>
      </c>
      <c r="AD16" s="163">
        <f t="shared" si="1"/>
        <v>0</v>
      </c>
      <c r="AE16" s="306">
        <f t="shared" si="2"/>
        <v>0.70833333333333337</v>
      </c>
      <c r="AF16" s="165"/>
      <c r="AG16" s="125">
        <f>+SUMIF('Spokane DF Calc'!$C$6:$C$21,'Spokane Reg - Price out 2023'!C16,'Spokane DF Calc'!$D$6:$D$21)-AE16</f>
        <v>0</v>
      </c>
      <c r="AH16" s="166"/>
      <c r="AN16" s="167">
        <v>44.59</v>
      </c>
      <c r="AO16" s="168">
        <f t="shared" si="3"/>
        <v>4.8660225989003711</v>
      </c>
      <c r="AP16" s="168">
        <f t="shared" si="4"/>
        <v>41.361192090653155</v>
      </c>
      <c r="AQ16" s="125">
        <f t="shared" si="5"/>
        <v>49.456022598900375</v>
      </c>
      <c r="AR16" s="125">
        <f t="shared" si="6"/>
        <v>420.37619209065315</v>
      </c>
    </row>
    <row r="17" spans="1:44" s="119" customFormat="1" ht="12" customHeight="1">
      <c r="A17" s="119" t="s">
        <v>321</v>
      </c>
      <c r="B17" s="117" t="s">
        <v>18</v>
      </c>
      <c r="C17" s="117" t="s">
        <v>19</v>
      </c>
      <c r="D17" s="161">
        <v>32.950000000000003</v>
      </c>
      <c r="E17" s="161">
        <v>16792.080000000002</v>
      </c>
      <c r="F17" s="161">
        <v>17207.964999999997</v>
      </c>
      <c r="G17" s="161">
        <v>17324.824999999997</v>
      </c>
      <c r="H17" s="161">
        <v>17401.699999999997</v>
      </c>
      <c r="I17" s="161">
        <v>17689.994999999995</v>
      </c>
      <c r="J17" s="161">
        <v>17525.240000000002</v>
      </c>
      <c r="K17" s="161">
        <v>17508.754999999997</v>
      </c>
      <c r="L17" s="161">
        <v>17418.154999999999</v>
      </c>
      <c r="M17" s="161">
        <v>17615.884999999998</v>
      </c>
      <c r="N17" s="161">
        <v>17747.645</v>
      </c>
      <c r="O17" s="161">
        <v>17834.145</v>
      </c>
      <c r="P17" s="161">
        <v>17826.98</v>
      </c>
      <c r="Q17" s="125">
        <v>209893.37</v>
      </c>
      <c r="S17" s="163">
        <f t="shared" si="1"/>
        <v>509.6230652503794</v>
      </c>
      <c r="T17" s="163">
        <f t="shared" si="1"/>
        <v>522.24476479514396</v>
      </c>
      <c r="U17" s="163">
        <f t="shared" si="1"/>
        <v>525.79135053110758</v>
      </c>
      <c r="V17" s="163">
        <f t="shared" si="1"/>
        <v>528.12443095599383</v>
      </c>
      <c r="W17" s="163">
        <f t="shared" si="1"/>
        <v>536.87389984825472</v>
      </c>
      <c r="X17" s="163">
        <f t="shared" si="1"/>
        <v>531.8737481031867</v>
      </c>
      <c r="Y17" s="163">
        <f t="shared" si="1"/>
        <v>531.37344461304997</v>
      </c>
      <c r="Z17" s="163">
        <f t="shared" si="1"/>
        <v>528.62382397572071</v>
      </c>
      <c r="AA17" s="163">
        <f t="shared" si="1"/>
        <v>534.62473444613045</v>
      </c>
      <c r="AB17" s="163">
        <f t="shared" si="1"/>
        <v>538.62352048558421</v>
      </c>
      <c r="AC17" s="163">
        <f t="shared" si="1"/>
        <v>541.24871016691952</v>
      </c>
      <c r="AD17" s="163">
        <f t="shared" si="1"/>
        <v>541.03125948406671</v>
      </c>
      <c r="AE17" s="306">
        <f t="shared" si="2"/>
        <v>530.83806272129482</v>
      </c>
      <c r="AF17" s="165"/>
      <c r="AG17" s="125">
        <f>+SUMIF('Spokane DF Calc'!$C$6:$C$21,'Spokane Reg - Price out 2023'!C17,'Spokane DF Calc'!$D$6:$D$21)-AE17</f>
        <v>0</v>
      </c>
      <c r="AH17" s="125">
        <f>+RIGHT(C17)*AE17</f>
        <v>530.83806272129482</v>
      </c>
      <c r="AN17" s="167">
        <v>33.11</v>
      </c>
      <c r="AO17" s="168">
        <f t="shared" si="3"/>
        <v>3.6132318513027868</v>
      </c>
      <c r="AP17" s="168">
        <f t="shared" si="4"/>
        <v>23016.491953301389</v>
      </c>
      <c r="AQ17" s="125">
        <f t="shared" si="5"/>
        <v>36.723231851302785</v>
      </c>
      <c r="AR17" s="125">
        <f t="shared" si="6"/>
        <v>233929.07103372621</v>
      </c>
    </row>
    <row r="18" spans="1:44" s="119" customFormat="1" ht="12" customHeight="1">
      <c r="A18" s="119" t="s">
        <v>321</v>
      </c>
      <c r="B18" s="117" t="s">
        <v>251</v>
      </c>
      <c r="C18" s="117" t="s">
        <v>252</v>
      </c>
      <c r="D18" s="161">
        <v>65.900000000000006</v>
      </c>
      <c r="E18" s="161">
        <v>131.47999999999999</v>
      </c>
      <c r="F18" s="161">
        <v>131.80000000000001</v>
      </c>
      <c r="G18" s="161">
        <v>131.80000000000001</v>
      </c>
      <c r="H18" s="161">
        <v>131.80000000000001</v>
      </c>
      <c r="I18" s="161">
        <v>131.80000000000001</v>
      </c>
      <c r="J18" s="161">
        <v>197.7</v>
      </c>
      <c r="K18" s="161">
        <v>197.7</v>
      </c>
      <c r="L18" s="161">
        <v>65.900000000000006</v>
      </c>
      <c r="M18" s="161">
        <v>65.900000000000006</v>
      </c>
      <c r="N18" s="161">
        <v>65.900000000000006</v>
      </c>
      <c r="O18" s="161">
        <v>65.900000000000006</v>
      </c>
      <c r="P18" s="161">
        <v>66.06</v>
      </c>
      <c r="Q18" s="125">
        <v>1383.7400000000005</v>
      </c>
      <c r="S18" s="163">
        <f t="shared" si="1"/>
        <v>1.9951441578148708</v>
      </c>
      <c r="T18" s="163">
        <f t="shared" si="1"/>
        <v>2</v>
      </c>
      <c r="U18" s="163">
        <f t="shared" si="1"/>
        <v>2</v>
      </c>
      <c r="V18" s="163">
        <f t="shared" si="1"/>
        <v>2</v>
      </c>
      <c r="W18" s="163">
        <f t="shared" si="1"/>
        <v>2</v>
      </c>
      <c r="X18" s="163">
        <f t="shared" si="1"/>
        <v>2.9999999999999996</v>
      </c>
      <c r="Y18" s="163">
        <f t="shared" si="1"/>
        <v>2.9999999999999996</v>
      </c>
      <c r="Z18" s="163">
        <f t="shared" si="1"/>
        <v>1</v>
      </c>
      <c r="AA18" s="163">
        <f t="shared" si="1"/>
        <v>1</v>
      </c>
      <c r="AB18" s="163">
        <f t="shared" si="1"/>
        <v>1</v>
      </c>
      <c r="AC18" s="163">
        <f t="shared" si="1"/>
        <v>1</v>
      </c>
      <c r="AD18" s="163">
        <f t="shared" si="1"/>
        <v>1.0024279210925644</v>
      </c>
      <c r="AE18" s="306">
        <f t="shared" si="2"/>
        <v>1.7497976732422862</v>
      </c>
      <c r="AF18" s="165"/>
      <c r="AG18" s="125">
        <f>+SUMIF('Spokane DF Calc'!$C$6:$C$21,'Spokane Reg - Price out 2023'!C18,'Spokane DF Calc'!$D$6:$D$21)-AE18</f>
        <v>0</v>
      </c>
      <c r="AH18" s="125">
        <f>+RIGHT(C18)*AE18</f>
        <v>3.4995953464845724</v>
      </c>
      <c r="AN18" s="167">
        <f>33.11*2</f>
        <v>66.22</v>
      </c>
      <c r="AO18" s="168">
        <f t="shared" si="3"/>
        <v>7.2264637026055736</v>
      </c>
      <c r="AP18" s="168">
        <f t="shared" si="4"/>
        <v>151.73819247106883</v>
      </c>
      <c r="AQ18" s="125">
        <f t="shared" si="5"/>
        <v>73.44646370260557</v>
      </c>
      <c r="AR18" s="125">
        <f t="shared" si="6"/>
        <v>1542.1974155363189</v>
      </c>
    </row>
    <row r="19" spans="1:44" s="119" customFormat="1" ht="12" customHeight="1">
      <c r="A19" s="119" t="s">
        <v>321</v>
      </c>
      <c r="B19" s="117" t="s">
        <v>20</v>
      </c>
      <c r="C19" s="117" t="s">
        <v>21</v>
      </c>
      <c r="D19" s="161">
        <v>41.33</v>
      </c>
      <c r="E19" s="161">
        <v>17321.265000000003</v>
      </c>
      <c r="F19" s="161">
        <v>17332.064999999999</v>
      </c>
      <c r="G19" s="161">
        <v>17497.595000000001</v>
      </c>
      <c r="H19" s="161">
        <v>17807.560000000001</v>
      </c>
      <c r="I19" s="161">
        <v>17632.385000000002</v>
      </c>
      <c r="J19" s="161">
        <v>18252.34</v>
      </c>
      <c r="K19" s="161">
        <v>18474.480000000003</v>
      </c>
      <c r="L19" s="161">
        <v>18381.490000000002</v>
      </c>
      <c r="M19" s="161">
        <v>18815.460000000003</v>
      </c>
      <c r="N19" s="161">
        <v>18794.814999999999</v>
      </c>
      <c r="O19" s="161">
        <v>18794.79</v>
      </c>
      <c r="P19" s="161">
        <v>18921.275000000001</v>
      </c>
      <c r="Q19" s="125">
        <v>218025.52</v>
      </c>
      <c r="S19" s="163">
        <f t="shared" si="1"/>
        <v>419.09666102105018</v>
      </c>
      <c r="T19" s="163">
        <f t="shared" si="1"/>
        <v>419.35797241713038</v>
      </c>
      <c r="U19" s="163">
        <f t="shared" si="1"/>
        <v>423.36305347205422</v>
      </c>
      <c r="V19" s="163">
        <f t="shared" si="1"/>
        <v>430.86281151705788</v>
      </c>
      <c r="W19" s="163">
        <f t="shared" si="1"/>
        <v>426.62436486813459</v>
      </c>
      <c r="X19" s="163">
        <f t="shared" si="1"/>
        <v>441.62448584563276</v>
      </c>
      <c r="Y19" s="163">
        <f t="shared" si="1"/>
        <v>446.99927413501098</v>
      </c>
      <c r="Z19" s="163">
        <f t="shared" si="1"/>
        <v>444.74933462376003</v>
      </c>
      <c r="AA19" s="163">
        <f t="shared" si="1"/>
        <v>455.24945560125826</v>
      </c>
      <c r="AB19" s="163">
        <f t="shared" si="1"/>
        <v>454.74993951125089</v>
      </c>
      <c r="AC19" s="163">
        <f t="shared" si="1"/>
        <v>454.74933462376003</v>
      </c>
      <c r="AD19" s="163">
        <f t="shared" si="1"/>
        <v>457.80970239535452</v>
      </c>
      <c r="AE19" s="306">
        <f t="shared" si="2"/>
        <v>439.60303250262126</v>
      </c>
      <c r="AF19" s="165"/>
      <c r="AG19" s="125">
        <f>+SUMIF('Spokane DF Calc'!$C$6:$C$21,'Spokane Reg - Price out 2023'!C19,'Spokane DF Calc'!$D$6:$D$21)-AE19</f>
        <v>0</v>
      </c>
      <c r="AH19" s="125">
        <f>+RIGHT(C19)*AE19</f>
        <v>439.60303250262126</v>
      </c>
      <c r="AN19" s="167">
        <v>41.57</v>
      </c>
      <c r="AO19" s="168">
        <f t="shared" si="3"/>
        <v>4.5364556949156407</v>
      </c>
      <c r="AP19" s="168">
        <f t="shared" si="4"/>
        <v>23930.87616358442</v>
      </c>
      <c r="AQ19" s="125">
        <f t="shared" si="5"/>
        <v>46.106455694915638</v>
      </c>
      <c r="AR19" s="125">
        <f t="shared" si="6"/>
        <v>243222.45289719198</v>
      </c>
    </row>
    <row r="20" spans="1:44" s="119" customFormat="1" ht="12" customHeight="1">
      <c r="B20" s="117" t="s">
        <v>22</v>
      </c>
      <c r="C20" s="117" t="s">
        <v>23</v>
      </c>
      <c r="D20" s="161">
        <v>82.66</v>
      </c>
      <c r="E20" s="161">
        <v>1217.915</v>
      </c>
      <c r="F20" s="161">
        <v>1322.56</v>
      </c>
      <c r="G20" s="161">
        <v>1291.56</v>
      </c>
      <c r="H20" s="161">
        <v>1208.9000000000001</v>
      </c>
      <c r="I20" s="161">
        <v>1239.9000000000001</v>
      </c>
      <c r="J20" s="161">
        <v>1291.56</v>
      </c>
      <c r="K20" s="161">
        <v>1270.8900000000001</v>
      </c>
      <c r="L20" s="161">
        <v>1487.88</v>
      </c>
      <c r="M20" s="161">
        <v>1456.88</v>
      </c>
      <c r="N20" s="161">
        <v>1219.2300000000002</v>
      </c>
      <c r="O20" s="161">
        <v>1332.89</v>
      </c>
      <c r="P20" s="161">
        <v>1241.58</v>
      </c>
      <c r="Q20" s="125">
        <v>15581.744999999997</v>
      </c>
      <c r="S20" s="163">
        <f t="shared" si="1"/>
        <v>14.734030970239536</v>
      </c>
      <c r="T20" s="163">
        <f t="shared" si="1"/>
        <v>16</v>
      </c>
      <c r="U20" s="163">
        <f t="shared" si="1"/>
        <v>15.624969755625454</v>
      </c>
      <c r="V20" s="163">
        <f t="shared" si="1"/>
        <v>14.624969755625456</v>
      </c>
      <c r="W20" s="163">
        <f t="shared" si="1"/>
        <v>15.000000000000002</v>
      </c>
      <c r="X20" s="163">
        <f t="shared" si="1"/>
        <v>15.624969755625454</v>
      </c>
      <c r="Y20" s="163">
        <f t="shared" si="1"/>
        <v>15.374909266876363</v>
      </c>
      <c r="Z20" s="163">
        <f t="shared" si="1"/>
        <v>18.000000000000004</v>
      </c>
      <c r="AA20" s="163">
        <f t="shared" si="1"/>
        <v>17.624969755625457</v>
      </c>
      <c r="AB20" s="163">
        <f t="shared" si="1"/>
        <v>14.749939511250911</v>
      </c>
      <c r="AC20" s="163">
        <f t="shared" si="1"/>
        <v>16.124969755625454</v>
      </c>
      <c r="AD20" s="163">
        <f t="shared" si="1"/>
        <v>15.020324219695137</v>
      </c>
      <c r="AE20" s="306">
        <f t="shared" si="2"/>
        <v>15.708671062182434</v>
      </c>
      <c r="AF20" s="165"/>
      <c r="AG20" s="125">
        <f>+SUMIF('Spokane DF Calc'!$C$6:$C$21,'Spokane Reg - Price out 2023'!C20,'Spokane DF Calc'!$D$6:$D$21)-AE20</f>
        <v>0</v>
      </c>
      <c r="AH20" s="125">
        <f>+RIGHT(C20)*AE20</f>
        <v>31.417342124364868</v>
      </c>
      <c r="AN20" s="167">
        <f>41.57*2</f>
        <v>83.14</v>
      </c>
      <c r="AO20" s="168">
        <f t="shared" si="3"/>
        <v>9.0729113898312814</v>
      </c>
      <c r="AP20" s="168">
        <f t="shared" si="4"/>
        <v>1710.280567190257</v>
      </c>
      <c r="AQ20" s="125">
        <f t="shared" si="5"/>
        <v>92.212911389831277</v>
      </c>
      <c r="AR20" s="125">
        <f t="shared" si="6"/>
        <v>17382.507512508426</v>
      </c>
    </row>
    <row r="21" spans="1:44" s="119" customFormat="1" ht="12" customHeight="1">
      <c r="B21" s="117" t="s">
        <v>305</v>
      </c>
      <c r="C21" s="117" t="s">
        <v>306</v>
      </c>
      <c r="D21" s="161">
        <v>123.99</v>
      </c>
      <c r="E21" s="161">
        <v>201.48</v>
      </c>
      <c r="F21" s="161">
        <v>201.48</v>
      </c>
      <c r="G21" s="161">
        <v>247.98</v>
      </c>
      <c r="H21" s="161">
        <v>247.98</v>
      </c>
      <c r="I21" s="161">
        <v>247.98</v>
      </c>
      <c r="J21" s="161">
        <v>247.98</v>
      </c>
      <c r="K21" s="161">
        <v>247.98</v>
      </c>
      <c r="L21" s="161">
        <v>247.98</v>
      </c>
      <c r="M21" s="161">
        <v>123.99</v>
      </c>
      <c r="N21" s="161">
        <v>123.99</v>
      </c>
      <c r="O21" s="161">
        <v>123.99</v>
      </c>
      <c r="P21" s="161">
        <v>123.99</v>
      </c>
      <c r="Q21" s="125">
        <v>2386.7999999999993</v>
      </c>
      <c r="S21" s="163">
        <f t="shared" si="1"/>
        <v>1.6249697556254536</v>
      </c>
      <c r="T21" s="163">
        <f t="shared" si="1"/>
        <v>1.6249697556254536</v>
      </c>
      <c r="U21" s="163">
        <f t="shared" si="1"/>
        <v>2</v>
      </c>
      <c r="V21" s="163">
        <f t="shared" si="1"/>
        <v>2</v>
      </c>
      <c r="W21" s="163">
        <f t="shared" si="1"/>
        <v>2</v>
      </c>
      <c r="X21" s="163">
        <f t="shared" si="1"/>
        <v>2</v>
      </c>
      <c r="Y21" s="163">
        <f t="shared" si="1"/>
        <v>2</v>
      </c>
      <c r="Z21" s="163">
        <f t="shared" si="1"/>
        <v>2</v>
      </c>
      <c r="AA21" s="163">
        <f t="shared" si="1"/>
        <v>1</v>
      </c>
      <c r="AB21" s="163">
        <f t="shared" si="1"/>
        <v>1</v>
      </c>
      <c r="AC21" s="163">
        <f t="shared" si="1"/>
        <v>1</v>
      </c>
      <c r="AD21" s="163">
        <f t="shared" si="1"/>
        <v>1</v>
      </c>
      <c r="AE21" s="306">
        <f t="shared" si="2"/>
        <v>1.6041616259375757</v>
      </c>
      <c r="AF21" s="165"/>
      <c r="AG21" s="125">
        <f>+SUMIF('Spokane DF Calc'!$C$6:$C$21,'Spokane Reg - Price out 2023'!C21,'Spokane DF Calc'!$D$6:$D$21)-AE21</f>
        <v>0</v>
      </c>
      <c r="AH21" s="125">
        <f>+RIGHT(C21)*AE21</f>
        <v>4.8124848778127269</v>
      </c>
      <c r="AN21" s="167">
        <f>+AN19*3</f>
        <v>124.71000000000001</v>
      </c>
      <c r="AO21" s="168">
        <f t="shared" si="3"/>
        <v>13.609367084746923</v>
      </c>
      <c r="AP21" s="168">
        <f t="shared" si="4"/>
        <v>261.97949316778738</v>
      </c>
      <c r="AQ21" s="125">
        <f t="shared" si="5"/>
        <v>138.31936708474694</v>
      </c>
      <c r="AR21" s="125">
        <f t="shared" si="6"/>
        <v>2662.6394496158887</v>
      </c>
    </row>
    <row r="22" spans="1:44" s="119" customFormat="1" ht="12" customHeight="1">
      <c r="A22" s="119" t="s">
        <v>322</v>
      </c>
      <c r="B22" s="117" t="s">
        <v>422</v>
      </c>
      <c r="C22" s="117" t="s">
        <v>423</v>
      </c>
      <c r="D22" s="161">
        <v>14.99</v>
      </c>
      <c r="E22" s="161">
        <v>29.950000000000003</v>
      </c>
      <c r="F22" s="161">
        <v>0</v>
      </c>
      <c r="G22" s="161">
        <v>14.96</v>
      </c>
      <c r="H22" s="161">
        <v>29.950000000000003</v>
      </c>
      <c r="I22" s="161">
        <v>14.96</v>
      </c>
      <c r="J22" s="161">
        <v>29.950000000000003</v>
      </c>
      <c r="K22" s="161">
        <v>0</v>
      </c>
      <c r="L22" s="161">
        <v>14.99</v>
      </c>
      <c r="M22" s="161">
        <v>29.950000000000003</v>
      </c>
      <c r="N22" s="161">
        <v>0</v>
      </c>
      <c r="O22" s="161">
        <v>29.950000000000003</v>
      </c>
      <c r="P22" s="161">
        <v>29.98</v>
      </c>
      <c r="Q22" s="125">
        <v>224.64000000000001</v>
      </c>
      <c r="S22" s="163">
        <f t="shared" si="1"/>
        <v>1.9979986657771849</v>
      </c>
      <c r="T22" s="163">
        <f t="shared" si="1"/>
        <v>0</v>
      </c>
      <c r="U22" s="163">
        <f t="shared" si="1"/>
        <v>0.99799866577718488</v>
      </c>
      <c r="V22" s="163">
        <f t="shared" si="1"/>
        <v>1.9979986657771849</v>
      </c>
      <c r="W22" s="163">
        <f t="shared" si="1"/>
        <v>0.99799866577718488</v>
      </c>
      <c r="X22" s="163">
        <f t="shared" si="1"/>
        <v>1.9979986657771849</v>
      </c>
      <c r="Y22" s="163">
        <f t="shared" si="1"/>
        <v>0</v>
      </c>
      <c r="Z22" s="163">
        <f t="shared" si="1"/>
        <v>1</v>
      </c>
      <c r="AA22" s="163">
        <f t="shared" si="1"/>
        <v>1.9979986657771849</v>
      </c>
      <c r="AB22" s="163">
        <f t="shared" si="1"/>
        <v>0</v>
      </c>
      <c r="AC22" s="163">
        <f t="shared" si="1"/>
        <v>1.9979986657771849</v>
      </c>
      <c r="AD22" s="163">
        <f t="shared" si="1"/>
        <v>2</v>
      </c>
      <c r="AE22" s="307">
        <f t="shared" si="2"/>
        <v>1.2488325550366912</v>
      </c>
      <c r="AF22" s="170"/>
      <c r="AG22" s="125">
        <f>+SUMIF('Spokane DF Calc'!$C$6:$C$21,'Spokane Reg - Price out 2023'!C22,'Spokane DF Calc'!$D$6:$D$21)-AE22</f>
        <v>0</v>
      </c>
      <c r="AH22" s="125">
        <f>+AE22</f>
        <v>1.2488325550366912</v>
      </c>
      <c r="AN22" s="167">
        <v>15.02</v>
      </c>
      <c r="AO22" s="168">
        <f t="shared" si="3"/>
        <v>1.6391042708114727</v>
      </c>
      <c r="AP22" s="168">
        <f t="shared" si="4"/>
        <v>24.56360129386853</v>
      </c>
      <c r="AQ22" s="125">
        <f t="shared" si="5"/>
        <v>16.659104270811472</v>
      </c>
      <c r="AR22" s="125">
        <f t="shared" si="6"/>
        <v>249.65318101368177</v>
      </c>
    </row>
    <row r="23" spans="1:44" s="119" customFormat="1" ht="12" customHeight="1">
      <c r="A23" s="119" t="s">
        <v>322</v>
      </c>
      <c r="B23" s="117" t="s">
        <v>25</v>
      </c>
      <c r="C23" s="117" t="s">
        <v>26</v>
      </c>
      <c r="D23" s="161">
        <v>5.21</v>
      </c>
      <c r="E23" s="161">
        <v>420.47999999999996</v>
      </c>
      <c r="F23" s="161">
        <v>380.39</v>
      </c>
      <c r="G23" s="161">
        <v>646.04</v>
      </c>
      <c r="H23" s="161">
        <v>432.78999999999996</v>
      </c>
      <c r="I23" s="161">
        <v>677.3</v>
      </c>
      <c r="J23" s="161">
        <v>1110.0900000000001</v>
      </c>
      <c r="K23" s="161">
        <v>692.92999999999984</v>
      </c>
      <c r="L23" s="161">
        <v>1031.5800000000002</v>
      </c>
      <c r="M23" s="161">
        <v>692.93000000000006</v>
      </c>
      <c r="N23" s="161">
        <v>765.87</v>
      </c>
      <c r="O23" s="161">
        <v>172.29</v>
      </c>
      <c r="P23" s="161">
        <v>151.09</v>
      </c>
      <c r="Q23" s="125">
        <v>7173.7800000000007</v>
      </c>
      <c r="S23" s="163">
        <f t="shared" si="1"/>
        <v>80.706333973128594</v>
      </c>
      <c r="T23" s="163">
        <f t="shared" si="1"/>
        <v>73.011516314779271</v>
      </c>
      <c r="U23" s="163">
        <f t="shared" si="1"/>
        <v>124</v>
      </c>
      <c r="V23" s="163">
        <f t="shared" si="1"/>
        <v>83.069097888675614</v>
      </c>
      <c r="W23" s="163">
        <f t="shared" si="1"/>
        <v>130</v>
      </c>
      <c r="X23" s="163">
        <f t="shared" si="1"/>
        <v>213.06909788867566</v>
      </c>
      <c r="Y23" s="163">
        <f t="shared" si="1"/>
        <v>132.99999999999997</v>
      </c>
      <c r="Z23" s="163">
        <f t="shared" si="1"/>
        <v>198.00000000000003</v>
      </c>
      <c r="AA23" s="163">
        <f t="shared" si="1"/>
        <v>133</v>
      </c>
      <c r="AB23" s="163">
        <f t="shared" si="1"/>
        <v>147</v>
      </c>
      <c r="AC23" s="163">
        <f t="shared" si="1"/>
        <v>33.069097888675621</v>
      </c>
      <c r="AD23" s="163">
        <f t="shared" si="1"/>
        <v>29</v>
      </c>
      <c r="AE23" s="307">
        <f t="shared" si="2"/>
        <v>114.74376199616124</v>
      </c>
      <c r="AF23" s="170"/>
      <c r="AG23" s="125">
        <f>+SUMIF('Spokane DF Calc'!$C$6:$C$21,'Spokane Reg - Price out 2023'!C23,'Spokane DF Calc'!$D$6:$D$21)-AE23</f>
        <v>0</v>
      </c>
      <c r="AN23" s="167">
        <v>5.24</v>
      </c>
      <c r="AO23" s="168">
        <f t="shared" si="3"/>
        <v>0.57183131684767763</v>
      </c>
      <c r="AP23" s="168">
        <f t="shared" si="4"/>
        <v>787.36891826785654</v>
      </c>
      <c r="AQ23" s="125">
        <f t="shared" si="5"/>
        <v>5.8118313168476776</v>
      </c>
      <c r="AR23" s="125">
        <f t="shared" si="6"/>
        <v>8002.4566725864752</v>
      </c>
    </row>
    <row r="24" spans="1:44" s="119" customFormat="1" ht="12" customHeight="1">
      <c r="A24" s="119" t="s">
        <v>323</v>
      </c>
      <c r="B24" s="117" t="s">
        <v>27</v>
      </c>
      <c r="C24" s="117" t="s">
        <v>28</v>
      </c>
      <c r="D24" s="161">
        <v>26.34</v>
      </c>
      <c r="E24" s="161">
        <v>131.19999999999999</v>
      </c>
      <c r="F24" s="161">
        <v>52.68</v>
      </c>
      <c r="G24" s="161">
        <v>79.02</v>
      </c>
      <c r="H24" s="161">
        <v>26.34</v>
      </c>
      <c r="I24" s="161">
        <v>52.68</v>
      </c>
      <c r="J24" s="161">
        <v>0</v>
      </c>
      <c r="K24" s="161">
        <v>0</v>
      </c>
      <c r="L24" s="161">
        <v>52.68</v>
      </c>
      <c r="M24" s="161">
        <v>79.02</v>
      </c>
      <c r="N24" s="161">
        <v>79.02</v>
      </c>
      <c r="O24" s="161">
        <v>52.68</v>
      </c>
      <c r="P24" s="161">
        <v>26.34</v>
      </c>
      <c r="Q24" s="125">
        <v>631.66</v>
      </c>
      <c r="S24" s="163">
        <f t="shared" si="1"/>
        <v>4.9810174639331812</v>
      </c>
      <c r="T24" s="163">
        <f t="shared" si="1"/>
        <v>2</v>
      </c>
      <c r="U24" s="163">
        <f t="shared" si="1"/>
        <v>3</v>
      </c>
      <c r="V24" s="163">
        <f t="shared" si="1"/>
        <v>1</v>
      </c>
      <c r="W24" s="163">
        <f t="shared" si="1"/>
        <v>2</v>
      </c>
      <c r="X24" s="163">
        <f t="shared" si="1"/>
        <v>0</v>
      </c>
      <c r="Y24" s="163">
        <f t="shared" si="1"/>
        <v>0</v>
      </c>
      <c r="Z24" s="163">
        <f t="shared" si="1"/>
        <v>2</v>
      </c>
      <c r="AA24" s="163">
        <f t="shared" si="1"/>
        <v>3</v>
      </c>
      <c r="AB24" s="163">
        <f t="shared" si="1"/>
        <v>3</v>
      </c>
      <c r="AC24" s="163">
        <f t="shared" si="1"/>
        <v>2</v>
      </c>
      <c r="AD24" s="163">
        <f t="shared" si="1"/>
        <v>1</v>
      </c>
      <c r="AE24" s="307">
        <f t="shared" si="2"/>
        <v>1.9984181219944317</v>
      </c>
      <c r="AF24" s="170"/>
      <c r="AG24" s="125">
        <f>+SUMIF('Spokane DF Calc'!$C$6:$C$21,'Spokane Reg - Price out 2023'!C24,'Spokane DF Calc'!$D$6:$D$21)-AE24</f>
        <v>0</v>
      </c>
      <c r="AN24" s="167">
        <v>26.44</v>
      </c>
      <c r="AO24" s="168">
        <f t="shared" si="3"/>
        <v>2.885347331574923</v>
      </c>
      <c r="AP24" s="168">
        <f t="shared" si="4"/>
        <v>69.193564748011227</v>
      </c>
      <c r="AQ24" s="125">
        <f t="shared" si="5"/>
        <v>29.325347331574925</v>
      </c>
      <c r="AR24" s="125">
        <f t="shared" si="6"/>
        <v>703.25166649440462</v>
      </c>
    </row>
    <row r="25" spans="1:44" s="119" customFormat="1" ht="12" customHeight="1">
      <c r="A25" s="171">
        <v>24</v>
      </c>
      <c r="B25" s="117" t="s">
        <v>424</v>
      </c>
      <c r="C25" s="117" t="s">
        <v>425</v>
      </c>
      <c r="D25" s="161">
        <f>ROUND(0.96*4.33,2)</f>
        <v>4.16</v>
      </c>
      <c r="E25" s="161">
        <v>0</v>
      </c>
      <c r="F25" s="161">
        <v>8.33</v>
      </c>
      <c r="G25" s="161">
        <v>0</v>
      </c>
      <c r="H25" s="161">
        <v>8.33</v>
      </c>
      <c r="I25" s="161">
        <v>0</v>
      </c>
      <c r="J25" s="161">
        <v>8.33</v>
      </c>
      <c r="K25" s="161">
        <v>0</v>
      </c>
      <c r="L25" s="161">
        <v>8.33</v>
      </c>
      <c r="M25" s="161">
        <v>0</v>
      </c>
      <c r="N25" s="161">
        <v>8.33</v>
      </c>
      <c r="O25" s="161">
        <v>0</v>
      </c>
      <c r="P25" s="161">
        <v>8.33</v>
      </c>
      <c r="Q25" s="125">
        <v>49.98</v>
      </c>
      <c r="S25" s="163">
        <f t="shared" si="1"/>
        <v>0</v>
      </c>
      <c r="T25" s="163">
        <f t="shared" si="1"/>
        <v>2.0024038461538463</v>
      </c>
      <c r="U25" s="163">
        <f t="shared" si="1"/>
        <v>0</v>
      </c>
      <c r="V25" s="163">
        <f t="shared" si="1"/>
        <v>2.0024038461538463</v>
      </c>
      <c r="W25" s="163">
        <f t="shared" si="1"/>
        <v>0</v>
      </c>
      <c r="X25" s="163">
        <f t="shared" si="1"/>
        <v>2.0024038461538463</v>
      </c>
      <c r="Y25" s="163">
        <f t="shared" si="1"/>
        <v>0</v>
      </c>
      <c r="Z25" s="163">
        <f t="shared" si="1"/>
        <v>2.0024038461538463</v>
      </c>
      <c r="AA25" s="163">
        <f t="shared" si="1"/>
        <v>0</v>
      </c>
      <c r="AB25" s="163">
        <f t="shared" si="1"/>
        <v>2.0024038461538463</v>
      </c>
      <c r="AC25" s="163">
        <f t="shared" si="1"/>
        <v>0</v>
      </c>
      <c r="AD25" s="163">
        <f t="shared" si="1"/>
        <v>2.0024038461538463</v>
      </c>
      <c r="AE25" s="169">
        <f t="shared" si="2"/>
        <v>1.0012019230769231</v>
      </c>
      <c r="AF25" s="165"/>
      <c r="AM25" s="119">
        <f>+AN25/4.33</f>
        <v>0.96073903002309469</v>
      </c>
      <c r="AN25" s="167">
        <v>4.16</v>
      </c>
      <c r="AO25" s="168">
        <f t="shared" si="3"/>
        <v>0.45397295383327074</v>
      </c>
      <c r="AP25" s="168">
        <f t="shared" si="4"/>
        <v>5.4542231328333832</v>
      </c>
      <c r="AQ25" s="125">
        <f t="shared" si="5"/>
        <v>4.6139729538332706</v>
      </c>
      <c r="AR25" s="125">
        <f t="shared" si="6"/>
        <v>55.434223132833388</v>
      </c>
    </row>
    <row r="26" spans="1:44" s="119" customFormat="1" ht="12" customHeight="1">
      <c r="A26" s="171" t="s">
        <v>323</v>
      </c>
      <c r="B26" s="117" t="s">
        <v>33</v>
      </c>
      <c r="C26" s="117" t="s">
        <v>34</v>
      </c>
      <c r="D26" s="161">
        <v>26.34</v>
      </c>
      <c r="E26" s="161">
        <v>26.34</v>
      </c>
      <c r="F26" s="161">
        <v>0</v>
      </c>
      <c r="G26" s="161">
        <v>52.68</v>
      </c>
      <c r="H26" s="161">
        <v>0</v>
      </c>
      <c r="I26" s="161">
        <v>0</v>
      </c>
      <c r="J26" s="161">
        <v>0</v>
      </c>
      <c r="K26" s="161">
        <v>52.68</v>
      </c>
      <c r="L26" s="161">
        <v>26.34</v>
      </c>
      <c r="M26" s="161">
        <v>52.68</v>
      </c>
      <c r="N26" s="161">
        <v>26.34</v>
      </c>
      <c r="O26" s="161">
        <v>0</v>
      </c>
      <c r="P26" s="161">
        <v>0</v>
      </c>
      <c r="Q26" s="125">
        <v>237.06</v>
      </c>
      <c r="S26" s="163">
        <f t="shared" si="1"/>
        <v>1</v>
      </c>
      <c r="T26" s="163">
        <f t="shared" si="1"/>
        <v>0</v>
      </c>
      <c r="U26" s="163">
        <f t="shared" si="1"/>
        <v>2</v>
      </c>
      <c r="V26" s="163">
        <f t="shared" si="1"/>
        <v>0</v>
      </c>
      <c r="W26" s="163">
        <f t="shared" si="1"/>
        <v>0</v>
      </c>
      <c r="X26" s="163">
        <f t="shared" si="1"/>
        <v>0</v>
      </c>
      <c r="Y26" s="163">
        <f t="shared" si="1"/>
        <v>2</v>
      </c>
      <c r="Z26" s="163">
        <f t="shared" si="1"/>
        <v>1</v>
      </c>
      <c r="AA26" s="163">
        <f t="shared" si="1"/>
        <v>2</v>
      </c>
      <c r="AB26" s="163">
        <f t="shared" si="1"/>
        <v>1</v>
      </c>
      <c r="AC26" s="163">
        <f t="shared" si="1"/>
        <v>0</v>
      </c>
      <c r="AD26" s="163">
        <f t="shared" si="1"/>
        <v>0</v>
      </c>
      <c r="AE26" s="307">
        <f t="shared" si="2"/>
        <v>0.75</v>
      </c>
      <c r="AF26" s="170"/>
      <c r="AG26" s="125">
        <f>+SUMIF('Spokane DF Calc'!$C$6:$C$21,'Spokane Reg - Price out 2023'!C26,'Spokane DF Calc'!$D$6:$D$21)-AE26</f>
        <v>0</v>
      </c>
      <c r="AN26" s="167">
        <v>26.44</v>
      </c>
      <c r="AO26" s="168">
        <f t="shared" si="3"/>
        <v>2.885347331574923</v>
      </c>
      <c r="AP26" s="168">
        <f t="shared" si="4"/>
        <v>25.968125984174307</v>
      </c>
      <c r="AQ26" s="125">
        <f t="shared" si="5"/>
        <v>29.325347331574925</v>
      </c>
      <c r="AR26" s="125">
        <f t="shared" si="6"/>
        <v>263.9281259841743</v>
      </c>
    </row>
    <row r="27" spans="1:44" s="119" customFormat="1" ht="12" customHeight="1">
      <c r="A27" s="171" t="s">
        <v>320</v>
      </c>
      <c r="B27" s="117" t="s">
        <v>29</v>
      </c>
      <c r="C27" s="117" t="s">
        <v>30</v>
      </c>
      <c r="D27" s="161">
        <v>5.21</v>
      </c>
      <c r="E27" s="161">
        <v>0</v>
      </c>
      <c r="F27" s="161">
        <v>0</v>
      </c>
      <c r="G27" s="161">
        <v>0</v>
      </c>
      <c r="H27" s="161">
        <v>10.42</v>
      </c>
      <c r="I27" s="161">
        <v>0</v>
      </c>
      <c r="J27" s="161">
        <v>0</v>
      </c>
      <c r="K27" s="161">
        <v>0</v>
      </c>
      <c r="L27" s="161">
        <v>0</v>
      </c>
      <c r="M27" s="161">
        <v>5.21</v>
      </c>
      <c r="N27" s="161">
        <v>0</v>
      </c>
      <c r="O27" s="161">
        <v>0</v>
      </c>
      <c r="P27" s="161">
        <v>0</v>
      </c>
      <c r="Q27" s="125">
        <v>15.629999999999999</v>
      </c>
      <c r="S27" s="163">
        <f t="shared" si="1"/>
        <v>0</v>
      </c>
      <c r="T27" s="163">
        <f t="shared" si="1"/>
        <v>0</v>
      </c>
      <c r="U27" s="163">
        <f t="shared" si="1"/>
        <v>0</v>
      </c>
      <c r="V27" s="163">
        <f t="shared" si="1"/>
        <v>2</v>
      </c>
      <c r="W27" s="163">
        <f t="shared" si="1"/>
        <v>0</v>
      </c>
      <c r="X27" s="163">
        <f t="shared" si="1"/>
        <v>0</v>
      </c>
      <c r="Y27" s="163">
        <f t="shared" si="1"/>
        <v>0</v>
      </c>
      <c r="Z27" s="163">
        <f t="shared" si="1"/>
        <v>0</v>
      </c>
      <c r="AA27" s="163">
        <f t="shared" si="1"/>
        <v>1</v>
      </c>
      <c r="AB27" s="163">
        <f t="shared" si="1"/>
        <v>0</v>
      </c>
      <c r="AC27" s="163">
        <f t="shared" si="1"/>
        <v>0</v>
      </c>
      <c r="AD27" s="163">
        <f t="shared" si="1"/>
        <v>0</v>
      </c>
      <c r="AE27" s="307">
        <f t="shared" si="2"/>
        <v>0.25</v>
      </c>
      <c r="AF27" s="170"/>
      <c r="AG27" s="125">
        <f>+SUMIF('Spokane DF Calc'!$C$6:$C$21,'Spokane Reg - Price out 2023'!C27,'Spokane DF Calc'!$D$6:$D$21)-AE27</f>
        <v>0</v>
      </c>
      <c r="AN27" s="167">
        <v>5.24</v>
      </c>
      <c r="AO27" s="168">
        <f t="shared" si="3"/>
        <v>0.57183131684767763</v>
      </c>
      <c r="AP27" s="168">
        <f t="shared" si="4"/>
        <v>1.7154939505430329</v>
      </c>
      <c r="AQ27" s="125">
        <f t="shared" si="5"/>
        <v>5.8118313168476776</v>
      </c>
      <c r="AR27" s="125">
        <f t="shared" si="6"/>
        <v>17.435493950543034</v>
      </c>
    </row>
    <row r="28" spans="1:44" s="119" customFormat="1" ht="12" customHeight="1">
      <c r="A28" s="171" t="s">
        <v>320</v>
      </c>
      <c r="B28" s="117" t="s">
        <v>31</v>
      </c>
      <c r="C28" s="117" t="s">
        <v>32</v>
      </c>
      <c r="D28" s="161">
        <v>5.21</v>
      </c>
      <c r="E28" s="161">
        <v>0</v>
      </c>
      <c r="F28" s="161">
        <v>10.42</v>
      </c>
      <c r="G28" s="161">
        <v>10.42</v>
      </c>
      <c r="H28" s="161">
        <v>5.21</v>
      </c>
      <c r="I28" s="161">
        <v>5.21</v>
      </c>
      <c r="J28" s="161">
        <v>0</v>
      </c>
      <c r="K28" s="161">
        <v>5.21</v>
      </c>
      <c r="L28" s="161">
        <v>0</v>
      </c>
      <c r="M28" s="161">
        <v>15.63</v>
      </c>
      <c r="N28" s="161">
        <v>5.21</v>
      </c>
      <c r="O28" s="161">
        <v>10.42</v>
      </c>
      <c r="P28" s="161">
        <v>0</v>
      </c>
      <c r="Q28" s="125">
        <v>67.73</v>
      </c>
      <c r="S28" s="163">
        <f t="shared" si="1"/>
        <v>0</v>
      </c>
      <c r="T28" s="163">
        <f t="shared" si="1"/>
        <v>2</v>
      </c>
      <c r="U28" s="163">
        <f t="shared" si="1"/>
        <v>2</v>
      </c>
      <c r="V28" s="163">
        <f t="shared" si="1"/>
        <v>1</v>
      </c>
      <c r="W28" s="163">
        <f t="shared" si="1"/>
        <v>1</v>
      </c>
      <c r="X28" s="163">
        <f t="shared" si="1"/>
        <v>0</v>
      </c>
      <c r="Y28" s="163">
        <f t="shared" si="1"/>
        <v>1</v>
      </c>
      <c r="Z28" s="163">
        <f t="shared" si="1"/>
        <v>0</v>
      </c>
      <c r="AA28" s="163">
        <f t="shared" si="1"/>
        <v>3</v>
      </c>
      <c r="AB28" s="163">
        <f t="shared" si="1"/>
        <v>1</v>
      </c>
      <c r="AC28" s="163">
        <f t="shared" si="1"/>
        <v>2</v>
      </c>
      <c r="AD28" s="163">
        <f t="shared" si="1"/>
        <v>0</v>
      </c>
      <c r="AE28" s="307">
        <f t="shared" si="2"/>
        <v>1.0833333333333333</v>
      </c>
      <c r="AF28" s="170"/>
      <c r="AG28" s="125">
        <f>+SUMIF('Spokane DF Calc'!$C$6:$C$21,'Spokane Reg - Price out 2023'!C28,'Spokane DF Calc'!$D$6:$D$21)-AE28</f>
        <v>0</v>
      </c>
      <c r="AN28" s="167">
        <v>5.24</v>
      </c>
      <c r="AO28" s="168">
        <f t="shared" si="3"/>
        <v>0.57183131684767763</v>
      </c>
      <c r="AP28" s="168">
        <f t="shared" si="4"/>
        <v>7.433807119019809</v>
      </c>
      <c r="AQ28" s="125">
        <f t="shared" si="5"/>
        <v>5.8118313168476776</v>
      </c>
      <c r="AR28" s="125">
        <f t="shared" si="6"/>
        <v>75.553807119019808</v>
      </c>
    </row>
    <row r="29" spans="1:44" s="119" customFormat="1" ht="12" customHeight="1">
      <c r="A29" s="171">
        <v>24</v>
      </c>
      <c r="B29" s="117" t="s">
        <v>253</v>
      </c>
      <c r="C29" s="117" t="s">
        <v>254</v>
      </c>
      <c r="D29" s="161">
        <f>ROUND(1.84*4.33,2)</f>
        <v>7.97</v>
      </c>
      <c r="E29" s="161">
        <v>462.26</v>
      </c>
      <c r="F29" s="161">
        <v>143.46</v>
      </c>
      <c r="G29" s="161">
        <v>462.26</v>
      </c>
      <c r="H29" s="161">
        <v>143.46</v>
      </c>
      <c r="I29" s="161">
        <v>404.47</v>
      </c>
      <c r="J29" s="161">
        <v>169.36</v>
      </c>
      <c r="K29" s="161">
        <v>422.4</v>
      </c>
      <c r="L29" s="161">
        <v>175.34</v>
      </c>
      <c r="M29" s="161">
        <v>434.36</v>
      </c>
      <c r="N29" s="161">
        <v>185.3</v>
      </c>
      <c r="O29" s="161">
        <v>446.32</v>
      </c>
      <c r="P29" s="161">
        <v>207.22</v>
      </c>
      <c r="Q29" s="125">
        <v>3656.2100000000005</v>
      </c>
      <c r="S29" s="163">
        <f t="shared" si="1"/>
        <v>58</v>
      </c>
      <c r="T29" s="163">
        <f t="shared" si="1"/>
        <v>18</v>
      </c>
      <c r="U29" s="163">
        <f t="shared" si="1"/>
        <v>58</v>
      </c>
      <c r="V29" s="163">
        <f t="shared" si="1"/>
        <v>18</v>
      </c>
      <c r="W29" s="163">
        <f t="shared" si="1"/>
        <v>50.749058971141785</v>
      </c>
      <c r="X29" s="163">
        <f t="shared" si="1"/>
        <v>21.249686323713931</v>
      </c>
      <c r="Y29" s="163">
        <f t="shared" si="1"/>
        <v>52.998745294855709</v>
      </c>
      <c r="Z29" s="163">
        <f t="shared" si="1"/>
        <v>22</v>
      </c>
      <c r="AA29" s="163">
        <f t="shared" si="1"/>
        <v>54.499372647427855</v>
      </c>
      <c r="AB29" s="163">
        <f t="shared" si="1"/>
        <v>23.249686323713931</v>
      </c>
      <c r="AC29" s="163">
        <f t="shared" si="1"/>
        <v>56</v>
      </c>
      <c r="AD29" s="163">
        <f t="shared" si="1"/>
        <v>26</v>
      </c>
      <c r="AE29" s="169">
        <f t="shared" si="2"/>
        <v>38.2288791300711</v>
      </c>
      <c r="AF29" s="165"/>
      <c r="AM29" s="119">
        <f>+AN29/4.33</f>
        <v>1.8406466512702078</v>
      </c>
      <c r="AN29" s="167">
        <v>7.97</v>
      </c>
      <c r="AO29" s="168">
        <f t="shared" si="3"/>
        <v>0.86975106780076139</v>
      </c>
      <c r="AP29" s="168">
        <f t="shared" si="4"/>
        <v>398.99530133046699</v>
      </c>
      <c r="AQ29" s="125">
        <f t="shared" si="5"/>
        <v>8.839751067800762</v>
      </c>
      <c r="AR29" s="125">
        <f t="shared" si="6"/>
        <v>4055.2053013304671</v>
      </c>
    </row>
    <row r="30" spans="1:44" s="119" customFormat="1" ht="12" customHeight="1">
      <c r="A30" s="171"/>
      <c r="B30" s="117" t="s">
        <v>426</v>
      </c>
      <c r="C30" s="117" t="s">
        <v>427</v>
      </c>
      <c r="D30" s="161"/>
      <c r="E30" s="161">
        <v>0</v>
      </c>
      <c r="F30" s="161">
        <v>-0.87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25">
        <v>-0.87</v>
      </c>
      <c r="S30" s="163">
        <f t="shared" si="1"/>
        <v>0</v>
      </c>
      <c r="T30" s="163">
        <f t="shared" si="1"/>
        <v>0</v>
      </c>
      <c r="U30" s="163">
        <f t="shared" si="1"/>
        <v>0</v>
      </c>
      <c r="V30" s="163">
        <f t="shared" si="1"/>
        <v>0</v>
      </c>
      <c r="W30" s="163">
        <f t="shared" si="1"/>
        <v>0</v>
      </c>
      <c r="X30" s="163">
        <f t="shared" si="1"/>
        <v>0</v>
      </c>
      <c r="Y30" s="163">
        <f t="shared" si="1"/>
        <v>0</v>
      </c>
      <c r="Z30" s="163">
        <f t="shared" si="1"/>
        <v>0</v>
      </c>
      <c r="AA30" s="163">
        <f t="shared" si="1"/>
        <v>0</v>
      </c>
      <c r="AB30" s="163">
        <f t="shared" si="1"/>
        <v>0</v>
      </c>
      <c r="AC30" s="163">
        <f t="shared" si="1"/>
        <v>0</v>
      </c>
      <c r="AD30" s="163">
        <f t="shared" si="1"/>
        <v>0</v>
      </c>
      <c r="AE30" s="169">
        <f t="shared" si="2"/>
        <v>0</v>
      </c>
      <c r="AF30" s="165"/>
      <c r="AN30" s="155"/>
      <c r="AO30" s="168">
        <f t="shared" si="3"/>
        <v>0</v>
      </c>
      <c r="AP30" s="168">
        <f t="shared" si="4"/>
        <v>0</v>
      </c>
      <c r="AQ30" s="125">
        <f t="shared" si="5"/>
        <v>0</v>
      </c>
      <c r="AR30" s="125">
        <f t="shared" si="6"/>
        <v>0</v>
      </c>
    </row>
    <row r="31" spans="1:44" s="119" customFormat="1" ht="12" customHeight="1">
      <c r="A31" s="171"/>
      <c r="B31" s="117" t="s">
        <v>428</v>
      </c>
      <c r="C31" s="117" t="s">
        <v>429</v>
      </c>
      <c r="D31" s="161"/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706.375</v>
      </c>
      <c r="L31" s="161">
        <v>931.12000000000012</v>
      </c>
      <c r="M31" s="161">
        <v>238.91</v>
      </c>
      <c r="N31" s="161">
        <v>482.85500000000002</v>
      </c>
      <c r="O31" s="161">
        <v>1227.67</v>
      </c>
      <c r="P31" s="161">
        <v>740.27</v>
      </c>
      <c r="Q31" s="125">
        <v>4327.2000000000007</v>
      </c>
      <c r="S31" s="163">
        <f t="shared" si="1"/>
        <v>0</v>
      </c>
      <c r="T31" s="163">
        <f t="shared" si="1"/>
        <v>0</v>
      </c>
      <c r="U31" s="163">
        <f t="shared" si="1"/>
        <v>0</v>
      </c>
      <c r="V31" s="163">
        <f t="shared" si="1"/>
        <v>0</v>
      </c>
      <c r="W31" s="163">
        <f t="shared" si="1"/>
        <v>0</v>
      </c>
      <c r="X31" s="163">
        <f t="shared" si="1"/>
        <v>0</v>
      </c>
      <c r="Y31" s="163">
        <f t="shared" si="1"/>
        <v>0</v>
      </c>
      <c r="Z31" s="163">
        <f t="shared" si="1"/>
        <v>0</v>
      </c>
      <c r="AA31" s="163">
        <f t="shared" si="1"/>
        <v>0</v>
      </c>
      <c r="AB31" s="163">
        <f t="shared" si="1"/>
        <v>0</v>
      </c>
      <c r="AC31" s="163">
        <f t="shared" si="1"/>
        <v>0</v>
      </c>
      <c r="AD31" s="163">
        <f t="shared" si="1"/>
        <v>0</v>
      </c>
      <c r="AE31" s="169">
        <f t="shared" si="2"/>
        <v>0</v>
      </c>
      <c r="AF31" s="165"/>
      <c r="AN31" s="167"/>
      <c r="AO31" s="167">
        <f t="shared" si="3"/>
        <v>0</v>
      </c>
      <c r="AP31" s="167">
        <f t="shared" si="4"/>
        <v>0</v>
      </c>
      <c r="AQ31" s="172">
        <f t="shared" si="5"/>
        <v>0</v>
      </c>
      <c r="AR31" s="172">
        <f t="shared" si="6"/>
        <v>0</v>
      </c>
    </row>
    <row r="32" spans="1:44" s="119" customFormat="1" ht="12" customHeight="1">
      <c r="A32" s="171">
        <v>20</v>
      </c>
      <c r="B32" s="117" t="s">
        <v>35</v>
      </c>
      <c r="C32" s="117" t="s">
        <v>36</v>
      </c>
      <c r="D32" s="161">
        <v>26.3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52.6</v>
      </c>
      <c r="K32" s="161">
        <v>0</v>
      </c>
      <c r="L32" s="161">
        <v>0</v>
      </c>
      <c r="M32" s="161">
        <v>26.3</v>
      </c>
      <c r="N32" s="161">
        <v>0</v>
      </c>
      <c r="O32" s="161">
        <v>0</v>
      </c>
      <c r="P32" s="161">
        <v>26.3</v>
      </c>
      <c r="Q32" s="125">
        <v>105.2</v>
      </c>
      <c r="S32" s="163">
        <f t="shared" si="1"/>
        <v>0</v>
      </c>
      <c r="T32" s="163">
        <f t="shared" si="1"/>
        <v>0</v>
      </c>
      <c r="U32" s="163">
        <f t="shared" si="1"/>
        <v>0</v>
      </c>
      <c r="V32" s="163">
        <f t="shared" si="1"/>
        <v>0</v>
      </c>
      <c r="W32" s="163">
        <f t="shared" si="1"/>
        <v>0</v>
      </c>
      <c r="X32" s="163">
        <f t="shared" si="1"/>
        <v>2</v>
      </c>
      <c r="Y32" s="163">
        <f t="shared" si="1"/>
        <v>0</v>
      </c>
      <c r="Z32" s="163">
        <f t="shared" si="1"/>
        <v>0</v>
      </c>
      <c r="AA32" s="163">
        <f t="shared" si="1"/>
        <v>1</v>
      </c>
      <c r="AB32" s="163">
        <f t="shared" si="1"/>
        <v>0</v>
      </c>
      <c r="AC32" s="163">
        <f t="shared" si="1"/>
        <v>0</v>
      </c>
      <c r="AD32" s="163">
        <f t="shared" si="1"/>
        <v>1</v>
      </c>
      <c r="AE32" s="169">
        <f t="shared" si="2"/>
        <v>0.33333333333333331</v>
      </c>
      <c r="AF32" s="165"/>
      <c r="AN32" s="167">
        <v>26.3</v>
      </c>
      <c r="AO32" s="168">
        <f t="shared" si="3"/>
        <v>2.8700693956286107</v>
      </c>
      <c r="AP32" s="168">
        <f t="shared" si="4"/>
        <v>11.480277582514443</v>
      </c>
      <c r="AQ32" s="125">
        <f t="shared" si="5"/>
        <v>29.170069395628612</v>
      </c>
      <c r="AR32" s="125">
        <f t="shared" si="6"/>
        <v>116.68027758251445</v>
      </c>
    </row>
    <row r="33" spans="1:47" s="119" customFormat="1" ht="12" customHeight="1">
      <c r="A33" s="171">
        <v>20</v>
      </c>
      <c r="B33" s="117" t="s">
        <v>37</v>
      </c>
      <c r="C33" s="117" t="s">
        <v>38</v>
      </c>
      <c r="D33" s="161">
        <v>15.78</v>
      </c>
      <c r="E33" s="161">
        <v>63.120000000000005</v>
      </c>
      <c r="F33" s="161">
        <v>15.78</v>
      </c>
      <c r="G33" s="161">
        <v>31.56</v>
      </c>
      <c r="H33" s="161">
        <v>31.56</v>
      </c>
      <c r="I33" s="161">
        <v>0</v>
      </c>
      <c r="J33" s="161">
        <v>31.56</v>
      </c>
      <c r="K33" s="161">
        <v>47.339999999999996</v>
      </c>
      <c r="L33" s="161">
        <v>94.68</v>
      </c>
      <c r="M33" s="161">
        <v>31.56</v>
      </c>
      <c r="N33" s="161">
        <v>63.12</v>
      </c>
      <c r="O33" s="161">
        <v>63.120000000000005</v>
      </c>
      <c r="P33" s="161">
        <v>0</v>
      </c>
      <c r="Q33" s="125">
        <v>473.40000000000003</v>
      </c>
      <c r="S33" s="163">
        <f t="shared" si="1"/>
        <v>4.0000000000000009</v>
      </c>
      <c r="T33" s="163">
        <f t="shared" si="1"/>
        <v>1</v>
      </c>
      <c r="U33" s="163">
        <f t="shared" si="1"/>
        <v>2</v>
      </c>
      <c r="V33" s="163">
        <f t="shared" ref="V33:AD33" si="7">IFERROR(H33/$D33,0)</f>
        <v>2</v>
      </c>
      <c r="W33" s="163">
        <f t="shared" si="7"/>
        <v>0</v>
      </c>
      <c r="X33" s="163">
        <f t="shared" si="7"/>
        <v>2</v>
      </c>
      <c r="Y33" s="163">
        <f t="shared" si="7"/>
        <v>3</v>
      </c>
      <c r="Z33" s="163">
        <f t="shared" si="7"/>
        <v>6.0000000000000009</v>
      </c>
      <c r="AA33" s="163">
        <f t="shared" si="7"/>
        <v>2</v>
      </c>
      <c r="AB33" s="163">
        <f t="shared" si="7"/>
        <v>4</v>
      </c>
      <c r="AC33" s="163">
        <f t="shared" si="7"/>
        <v>4.0000000000000009</v>
      </c>
      <c r="AD33" s="163">
        <f t="shared" si="7"/>
        <v>0</v>
      </c>
      <c r="AE33" s="169">
        <f t="shared" si="2"/>
        <v>2.5</v>
      </c>
      <c r="AF33" s="165"/>
      <c r="AN33" s="167">
        <v>15.78</v>
      </c>
      <c r="AO33" s="168">
        <f t="shared" si="3"/>
        <v>1.7220416373771663</v>
      </c>
      <c r="AP33" s="168">
        <f t="shared" si="4"/>
        <v>51.661249121314988</v>
      </c>
      <c r="AQ33" s="125">
        <f t="shared" si="5"/>
        <v>17.502041637377165</v>
      </c>
      <c r="AR33" s="125">
        <f t="shared" si="6"/>
        <v>525.06124912131486</v>
      </c>
    </row>
    <row r="34" spans="1:47" s="119" customFormat="1" ht="8.25" customHeight="1" thickBot="1">
      <c r="B34" s="173"/>
      <c r="C34" s="173"/>
      <c r="D34" s="161"/>
      <c r="E34" s="161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25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5"/>
      <c r="AF34" s="165"/>
      <c r="AN34" s="155"/>
    </row>
    <row r="35" spans="1:47" s="119" customFormat="1" ht="12" customHeight="1" thickBot="1">
      <c r="C35" s="174" t="s">
        <v>39</v>
      </c>
      <c r="D35" s="161"/>
      <c r="E35" s="175">
        <v>48417.790000000008</v>
      </c>
      <c r="F35" s="175">
        <v>48379.404999999992</v>
      </c>
      <c r="G35" s="175">
        <v>49343.439999999988</v>
      </c>
      <c r="H35" s="175">
        <v>49054.304999999993</v>
      </c>
      <c r="I35" s="175">
        <v>49724.330000000009</v>
      </c>
      <c r="J35" s="175">
        <v>50561.984999999993</v>
      </c>
      <c r="K35" s="175">
        <v>51151.985000000001</v>
      </c>
      <c r="L35" s="175">
        <v>51488.92</v>
      </c>
      <c r="M35" s="175">
        <v>51229.194999999992</v>
      </c>
      <c r="N35" s="175">
        <v>51111.875000000007</v>
      </c>
      <c r="O35" s="175">
        <v>51541.324999999997</v>
      </c>
      <c r="P35" s="175">
        <v>50734.04</v>
      </c>
      <c r="Q35" s="175">
        <v>602738.59500000009</v>
      </c>
      <c r="S35" s="176">
        <f t="shared" ref="S35:AE35" si="8">SUM(S12:S22)</f>
        <v>1443.8188441198013</v>
      </c>
      <c r="T35" s="176">
        <f t="shared" si="8"/>
        <v>1454.6003227473734</v>
      </c>
      <c r="U35" s="176">
        <f t="shared" si="8"/>
        <v>1462.5209746163468</v>
      </c>
      <c r="V35" s="176">
        <f t="shared" si="8"/>
        <v>1471.6054229327581</v>
      </c>
      <c r="W35" s="176">
        <f t="shared" si="8"/>
        <v>1478.7877285009454</v>
      </c>
      <c r="X35" s="176">
        <f t="shared" si="8"/>
        <v>1492.1199178309982</v>
      </c>
      <c r="Y35" s="176">
        <f t="shared" si="8"/>
        <v>1489.9975640857488</v>
      </c>
      <c r="Z35" s="176">
        <f t="shared" si="8"/>
        <v>1488.1226887438395</v>
      </c>
      <c r="AA35" s="176">
        <f t="shared" si="8"/>
        <v>1504.2475505359546</v>
      </c>
      <c r="AB35" s="176">
        <f t="shared" si="8"/>
        <v>1503.62317150991</v>
      </c>
      <c r="AC35" s="176">
        <f t="shared" si="8"/>
        <v>1502.8715832075222</v>
      </c>
      <c r="AD35" s="176">
        <f t="shared" si="8"/>
        <v>1503.9726085062368</v>
      </c>
      <c r="AE35" s="176">
        <f t="shared" si="8"/>
        <v>1483.0240314447865</v>
      </c>
      <c r="AF35" s="177"/>
      <c r="AH35" s="178">
        <f>SUM(AH12:AH22)</f>
        <v>1011.4193501276148</v>
      </c>
      <c r="AN35" s="175">
        <f>SUM(AN12:AN33)</f>
        <v>615.92000000000007</v>
      </c>
      <c r="AO35" s="175">
        <f t="shared" ref="AO35:AR35" si="9">SUM(AO12:AO33)</f>
        <v>67.214187914660599</v>
      </c>
      <c r="AP35" s="179">
        <f t="shared" si="9"/>
        <v>65653.322509342586</v>
      </c>
      <c r="AQ35" s="175">
        <f t="shared" si="9"/>
        <v>683.13418791466052</v>
      </c>
      <c r="AR35" s="175">
        <f t="shared" si="9"/>
        <v>667270.26759980316</v>
      </c>
    </row>
    <row r="36" spans="1:47" s="119" customFormat="1" ht="14.25" customHeight="1">
      <c r="D36" s="161"/>
      <c r="E36" s="161"/>
      <c r="Q36" s="309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80" t="s">
        <v>430</v>
      </c>
      <c r="AE36" s="308">
        <f>+SUM(AE12:AE24,AE26:AE28)</f>
        <v>1601.8495448962756</v>
      </c>
      <c r="AF36" s="165"/>
      <c r="AG36" s="309" t="s">
        <v>464</v>
      </c>
      <c r="AN36" s="155"/>
    </row>
    <row r="37" spans="1:47" ht="12" customHeight="1">
      <c r="B37" s="156" t="s">
        <v>40</v>
      </c>
      <c r="C37" s="156" t="s">
        <v>40</v>
      </c>
      <c r="E37" s="181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</row>
    <row r="38" spans="1:47" ht="8.25" customHeight="1">
      <c r="B38" s="156"/>
      <c r="C38" s="156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</row>
    <row r="39" spans="1:47" s="119" customFormat="1">
      <c r="B39" s="136" t="s">
        <v>41</v>
      </c>
      <c r="C39" s="136" t="s">
        <v>41</v>
      </c>
      <c r="D39" s="161"/>
      <c r="E39" s="161"/>
      <c r="Q39" s="125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5"/>
      <c r="AF39" s="165"/>
      <c r="AN39" s="155"/>
    </row>
    <row r="40" spans="1:47" s="119" customFormat="1" ht="12" customHeight="1">
      <c r="A40" s="119" t="s">
        <v>326</v>
      </c>
      <c r="B40" s="117" t="s">
        <v>42</v>
      </c>
      <c r="C40" s="117" t="s">
        <v>43</v>
      </c>
      <c r="D40" s="161">
        <f>ROUND(20.8*4.33,2)</f>
        <v>90.06</v>
      </c>
      <c r="E40" s="161">
        <v>3129.58</v>
      </c>
      <c r="F40" s="161">
        <v>3107.07</v>
      </c>
      <c r="G40" s="161">
        <v>3084.5499999999997</v>
      </c>
      <c r="H40" s="161">
        <v>3129.58</v>
      </c>
      <c r="I40" s="161">
        <v>3219.64</v>
      </c>
      <c r="J40" s="161">
        <v>3152.1</v>
      </c>
      <c r="K40" s="161">
        <v>3197.12</v>
      </c>
      <c r="L40" s="161">
        <v>3084.5499999999997</v>
      </c>
      <c r="M40" s="161">
        <v>2971.98</v>
      </c>
      <c r="N40" s="161">
        <v>2949.46</v>
      </c>
      <c r="O40" s="161">
        <v>2926.95</v>
      </c>
      <c r="P40" s="161">
        <v>2859.4</v>
      </c>
      <c r="Q40" s="125">
        <v>36811.979999999996</v>
      </c>
      <c r="S40" s="163">
        <f t="shared" ref="S40:AD61" si="10">IFERROR(E40/$D40,0)</f>
        <v>34.749944481456808</v>
      </c>
      <c r="T40" s="163">
        <f t="shared" si="10"/>
        <v>34.5</v>
      </c>
      <c r="U40" s="163">
        <f t="shared" si="10"/>
        <v>34.249944481456801</v>
      </c>
      <c r="V40" s="163">
        <f t="shared" si="10"/>
        <v>34.749944481456808</v>
      </c>
      <c r="W40" s="163">
        <f t="shared" si="10"/>
        <v>35.749944481456801</v>
      </c>
      <c r="X40" s="163">
        <f t="shared" si="10"/>
        <v>35</v>
      </c>
      <c r="Y40" s="163">
        <f t="shared" si="10"/>
        <v>35.499888962913609</v>
      </c>
      <c r="Z40" s="163">
        <f t="shared" si="10"/>
        <v>34.249944481456801</v>
      </c>
      <c r="AA40" s="163">
        <f t="shared" si="10"/>
        <v>33</v>
      </c>
      <c r="AB40" s="163">
        <f t="shared" si="10"/>
        <v>32.749944481456808</v>
      </c>
      <c r="AC40" s="163">
        <f t="shared" si="10"/>
        <v>32.5</v>
      </c>
      <c r="AD40" s="163">
        <f t="shared" si="10"/>
        <v>31.749944481456808</v>
      </c>
      <c r="AE40" s="307">
        <f t="shared" ref="AE40:AE76" si="11">SUM(S40:AD40)/12</f>
        <v>34.062458361092602</v>
      </c>
      <c r="AF40" s="183"/>
      <c r="AG40" s="125">
        <f>+SUMIF('Spokane DF Calc'!$C$23:$C$44,'Spokane Reg - Price out 2023'!C40,'Spokane DF Calc'!$D$23:$D$44)-AE40</f>
        <v>0</v>
      </c>
      <c r="AH40" s="125">
        <f t="shared" ref="AH40:AH48" si="12">+RIGHT(C40)*AE40</f>
        <v>34.062458361092602</v>
      </c>
      <c r="AN40" s="167">
        <f>20.94*4.33</f>
        <v>90.670200000000008</v>
      </c>
      <c r="AO40" s="168">
        <f t="shared" ref="AO40:AO76" si="13">+AN40*$AQ$2</f>
        <v>9.8946679131378428</v>
      </c>
      <c r="AP40" s="168">
        <f t="shared" ref="AP40:AP76" si="14">+AO40*AE40*12</f>
        <v>4044.4405654571615</v>
      </c>
      <c r="AQ40" s="125">
        <f t="shared" ref="AQ40:AQ76" si="15">+AN40+AO40</f>
        <v>100.56486791313785</v>
      </c>
      <c r="AR40" s="125">
        <f t="shared" ref="AR40:AR76" si="16">+AQ40*AE40*12</f>
        <v>41105.839510560421</v>
      </c>
      <c r="AT40" s="125"/>
      <c r="AU40" s="125"/>
    </row>
    <row r="41" spans="1:47" s="119" customFormat="1" ht="12" customHeight="1">
      <c r="A41" s="119" t="s">
        <v>326</v>
      </c>
      <c r="B41" s="117" t="s">
        <v>44</v>
      </c>
      <c r="C41" s="117" t="s">
        <v>45</v>
      </c>
      <c r="D41" s="161">
        <f>ROUND(31.12*4.33,2)</f>
        <v>134.75</v>
      </c>
      <c r="E41" s="161">
        <v>2021.25</v>
      </c>
      <c r="F41" s="161">
        <v>1886.5</v>
      </c>
      <c r="G41" s="161">
        <v>1886.5</v>
      </c>
      <c r="H41" s="161">
        <v>1819.12</v>
      </c>
      <c r="I41" s="161">
        <v>2021.25</v>
      </c>
      <c r="J41" s="161">
        <v>2290.75</v>
      </c>
      <c r="K41" s="161">
        <v>2290.75</v>
      </c>
      <c r="L41" s="161">
        <v>2290.75</v>
      </c>
      <c r="M41" s="161">
        <v>2425.4899999999998</v>
      </c>
      <c r="N41" s="161">
        <v>2290.75</v>
      </c>
      <c r="O41" s="161">
        <v>2156</v>
      </c>
      <c r="P41" s="161">
        <v>2054.9299999999998</v>
      </c>
      <c r="Q41" s="125">
        <v>25434.04</v>
      </c>
      <c r="S41" s="163">
        <f t="shared" si="10"/>
        <v>15</v>
      </c>
      <c r="T41" s="163">
        <f t="shared" si="10"/>
        <v>14</v>
      </c>
      <c r="U41" s="163">
        <f t="shared" si="10"/>
        <v>14</v>
      </c>
      <c r="V41" s="163">
        <f t="shared" si="10"/>
        <v>13.499962894248608</v>
      </c>
      <c r="W41" s="163">
        <f t="shared" si="10"/>
        <v>15</v>
      </c>
      <c r="X41" s="163">
        <f t="shared" si="10"/>
        <v>17</v>
      </c>
      <c r="Y41" s="163">
        <f t="shared" si="10"/>
        <v>17</v>
      </c>
      <c r="Z41" s="163">
        <f t="shared" si="10"/>
        <v>17</v>
      </c>
      <c r="AA41" s="163">
        <f t="shared" si="10"/>
        <v>17.999925788497215</v>
      </c>
      <c r="AB41" s="163">
        <f t="shared" si="10"/>
        <v>17</v>
      </c>
      <c r="AC41" s="163">
        <f t="shared" si="10"/>
        <v>16</v>
      </c>
      <c r="AD41" s="163">
        <f t="shared" si="10"/>
        <v>15.249944341372911</v>
      </c>
      <c r="AE41" s="307">
        <f t="shared" si="11"/>
        <v>15.729152752009895</v>
      </c>
      <c r="AF41" s="183"/>
      <c r="AG41" s="125">
        <f>+SUMIF('Spokane DF Calc'!$C$23:$C$44,'Spokane Reg - Price out 2023'!C41,'Spokane DF Calc'!$D$23:$D$44)-AE41</f>
        <v>0</v>
      </c>
      <c r="AH41" s="125">
        <f t="shared" si="12"/>
        <v>15.729152752009895</v>
      </c>
      <c r="AN41" s="167">
        <f>31.32*4.33</f>
        <v>135.6156</v>
      </c>
      <c r="AO41" s="168">
        <f t="shared" si="13"/>
        <v>14.799474643719066</v>
      </c>
      <c r="AP41" s="168">
        <f t="shared" si="14"/>
        <v>2793.3983678466529</v>
      </c>
      <c r="AQ41" s="125">
        <f t="shared" si="15"/>
        <v>150.41507464371907</v>
      </c>
      <c r="AR41" s="125">
        <f t="shared" si="16"/>
        <v>28390.82022331233</v>
      </c>
      <c r="AT41" s="125"/>
      <c r="AU41" s="125"/>
    </row>
    <row r="42" spans="1:47" s="119" customFormat="1" ht="12" customHeight="1">
      <c r="A42" s="119" t="s">
        <v>326</v>
      </c>
      <c r="B42" s="117" t="s">
        <v>48</v>
      </c>
      <c r="C42" s="117" t="s">
        <v>49</v>
      </c>
      <c r="D42" s="161">
        <f>+ROUND(4.33*41.31,2)</f>
        <v>178.87</v>
      </c>
      <c r="E42" s="161">
        <v>1073.22</v>
      </c>
      <c r="F42" s="161">
        <v>1073.22</v>
      </c>
      <c r="G42" s="161">
        <v>1073.22</v>
      </c>
      <c r="H42" s="161">
        <v>1073.22</v>
      </c>
      <c r="I42" s="161">
        <v>1073.22</v>
      </c>
      <c r="J42" s="161">
        <v>1252.0899999999999</v>
      </c>
      <c r="K42" s="161">
        <v>1341.52</v>
      </c>
      <c r="L42" s="161">
        <v>1609.83</v>
      </c>
      <c r="M42" s="161">
        <v>1609.83</v>
      </c>
      <c r="N42" s="161">
        <v>1565.11</v>
      </c>
      <c r="O42" s="161">
        <v>1430.96</v>
      </c>
      <c r="P42" s="161">
        <v>1878.13</v>
      </c>
      <c r="Q42" s="125">
        <v>16053.570000000003</v>
      </c>
      <c r="S42" s="163">
        <f t="shared" si="10"/>
        <v>6</v>
      </c>
      <c r="T42" s="163">
        <f t="shared" si="10"/>
        <v>6</v>
      </c>
      <c r="U42" s="163">
        <f t="shared" si="10"/>
        <v>6</v>
      </c>
      <c r="V42" s="163">
        <f t="shared" si="10"/>
        <v>6</v>
      </c>
      <c r="W42" s="163">
        <f t="shared" si="10"/>
        <v>6</v>
      </c>
      <c r="X42" s="163">
        <f t="shared" si="10"/>
        <v>6.9999999999999991</v>
      </c>
      <c r="Y42" s="163">
        <f t="shared" si="10"/>
        <v>7.4999720467378541</v>
      </c>
      <c r="Z42" s="163">
        <f t="shared" si="10"/>
        <v>9</v>
      </c>
      <c r="AA42" s="163">
        <f t="shared" si="10"/>
        <v>9</v>
      </c>
      <c r="AB42" s="163">
        <f t="shared" si="10"/>
        <v>8.7499860233689262</v>
      </c>
      <c r="AC42" s="163">
        <f t="shared" si="10"/>
        <v>8</v>
      </c>
      <c r="AD42" s="163">
        <f t="shared" si="10"/>
        <v>10.499972046737854</v>
      </c>
      <c r="AE42" s="307">
        <f t="shared" si="11"/>
        <v>7.4791608430703853</v>
      </c>
      <c r="AF42" s="183"/>
      <c r="AG42" s="125">
        <f>+SUMIF('Spokane DF Calc'!$C$23:$C$44,'Spokane Reg - Price out 2023'!C42,'Spokane DF Calc'!$D$23:$D$44)-AE42</f>
        <v>0</v>
      </c>
      <c r="AH42" s="125">
        <f t="shared" si="12"/>
        <v>7.4791608430703853</v>
      </c>
      <c r="AN42" s="167">
        <f>41.57*4.33</f>
        <v>179.99809999999999</v>
      </c>
      <c r="AO42" s="168">
        <f t="shared" si="13"/>
        <v>19.642853158984721</v>
      </c>
      <c r="AP42" s="168">
        <f t="shared" si="14"/>
        <v>1762.9446983143193</v>
      </c>
      <c r="AQ42" s="125">
        <f t="shared" si="15"/>
        <v>199.6409531589847</v>
      </c>
      <c r="AR42" s="125">
        <f t="shared" si="16"/>
        <v>17917.761594479129</v>
      </c>
      <c r="AT42" s="125"/>
      <c r="AU42" s="125"/>
    </row>
    <row r="43" spans="1:47" s="119" customFormat="1" ht="12" customHeight="1">
      <c r="A43" s="119" t="s">
        <v>326</v>
      </c>
      <c r="B43" s="117" t="s">
        <v>50</v>
      </c>
      <c r="C43" s="117" t="s">
        <v>51</v>
      </c>
      <c r="D43" s="161">
        <f>+ROUND(58.08*4.33,2)</f>
        <v>251.49</v>
      </c>
      <c r="E43" s="161">
        <v>1005.96</v>
      </c>
      <c r="F43" s="161">
        <v>754.47</v>
      </c>
      <c r="G43" s="161">
        <v>754.47</v>
      </c>
      <c r="H43" s="161">
        <v>754.47</v>
      </c>
      <c r="I43" s="161">
        <v>1005.96</v>
      </c>
      <c r="J43" s="161">
        <v>1005.96</v>
      </c>
      <c r="K43" s="161">
        <v>1005.96</v>
      </c>
      <c r="L43" s="161">
        <v>1005.96</v>
      </c>
      <c r="M43" s="161">
        <v>1005.96</v>
      </c>
      <c r="N43" s="161">
        <v>1005.96</v>
      </c>
      <c r="O43" s="161">
        <v>1005.96</v>
      </c>
      <c r="P43" s="161">
        <v>880.21</v>
      </c>
      <c r="Q43" s="125">
        <v>11191.3</v>
      </c>
      <c r="S43" s="163">
        <f t="shared" si="10"/>
        <v>4</v>
      </c>
      <c r="T43" s="163">
        <f t="shared" si="10"/>
        <v>3</v>
      </c>
      <c r="U43" s="163">
        <f t="shared" si="10"/>
        <v>3</v>
      </c>
      <c r="V43" s="163">
        <f t="shared" si="10"/>
        <v>3</v>
      </c>
      <c r="W43" s="163">
        <f t="shared" si="10"/>
        <v>4</v>
      </c>
      <c r="X43" s="163">
        <f t="shared" si="10"/>
        <v>4</v>
      </c>
      <c r="Y43" s="163">
        <f t="shared" si="10"/>
        <v>4</v>
      </c>
      <c r="Z43" s="163">
        <f t="shared" si="10"/>
        <v>4</v>
      </c>
      <c r="AA43" s="163">
        <f t="shared" si="10"/>
        <v>4</v>
      </c>
      <c r="AB43" s="163">
        <f t="shared" si="10"/>
        <v>4</v>
      </c>
      <c r="AC43" s="163">
        <f t="shared" si="10"/>
        <v>4</v>
      </c>
      <c r="AD43" s="163">
        <f t="shared" si="10"/>
        <v>3.4999801184937773</v>
      </c>
      <c r="AE43" s="307">
        <f t="shared" si="11"/>
        <v>3.7083316765411483</v>
      </c>
      <c r="AF43" s="183"/>
      <c r="AG43" s="125">
        <f>+SUMIF('Spokane DF Calc'!$C$23:$C$44,'Spokane Reg - Price out 2023'!C43,'Spokane DF Calc'!$D$23:$D$44)-AE43</f>
        <v>0</v>
      </c>
      <c r="AH43" s="125">
        <f t="shared" si="12"/>
        <v>3.7083316765411483</v>
      </c>
      <c r="AN43" s="167">
        <f>58.46*4.33</f>
        <v>253.1318</v>
      </c>
      <c r="AO43" s="168">
        <f t="shared" si="13"/>
        <v>27.623795902676136</v>
      </c>
      <c r="AP43" s="168">
        <f t="shared" si="14"/>
        <v>1229.258368466418</v>
      </c>
      <c r="AQ43" s="125">
        <f t="shared" si="15"/>
        <v>280.75559590267613</v>
      </c>
      <c r="AR43" s="125">
        <f t="shared" si="16"/>
        <v>12493.618435824963</v>
      </c>
      <c r="AT43" s="125"/>
      <c r="AU43" s="125"/>
    </row>
    <row r="44" spans="1:47" s="119" customFormat="1" ht="12" customHeight="1">
      <c r="A44" s="119" t="s">
        <v>326</v>
      </c>
      <c r="B44" s="117" t="s">
        <v>52</v>
      </c>
      <c r="C44" s="117" t="s">
        <v>53</v>
      </c>
      <c r="D44" s="117">
        <f>ROUND(58.08*4.33*2,2)</f>
        <v>502.97</v>
      </c>
      <c r="E44" s="161">
        <v>502.97</v>
      </c>
      <c r="F44" s="161">
        <v>502.97</v>
      </c>
      <c r="G44" s="161">
        <v>502.97</v>
      </c>
      <c r="H44" s="161">
        <v>502.97</v>
      </c>
      <c r="I44" s="161">
        <v>502.97</v>
      </c>
      <c r="J44" s="161">
        <v>502.97</v>
      </c>
      <c r="K44" s="161">
        <v>502.97</v>
      </c>
      <c r="L44" s="161">
        <v>502.97</v>
      </c>
      <c r="M44" s="161">
        <v>502.97</v>
      </c>
      <c r="N44" s="161">
        <v>502.97</v>
      </c>
      <c r="O44" s="161">
        <v>502.97</v>
      </c>
      <c r="P44" s="161">
        <v>502.97</v>
      </c>
      <c r="Q44" s="125">
        <v>6035.6400000000021</v>
      </c>
      <c r="S44" s="163">
        <f t="shared" si="10"/>
        <v>1</v>
      </c>
      <c r="T44" s="163">
        <f t="shared" si="10"/>
        <v>1</v>
      </c>
      <c r="U44" s="163">
        <f t="shared" si="10"/>
        <v>1</v>
      </c>
      <c r="V44" s="163">
        <f t="shared" si="10"/>
        <v>1</v>
      </c>
      <c r="W44" s="163">
        <f t="shared" si="10"/>
        <v>1</v>
      </c>
      <c r="X44" s="163">
        <f t="shared" si="10"/>
        <v>1</v>
      </c>
      <c r="Y44" s="163">
        <f t="shared" si="10"/>
        <v>1</v>
      </c>
      <c r="Z44" s="163">
        <f t="shared" si="10"/>
        <v>1</v>
      </c>
      <c r="AA44" s="163">
        <f t="shared" si="10"/>
        <v>1</v>
      </c>
      <c r="AB44" s="163">
        <f t="shared" si="10"/>
        <v>1</v>
      </c>
      <c r="AC44" s="163">
        <f t="shared" si="10"/>
        <v>1</v>
      </c>
      <c r="AD44" s="163">
        <f t="shared" si="10"/>
        <v>1</v>
      </c>
      <c r="AE44" s="307">
        <f t="shared" si="11"/>
        <v>1</v>
      </c>
      <c r="AF44" s="183"/>
      <c r="AG44" s="125">
        <f>+SUMIF('Spokane DF Calc'!$C$23:$C$44,'Spokane Reg - Price out 2023'!C44,'Spokane DF Calc'!$D$23:$D$44)-AE44</f>
        <v>0</v>
      </c>
      <c r="AH44" s="125">
        <f t="shared" si="12"/>
        <v>2</v>
      </c>
      <c r="AN44" s="167">
        <f>58.46*4.33*2</f>
        <v>506.2636</v>
      </c>
      <c r="AO44" s="168">
        <f t="shared" si="13"/>
        <v>55.247591805352272</v>
      </c>
      <c r="AP44" s="168">
        <f t="shared" si="14"/>
        <v>662.97110166422726</v>
      </c>
      <c r="AQ44" s="125">
        <f t="shared" si="15"/>
        <v>561.51119180535227</v>
      </c>
      <c r="AR44" s="125">
        <f t="shared" si="16"/>
        <v>6738.1343016642277</v>
      </c>
      <c r="AT44" s="125"/>
      <c r="AU44" s="125"/>
    </row>
    <row r="45" spans="1:47" s="119" customFormat="1" ht="12" customHeight="1">
      <c r="A45" s="119" t="s">
        <v>326</v>
      </c>
      <c r="B45" s="117" t="s">
        <v>54</v>
      </c>
      <c r="C45" s="117" t="s">
        <v>55</v>
      </c>
      <c r="D45" s="161">
        <f>ROUND(76.88*4.33,2)</f>
        <v>332.89</v>
      </c>
      <c r="E45" s="161">
        <v>3495.34</v>
      </c>
      <c r="F45" s="161">
        <v>3994.68</v>
      </c>
      <c r="G45" s="161">
        <v>3994.68</v>
      </c>
      <c r="H45" s="161">
        <v>3994.68</v>
      </c>
      <c r="I45" s="161">
        <v>3661.79</v>
      </c>
      <c r="J45" s="161">
        <v>3661.79</v>
      </c>
      <c r="K45" s="161">
        <v>3661.79</v>
      </c>
      <c r="L45" s="161">
        <v>3661.79</v>
      </c>
      <c r="M45" s="161">
        <v>3661.79</v>
      </c>
      <c r="N45" s="161">
        <v>3994.68</v>
      </c>
      <c r="O45" s="161">
        <v>4161.12</v>
      </c>
      <c r="P45" s="161">
        <v>4327.57</v>
      </c>
      <c r="Q45" s="125">
        <v>46271.700000000004</v>
      </c>
      <c r="S45" s="163">
        <f t="shared" si="10"/>
        <v>10.499984980023433</v>
      </c>
      <c r="T45" s="163">
        <f t="shared" si="10"/>
        <v>12</v>
      </c>
      <c r="U45" s="163">
        <f t="shared" si="10"/>
        <v>12</v>
      </c>
      <c r="V45" s="163">
        <f t="shared" si="10"/>
        <v>12</v>
      </c>
      <c r="W45" s="163">
        <f t="shared" si="10"/>
        <v>11</v>
      </c>
      <c r="X45" s="163">
        <f t="shared" si="10"/>
        <v>11</v>
      </c>
      <c r="Y45" s="163">
        <f t="shared" si="10"/>
        <v>11</v>
      </c>
      <c r="Z45" s="163">
        <f t="shared" si="10"/>
        <v>11</v>
      </c>
      <c r="AA45" s="163">
        <f t="shared" si="10"/>
        <v>11</v>
      </c>
      <c r="AB45" s="163">
        <f t="shared" si="10"/>
        <v>12</v>
      </c>
      <c r="AC45" s="163">
        <f t="shared" si="10"/>
        <v>12.499984980023431</v>
      </c>
      <c r="AD45" s="163">
        <f t="shared" si="10"/>
        <v>13</v>
      </c>
      <c r="AE45" s="307">
        <f t="shared" si="11"/>
        <v>11.583330830003908</v>
      </c>
      <c r="AF45" s="183"/>
      <c r="AG45" s="125">
        <f>+SUMIF('Spokane DF Calc'!$C$23:$C$44,'Spokane Reg - Price out 2023'!C45,'Spokane DF Calc'!$D$23:$D$44)-AE45</f>
        <v>0</v>
      </c>
      <c r="AH45" s="125">
        <f t="shared" si="12"/>
        <v>11.583330830003908</v>
      </c>
      <c r="AN45" s="167">
        <f>77.38*4.33</f>
        <v>335.05539999999996</v>
      </c>
      <c r="AO45" s="168">
        <f t="shared" si="13"/>
        <v>36.563963854756743</v>
      </c>
      <c r="AP45" s="168">
        <f t="shared" si="14"/>
        <v>5082.3898774314275</v>
      </c>
      <c r="AQ45" s="125">
        <f t="shared" si="15"/>
        <v>371.61936385475673</v>
      </c>
      <c r="AR45" s="125">
        <f t="shared" si="16"/>
        <v>51655.080412382915</v>
      </c>
      <c r="AT45" s="125"/>
      <c r="AU45" s="125"/>
    </row>
    <row r="46" spans="1:47" s="119" customFormat="1" ht="12" customHeight="1">
      <c r="A46" s="119" t="s">
        <v>326</v>
      </c>
      <c r="B46" s="117" t="s">
        <v>56</v>
      </c>
      <c r="C46" s="117" t="s">
        <v>57</v>
      </c>
      <c r="D46" s="161">
        <f>ROUND(76.88*4.33,2)*2</f>
        <v>665.78</v>
      </c>
      <c r="E46" s="161">
        <v>665.78</v>
      </c>
      <c r="F46" s="161">
        <v>665.78</v>
      </c>
      <c r="G46" s="161">
        <v>665.78</v>
      </c>
      <c r="H46" s="161">
        <v>665.78</v>
      </c>
      <c r="I46" s="161">
        <v>665.78</v>
      </c>
      <c r="J46" s="161">
        <v>665.78</v>
      </c>
      <c r="K46" s="161">
        <v>665.78</v>
      </c>
      <c r="L46" s="161">
        <v>665.78</v>
      </c>
      <c r="M46" s="161">
        <v>665.78</v>
      </c>
      <c r="N46" s="161">
        <v>665.78</v>
      </c>
      <c r="O46" s="161">
        <v>665.78</v>
      </c>
      <c r="P46" s="161">
        <v>665.78</v>
      </c>
      <c r="Q46" s="125">
        <v>7989.3599999999979</v>
      </c>
      <c r="S46" s="163">
        <f t="shared" si="10"/>
        <v>1</v>
      </c>
      <c r="T46" s="163">
        <f t="shared" si="10"/>
        <v>1</v>
      </c>
      <c r="U46" s="163">
        <f t="shared" si="10"/>
        <v>1</v>
      </c>
      <c r="V46" s="163">
        <f t="shared" si="10"/>
        <v>1</v>
      </c>
      <c r="W46" s="163">
        <f t="shared" si="10"/>
        <v>1</v>
      </c>
      <c r="X46" s="163">
        <f t="shared" si="10"/>
        <v>1</v>
      </c>
      <c r="Y46" s="163">
        <f t="shared" si="10"/>
        <v>1</v>
      </c>
      <c r="Z46" s="163">
        <f t="shared" si="10"/>
        <v>1</v>
      </c>
      <c r="AA46" s="163">
        <f t="shared" si="10"/>
        <v>1</v>
      </c>
      <c r="AB46" s="163">
        <f t="shared" si="10"/>
        <v>1</v>
      </c>
      <c r="AC46" s="163">
        <f t="shared" si="10"/>
        <v>1</v>
      </c>
      <c r="AD46" s="163">
        <f t="shared" si="10"/>
        <v>1</v>
      </c>
      <c r="AE46" s="307">
        <f t="shared" si="11"/>
        <v>1</v>
      </c>
      <c r="AF46" s="183"/>
      <c r="AG46" s="125">
        <f>+SUMIF('Spokane DF Calc'!$C$23:$C$44,'Spokane Reg - Price out 2023'!C46,'Spokane DF Calc'!$D$23:$D$44)-AE46</f>
        <v>0</v>
      </c>
      <c r="AH46" s="125">
        <f t="shared" si="12"/>
        <v>2</v>
      </c>
      <c r="AN46" s="167">
        <f>77.38*4.33*2</f>
        <v>670.11079999999993</v>
      </c>
      <c r="AO46" s="168">
        <f t="shared" si="13"/>
        <v>73.127927709513486</v>
      </c>
      <c r="AP46" s="168">
        <f t="shared" si="14"/>
        <v>877.53513251416189</v>
      </c>
      <c r="AQ46" s="125">
        <f t="shared" si="15"/>
        <v>743.23872770951346</v>
      </c>
      <c r="AR46" s="125">
        <f t="shared" si="16"/>
        <v>8918.864732514161</v>
      </c>
      <c r="AT46" s="125"/>
      <c r="AU46" s="125"/>
    </row>
    <row r="47" spans="1:47" s="119" customFormat="1" ht="12" customHeight="1">
      <c r="A47" s="119" t="s">
        <v>326</v>
      </c>
      <c r="B47" s="117" t="s">
        <v>431</v>
      </c>
      <c r="C47" s="117" t="s">
        <v>432</v>
      </c>
      <c r="D47" s="161">
        <f>ROUND(111.36*4.33,2)</f>
        <v>482.19</v>
      </c>
      <c r="E47" s="161">
        <v>482.19</v>
      </c>
      <c r="F47" s="161">
        <v>482.19</v>
      </c>
      <c r="G47" s="161">
        <v>482.19</v>
      </c>
      <c r="H47" s="161">
        <v>482.19</v>
      </c>
      <c r="I47" s="161">
        <v>482.19</v>
      </c>
      <c r="J47" s="161">
        <v>482.19</v>
      </c>
      <c r="K47" s="161">
        <v>482.19</v>
      </c>
      <c r="L47" s="161">
        <v>482.19</v>
      </c>
      <c r="M47" s="161">
        <v>482.19</v>
      </c>
      <c r="N47" s="161">
        <v>482.19</v>
      </c>
      <c r="O47" s="161">
        <v>482.19</v>
      </c>
      <c r="P47" s="161">
        <v>482.19</v>
      </c>
      <c r="Q47" s="125">
        <v>5786.2799999999988</v>
      </c>
      <c r="S47" s="163">
        <f t="shared" si="10"/>
        <v>1</v>
      </c>
      <c r="T47" s="163">
        <f t="shared" si="10"/>
        <v>1</v>
      </c>
      <c r="U47" s="163">
        <f t="shared" si="10"/>
        <v>1</v>
      </c>
      <c r="V47" s="163">
        <f t="shared" si="10"/>
        <v>1</v>
      </c>
      <c r="W47" s="163">
        <f t="shared" si="10"/>
        <v>1</v>
      </c>
      <c r="X47" s="163">
        <f t="shared" si="10"/>
        <v>1</v>
      </c>
      <c r="Y47" s="163">
        <f t="shared" si="10"/>
        <v>1</v>
      </c>
      <c r="Z47" s="163">
        <f t="shared" si="10"/>
        <v>1</v>
      </c>
      <c r="AA47" s="163">
        <f t="shared" si="10"/>
        <v>1</v>
      </c>
      <c r="AB47" s="163">
        <f t="shared" si="10"/>
        <v>1</v>
      </c>
      <c r="AC47" s="163">
        <f t="shared" si="10"/>
        <v>1</v>
      </c>
      <c r="AD47" s="163">
        <f t="shared" si="10"/>
        <v>1</v>
      </c>
      <c r="AE47" s="307">
        <f t="shared" si="11"/>
        <v>1</v>
      </c>
      <c r="AF47" s="183"/>
      <c r="AG47" s="125">
        <f>+SUMIF('Spokane DF Calc'!$C$23:$C$44,'Spokane Reg - Price out 2023'!C47,'Spokane DF Calc'!$D$23:$D$44)-AE47</f>
        <v>0</v>
      </c>
      <c r="AH47" s="125">
        <f t="shared" si="12"/>
        <v>1</v>
      </c>
      <c r="AN47" s="167">
        <f>112.04*4.33</f>
        <v>485.13320000000004</v>
      </c>
      <c r="AO47" s="168">
        <f t="shared" si="13"/>
        <v>52.941671107352626</v>
      </c>
      <c r="AP47" s="168">
        <f t="shared" si="14"/>
        <v>635.30005328823154</v>
      </c>
      <c r="AQ47" s="125">
        <f t="shared" si="15"/>
        <v>538.07487110735269</v>
      </c>
      <c r="AR47" s="125">
        <f t="shared" si="16"/>
        <v>6456.8984532882323</v>
      </c>
      <c r="AT47" s="125"/>
      <c r="AU47" s="125"/>
    </row>
    <row r="48" spans="1:47" s="119" customFormat="1" ht="12" customHeight="1">
      <c r="A48" s="119" t="s">
        <v>326</v>
      </c>
      <c r="B48" s="117" t="s">
        <v>58</v>
      </c>
      <c r="C48" s="117" t="s">
        <v>59</v>
      </c>
      <c r="D48" s="161">
        <f>ROUND(111.36*4.33,2)*2</f>
        <v>964.38</v>
      </c>
      <c r="E48" s="161">
        <v>964.38</v>
      </c>
      <c r="F48" s="161">
        <v>964.38</v>
      </c>
      <c r="G48" s="161">
        <v>964.38</v>
      </c>
      <c r="H48" s="161">
        <v>964.38</v>
      </c>
      <c r="I48" s="161">
        <v>964.38</v>
      </c>
      <c r="J48" s="161">
        <v>964.38</v>
      </c>
      <c r="K48" s="161">
        <v>964.38</v>
      </c>
      <c r="L48" s="161">
        <v>964.38</v>
      </c>
      <c r="M48" s="161">
        <v>964.38</v>
      </c>
      <c r="N48" s="161">
        <v>964.38</v>
      </c>
      <c r="O48" s="161">
        <v>964.38</v>
      </c>
      <c r="P48" s="161">
        <v>964.38</v>
      </c>
      <c r="Q48" s="125">
        <v>11572.559999999998</v>
      </c>
      <c r="S48" s="163">
        <f t="shared" si="10"/>
        <v>1</v>
      </c>
      <c r="T48" s="163">
        <f t="shared" si="10"/>
        <v>1</v>
      </c>
      <c r="U48" s="163">
        <f t="shared" si="10"/>
        <v>1</v>
      </c>
      <c r="V48" s="163">
        <f t="shared" si="10"/>
        <v>1</v>
      </c>
      <c r="W48" s="163">
        <f t="shared" si="10"/>
        <v>1</v>
      </c>
      <c r="X48" s="163">
        <f t="shared" si="10"/>
        <v>1</v>
      </c>
      <c r="Y48" s="163">
        <f t="shared" si="10"/>
        <v>1</v>
      </c>
      <c r="Z48" s="163">
        <f t="shared" si="10"/>
        <v>1</v>
      </c>
      <c r="AA48" s="163">
        <f t="shared" si="10"/>
        <v>1</v>
      </c>
      <c r="AB48" s="163">
        <f t="shared" si="10"/>
        <v>1</v>
      </c>
      <c r="AC48" s="163">
        <f t="shared" si="10"/>
        <v>1</v>
      </c>
      <c r="AD48" s="163">
        <f t="shared" si="10"/>
        <v>1</v>
      </c>
      <c r="AE48" s="307">
        <f t="shared" si="11"/>
        <v>1</v>
      </c>
      <c r="AF48" s="183"/>
      <c r="AG48" s="125">
        <f>+SUMIF('Spokane DF Calc'!$C$23:$C$44,'Spokane Reg - Price out 2023'!C48,'Spokane DF Calc'!$D$23:$D$44)-AE48</f>
        <v>0</v>
      </c>
      <c r="AH48" s="125">
        <f t="shared" si="12"/>
        <v>2</v>
      </c>
      <c r="AN48" s="167">
        <f>112.04*4.33*2</f>
        <v>970.26640000000009</v>
      </c>
      <c r="AO48" s="168">
        <f t="shared" si="13"/>
        <v>105.88334221470525</v>
      </c>
      <c r="AP48" s="168">
        <f t="shared" si="14"/>
        <v>1270.6001065764631</v>
      </c>
      <c r="AQ48" s="125">
        <f t="shared" si="15"/>
        <v>1076.1497422147054</v>
      </c>
      <c r="AR48" s="125">
        <f t="shared" si="16"/>
        <v>12913.796906576465</v>
      </c>
      <c r="AT48" s="125"/>
      <c r="AU48" s="125"/>
    </row>
    <row r="49" spans="1:47" s="119" customFormat="1" ht="12" customHeight="1">
      <c r="A49" s="119" t="s">
        <v>326</v>
      </c>
      <c r="B49" s="117" t="s">
        <v>76</v>
      </c>
      <c r="C49" s="117" t="s">
        <v>77</v>
      </c>
      <c r="D49" s="161">
        <v>38.049999999999997</v>
      </c>
      <c r="E49" s="161">
        <v>0</v>
      </c>
      <c r="F49" s="161">
        <v>38.049999999999997</v>
      </c>
      <c r="G49" s="161">
        <v>0</v>
      </c>
      <c r="H49" s="161">
        <v>0</v>
      </c>
      <c r="I49" s="161">
        <v>0</v>
      </c>
      <c r="J49" s="161">
        <v>38.049999999999997</v>
      </c>
      <c r="K49" s="161">
        <v>0</v>
      </c>
      <c r="L49" s="161">
        <v>38.049999999999997</v>
      </c>
      <c r="M49" s="161">
        <v>38.049999999999997</v>
      </c>
      <c r="N49" s="161">
        <v>0</v>
      </c>
      <c r="O49" s="161">
        <v>0</v>
      </c>
      <c r="P49" s="161">
        <v>0</v>
      </c>
      <c r="Q49" s="125">
        <v>152.19999999999999</v>
      </c>
      <c r="S49" s="163">
        <f t="shared" si="10"/>
        <v>0</v>
      </c>
      <c r="T49" s="163">
        <f t="shared" si="10"/>
        <v>1</v>
      </c>
      <c r="U49" s="163">
        <f t="shared" si="10"/>
        <v>0</v>
      </c>
      <c r="V49" s="163">
        <f t="shared" si="10"/>
        <v>0</v>
      </c>
      <c r="W49" s="163">
        <f t="shared" si="10"/>
        <v>0</v>
      </c>
      <c r="X49" s="163">
        <f t="shared" si="10"/>
        <v>1</v>
      </c>
      <c r="Y49" s="163">
        <f t="shared" si="10"/>
        <v>0</v>
      </c>
      <c r="Z49" s="163">
        <f t="shared" si="10"/>
        <v>1</v>
      </c>
      <c r="AA49" s="163">
        <f t="shared" si="10"/>
        <v>1</v>
      </c>
      <c r="AB49" s="163">
        <f t="shared" si="10"/>
        <v>0</v>
      </c>
      <c r="AC49" s="163">
        <f t="shared" si="10"/>
        <v>0</v>
      </c>
      <c r="AD49" s="163">
        <f t="shared" si="10"/>
        <v>0</v>
      </c>
      <c r="AE49" s="307">
        <f t="shared" si="11"/>
        <v>0.33333333333333331</v>
      </c>
      <c r="AF49" s="183"/>
      <c r="AG49" s="125">
        <f>+SUMIF('Spokane DF Calc'!$C$23:$C$44,'Spokane Reg - Price out 2023'!C49,'Spokane DF Calc'!$D$23:$D$44)-AE49</f>
        <v>0</v>
      </c>
      <c r="AH49" s="184">
        <f>+AE49</f>
        <v>0.33333333333333331</v>
      </c>
      <c r="AN49" s="167">
        <v>38.25</v>
      </c>
      <c r="AO49" s="168">
        <f t="shared" si="13"/>
        <v>4.1741503567602418</v>
      </c>
      <c r="AP49" s="168">
        <f t="shared" si="14"/>
        <v>16.696601427040967</v>
      </c>
      <c r="AQ49" s="125">
        <f t="shared" si="15"/>
        <v>42.424150356760244</v>
      </c>
      <c r="AR49" s="125">
        <f t="shared" si="16"/>
        <v>169.69660142704097</v>
      </c>
      <c r="AT49" s="125"/>
      <c r="AU49" s="125"/>
    </row>
    <row r="50" spans="1:47" s="119" customFormat="1" ht="12" customHeight="1">
      <c r="A50" s="119" t="s">
        <v>326</v>
      </c>
      <c r="B50" s="117" t="s">
        <v>79</v>
      </c>
      <c r="C50" s="117" t="s">
        <v>80</v>
      </c>
      <c r="D50" s="161">
        <v>48.76</v>
      </c>
      <c r="E50" s="161">
        <v>97</v>
      </c>
      <c r="F50" s="161">
        <v>0</v>
      </c>
      <c r="G50" s="161">
        <v>0</v>
      </c>
      <c r="H50" s="161">
        <v>0</v>
      </c>
      <c r="I50" s="161">
        <v>48.5</v>
      </c>
      <c r="J50" s="161">
        <v>0</v>
      </c>
      <c r="K50" s="161">
        <v>0</v>
      </c>
      <c r="L50" s="161">
        <v>48.5</v>
      </c>
      <c r="M50" s="161">
        <v>97</v>
      </c>
      <c r="N50" s="161">
        <v>0</v>
      </c>
      <c r="O50" s="161">
        <v>48.5</v>
      </c>
      <c r="P50" s="161">
        <v>0</v>
      </c>
      <c r="Q50" s="125">
        <v>339.5</v>
      </c>
      <c r="S50" s="163">
        <f t="shared" si="10"/>
        <v>1.989335520918786</v>
      </c>
      <c r="T50" s="163">
        <f t="shared" si="10"/>
        <v>0</v>
      </c>
      <c r="U50" s="163">
        <f t="shared" si="10"/>
        <v>0</v>
      </c>
      <c r="V50" s="163">
        <f t="shared" si="10"/>
        <v>0</v>
      </c>
      <c r="W50" s="163">
        <f t="shared" si="10"/>
        <v>0.99466776045939298</v>
      </c>
      <c r="X50" s="163">
        <f t="shared" si="10"/>
        <v>0</v>
      </c>
      <c r="Y50" s="163">
        <f t="shared" si="10"/>
        <v>0</v>
      </c>
      <c r="Z50" s="163">
        <f t="shared" si="10"/>
        <v>0.99466776045939298</v>
      </c>
      <c r="AA50" s="163">
        <f t="shared" si="10"/>
        <v>1.989335520918786</v>
      </c>
      <c r="AB50" s="163">
        <f t="shared" si="10"/>
        <v>0</v>
      </c>
      <c r="AC50" s="163">
        <f t="shared" si="10"/>
        <v>0.99466776045939298</v>
      </c>
      <c r="AD50" s="163">
        <f t="shared" si="10"/>
        <v>0</v>
      </c>
      <c r="AE50" s="307">
        <f t="shared" si="11"/>
        <v>0.5802228602679792</v>
      </c>
      <c r="AF50" s="183"/>
      <c r="AG50" s="125">
        <f>+SUMIF('Spokane DF Calc'!$C$23:$C$44,'Spokane Reg - Price out 2023'!C50,'Spokane DF Calc'!$D$23:$D$44)-AE50</f>
        <v>0</v>
      </c>
      <c r="AH50" s="184">
        <f>+AE50</f>
        <v>0.5802228602679792</v>
      </c>
      <c r="AN50" s="167">
        <v>49.02</v>
      </c>
      <c r="AO50" s="168">
        <f t="shared" si="13"/>
        <v>5.3494601434872431</v>
      </c>
      <c r="AP50" s="168">
        <f t="shared" si="14"/>
        <v>37.24654878412467</v>
      </c>
      <c r="AQ50" s="125">
        <f t="shared" si="15"/>
        <v>54.369460143487245</v>
      </c>
      <c r="AR50" s="125">
        <f t="shared" si="16"/>
        <v>378.55684410816076</v>
      </c>
      <c r="AT50" s="125"/>
      <c r="AU50" s="125"/>
    </row>
    <row r="51" spans="1:47" s="119" customFormat="1" ht="12" customHeight="1">
      <c r="A51" s="119" t="s">
        <v>326</v>
      </c>
      <c r="B51" s="117" t="s">
        <v>81</v>
      </c>
      <c r="C51" s="117" t="s">
        <v>82</v>
      </c>
      <c r="D51" s="161">
        <v>68.680000000000007</v>
      </c>
      <c r="E51" s="161">
        <v>0</v>
      </c>
      <c r="F51" s="161">
        <v>68.680000000000007</v>
      </c>
      <c r="G51" s="161">
        <v>68.680000000000007</v>
      </c>
      <c r="H51" s="161">
        <v>0</v>
      </c>
      <c r="I51" s="161">
        <v>0</v>
      </c>
      <c r="J51" s="161">
        <v>343.4</v>
      </c>
      <c r="K51" s="161">
        <v>274.72000000000003</v>
      </c>
      <c r="L51" s="161">
        <v>137.36000000000001</v>
      </c>
      <c r="M51" s="161">
        <v>206.04</v>
      </c>
      <c r="N51" s="161">
        <v>0</v>
      </c>
      <c r="O51" s="161">
        <v>0</v>
      </c>
      <c r="P51" s="161">
        <v>0</v>
      </c>
      <c r="Q51" s="125">
        <v>1098.8800000000001</v>
      </c>
      <c r="S51" s="163">
        <f t="shared" si="10"/>
        <v>0</v>
      </c>
      <c r="T51" s="163">
        <f t="shared" si="10"/>
        <v>1</v>
      </c>
      <c r="U51" s="163">
        <f t="shared" si="10"/>
        <v>1</v>
      </c>
      <c r="V51" s="163">
        <f t="shared" si="10"/>
        <v>0</v>
      </c>
      <c r="W51" s="163">
        <f t="shared" si="10"/>
        <v>0</v>
      </c>
      <c r="X51" s="163">
        <f t="shared" si="10"/>
        <v>4.9999999999999991</v>
      </c>
      <c r="Y51" s="163">
        <f t="shared" si="10"/>
        <v>4</v>
      </c>
      <c r="Z51" s="163">
        <f t="shared" si="10"/>
        <v>2</v>
      </c>
      <c r="AA51" s="163">
        <f t="shared" si="10"/>
        <v>2.9999999999999996</v>
      </c>
      <c r="AB51" s="163">
        <f t="shared" si="10"/>
        <v>0</v>
      </c>
      <c r="AC51" s="163">
        <f t="shared" si="10"/>
        <v>0</v>
      </c>
      <c r="AD51" s="163">
        <f t="shared" si="10"/>
        <v>0</v>
      </c>
      <c r="AE51" s="307">
        <f t="shared" si="11"/>
        <v>1.3333333333333333</v>
      </c>
      <c r="AF51" s="183"/>
      <c r="AG51" s="125">
        <f>+SUMIF('Spokane DF Calc'!$C$23:$C$44,'Spokane Reg - Price out 2023'!C51,'Spokane DF Calc'!$D$23:$D$44)-AE51</f>
        <v>0</v>
      </c>
      <c r="AH51" s="184">
        <f>+AE51</f>
        <v>1.3333333333333333</v>
      </c>
      <c r="AN51" s="167">
        <v>69.06</v>
      </c>
      <c r="AO51" s="168">
        <f t="shared" si="13"/>
        <v>7.5363875460879033</v>
      </c>
      <c r="AP51" s="168">
        <f t="shared" si="14"/>
        <v>120.58220073740644</v>
      </c>
      <c r="AQ51" s="125">
        <f t="shared" si="15"/>
        <v>76.596387546087911</v>
      </c>
      <c r="AR51" s="125">
        <f t="shared" si="16"/>
        <v>1225.5422007374063</v>
      </c>
      <c r="AT51" s="125"/>
      <c r="AU51" s="125"/>
    </row>
    <row r="52" spans="1:47" s="119" customFormat="1" ht="12" customHeight="1">
      <c r="A52" s="119" t="s">
        <v>326</v>
      </c>
      <c r="B52" s="117" t="s">
        <v>83</v>
      </c>
      <c r="C52" s="117" t="s">
        <v>84</v>
      </c>
      <c r="D52" s="161">
        <v>91.59</v>
      </c>
      <c r="E52" s="161">
        <v>183.18</v>
      </c>
      <c r="F52" s="161">
        <v>274.77</v>
      </c>
      <c r="G52" s="161">
        <v>549.54</v>
      </c>
      <c r="H52" s="161">
        <v>641.13</v>
      </c>
      <c r="I52" s="161">
        <v>824.31</v>
      </c>
      <c r="J52" s="161">
        <v>549.54</v>
      </c>
      <c r="K52" s="161">
        <v>274.77</v>
      </c>
      <c r="L52" s="161">
        <v>183.18</v>
      </c>
      <c r="M52" s="161">
        <v>1099.08</v>
      </c>
      <c r="N52" s="161">
        <v>457.95000000000005</v>
      </c>
      <c r="O52" s="161">
        <v>457.95</v>
      </c>
      <c r="P52" s="161">
        <v>732.72</v>
      </c>
      <c r="Q52" s="125">
        <v>6228.12</v>
      </c>
      <c r="S52" s="163">
        <f t="shared" si="10"/>
        <v>2</v>
      </c>
      <c r="T52" s="163">
        <f t="shared" si="10"/>
        <v>2.9999999999999996</v>
      </c>
      <c r="U52" s="163">
        <f t="shared" si="10"/>
        <v>5.9999999999999991</v>
      </c>
      <c r="V52" s="163">
        <f t="shared" si="10"/>
        <v>7</v>
      </c>
      <c r="W52" s="163">
        <f t="shared" si="10"/>
        <v>8.9999999999999982</v>
      </c>
      <c r="X52" s="163">
        <f t="shared" si="10"/>
        <v>5.9999999999999991</v>
      </c>
      <c r="Y52" s="163">
        <f t="shared" si="10"/>
        <v>2.9999999999999996</v>
      </c>
      <c r="Z52" s="163">
        <f t="shared" si="10"/>
        <v>2</v>
      </c>
      <c r="AA52" s="163">
        <f t="shared" si="10"/>
        <v>11.999999999999998</v>
      </c>
      <c r="AB52" s="163">
        <f t="shared" si="10"/>
        <v>5</v>
      </c>
      <c r="AC52" s="163">
        <f t="shared" si="10"/>
        <v>5</v>
      </c>
      <c r="AD52" s="163">
        <f t="shared" si="10"/>
        <v>8</v>
      </c>
      <c r="AE52" s="307">
        <f t="shared" si="11"/>
        <v>5.666666666666667</v>
      </c>
      <c r="AF52" s="183"/>
      <c r="AG52" s="125">
        <f>+SUMIF('Spokane DF Calc'!$C$23:$C$44,'Spokane Reg - Price out 2023'!C52,'Spokane DF Calc'!$D$23:$D$44)-AE52</f>
        <v>0</v>
      </c>
      <c r="AH52" s="184">
        <f>+AE52</f>
        <v>5.666666666666667</v>
      </c>
      <c r="AN52" s="167">
        <v>92.09</v>
      </c>
      <c r="AO52" s="168">
        <f t="shared" si="13"/>
        <v>10.049608009256227</v>
      </c>
      <c r="AP52" s="168">
        <f t="shared" si="14"/>
        <v>683.37334462942351</v>
      </c>
      <c r="AQ52" s="125">
        <f t="shared" si="15"/>
        <v>102.13960800925624</v>
      </c>
      <c r="AR52" s="125">
        <f t="shared" si="16"/>
        <v>6945.4933446294244</v>
      </c>
      <c r="AT52" s="125"/>
      <c r="AU52" s="125"/>
    </row>
    <row r="53" spans="1:47" s="119" customFormat="1" ht="12" customHeight="1">
      <c r="A53" s="119" t="s">
        <v>327</v>
      </c>
      <c r="B53" s="117" t="s">
        <v>60</v>
      </c>
      <c r="C53" s="117" t="s">
        <v>61</v>
      </c>
      <c r="D53" s="161">
        <v>22.35</v>
      </c>
      <c r="E53" s="161">
        <v>111.75</v>
      </c>
      <c r="F53" s="161">
        <v>111.75</v>
      </c>
      <c r="G53" s="161">
        <v>111.75</v>
      </c>
      <c r="H53" s="161">
        <v>111.75</v>
      </c>
      <c r="I53" s="161">
        <v>111.75</v>
      </c>
      <c r="J53" s="161">
        <v>111.75</v>
      </c>
      <c r="K53" s="161">
        <v>111.75</v>
      </c>
      <c r="L53" s="161">
        <v>121.52500000000001</v>
      </c>
      <c r="M53" s="161">
        <v>121.52500000000001</v>
      </c>
      <c r="N53" s="161">
        <v>111.75</v>
      </c>
      <c r="O53" s="161">
        <v>111.75</v>
      </c>
      <c r="P53" s="161">
        <v>111.75</v>
      </c>
      <c r="Q53" s="125">
        <v>1360.55</v>
      </c>
      <c r="S53" s="163">
        <f t="shared" si="10"/>
        <v>5</v>
      </c>
      <c r="T53" s="163">
        <f t="shared" si="10"/>
        <v>5</v>
      </c>
      <c r="U53" s="163">
        <f t="shared" si="10"/>
        <v>5</v>
      </c>
      <c r="V53" s="163">
        <f t="shared" si="10"/>
        <v>5</v>
      </c>
      <c r="W53" s="163">
        <f t="shared" si="10"/>
        <v>5</v>
      </c>
      <c r="X53" s="163">
        <f t="shared" si="10"/>
        <v>5</v>
      </c>
      <c r="Y53" s="163">
        <f t="shared" si="10"/>
        <v>5</v>
      </c>
      <c r="Z53" s="163">
        <f t="shared" si="10"/>
        <v>5.4373601789709172</v>
      </c>
      <c r="AA53" s="163">
        <f t="shared" si="10"/>
        <v>5.4373601789709172</v>
      </c>
      <c r="AB53" s="163">
        <f t="shared" si="10"/>
        <v>5</v>
      </c>
      <c r="AC53" s="163">
        <f t="shared" si="10"/>
        <v>5</v>
      </c>
      <c r="AD53" s="163">
        <f t="shared" si="10"/>
        <v>5</v>
      </c>
      <c r="AE53" s="307">
        <f t="shared" si="11"/>
        <v>5.0728933631618203</v>
      </c>
      <c r="AF53" s="183"/>
      <c r="AG53" s="125">
        <f>+SUMIF('Spokane DF Calc'!$C$23:$C$44,'Spokane Reg - Price out 2023'!C53,'Spokane DF Calc'!$D$23:$D$44)-AE53</f>
        <v>0</v>
      </c>
      <c r="AH53" s="185"/>
      <c r="AN53" s="167">
        <v>22.43</v>
      </c>
      <c r="AO53" s="168">
        <f t="shared" si="13"/>
        <v>2.4477435948269863</v>
      </c>
      <c r="AP53" s="168">
        <f t="shared" si="14"/>
        <v>149.00570684303611</v>
      </c>
      <c r="AQ53" s="125">
        <f t="shared" si="15"/>
        <v>24.877743594826985</v>
      </c>
      <c r="AR53" s="125">
        <f t="shared" si="16"/>
        <v>1514.4256844716715</v>
      </c>
      <c r="AT53" s="125"/>
      <c r="AU53" s="125"/>
    </row>
    <row r="54" spans="1:47" s="119" customFormat="1" ht="12" customHeight="1">
      <c r="A54" s="119" t="s">
        <v>327</v>
      </c>
      <c r="B54" s="117" t="s">
        <v>62</v>
      </c>
      <c r="C54" s="117" t="s">
        <v>63</v>
      </c>
      <c r="D54" s="161">
        <f>ROUND(4.95*4.33*2,2)</f>
        <v>42.87</v>
      </c>
      <c r="E54" s="161">
        <v>42.87</v>
      </c>
      <c r="F54" s="161">
        <v>42.87</v>
      </c>
      <c r="G54" s="161">
        <v>42.87</v>
      </c>
      <c r="H54" s="161">
        <v>42.87</v>
      </c>
      <c r="I54" s="161">
        <v>42.87</v>
      </c>
      <c r="J54" s="161">
        <v>42.87</v>
      </c>
      <c r="K54" s="161">
        <v>42.87</v>
      </c>
      <c r="L54" s="161">
        <v>42.87</v>
      </c>
      <c r="M54" s="161">
        <v>42.87</v>
      </c>
      <c r="N54" s="161">
        <v>42.87</v>
      </c>
      <c r="O54" s="161">
        <v>42.87</v>
      </c>
      <c r="P54" s="161">
        <v>42.87</v>
      </c>
      <c r="Q54" s="125">
        <v>514.43999999999994</v>
      </c>
      <c r="S54" s="163">
        <f t="shared" si="10"/>
        <v>1</v>
      </c>
      <c r="T54" s="163">
        <f t="shared" si="10"/>
        <v>1</v>
      </c>
      <c r="U54" s="163">
        <f t="shared" si="10"/>
        <v>1</v>
      </c>
      <c r="V54" s="163">
        <f t="shared" si="10"/>
        <v>1</v>
      </c>
      <c r="W54" s="163">
        <f t="shared" si="10"/>
        <v>1</v>
      </c>
      <c r="X54" s="163">
        <f t="shared" si="10"/>
        <v>1</v>
      </c>
      <c r="Y54" s="163">
        <f t="shared" si="10"/>
        <v>1</v>
      </c>
      <c r="Z54" s="163">
        <f t="shared" si="10"/>
        <v>1</v>
      </c>
      <c r="AA54" s="163">
        <f t="shared" si="10"/>
        <v>1</v>
      </c>
      <c r="AB54" s="163">
        <f t="shared" si="10"/>
        <v>1</v>
      </c>
      <c r="AC54" s="163">
        <f t="shared" si="10"/>
        <v>1</v>
      </c>
      <c r="AD54" s="163">
        <f t="shared" si="10"/>
        <v>1</v>
      </c>
      <c r="AE54" s="307">
        <f t="shared" si="11"/>
        <v>1</v>
      </c>
      <c r="AF54" s="183"/>
      <c r="AG54" s="125">
        <f>+SUMIF('Spokane DF Calc'!$C$23:$C$44,'Spokane Reg - Price out 2023'!C54,'Spokane DF Calc'!$D$23:$D$44)-AE54</f>
        <v>0</v>
      </c>
      <c r="AH54" s="185"/>
      <c r="AN54" s="167">
        <f>4.97*4.33*2</f>
        <v>43.040199999999999</v>
      </c>
      <c r="AO54" s="168">
        <f t="shared" si="13"/>
        <v>4.6968958479746963</v>
      </c>
      <c r="AP54" s="168">
        <f t="shared" si="14"/>
        <v>56.362750175696355</v>
      </c>
      <c r="AQ54" s="125">
        <f t="shared" si="15"/>
        <v>47.737095847974693</v>
      </c>
      <c r="AR54" s="125">
        <f t="shared" si="16"/>
        <v>572.84515017569629</v>
      </c>
      <c r="AT54" s="125"/>
      <c r="AU54" s="125"/>
    </row>
    <row r="55" spans="1:47" s="119" customFormat="1" ht="12" customHeight="1">
      <c r="A55" s="119" t="s">
        <v>327</v>
      </c>
      <c r="B55" s="117" t="s">
        <v>64</v>
      </c>
      <c r="C55" s="117" t="s">
        <v>65</v>
      </c>
      <c r="D55" s="161">
        <f>+ROUND(9.66*4.33,2)</f>
        <v>41.83</v>
      </c>
      <c r="E55" s="161">
        <v>334.64</v>
      </c>
      <c r="F55" s="161">
        <v>324.18</v>
      </c>
      <c r="G55" s="161">
        <v>292.81</v>
      </c>
      <c r="H55" s="161">
        <v>292.81</v>
      </c>
      <c r="I55" s="161">
        <v>292.81</v>
      </c>
      <c r="J55" s="161">
        <v>292.81</v>
      </c>
      <c r="K55" s="161">
        <v>292.81</v>
      </c>
      <c r="L55" s="161">
        <v>292.81</v>
      </c>
      <c r="M55" s="161">
        <v>292.81</v>
      </c>
      <c r="N55" s="161">
        <v>292.81</v>
      </c>
      <c r="O55" s="161">
        <v>292.81</v>
      </c>
      <c r="P55" s="161">
        <v>292.81</v>
      </c>
      <c r="Q55" s="125">
        <v>3586.9199999999996</v>
      </c>
      <c r="S55" s="163">
        <f t="shared" si="10"/>
        <v>8</v>
      </c>
      <c r="T55" s="163">
        <f t="shared" si="10"/>
        <v>7.7499402342816168</v>
      </c>
      <c r="U55" s="163">
        <f t="shared" si="10"/>
        <v>7</v>
      </c>
      <c r="V55" s="163">
        <f t="shared" si="10"/>
        <v>7</v>
      </c>
      <c r="W55" s="163">
        <f t="shared" si="10"/>
        <v>7</v>
      </c>
      <c r="X55" s="163">
        <f t="shared" si="10"/>
        <v>7</v>
      </c>
      <c r="Y55" s="163">
        <f t="shared" si="10"/>
        <v>7</v>
      </c>
      <c r="Z55" s="163">
        <f t="shared" si="10"/>
        <v>7</v>
      </c>
      <c r="AA55" s="163">
        <f t="shared" si="10"/>
        <v>7</v>
      </c>
      <c r="AB55" s="163">
        <f t="shared" si="10"/>
        <v>7</v>
      </c>
      <c r="AC55" s="163">
        <f t="shared" si="10"/>
        <v>7</v>
      </c>
      <c r="AD55" s="163">
        <f t="shared" si="10"/>
        <v>7</v>
      </c>
      <c r="AE55" s="307">
        <f t="shared" si="11"/>
        <v>7.1458283528568005</v>
      </c>
      <c r="AF55" s="183"/>
      <c r="AG55" s="125">
        <f>+SUMIF('Spokane DF Calc'!$C$23:$C$44,'Spokane Reg - Price out 2023'!C55,'Spokane DF Calc'!$D$23:$D$44)-AE55</f>
        <v>0</v>
      </c>
      <c r="AH55" s="186">
        <f>+RIGHT(C55)*AE55</f>
        <v>7.1458283528568005</v>
      </c>
      <c r="AN55" s="167">
        <f>9.7*4.33</f>
        <v>42.000999999999998</v>
      </c>
      <c r="AO55" s="168">
        <f t="shared" si="13"/>
        <v>4.5834899120075008</v>
      </c>
      <c r="AP55" s="168">
        <f t="shared" si="14"/>
        <v>393.03398601907583</v>
      </c>
      <c r="AQ55" s="125">
        <f t="shared" si="15"/>
        <v>46.584489912007498</v>
      </c>
      <c r="AR55" s="125">
        <f t="shared" si="16"/>
        <v>3994.6172257991375</v>
      </c>
      <c r="AT55" s="125"/>
      <c r="AU55" s="125"/>
    </row>
    <row r="56" spans="1:47" s="119" customFormat="1" ht="12" customHeight="1">
      <c r="A56" s="119" t="s">
        <v>327</v>
      </c>
      <c r="B56" s="117" t="s">
        <v>66</v>
      </c>
      <c r="C56" s="117" t="s">
        <v>67</v>
      </c>
      <c r="D56" s="161">
        <v>51.53</v>
      </c>
      <c r="E56" s="161">
        <v>566.83000000000004</v>
      </c>
      <c r="F56" s="161">
        <v>566.83000000000004</v>
      </c>
      <c r="G56" s="161">
        <v>566.83000000000004</v>
      </c>
      <c r="H56" s="161">
        <v>566.83000000000004</v>
      </c>
      <c r="I56" s="161">
        <v>566.83000000000004</v>
      </c>
      <c r="J56" s="161">
        <v>566.83000000000004</v>
      </c>
      <c r="K56" s="161">
        <v>566.83000000000004</v>
      </c>
      <c r="L56" s="161">
        <v>566.83000000000004</v>
      </c>
      <c r="M56" s="161">
        <v>566.83000000000004</v>
      </c>
      <c r="N56" s="161">
        <v>566.83000000000004</v>
      </c>
      <c r="O56" s="161">
        <v>566.83000000000004</v>
      </c>
      <c r="P56" s="161">
        <v>566.83000000000004</v>
      </c>
      <c r="Q56" s="125">
        <v>6801.96</v>
      </c>
      <c r="S56" s="163">
        <f t="shared" si="10"/>
        <v>11</v>
      </c>
      <c r="T56" s="163">
        <f t="shared" si="10"/>
        <v>11</v>
      </c>
      <c r="U56" s="163">
        <f t="shared" si="10"/>
        <v>11</v>
      </c>
      <c r="V56" s="163">
        <f t="shared" si="10"/>
        <v>11</v>
      </c>
      <c r="W56" s="163">
        <f t="shared" si="10"/>
        <v>11</v>
      </c>
      <c r="X56" s="163">
        <f t="shared" si="10"/>
        <v>11</v>
      </c>
      <c r="Y56" s="163">
        <f t="shared" si="10"/>
        <v>11</v>
      </c>
      <c r="Z56" s="163">
        <f t="shared" si="10"/>
        <v>11</v>
      </c>
      <c r="AA56" s="163">
        <f t="shared" si="10"/>
        <v>11</v>
      </c>
      <c r="AB56" s="163">
        <f t="shared" si="10"/>
        <v>11</v>
      </c>
      <c r="AC56" s="163">
        <f t="shared" si="10"/>
        <v>11</v>
      </c>
      <c r="AD56" s="163">
        <f t="shared" si="10"/>
        <v>11</v>
      </c>
      <c r="AE56" s="307">
        <f t="shared" si="11"/>
        <v>11</v>
      </c>
      <c r="AF56" s="183"/>
      <c r="AG56" s="125">
        <f>+SUMIF('Spokane DF Calc'!$C$23:$C$44,'Spokane Reg - Price out 2023'!C56,'Spokane DF Calc'!$D$23:$D$44)-AE56</f>
        <v>0</v>
      </c>
      <c r="AH56" s="186">
        <f>+RIGHT(C56)*AE56</f>
        <v>11</v>
      </c>
      <c r="AN56" s="167">
        <v>51.74</v>
      </c>
      <c r="AO56" s="168">
        <f t="shared" si="13"/>
        <v>5.646288613301305</v>
      </c>
      <c r="AP56" s="168">
        <f t="shared" si="14"/>
        <v>745.31009695577222</v>
      </c>
      <c r="AQ56" s="125">
        <f t="shared" si="15"/>
        <v>57.386288613301303</v>
      </c>
      <c r="AR56" s="125">
        <f t="shared" si="16"/>
        <v>7574.9900969557721</v>
      </c>
      <c r="AT56" s="125"/>
      <c r="AU56" s="125"/>
    </row>
    <row r="57" spans="1:47" s="119" customFormat="1" ht="12" customHeight="1">
      <c r="A57" s="119" t="s">
        <v>327</v>
      </c>
      <c r="B57" s="117" t="s">
        <v>69</v>
      </c>
      <c r="C57" s="117" t="s">
        <v>70</v>
      </c>
      <c r="D57" s="161">
        <v>14.01</v>
      </c>
      <c r="E57" s="161">
        <v>0</v>
      </c>
      <c r="F57" s="161">
        <v>0</v>
      </c>
      <c r="G57" s="161">
        <v>0</v>
      </c>
      <c r="H57" s="161">
        <v>0</v>
      </c>
      <c r="I57" s="161">
        <v>0</v>
      </c>
      <c r="J57" s="161">
        <v>0</v>
      </c>
      <c r="K57" s="161">
        <v>14.01</v>
      </c>
      <c r="L57" s="161">
        <v>0</v>
      </c>
      <c r="M57" s="161">
        <v>0</v>
      </c>
      <c r="N57" s="161">
        <v>0</v>
      </c>
      <c r="O57" s="161">
        <v>14.01</v>
      </c>
      <c r="P57" s="161">
        <v>14.01</v>
      </c>
      <c r="Q57" s="125">
        <v>42.03</v>
      </c>
      <c r="S57" s="163">
        <f t="shared" si="10"/>
        <v>0</v>
      </c>
      <c r="T57" s="163">
        <f t="shared" si="10"/>
        <v>0</v>
      </c>
      <c r="U57" s="163">
        <f t="shared" si="10"/>
        <v>0</v>
      </c>
      <c r="V57" s="163">
        <f t="shared" si="10"/>
        <v>0</v>
      </c>
      <c r="W57" s="163">
        <f t="shared" si="10"/>
        <v>0</v>
      </c>
      <c r="X57" s="163">
        <f t="shared" si="10"/>
        <v>0</v>
      </c>
      <c r="Y57" s="163">
        <f t="shared" si="10"/>
        <v>1</v>
      </c>
      <c r="Z57" s="163">
        <f t="shared" si="10"/>
        <v>0</v>
      </c>
      <c r="AA57" s="163">
        <f t="shared" si="10"/>
        <v>0</v>
      </c>
      <c r="AB57" s="163">
        <f t="shared" si="10"/>
        <v>0</v>
      </c>
      <c r="AC57" s="163">
        <f t="shared" si="10"/>
        <v>1</v>
      </c>
      <c r="AD57" s="163">
        <f t="shared" si="10"/>
        <v>1</v>
      </c>
      <c r="AE57" s="307">
        <f t="shared" si="11"/>
        <v>0.25</v>
      </c>
      <c r="AF57" s="165"/>
      <c r="AG57" s="125">
        <f>+SUMIF('Spokane DF Calc'!$C$23:$C$44,'Spokane Reg - Price out 2023'!C57,'Spokane DF Calc'!$D$23:$D$44)-AE57</f>
        <v>0</v>
      </c>
      <c r="AH57" s="187"/>
      <c r="AN57" s="167">
        <v>14.03</v>
      </c>
      <c r="AO57" s="168">
        <f t="shared" si="13"/>
        <v>1.5310674380482663</v>
      </c>
      <c r="AP57" s="168">
        <f t="shared" si="14"/>
        <v>4.5932023141447988</v>
      </c>
      <c r="AQ57" s="125">
        <f t="shared" si="15"/>
        <v>15.561067438048266</v>
      </c>
      <c r="AR57" s="125">
        <f t="shared" si="16"/>
        <v>46.683202314144793</v>
      </c>
      <c r="AT57" s="125"/>
      <c r="AU57" s="125"/>
    </row>
    <row r="58" spans="1:47" s="119" customFormat="1" ht="12" customHeight="1">
      <c r="A58" s="119" t="s">
        <v>326</v>
      </c>
      <c r="B58" s="117" t="s">
        <v>74</v>
      </c>
      <c r="C58" s="117" t="s">
        <v>75</v>
      </c>
      <c r="D58" s="161">
        <v>77.680000000000007</v>
      </c>
      <c r="E58" s="161">
        <v>77.680000000000007</v>
      </c>
      <c r="F58" s="161">
        <v>0</v>
      </c>
      <c r="G58" s="161">
        <v>0</v>
      </c>
      <c r="H58" s="161">
        <v>0</v>
      </c>
      <c r="I58" s="161">
        <v>0</v>
      </c>
      <c r="J58" s="161">
        <v>77.680000000000007</v>
      </c>
      <c r="K58" s="161">
        <v>0</v>
      </c>
      <c r="L58" s="161">
        <v>0</v>
      </c>
      <c r="M58" s="161">
        <v>0</v>
      </c>
      <c r="N58" s="161">
        <v>77.680000000000007</v>
      </c>
      <c r="O58" s="161">
        <v>0</v>
      </c>
      <c r="P58" s="161">
        <v>0</v>
      </c>
      <c r="Q58" s="125">
        <v>233.04000000000002</v>
      </c>
      <c r="S58" s="163">
        <f t="shared" si="10"/>
        <v>1</v>
      </c>
      <c r="T58" s="163">
        <f t="shared" si="10"/>
        <v>0</v>
      </c>
      <c r="U58" s="163">
        <f t="shared" si="10"/>
        <v>0</v>
      </c>
      <c r="V58" s="163">
        <f t="shared" si="10"/>
        <v>0</v>
      </c>
      <c r="W58" s="163">
        <f t="shared" si="10"/>
        <v>0</v>
      </c>
      <c r="X58" s="163">
        <f t="shared" si="10"/>
        <v>1</v>
      </c>
      <c r="Y58" s="163">
        <f t="shared" si="10"/>
        <v>0</v>
      </c>
      <c r="Z58" s="163">
        <f t="shared" si="10"/>
        <v>0</v>
      </c>
      <c r="AA58" s="163">
        <f t="shared" si="10"/>
        <v>0</v>
      </c>
      <c r="AB58" s="163">
        <f t="shared" si="10"/>
        <v>1</v>
      </c>
      <c r="AC58" s="163">
        <f t="shared" si="10"/>
        <v>0</v>
      </c>
      <c r="AD58" s="163">
        <f t="shared" si="10"/>
        <v>0</v>
      </c>
      <c r="AE58" s="307">
        <f t="shared" si="11"/>
        <v>0.25</v>
      </c>
      <c r="AF58" s="165"/>
      <c r="AG58" s="125">
        <f>+SUMIF('Spokane DF Calc'!$C$23:$C$44,'Spokane Reg - Price out 2023'!C58,'Spokane DF Calc'!$D$23:$D$44)-AE58</f>
        <v>0</v>
      </c>
      <c r="AH58" s="125">
        <f>+AE58</f>
        <v>0.25</v>
      </c>
      <c r="AN58" s="167">
        <v>77.88</v>
      </c>
      <c r="AO58" s="168">
        <f t="shared" si="13"/>
        <v>8.4988975107055591</v>
      </c>
      <c r="AP58" s="168">
        <f t="shared" si="14"/>
        <v>25.496692532116676</v>
      </c>
      <c r="AQ58" s="125">
        <f t="shared" si="15"/>
        <v>86.378897510705556</v>
      </c>
      <c r="AR58" s="125">
        <f t="shared" si="16"/>
        <v>259.13669253211668</v>
      </c>
      <c r="AT58" s="125"/>
      <c r="AU58" s="125"/>
    </row>
    <row r="59" spans="1:47" s="119" customFormat="1" ht="12" customHeight="1">
      <c r="A59" s="119" t="s">
        <v>326</v>
      </c>
      <c r="B59" s="117" t="s">
        <v>433</v>
      </c>
      <c r="C59" s="117" t="s">
        <v>434</v>
      </c>
      <c r="D59" s="161">
        <v>90.72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90.72</v>
      </c>
      <c r="K59" s="161">
        <v>0</v>
      </c>
      <c r="L59" s="161">
        <v>0</v>
      </c>
      <c r="M59" s="161">
        <v>0</v>
      </c>
      <c r="N59" s="161">
        <v>90.72</v>
      </c>
      <c r="O59" s="161">
        <v>0</v>
      </c>
      <c r="P59" s="161">
        <v>0</v>
      </c>
      <c r="Q59" s="125">
        <v>181.44</v>
      </c>
      <c r="S59" s="163">
        <f t="shared" si="10"/>
        <v>0</v>
      </c>
      <c r="T59" s="163">
        <f t="shared" si="10"/>
        <v>0</v>
      </c>
      <c r="U59" s="163">
        <f t="shared" si="10"/>
        <v>0</v>
      </c>
      <c r="V59" s="163">
        <f t="shared" si="10"/>
        <v>0</v>
      </c>
      <c r="W59" s="163">
        <f t="shared" si="10"/>
        <v>0</v>
      </c>
      <c r="X59" s="163">
        <f t="shared" si="10"/>
        <v>1</v>
      </c>
      <c r="Y59" s="163">
        <f t="shared" si="10"/>
        <v>0</v>
      </c>
      <c r="Z59" s="163">
        <f t="shared" si="10"/>
        <v>0</v>
      </c>
      <c r="AA59" s="163">
        <f t="shared" si="10"/>
        <v>0</v>
      </c>
      <c r="AB59" s="163">
        <f t="shared" si="10"/>
        <v>1</v>
      </c>
      <c r="AC59" s="163">
        <f t="shared" si="10"/>
        <v>0</v>
      </c>
      <c r="AD59" s="163">
        <f t="shared" si="10"/>
        <v>0</v>
      </c>
      <c r="AE59" s="307">
        <f t="shared" si="11"/>
        <v>0.16666666666666666</v>
      </c>
      <c r="AF59" s="165"/>
      <c r="AG59" s="125">
        <f>+SUMIF('Spokane DF Calc'!$C$23:$C$44,'Spokane Reg - Price out 2023'!C59,'Spokane DF Calc'!$D$23:$D$44)-AE59</f>
        <v>0</v>
      </c>
      <c r="AH59" s="125">
        <f>+AE59</f>
        <v>0.16666666666666666</v>
      </c>
      <c r="AN59" s="167">
        <v>90.98</v>
      </c>
      <c r="AO59" s="168">
        <f t="shared" si="13"/>
        <v>9.9284758028247531</v>
      </c>
      <c r="AP59" s="168">
        <f t="shared" si="14"/>
        <v>19.856951605649506</v>
      </c>
      <c r="AQ59" s="125">
        <f t="shared" si="15"/>
        <v>100.90847580282475</v>
      </c>
      <c r="AR59" s="125">
        <f t="shared" si="16"/>
        <v>201.81695160564951</v>
      </c>
      <c r="AT59" s="125"/>
      <c r="AU59" s="125"/>
    </row>
    <row r="60" spans="1:47" s="119" customFormat="1" ht="12" customHeight="1">
      <c r="A60" s="119" t="s">
        <v>327</v>
      </c>
      <c r="B60" s="117" t="s">
        <v>71</v>
      </c>
      <c r="C60" s="117" t="s">
        <v>72</v>
      </c>
      <c r="D60" s="161">
        <v>4.95</v>
      </c>
      <c r="E60" s="161">
        <v>39.520000000000003</v>
      </c>
      <c r="F60" s="161">
        <v>0</v>
      </c>
      <c r="G60" s="161">
        <v>29.7</v>
      </c>
      <c r="H60" s="161">
        <v>54.45</v>
      </c>
      <c r="I60" s="161">
        <v>44.55</v>
      </c>
      <c r="J60" s="161">
        <v>214.15</v>
      </c>
      <c r="K60" s="161">
        <v>24.75</v>
      </c>
      <c r="L60" s="161">
        <v>54.97</v>
      </c>
      <c r="M60" s="161">
        <v>24.75</v>
      </c>
      <c r="N60" s="161">
        <v>39.6</v>
      </c>
      <c r="O60" s="161">
        <v>19.8</v>
      </c>
      <c r="P60" s="161">
        <v>0</v>
      </c>
      <c r="Q60" s="125">
        <v>546.24</v>
      </c>
      <c r="S60" s="163">
        <f t="shared" si="10"/>
        <v>7.9838383838383846</v>
      </c>
      <c r="T60" s="163">
        <f t="shared" si="10"/>
        <v>0</v>
      </c>
      <c r="U60" s="163">
        <f t="shared" si="10"/>
        <v>6</v>
      </c>
      <c r="V60" s="163">
        <f t="shared" si="10"/>
        <v>11</v>
      </c>
      <c r="W60" s="163">
        <f t="shared" si="10"/>
        <v>8.9999999999999982</v>
      </c>
      <c r="X60" s="163">
        <f t="shared" si="10"/>
        <v>43.262626262626263</v>
      </c>
      <c r="Y60" s="163">
        <f t="shared" si="10"/>
        <v>5</v>
      </c>
      <c r="Z60" s="163">
        <f t="shared" si="10"/>
        <v>11.105050505050505</v>
      </c>
      <c r="AA60" s="163">
        <f t="shared" si="10"/>
        <v>5</v>
      </c>
      <c r="AB60" s="163">
        <f t="shared" si="10"/>
        <v>8</v>
      </c>
      <c r="AC60" s="163">
        <f t="shared" si="10"/>
        <v>4</v>
      </c>
      <c r="AD60" s="163">
        <f t="shared" si="10"/>
        <v>0</v>
      </c>
      <c r="AE60" s="307">
        <f t="shared" si="11"/>
        <v>9.1959595959595948</v>
      </c>
      <c r="AF60" s="165"/>
      <c r="AG60" s="125">
        <f>+SUMIF('Spokane DF Calc'!$C$23:$C$44,'Spokane Reg - Price out 2023'!C60,'Spokane DF Calc'!$D$23:$D$44)-AE60</f>
        <v>0</v>
      </c>
      <c r="AN60" s="167">
        <v>4.97</v>
      </c>
      <c r="AO60" s="168">
        <f t="shared" si="13"/>
        <v>0.54236672609407577</v>
      </c>
      <c r="AP60" s="168">
        <f t="shared" si="14"/>
        <v>59.85098999224806</v>
      </c>
      <c r="AQ60" s="125">
        <f t="shared" si="15"/>
        <v>5.5123667260940756</v>
      </c>
      <c r="AR60" s="125">
        <f t="shared" si="16"/>
        <v>608.29802029527832</v>
      </c>
      <c r="AT60" s="125"/>
      <c r="AU60" s="125"/>
    </row>
    <row r="61" spans="1:47" s="119" customFormat="1" ht="12" customHeight="1">
      <c r="A61" s="119" t="s">
        <v>323</v>
      </c>
      <c r="B61" s="117" t="s">
        <v>85</v>
      </c>
      <c r="C61" s="117" t="s">
        <v>86</v>
      </c>
      <c r="D61" s="161">
        <v>26.34</v>
      </c>
      <c r="E61" s="161">
        <v>0</v>
      </c>
      <c r="F61" s="161">
        <v>105.36</v>
      </c>
      <c r="G61" s="161">
        <v>52.68</v>
      </c>
      <c r="H61" s="161">
        <v>131.69999999999999</v>
      </c>
      <c r="I61" s="161">
        <v>52.68</v>
      </c>
      <c r="J61" s="161">
        <v>131.69999999999999</v>
      </c>
      <c r="K61" s="161">
        <v>0</v>
      </c>
      <c r="L61" s="161">
        <v>52.68</v>
      </c>
      <c r="M61" s="161">
        <v>105.36</v>
      </c>
      <c r="N61" s="161">
        <v>0</v>
      </c>
      <c r="O61" s="161">
        <v>105.36</v>
      </c>
      <c r="P61" s="161">
        <v>0</v>
      </c>
      <c r="Q61" s="125">
        <v>737.52</v>
      </c>
      <c r="S61" s="163">
        <f t="shared" si="10"/>
        <v>0</v>
      </c>
      <c r="T61" s="163">
        <f t="shared" si="10"/>
        <v>4</v>
      </c>
      <c r="U61" s="163">
        <f t="shared" si="10"/>
        <v>2</v>
      </c>
      <c r="V61" s="163">
        <f t="shared" ref="V61:AD76" si="17">IFERROR(H61/$D61,0)</f>
        <v>5</v>
      </c>
      <c r="W61" s="163">
        <f t="shared" si="17"/>
        <v>2</v>
      </c>
      <c r="X61" s="163">
        <f t="shared" si="17"/>
        <v>5</v>
      </c>
      <c r="Y61" s="163">
        <f t="shared" si="17"/>
        <v>0</v>
      </c>
      <c r="Z61" s="163">
        <f t="shared" si="17"/>
        <v>2</v>
      </c>
      <c r="AA61" s="163">
        <f t="shared" si="17"/>
        <v>4</v>
      </c>
      <c r="AB61" s="163">
        <f t="shared" si="17"/>
        <v>0</v>
      </c>
      <c r="AC61" s="163">
        <f t="shared" si="17"/>
        <v>4</v>
      </c>
      <c r="AD61" s="163">
        <f t="shared" si="17"/>
        <v>0</v>
      </c>
      <c r="AE61" s="307">
        <f t="shared" si="11"/>
        <v>2.3333333333333335</v>
      </c>
      <c r="AF61" s="165"/>
      <c r="AG61" s="125">
        <f>+SUMIF('Spokane DF Calc'!$C$23:$C$44,'Spokane Reg - Price out 2023'!C61,'Spokane DF Calc'!$D$23:$D$44)-AE61</f>
        <v>0</v>
      </c>
      <c r="AN61" s="167">
        <v>26.44</v>
      </c>
      <c r="AO61" s="168">
        <f t="shared" si="13"/>
        <v>2.885347331574923</v>
      </c>
      <c r="AP61" s="168">
        <f t="shared" si="14"/>
        <v>80.789725284097841</v>
      </c>
      <c r="AQ61" s="125">
        <f t="shared" si="15"/>
        <v>29.325347331574925</v>
      </c>
      <c r="AR61" s="125">
        <f t="shared" si="16"/>
        <v>821.10972528409798</v>
      </c>
      <c r="AT61" s="125"/>
      <c r="AU61" s="125"/>
    </row>
    <row r="62" spans="1:47" s="119" customFormat="1" ht="12" customHeight="1">
      <c r="A62" s="119" t="s">
        <v>326</v>
      </c>
      <c r="B62" s="117" t="s">
        <v>87</v>
      </c>
      <c r="C62" s="117" t="s">
        <v>88</v>
      </c>
      <c r="D62" s="161">
        <v>14.58</v>
      </c>
      <c r="E62" s="161">
        <v>218.7</v>
      </c>
      <c r="F62" s="161">
        <v>204.12</v>
      </c>
      <c r="G62" s="161">
        <v>204.12</v>
      </c>
      <c r="H62" s="161">
        <v>196.83</v>
      </c>
      <c r="I62" s="161">
        <v>218.7</v>
      </c>
      <c r="J62" s="161">
        <v>247.86</v>
      </c>
      <c r="K62" s="161">
        <v>247.86</v>
      </c>
      <c r="L62" s="161">
        <v>247.86</v>
      </c>
      <c r="M62" s="161">
        <v>262.43</v>
      </c>
      <c r="N62" s="161">
        <v>247.86</v>
      </c>
      <c r="O62" s="161">
        <v>233.28</v>
      </c>
      <c r="P62" s="161">
        <v>277.02</v>
      </c>
      <c r="Q62" s="125">
        <v>2806.6400000000003</v>
      </c>
      <c r="S62" s="163">
        <f t="shared" ref="S62:U76" si="18">IFERROR(E62/$D62,0)</f>
        <v>15</v>
      </c>
      <c r="T62" s="163">
        <f t="shared" si="18"/>
        <v>14</v>
      </c>
      <c r="U62" s="163">
        <f t="shared" si="18"/>
        <v>14</v>
      </c>
      <c r="V62" s="163">
        <f t="shared" si="17"/>
        <v>13.5</v>
      </c>
      <c r="W62" s="163">
        <f t="shared" si="17"/>
        <v>15</v>
      </c>
      <c r="X62" s="163">
        <f t="shared" si="17"/>
        <v>17</v>
      </c>
      <c r="Y62" s="163">
        <f t="shared" si="17"/>
        <v>17</v>
      </c>
      <c r="Z62" s="163">
        <f t="shared" si="17"/>
        <v>17</v>
      </c>
      <c r="AA62" s="163">
        <f t="shared" si="17"/>
        <v>17.999314128943759</v>
      </c>
      <c r="AB62" s="163">
        <f t="shared" si="17"/>
        <v>17</v>
      </c>
      <c r="AC62" s="163">
        <f t="shared" si="17"/>
        <v>16</v>
      </c>
      <c r="AD62" s="163">
        <f t="shared" si="17"/>
        <v>19</v>
      </c>
      <c r="AE62" s="169">
        <f t="shared" si="11"/>
        <v>16.041609510745314</v>
      </c>
      <c r="AF62" s="165"/>
      <c r="AN62" s="167">
        <v>14.58</v>
      </c>
      <c r="AO62" s="168">
        <f t="shared" si="13"/>
        <v>1.5910879006944922</v>
      </c>
      <c r="AP62" s="168">
        <f t="shared" si="14"/>
        <v>306.28332960255074</v>
      </c>
      <c r="AQ62" s="125">
        <f t="shared" si="15"/>
        <v>16.171087900694491</v>
      </c>
      <c r="AR62" s="125">
        <f t="shared" si="16"/>
        <v>3112.9233296025504</v>
      </c>
      <c r="AT62" s="125"/>
      <c r="AU62" s="125"/>
    </row>
    <row r="63" spans="1:47" s="119" customFormat="1" ht="12" customHeight="1">
      <c r="A63" s="119" t="s">
        <v>326</v>
      </c>
      <c r="B63" s="117" t="s">
        <v>89</v>
      </c>
      <c r="C63" s="117" t="s">
        <v>90</v>
      </c>
      <c r="D63" s="161">
        <v>29.44</v>
      </c>
      <c r="E63" s="161">
        <v>29.44</v>
      </c>
      <c r="F63" s="161">
        <v>29.44</v>
      </c>
      <c r="G63" s="161">
        <v>29.44</v>
      </c>
      <c r="H63" s="161">
        <v>29.44</v>
      </c>
      <c r="I63" s="161">
        <v>29.44</v>
      </c>
      <c r="J63" s="161">
        <v>29.44</v>
      </c>
      <c r="K63" s="161">
        <v>29.44</v>
      </c>
      <c r="L63" s="161">
        <v>29.44</v>
      </c>
      <c r="M63" s="161">
        <v>29.44</v>
      </c>
      <c r="N63" s="161">
        <v>29.44</v>
      </c>
      <c r="O63" s="161">
        <v>29.44</v>
      </c>
      <c r="P63" s="161">
        <v>29.44</v>
      </c>
      <c r="Q63" s="125">
        <v>353.28000000000003</v>
      </c>
      <c r="S63" s="163">
        <f t="shared" si="18"/>
        <v>1</v>
      </c>
      <c r="T63" s="163">
        <f t="shared" si="18"/>
        <v>1</v>
      </c>
      <c r="U63" s="163">
        <f t="shared" si="18"/>
        <v>1</v>
      </c>
      <c r="V63" s="163">
        <f t="shared" si="17"/>
        <v>1</v>
      </c>
      <c r="W63" s="163">
        <f t="shared" si="17"/>
        <v>1</v>
      </c>
      <c r="X63" s="163">
        <f t="shared" si="17"/>
        <v>1</v>
      </c>
      <c r="Y63" s="163">
        <f t="shared" si="17"/>
        <v>1</v>
      </c>
      <c r="Z63" s="163">
        <f t="shared" si="17"/>
        <v>1</v>
      </c>
      <c r="AA63" s="163">
        <f t="shared" si="17"/>
        <v>1</v>
      </c>
      <c r="AB63" s="163">
        <f t="shared" si="17"/>
        <v>1</v>
      </c>
      <c r="AC63" s="163">
        <f t="shared" si="17"/>
        <v>1</v>
      </c>
      <c r="AD63" s="163">
        <f t="shared" si="17"/>
        <v>1</v>
      </c>
      <c r="AE63" s="169">
        <f t="shared" si="11"/>
        <v>1</v>
      </c>
      <c r="AF63" s="165"/>
      <c r="AN63" s="167">
        <v>29.44</v>
      </c>
      <c r="AO63" s="168">
        <f t="shared" si="13"/>
        <v>3.2127316732816085</v>
      </c>
      <c r="AP63" s="168">
        <f t="shared" si="14"/>
        <v>38.552780079379303</v>
      </c>
      <c r="AQ63" s="125">
        <f t="shared" si="15"/>
        <v>32.652731673281608</v>
      </c>
      <c r="AR63" s="125">
        <f t="shared" si="16"/>
        <v>391.83278007937929</v>
      </c>
      <c r="AT63" s="125"/>
      <c r="AU63" s="125"/>
    </row>
    <row r="64" spans="1:47" s="119" customFormat="1" ht="12" customHeight="1">
      <c r="A64" s="119" t="s">
        <v>326</v>
      </c>
      <c r="B64" s="117" t="s">
        <v>91</v>
      </c>
      <c r="C64" s="117" t="s">
        <v>92</v>
      </c>
      <c r="D64" s="161">
        <v>12.13</v>
      </c>
      <c r="E64" s="161">
        <v>409.38</v>
      </c>
      <c r="F64" s="161">
        <v>406.35</v>
      </c>
      <c r="G64" s="161">
        <v>403.32</v>
      </c>
      <c r="H64" s="161">
        <v>409.38</v>
      </c>
      <c r="I64" s="161">
        <v>421.51</v>
      </c>
      <c r="J64" s="161">
        <v>412.42</v>
      </c>
      <c r="K64" s="161">
        <v>418.46999999999997</v>
      </c>
      <c r="L64" s="161">
        <v>403.32</v>
      </c>
      <c r="M64" s="161">
        <v>388.15999999999997</v>
      </c>
      <c r="N64" s="161">
        <v>385.12</v>
      </c>
      <c r="O64" s="161">
        <v>382.09</v>
      </c>
      <c r="P64" s="161">
        <v>372.99</v>
      </c>
      <c r="Q64" s="125">
        <v>4812.5099999999993</v>
      </c>
      <c r="S64" s="163">
        <f t="shared" si="18"/>
        <v>33.749381698268749</v>
      </c>
      <c r="T64" s="163">
        <f t="shared" si="18"/>
        <v>33.499587798845837</v>
      </c>
      <c r="U64" s="163">
        <f t="shared" si="18"/>
        <v>33.249793899422919</v>
      </c>
      <c r="V64" s="163">
        <f t="shared" si="17"/>
        <v>33.749381698268749</v>
      </c>
      <c r="W64" s="163">
        <f t="shared" si="17"/>
        <v>34.749381698268749</v>
      </c>
      <c r="X64" s="163">
        <f t="shared" si="17"/>
        <v>34</v>
      </c>
      <c r="Y64" s="163">
        <f t="shared" si="17"/>
        <v>34.498763396537505</v>
      </c>
      <c r="Z64" s="163">
        <f t="shared" si="17"/>
        <v>33.249793899422919</v>
      </c>
      <c r="AA64" s="163">
        <f t="shared" si="17"/>
        <v>31.999999999999996</v>
      </c>
      <c r="AB64" s="163">
        <f t="shared" si="17"/>
        <v>31.749381698268753</v>
      </c>
      <c r="AC64" s="163">
        <f t="shared" si="17"/>
        <v>31.499587798845834</v>
      </c>
      <c r="AD64" s="163">
        <f t="shared" si="17"/>
        <v>30.749381698268753</v>
      </c>
      <c r="AE64" s="169">
        <f t="shared" si="11"/>
        <v>33.062036273701558</v>
      </c>
      <c r="AF64" s="165"/>
      <c r="AN64" s="167">
        <v>12.13</v>
      </c>
      <c r="AO64" s="168">
        <f t="shared" si="13"/>
        <v>1.3237240216340322</v>
      </c>
      <c r="AP64" s="168">
        <f t="shared" si="14"/>
        <v>525.18013943561368</v>
      </c>
      <c r="AQ64" s="125">
        <f t="shared" si="15"/>
        <v>13.453724021634033</v>
      </c>
      <c r="AR64" s="125">
        <f t="shared" si="16"/>
        <v>5337.6901394356128</v>
      </c>
      <c r="AT64" s="125"/>
      <c r="AU64" s="125"/>
    </row>
    <row r="65" spans="1:47" s="119" customFormat="1" ht="12" customHeight="1">
      <c r="A65" s="119" t="s">
        <v>326</v>
      </c>
      <c r="B65" s="117" t="s">
        <v>93</v>
      </c>
      <c r="C65" s="117" t="s">
        <v>94</v>
      </c>
      <c r="D65" s="161">
        <v>20.02</v>
      </c>
      <c r="E65" s="161">
        <v>120.12</v>
      </c>
      <c r="F65" s="161">
        <v>120.12</v>
      </c>
      <c r="G65" s="161">
        <v>120.12</v>
      </c>
      <c r="H65" s="161">
        <v>120.12</v>
      </c>
      <c r="I65" s="161">
        <v>120.12</v>
      </c>
      <c r="J65" s="161">
        <v>140.13999999999999</v>
      </c>
      <c r="K65" s="161">
        <v>150.15</v>
      </c>
      <c r="L65" s="161">
        <v>200.2</v>
      </c>
      <c r="M65" s="161">
        <v>200.2</v>
      </c>
      <c r="N65" s="161">
        <v>195.19</v>
      </c>
      <c r="O65" s="161">
        <v>180.18</v>
      </c>
      <c r="P65" s="161">
        <v>230.22</v>
      </c>
      <c r="Q65" s="125">
        <v>1896.88</v>
      </c>
      <c r="S65" s="163">
        <f t="shared" si="18"/>
        <v>6</v>
      </c>
      <c r="T65" s="163">
        <f t="shared" si="18"/>
        <v>6</v>
      </c>
      <c r="U65" s="163">
        <f t="shared" si="18"/>
        <v>6</v>
      </c>
      <c r="V65" s="163">
        <f t="shared" si="17"/>
        <v>6</v>
      </c>
      <c r="W65" s="163">
        <f t="shared" si="17"/>
        <v>6</v>
      </c>
      <c r="X65" s="163">
        <f t="shared" si="17"/>
        <v>6.9999999999999991</v>
      </c>
      <c r="Y65" s="163">
        <f t="shared" si="17"/>
        <v>7.5</v>
      </c>
      <c r="Z65" s="163">
        <f t="shared" si="17"/>
        <v>10</v>
      </c>
      <c r="AA65" s="163">
        <f t="shared" si="17"/>
        <v>10</v>
      </c>
      <c r="AB65" s="163">
        <f t="shared" si="17"/>
        <v>9.7497502497502495</v>
      </c>
      <c r="AC65" s="163">
        <f t="shared" si="17"/>
        <v>9</v>
      </c>
      <c r="AD65" s="163">
        <f t="shared" si="17"/>
        <v>11.499500499500499</v>
      </c>
      <c r="AE65" s="169">
        <f t="shared" si="11"/>
        <v>7.8957708957708954</v>
      </c>
      <c r="AF65" s="165"/>
      <c r="AN65" s="167">
        <v>20.02</v>
      </c>
      <c r="AO65" s="168">
        <f t="shared" si="13"/>
        <v>2.1847448403226153</v>
      </c>
      <c r="AP65" s="168">
        <f t="shared" si="14"/>
        <v>207.00293669885926</v>
      </c>
      <c r="AQ65" s="125">
        <f t="shared" si="15"/>
        <v>22.204744840322615</v>
      </c>
      <c r="AR65" s="125">
        <f t="shared" si="16"/>
        <v>2103.8829366988593</v>
      </c>
      <c r="AT65" s="125"/>
      <c r="AU65" s="125"/>
    </row>
    <row r="66" spans="1:47" s="119" customFormat="1" ht="12" customHeight="1">
      <c r="A66" s="119" t="s">
        <v>326</v>
      </c>
      <c r="B66" s="117" t="s">
        <v>95</v>
      </c>
      <c r="C66" s="117" t="s">
        <v>96</v>
      </c>
      <c r="D66" s="161">
        <v>40.14</v>
      </c>
      <c r="E66" s="161">
        <v>0</v>
      </c>
      <c r="F66" s="161">
        <v>0</v>
      </c>
      <c r="G66" s="161">
        <v>0</v>
      </c>
      <c r="H66" s="161">
        <v>0</v>
      </c>
      <c r="I66" s="161">
        <v>40.14</v>
      </c>
      <c r="J66" s="161">
        <v>0</v>
      </c>
      <c r="K66" s="161">
        <v>0</v>
      </c>
      <c r="L66" s="161">
        <v>40.14</v>
      </c>
      <c r="M66" s="161">
        <v>40.14</v>
      </c>
      <c r="N66" s="161">
        <v>40.14</v>
      </c>
      <c r="O66" s="161">
        <v>40.14</v>
      </c>
      <c r="P66" s="161">
        <v>0</v>
      </c>
      <c r="Q66" s="125">
        <v>200.7</v>
      </c>
      <c r="S66" s="163">
        <f t="shared" si="18"/>
        <v>0</v>
      </c>
      <c r="T66" s="163">
        <f t="shared" si="18"/>
        <v>0</v>
      </c>
      <c r="U66" s="163">
        <f t="shared" si="18"/>
        <v>0</v>
      </c>
      <c r="V66" s="163">
        <f t="shared" si="17"/>
        <v>0</v>
      </c>
      <c r="W66" s="163">
        <f t="shared" si="17"/>
        <v>1</v>
      </c>
      <c r="X66" s="163">
        <f t="shared" si="17"/>
        <v>0</v>
      </c>
      <c r="Y66" s="163">
        <f t="shared" si="17"/>
        <v>0</v>
      </c>
      <c r="Z66" s="163">
        <f t="shared" si="17"/>
        <v>1</v>
      </c>
      <c r="AA66" s="163">
        <f t="shared" si="17"/>
        <v>1</v>
      </c>
      <c r="AB66" s="163">
        <f t="shared" si="17"/>
        <v>1</v>
      </c>
      <c r="AC66" s="163">
        <f t="shared" si="17"/>
        <v>1</v>
      </c>
      <c r="AD66" s="163">
        <f t="shared" si="17"/>
        <v>0</v>
      </c>
      <c r="AE66" s="169">
        <f t="shared" si="11"/>
        <v>0.41666666666666669</v>
      </c>
      <c r="AF66" s="165"/>
      <c r="AN66" s="167">
        <v>40.14</v>
      </c>
      <c r="AO66" s="168">
        <f t="shared" si="13"/>
        <v>4.3804024920354534</v>
      </c>
      <c r="AP66" s="168">
        <f t="shared" si="14"/>
        <v>21.902012460177268</v>
      </c>
      <c r="AQ66" s="125">
        <f t="shared" si="15"/>
        <v>44.520402492035451</v>
      </c>
      <c r="AR66" s="125">
        <f t="shared" si="16"/>
        <v>222.60201246017726</v>
      </c>
      <c r="AT66" s="125"/>
      <c r="AU66" s="125"/>
    </row>
    <row r="67" spans="1:47" s="119" customFormat="1" ht="12" customHeight="1">
      <c r="A67" s="119" t="s">
        <v>326</v>
      </c>
      <c r="B67" s="117" t="s">
        <v>97</v>
      </c>
      <c r="C67" s="117" t="s">
        <v>98</v>
      </c>
      <c r="D67" s="161">
        <v>24.71</v>
      </c>
      <c r="E67" s="161">
        <v>148.26</v>
      </c>
      <c r="F67" s="161">
        <v>123.55</v>
      </c>
      <c r="G67" s="161">
        <v>123.55</v>
      </c>
      <c r="H67" s="161">
        <v>123.55</v>
      </c>
      <c r="I67" s="161">
        <v>148.26</v>
      </c>
      <c r="J67" s="161">
        <v>148.26</v>
      </c>
      <c r="K67" s="161">
        <v>148.26</v>
      </c>
      <c r="L67" s="161">
        <v>148.26</v>
      </c>
      <c r="M67" s="161">
        <v>148.26</v>
      </c>
      <c r="N67" s="161">
        <v>148.26</v>
      </c>
      <c r="O67" s="161">
        <v>148.26</v>
      </c>
      <c r="P67" s="161">
        <v>135.9</v>
      </c>
      <c r="Q67" s="125">
        <v>1692.6299999999999</v>
      </c>
      <c r="S67" s="163">
        <f t="shared" si="18"/>
        <v>5.9999999999999991</v>
      </c>
      <c r="T67" s="163">
        <f t="shared" si="18"/>
        <v>5</v>
      </c>
      <c r="U67" s="163">
        <f t="shared" si="18"/>
        <v>5</v>
      </c>
      <c r="V67" s="163">
        <f t="shared" si="17"/>
        <v>5</v>
      </c>
      <c r="W67" s="163">
        <f t="shared" si="17"/>
        <v>5.9999999999999991</v>
      </c>
      <c r="X67" s="163">
        <f t="shared" si="17"/>
        <v>5.9999999999999991</v>
      </c>
      <c r="Y67" s="163">
        <f t="shared" si="17"/>
        <v>5.9999999999999991</v>
      </c>
      <c r="Z67" s="163">
        <f t="shared" si="17"/>
        <v>5.9999999999999991</v>
      </c>
      <c r="AA67" s="163">
        <f t="shared" si="17"/>
        <v>5.9999999999999991</v>
      </c>
      <c r="AB67" s="163">
        <f t="shared" si="17"/>
        <v>5.9999999999999991</v>
      </c>
      <c r="AC67" s="163">
        <f t="shared" si="17"/>
        <v>5.9999999999999991</v>
      </c>
      <c r="AD67" s="163">
        <f t="shared" si="17"/>
        <v>5.4997976527721573</v>
      </c>
      <c r="AE67" s="169">
        <f t="shared" si="11"/>
        <v>5.7083164710643466</v>
      </c>
      <c r="AF67" s="165"/>
      <c r="AN67" s="167">
        <v>24.71</v>
      </c>
      <c r="AO67" s="168">
        <f t="shared" si="13"/>
        <v>2.6965556945240672</v>
      </c>
      <c r="AP67" s="168">
        <f t="shared" si="14"/>
        <v>184.7135194343291</v>
      </c>
      <c r="AQ67" s="125">
        <f t="shared" si="15"/>
        <v>27.406555694524069</v>
      </c>
      <c r="AR67" s="125">
        <f t="shared" si="16"/>
        <v>1877.3435194343292</v>
      </c>
      <c r="AT67" s="125"/>
      <c r="AU67" s="125"/>
    </row>
    <row r="68" spans="1:47" s="119" customFormat="1" ht="12" customHeight="1">
      <c r="A68" s="119" t="s">
        <v>326</v>
      </c>
      <c r="B68" s="117" t="s">
        <v>99</v>
      </c>
      <c r="C68" s="117" t="s">
        <v>100</v>
      </c>
      <c r="D68" s="161">
        <v>48.15</v>
      </c>
      <c r="E68" s="161">
        <v>0</v>
      </c>
      <c r="F68" s="161">
        <v>48.15</v>
      </c>
      <c r="G68" s="161">
        <v>48.15</v>
      </c>
      <c r="H68" s="161">
        <v>0</v>
      </c>
      <c r="I68" s="161">
        <v>18.72</v>
      </c>
      <c r="J68" s="161">
        <v>112.34</v>
      </c>
      <c r="K68" s="161">
        <v>125.72</v>
      </c>
      <c r="L68" s="161">
        <v>90.95</v>
      </c>
      <c r="M68" s="161">
        <v>61.52</v>
      </c>
      <c r="N68" s="161">
        <v>0</v>
      </c>
      <c r="O68" s="161">
        <v>0</v>
      </c>
      <c r="P68" s="161">
        <v>0</v>
      </c>
      <c r="Q68" s="125">
        <v>505.55</v>
      </c>
      <c r="S68" s="163">
        <f t="shared" si="18"/>
        <v>0</v>
      </c>
      <c r="T68" s="163">
        <f t="shared" si="18"/>
        <v>1</v>
      </c>
      <c r="U68" s="163">
        <f t="shared" si="18"/>
        <v>1</v>
      </c>
      <c r="V68" s="163">
        <f t="shared" si="17"/>
        <v>0</v>
      </c>
      <c r="W68" s="163">
        <f t="shared" si="17"/>
        <v>0.38878504672897196</v>
      </c>
      <c r="X68" s="163">
        <f t="shared" si="17"/>
        <v>2.3331256490134997</v>
      </c>
      <c r="Y68" s="163">
        <f t="shared" si="17"/>
        <v>2.6110072689511941</v>
      </c>
      <c r="Z68" s="163">
        <f t="shared" si="17"/>
        <v>1.8888888888888891</v>
      </c>
      <c r="AA68" s="163">
        <f t="shared" si="17"/>
        <v>1.277673935617861</v>
      </c>
      <c r="AB68" s="163">
        <f t="shared" si="17"/>
        <v>0</v>
      </c>
      <c r="AC68" s="163">
        <f t="shared" si="17"/>
        <v>0</v>
      </c>
      <c r="AD68" s="163">
        <f t="shared" si="17"/>
        <v>0</v>
      </c>
      <c r="AE68" s="169">
        <f t="shared" si="11"/>
        <v>0.87495673243336791</v>
      </c>
      <c r="AF68" s="165"/>
      <c r="AN68" s="167">
        <v>48.15</v>
      </c>
      <c r="AO68" s="168">
        <f t="shared" si="13"/>
        <v>5.2545186843923037</v>
      </c>
      <c r="AP68" s="168">
        <f t="shared" si="14"/>
        <v>55.169717983271632</v>
      </c>
      <c r="AQ68" s="125">
        <f t="shared" si="15"/>
        <v>53.404518684392301</v>
      </c>
      <c r="AR68" s="125">
        <f t="shared" si="16"/>
        <v>560.71971798327161</v>
      </c>
      <c r="AT68" s="125"/>
      <c r="AU68" s="125"/>
    </row>
    <row r="69" spans="1:47" s="119" customFormat="1" ht="12" customHeight="1">
      <c r="A69" s="119" t="s">
        <v>326</v>
      </c>
      <c r="B69" s="117" t="s">
        <v>101</v>
      </c>
      <c r="C69" s="117" t="s">
        <v>102</v>
      </c>
      <c r="D69" s="161">
        <v>27.98</v>
      </c>
      <c r="E69" s="161">
        <v>363.74</v>
      </c>
      <c r="F69" s="161">
        <v>391.72</v>
      </c>
      <c r="G69" s="161">
        <v>391.72</v>
      </c>
      <c r="H69" s="161">
        <v>391.72</v>
      </c>
      <c r="I69" s="161">
        <v>363.74</v>
      </c>
      <c r="J69" s="161">
        <v>363.74</v>
      </c>
      <c r="K69" s="161">
        <v>363.74</v>
      </c>
      <c r="L69" s="161">
        <v>363.74</v>
      </c>
      <c r="M69" s="161">
        <v>363.74</v>
      </c>
      <c r="N69" s="161">
        <v>391.72</v>
      </c>
      <c r="O69" s="161">
        <v>405.71</v>
      </c>
      <c r="P69" s="161">
        <v>419.7</v>
      </c>
      <c r="Q69" s="125">
        <v>4574.7299999999996</v>
      </c>
      <c r="S69" s="163">
        <f t="shared" si="18"/>
        <v>13</v>
      </c>
      <c r="T69" s="163">
        <f t="shared" si="18"/>
        <v>14</v>
      </c>
      <c r="U69" s="163">
        <f t="shared" si="18"/>
        <v>14</v>
      </c>
      <c r="V69" s="163">
        <f t="shared" si="17"/>
        <v>14</v>
      </c>
      <c r="W69" s="163">
        <f t="shared" si="17"/>
        <v>13</v>
      </c>
      <c r="X69" s="163">
        <f t="shared" si="17"/>
        <v>13</v>
      </c>
      <c r="Y69" s="163">
        <f t="shared" si="17"/>
        <v>13</v>
      </c>
      <c r="Z69" s="163">
        <f t="shared" si="17"/>
        <v>13</v>
      </c>
      <c r="AA69" s="163">
        <f t="shared" si="17"/>
        <v>13</v>
      </c>
      <c r="AB69" s="163">
        <f t="shared" si="17"/>
        <v>14</v>
      </c>
      <c r="AC69" s="163">
        <f t="shared" si="17"/>
        <v>14.499999999999998</v>
      </c>
      <c r="AD69" s="163">
        <f t="shared" si="17"/>
        <v>15</v>
      </c>
      <c r="AE69" s="169">
        <f t="shared" si="11"/>
        <v>13.625</v>
      </c>
      <c r="AF69" s="165"/>
      <c r="AN69" s="167">
        <v>27.98</v>
      </c>
      <c r="AO69" s="168">
        <f t="shared" si="13"/>
        <v>3.0534046269843547</v>
      </c>
      <c r="AP69" s="168">
        <f t="shared" si="14"/>
        <v>499.23165651194199</v>
      </c>
      <c r="AQ69" s="125">
        <f t="shared" si="15"/>
        <v>31.033404626984357</v>
      </c>
      <c r="AR69" s="125">
        <f t="shared" si="16"/>
        <v>5073.9616565119422</v>
      </c>
      <c r="AT69" s="125"/>
      <c r="AU69" s="125"/>
    </row>
    <row r="70" spans="1:47" s="119" customFormat="1" ht="12" customHeight="1">
      <c r="A70" s="119" t="s">
        <v>326</v>
      </c>
      <c r="B70" s="117" t="s">
        <v>103</v>
      </c>
      <c r="C70" s="117" t="s">
        <v>104</v>
      </c>
      <c r="D70" s="161">
        <v>53.51</v>
      </c>
      <c r="E70" s="161">
        <v>53.51</v>
      </c>
      <c r="F70" s="161">
        <v>66.88</v>
      </c>
      <c r="G70" s="161">
        <v>109.68</v>
      </c>
      <c r="H70" s="161">
        <v>238.11</v>
      </c>
      <c r="I70" s="161">
        <v>313.02</v>
      </c>
      <c r="J70" s="161">
        <v>246.14</v>
      </c>
      <c r="K70" s="161">
        <v>214.04</v>
      </c>
      <c r="L70" s="161">
        <v>160.53</v>
      </c>
      <c r="M70" s="161">
        <v>358.51499999999999</v>
      </c>
      <c r="N70" s="161">
        <v>294.29500000000002</v>
      </c>
      <c r="O70" s="161">
        <v>214.04</v>
      </c>
      <c r="P70" s="161">
        <v>195.31</v>
      </c>
      <c r="Q70" s="125">
        <v>2464.0700000000002</v>
      </c>
      <c r="S70" s="163">
        <f t="shared" si="18"/>
        <v>1</v>
      </c>
      <c r="T70" s="163">
        <f t="shared" si="18"/>
        <v>1.249859839282377</v>
      </c>
      <c r="U70" s="163">
        <f t="shared" si="18"/>
        <v>2.049710334516913</v>
      </c>
      <c r="V70" s="163">
        <f t="shared" si="17"/>
        <v>4.449822463091011</v>
      </c>
      <c r="W70" s="163">
        <f t="shared" si="17"/>
        <v>5.8497477107082787</v>
      </c>
      <c r="X70" s="163">
        <f t="shared" si="17"/>
        <v>4.5998878714259019</v>
      </c>
      <c r="Y70" s="163">
        <f t="shared" si="17"/>
        <v>4</v>
      </c>
      <c r="Z70" s="163">
        <f t="shared" si="17"/>
        <v>3</v>
      </c>
      <c r="AA70" s="163">
        <f t="shared" si="17"/>
        <v>6.6999626238086343</v>
      </c>
      <c r="AB70" s="163">
        <f t="shared" si="17"/>
        <v>5.4998131190431696</v>
      </c>
      <c r="AC70" s="163">
        <f t="shared" si="17"/>
        <v>4</v>
      </c>
      <c r="AD70" s="163">
        <f t="shared" si="17"/>
        <v>3.6499719678564757</v>
      </c>
      <c r="AE70" s="169">
        <f t="shared" si="11"/>
        <v>3.8373979941443963</v>
      </c>
      <c r="AF70" s="165"/>
      <c r="AN70" s="167">
        <v>53.51</v>
      </c>
      <c r="AO70" s="168">
        <f t="shared" si="13"/>
        <v>5.8394453749082489</v>
      </c>
      <c r="AP70" s="168">
        <f t="shared" si="14"/>
        <v>268.89931162306425</v>
      </c>
      <c r="AQ70" s="125">
        <f t="shared" si="15"/>
        <v>59.34944537490825</v>
      </c>
      <c r="AR70" s="125">
        <f t="shared" si="16"/>
        <v>2732.9693116230642</v>
      </c>
      <c r="AT70" s="125"/>
      <c r="AU70" s="125"/>
    </row>
    <row r="71" spans="1:47" s="119" customFormat="1" ht="12" customHeight="1">
      <c r="A71" s="119" t="s">
        <v>326</v>
      </c>
      <c r="B71" s="117" t="s">
        <v>105</v>
      </c>
      <c r="C71" s="117" t="s">
        <v>106</v>
      </c>
      <c r="D71" s="161">
        <v>37.06</v>
      </c>
      <c r="E71" s="161">
        <v>111.18</v>
      </c>
      <c r="F71" s="161">
        <v>111.18</v>
      </c>
      <c r="G71" s="161">
        <v>111.18</v>
      </c>
      <c r="H71" s="161">
        <v>111.18</v>
      </c>
      <c r="I71" s="161">
        <v>111.18</v>
      </c>
      <c r="J71" s="161">
        <v>111.18</v>
      </c>
      <c r="K71" s="161">
        <v>111.18</v>
      </c>
      <c r="L71" s="161">
        <v>111.18</v>
      </c>
      <c r="M71" s="161">
        <v>111.18</v>
      </c>
      <c r="N71" s="161">
        <v>111.18</v>
      </c>
      <c r="O71" s="161">
        <v>111.18</v>
      </c>
      <c r="P71" s="161">
        <v>111.18</v>
      </c>
      <c r="Q71" s="125">
        <v>1334.1600000000005</v>
      </c>
      <c r="S71" s="163">
        <f t="shared" si="18"/>
        <v>3</v>
      </c>
      <c r="T71" s="163">
        <f t="shared" si="18"/>
        <v>3</v>
      </c>
      <c r="U71" s="163">
        <f t="shared" si="18"/>
        <v>3</v>
      </c>
      <c r="V71" s="163">
        <f t="shared" si="17"/>
        <v>3</v>
      </c>
      <c r="W71" s="163">
        <f t="shared" si="17"/>
        <v>3</v>
      </c>
      <c r="X71" s="163">
        <f t="shared" si="17"/>
        <v>3</v>
      </c>
      <c r="Y71" s="163">
        <f t="shared" si="17"/>
        <v>3</v>
      </c>
      <c r="Z71" s="163">
        <f t="shared" si="17"/>
        <v>3</v>
      </c>
      <c r="AA71" s="163">
        <f t="shared" si="17"/>
        <v>3</v>
      </c>
      <c r="AB71" s="163">
        <f t="shared" si="17"/>
        <v>3</v>
      </c>
      <c r="AC71" s="163">
        <f t="shared" si="17"/>
        <v>3</v>
      </c>
      <c r="AD71" s="163">
        <f t="shared" si="17"/>
        <v>3</v>
      </c>
      <c r="AE71" s="169">
        <f t="shared" si="11"/>
        <v>3</v>
      </c>
      <c r="AF71" s="165"/>
      <c r="AN71" s="167">
        <v>37.06</v>
      </c>
      <c r="AO71" s="168">
        <f t="shared" si="13"/>
        <v>4.04428790121659</v>
      </c>
      <c r="AP71" s="168">
        <f t="shared" si="14"/>
        <v>145.59436444379725</v>
      </c>
      <c r="AQ71" s="125">
        <f t="shared" si="15"/>
        <v>41.104287901216594</v>
      </c>
      <c r="AR71" s="125">
        <f t="shared" si="16"/>
        <v>1479.7543644437974</v>
      </c>
      <c r="AT71" s="125"/>
      <c r="AU71" s="125"/>
    </row>
    <row r="72" spans="1:47" s="119" customFormat="1" ht="12" customHeight="1">
      <c r="A72" s="171" t="s">
        <v>326</v>
      </c>
      <c r="B72" s="117" t="s">
        <v>107</v>
      </c>
      <c r="C72" s="117" t="s">
        <v>108</v>
      </c>
      <c r="D72" s="161">
        <v>62.39</v>
      </c>
      <c r="E72" s="161">
        <v>62.39</v>
      </c>
      <c r="F72" s="161">
        <v>124.78</v>
      </c>
      <c r="G72" s="161">
        <v>187.17</v>
      </c>
      <c r="H72" s="161">
        <v>187.17</v>
      </c>
      <c r="I72" s="161">
        <v>311.95</v>
      </c>
      <c r="J72" s="161">
        <v>311.95</v>
      </c>
      <c r="K72" s="161">
        <v>124.78</v>
      </c>
      <c r="L72" s="161">
        <v>124.78</v>
      </c>
      <c r="M72" s="161">
        <v>187.17</v>
      </c>
      <c r="N72" s="161">
        <v>249.56</v>
      </c>
      <c r="O72" s="161">
        <v>0</v>
      </c>
      <c r="P72" s="161">
        <v>0</v>
      </c>
      <c r="Q72" s="125">
        <v>1871.7</v>
      </c>
      <c r="S72" s="163">
        <f t="shared" si="18"/>
        <v>1</v>
      </c>
      <c r="T72" s="163">
        <f t="shared" si="18"/>
        <v>2</v>
      </c>
      <c r="U72" s="163">
        <f t="shared" si="18"/>
        <v>2.9999999999999996</v>
      </c>
      <c r="V72" s="163">
        <f t="shared" si="17"/>
        <v>2.9999999999999996</v>
      </c>
      <c r="W72" s="163">
        <f t="shared" si="17"/>
        <v>5</v>
      </c>
      <c r="X72" s="163">
        <f t="shared" si="17"/>
        <v>5</v>
      </c>
      <c r="Y72" s="163">
        <f t="shared" si="17"/>
        <v>2</v>
      </c>
      <c r="Z72" s="163">
        <f t="shared" si="17"/>
        <v>2</v>
      </c>
      <c r="AA72" s="163">
        <f t="shared" si="17"/>
        <v>2.9999999999999996</v>
      </c>
      <c r="AB72" s="163">
        <f t="shared" si="17"/>
        <v>4</v>
      </c>
      <c r="AC72" s="163">
        <f t="shared" si="17"/>
        <v>0</v>
      </c>
      <c r="AD72" s="163">
        <f t="shared" si="17"/>
        <v>0</v>
      </c>
      <c r="AE72" s="169">
        <f t="shared" si="11"/>
        <v>2.5</v>
      </c>
      <c r="AF72" s="165"/>
      <c r="AN72" s="167">
        <v>62.39</v>
      </c>
      <c r="AO72" s="168">
        <f t="shared" si="13"/>
        <v>6.8085030263600386</v>
      </c>
      <c r="AP72" s="168">
        <f t="shared" si="14"/>
        <v>204.25509079080115</v>
      </c>
      <c r="AQ72" s="125">
        <f t="shared" si="15"/>
        <v>69.198503026360044</v>
      </c>
      <c r="AR72" s="125">
        <f t="shared" si="16"/>
        <v>2075.9550907908015</v>
      </c>
      <c r="AT72" s="125"/>
      <c r="AU72" s="125"/>
    </row>
    <row r="73" spans="1:47" s="119" customFormat="1" ht="12" customHeight="1">
      <c r="A73" s="171"/>
      <c r="B73" s="117" t="s">
        <v>435</v>
      </c>
      <c r="C73" s="117" t="s">
        <v>429</v>
      </c>
      <c r="D73" s="161"/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399.22499999999997</v>
      </c>
      <c r="L73" s="161">
        <v>400.57</v>
      </c>
      <c r="M73" s="161">
        <v>38.355000000000004</v>
      </c>
      <c r="N73" s="161">
        <v>428.60000000000008</v>
      </c>
      <c r="O73" s="161">
        <v>428.67</v>
      </c>
      <c r="P73" s="161">
        <v>0.34</v>
      </c>
      <c r="Q73" s="125">
        <v>1695.76</v>
      </c>
      <c r="S73" s="163">
        <f t="shared" si="18"/>
        <v>0</v>
      </c>
      <c r="T73" s="163">
        <f t="shared" si="18"/>
        <v>0</v>
      </c>
      <c r="U73" s="163">
        <f t="shared" si="18"/>
        <v>0</v>
      </c>
      <c r="V73" s="163">
        <f t="shared" si="17"/>
        <v>0</v>
      </c>
      <c r="W73" s="163">
        <f t="shared" si="17"/>
        <v>0</v>
      </c>
      <c r="X73" s="163">
        <f t="shared" si="17"/>
        <v>0</v>
      </c>
      <c r="Y73" s="163">
        <f t="shared" si="17"/>
        <v>0</v>
      </c>
      <c r="Z73" s="163">
        <f t="shared" si="17"/>
        <v>0</v>
      </c>
      <c r="AA73" s="163">
        <f t="shared" si="17"/>
        <v>0</v>
      </c>
      <c r="AB73" s="163">
        <f t="shared" si="17"/>
        <v>0</v>
      </c>
      <c r="AC73" s="163">
        <f t="shared" si="17"/>
        <v>0</v>
      </c>
      <c r="AD73" s="163">
        <f t="shared" si="17"/>
        <v>0</v>
      </c>
      <c r="AE73" s="169">
        <f t="shared" si="11"/>
        <v>0</v>
      </c>
      <c r="AF73" s="165"/>
      <c r="AN73" s="167"/>
      <c r="AO73" s="167">
        <f t="shared" si="13"/>
        <v>0</v>
      </c>
      <c r="AP73" s="167">
        <f t="shared" si="14"/>
        <v>0</v>
      </c>
      <c r="AQ73" s="172">
        <f t="shared" si="15"/>
        <v>0</v>
      </c>
      <c r="AR73" s="172">
        <f t="shared" si="16"/>
        <v>0</v>
      </c>
      <c r="AT73" s="125"/>
      <c r="AU73" s="125"/>
    </row>
    <row r="74" spans="1:47" s="119" customFormat="1" ht="12" customHeight="1">
      <c r="A74" s="171">
        <v>24</v>
      </c>
      <c r="B74" s="117" t="s">
        <v>307</v>
      </c>
      <c r="C74" s="117" t="s">
        <v>308</v>
      </c>
      <c r="D74" s="161">
        <v>4.16</v>
      </c>
      <c r="E74" s="161">
        <v>4.17</v>
      </c>
      <c r="F74" s="161">
        <v>4.17</v>
      </c>
      <c r="G74" s="161">
        <v>4.17</v>
      </c>
      <c r="H74" s="161">
        <v>4.17</v>
      </c>
      <c r="I74" s="161">
        <v>4.17</v>
      </c>
      <c r="J74" s="161">
        <v>4.17</v>
      </c>
      <c r="K74" s="161">
        <v>4.17</v>
      </c>
      <c r="L74" s="161">
        <v>4.17</v>
      </c>
      <c r="M74" s="161">
        <v>4.17</v>
      </c>
      <c r="N74" s="161">
        <v>4.17</v>
      </c>
      <c r="O74" s="161">
        <v>4.17</v>
      </c>
      <c r="P74" s="161">
        <v>4.17</v>
      </c>
      <c r="Q74" s="125">
        <v>50.040000000000013</v>
      </c>
      <c r="S74" s="163">
        <f t="shared" si="18"/>
        <v>1.002403846153846</v>
      </c>
      <c r="T74" s="163">
        <f t="shared" si="18"/>
        <v>1.002403846153846</v>
      </c>
      <c r="U74" s="163">
        <f t="shared" si="18"/>
        <v>1.002403846153846</v>
      </c>
      <c r="V74" s="163">
        <f t="shared" si="17"/>
        <v>1.002403846153846</v>
      </c>
      <c r="W74" s="163">
        <f t="shared" si="17"/>
        <v>1.002403846153846</v>
      </c>
      <c r="X74" s="163">
        <f t="shared" si="17"/>
        <v>1.002403846153846</v>
      </c>
      <c r="Y74" s="163">
        <f t="shared" si="17"/>
        <v>1.002403846153846</v>
      </c>
      <c r="Z74" s="163">
        <f t="shared" si="17"/>
        <v>1.002403846153846</v>
      </c>
      <c r="AA74" s="163">
        <f t="shared" si="17"/>
        <v>1.002403846153846</v>
      </c>
      <c r="AB74" s="163">
        <f t="shared" si="17"/>
        <v>1.002403846153846</v>
      </c>
      <c r="AC74" s="163">
        <f t="shared" si="17"/>
        <v>1.002403846153846</v>
      </c>
      <c r="AD74" s="163">
        <f t="shared" si="17"/>
        <v>1.002403846153846</v>
      </c>
      <c r="AE74" s="169">
        <f t="shared" si="11"/>
        <v>1.0024038461538463</v>
      </c>
      <c r="AF74" s="165"/>
      <c r="AN74" s="167">
        <v>4.16</v>
      </c>
      <c r="AO74" s="168">
        <f t="shared" si="13"/>
        <v>0.45397295383327074</v>
      </c>
      <c r="AP74" s="168">
        <f t="shared" si="14"/>
        <v>5.4607708196675171</v>
      </c>
      <c r="AQ74" s="125">
        <f t="shared" si="15"/>
        <v>4.6139729538332706</v>
      </c>
      <c r="AR74" s="125">
        <f t="shared" si="16"/>
        <v>55.500770819667522</v>
      </c>
      <c r="AT74" s="125"/>
      <c r="AU74" s="125"/>
    </row>
    <row r="75" spans="1:47" s="119" customFormat="1" ht="12" customHeight="1">
      <c r="A75" s="171">
        <v>24</v>
      </c>
      <c r="B75" s="117" t="s">
        <v>436</v>
      </c>
      <c r="C75" s="117" t="s">
        <v>255</v>
      </c>
      <c r="D75" s="161">
        <v>7.97</v>
      </c>
      <c r="E75" s="161">
        <v>7.97</v>
      </c>
      <c r="F75" s="161">
        <v>7.97</v>
      </c>
      <c r="G75" s="161">
        <v>7.97</v>
      </c>
      <c r="H75" s="161">
        <v>7.97</v>
      </c>
      <c r="I75" s="161">
        <v>7.97</v>
      </c>
      <c r="J75" s="161">
        <v>7.97</v>
      </c>
      <c r="K75" s="161">
        <v>7.97</v>
      </c>
      <c r="L75" s="161">
        <v>7.97</v>
      </c>
      <c r="M75" s="161">
        <v>7.97</v>
      </c>
      <c r="N75" s="161">
        <v>7.97</v>
      </c>
      <c r="O75" s="161">
        <v>7.97</v>
      </c>
      <c r="P75" s="161">
        <v>7.97</v>
      </c>
      <c r="Q75" s="125">
        <v>95.64</v>
      </c>
      <c r="S75" s="163">
        <f t="shared" si="18"/>
        <v>1</v>
      </c>
      <c r="T75" s="163">
        <f t="shared" si="18"/>
        <v>1</v>
      </c>
      <c r="U75" s="163">
        <f t="shared" si="18"/>
        <v>1</v>
      </c>
      <c r="V75" s="163">
        <f t="shared" si="17"/>
        <v>1</v>
      </c>
      <c r="W75" s="163">
        <f t="shared" si="17"/>
        <v>1</v>
      </c>
      <c r="X75" s="163">
        <f t="shared" si="17"/>
        <v>1</v>
      </c>
      <c r="Y75" s="163">
        <f t="shared" si="17"/>
        <v>1</v>
      </c>
      <c r="Z75" s="163">
        <f t="shared" si="17"/>
        <v>1</v>
      </c>
      <c r="AA75" s="163">
        <f t="shared" si="17"/>
        <v>1</v>
      </c>
      <c r="AB75" s="163">
        <f t="shared" si="17"/>
        <v>1</v>
      </c>
      <c r="AC75" s="163">
        <f t="shared" si="17"/>
        <v>1</v>
      </c>
      <c r="AD75" s="163">
        <f t="shared" si="17"/>
        <v>1</v>
      </c>
      <c r="AE75" s="169">
        <f t="shared" si="11"/>
        <v>1</v>
      </c>
      <c r="AF75" s="165"/>
      <c r="AN75" s="167">
        <v>7.97</v>
      </c>
      <c r="AO75" s="168">
        <f t="shared" si="13"/>
        <v>0.86975106780076139</v>
      </c>
      <c r="AP75" s="168">
        <f t="shared" si="14"/>
        <v>10.437012813609137</v>
      </c>
      <c r="AQ75" s="125">
        <f t="shared" si="15"/>
        <v>8.839751067800762</v>
      </c>
      <c r="AR75" s="125">
        <f t="shared" si="16"/>
        <v>106.07701281360914</v>
      </c>
      <c r="AT75" s="125"/>
      <c r="AU75" s="125"/>
    </row>
    <row r="76" spans="1:47" s="119" customFormat="1" ht="12" customHeight="1">
      <c r="A76" s="171">
        <v>20</v>
      </c>
      <c r="B76" s="117" t="s">
        <v>109</v>
      </c>
      <c r="C76" s="117" t="s">
        <v>110</v>
      </c>
      <c r="D76" s="161">
        <v>15.78</v>
      </c>
      <c r="E76" s="161">
        <v>0</v>
      </c>
      <c r="F76" s="161">
        <v>0</v>
      </c>
      <c r="G76" s="161">
        <v>0</v>
      </c>
      <c r="H76" s="161">
        <v>15.78</v>
      </c>
      <c r="I76" s="161">
        <v>15.78</v>
      </c>
      <c r="J76" s="161">
        <v>0</v>
      </c>
      <c r="K76" s="161">
        <v>0</v>
      </c>
      <c r="L76" s="161">
        <v>0</v>
      </c>
      <c r="M76" s="161">
        <v>0</v>
      </c>
      <c r="N76" s="161">
        <v>0</v>
      </c>
      <c r="O76" s="161">
        <v>0</v>
      </c>
      <c r="P76" s="161">
        <v>15.78</v>
      </c>
      <c r="Q76" s="125">
        <v>47.339999999999996</v>
      </c>
      <c r="S76" s="163">
        <f t="shared" si="18"/>
        <v>0</v>
      </c>
      <c r="T76" s="163">
        <f t="shared" si="18"/>
        <v>0</v>
      </c>
      <c r="U76" s="163">
        <f t="shared" si="18"/>
        <v>0</v>
      </c>
      <c r="V76" s="163">
        <f t="shared" si="17"/>
        <v>1</v>
      </c>
      <c r="W76" s="163">
        <f t="shared" si="17"/>
        <v>1</v>
      </c>
      <c r="X76" s="163">
        <f t="shared" si="17"/>
        <v>0</v>
      </c>
      <c r="Y76" s="163">
        <f t="shared" si="17"/>
        <v>0</v>
      </c>
      <c r="Z76" s="163">
        <f t="shared" si="17"/>
        <v>0</v>
      </c>
      <c r="AA76" s="163">
        <f t="shared" si="17"/>
        <v>0</v>
      </c>
      <c r="AB76" s="163">
        <f t="shared" si="17"/>
        <v>0</v>
      </c>
      <c r="AC76" s="163">
        <f t="shared" si="17"/>
        <v>0</v>
      </c>
      <c r="AD76" s="163">
        <f t="shared" si="17"/>
        <v>1</v>
      </c>
      <c r="AE76" s="169">
        <f t="shared" si="11"/>
        <v>0.25</v>
      </c>
      <c r="AF76" s="165"/>
      <c r="AN76" s="167">
        <v>15.78</v>
      </c>
      <c r="AO76" s="168">
        <f t="shared" si="13"/>
        <v>1.7220416373771663</v>
      </c>
      <c r="AP76" s="168">
        <f t="shared" si="14"/>
        <v>5.1661249121314992</v>
      </c>
      <c r="AQ76" s="125">
        <f t="shared" si="15"/>
        <v>17.502041637377165</v>
      </c>
      <c r="AR76" s="125">
        <f t="shared" si="16"/>
        <v>52.506124912131497</v>
      </c>
      <c r="AT76" s="125"/>
      <c r="AU76" s="125"/>
    </row>
    <row r="77" spans="1:47" s="119" customFormat="1" ht="8.25" customHeight="1" thickBot="1">
      <c r="B77" s="188"/>
      <c r="C77" s="188"/>
      <c r="D77" s="161"/>
      <c r="E77" s="161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25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5"/>
      <c r="AF77" s="165"/>
      <c r="AN77" s="155"/>
    </row>
    <row r="78" spans="1:47" s="119" customFormat="1" ht="12" customHeight="1" thickBot="1">
      <c r="B78" s="188"/>
      <c r="C78" s="174" t="s">
        <v>111</v>
      </c>
      <c r="D78" s="161"/>
      <c r="E78" s="175">
        <v>16323.000000000002</v>
      </c>
      <c r="F78" s="175">
        <v>16602.18</v>
      </c>
      <c r="G78" s="175">
        <v>16864.189999999999</v>
      </c>
      <c r="H78" s="175">
        <v>17063.349999999999</v>
      </c>
      <c r="I78" s="175">
        <v>17706.180000000004</v>
      </c>
      <c r="J78" s="175">
        <v>18573.119999999995</v>
      </c>
      <c r="K78" s="175">
        <v>18059.975000000002</v>
      </c>
      <c r="L78" s="175">
        <v>18140.084999999999</v>
      </c>
      <c r="M78" s="175">
        <v>19085.934999999998</v>
      </c>
      <c r="N78" s="175">
        <v>18634.994999999999</v>
      </c>
      <c r="O78" s="175">
        <v>18141.319999999996</v>
      </c>
      <c r="P78" s="175">
        <v>18176.570000000003</v>
      </c>
      <c r="Q78" s="175">
        <v>213370.90000000008</v>
      </c>
      <c r="S78" s="176">
        <f t="shared" ref="S78:AE78" si="19">SUM(S40:S59)</f>
        <v>104.23926498239902</v>
      </c>
      <c r="T78" s="176">
        <f t="shared" si="19"/>
        <v>103.24994023428161</v>
      </c>
      <c r="U78" s="176">
        <f t="shared" si="19"/>
        <v>104.24994448145679</v>
      </c>
      <c r="V78" s="176">
        <f t="shared" si="19"/>
        <v>104.24990737570542</v>
      </c>
      <c r="W78" s="176">
        <f t="shared" si="19"/>
        <v>109.74461224191619</v>
      </c>
      <c r="X78" s="176">
        <f t="shared" si="19"/>
        <v>116</v>
      </c>
      <c r="Y78" s="176">
        <f t="shared" si="19"/>
        <v>110.99986100965145</v>
      </c>
      <c r="Z78" s="176">
        <f t="shared" si="19"/>
        <v>109.68197242088711</v>
      </c>
      <c r="AA78" s="176">
        <f t="shared" si="19"/>
        <v>121.42662148838693</v>
      </c>
      <c r="AB78" s="176">
        <f t="shared" si="19"/>
        <v>109.49993050482573</v>
      </c>
      <c r="AC78" s="176">
        <f t="shared" si="19"/>
        <v>107.99465274048282</v>
      </c>
      <c r="AD78" s="176">
        <f t="shared" si="19"/>
        <v>110.99984098806135</v>
      </c>
      <c r="AE78" s="176">
        <f t="shared" si="19"/>
        <v>109.36137903900453</v>
      </c>
      <c r="AF78" s="189"/>
      <c r="AH78" s="190">
        <f>SUM(AH40:AH52)</f>
        <v>87.47599065631924</v>
      </c>
      <c r="AI78" s="119" t="s">
        <v>412</v>
      </c>
      <c r="AN78" s="175">
        <f>SUM(AN40:AN76)</f>
        <v>4646.1962999999996</v>
      </c>
      <c r="AO78" s="175">
        <f t="shared" ref="AO78:AR78" si="20">SUM(AO40:AO76)</f>
        <v>507.03063903851273</v>
      </c>
      <c r="AP78" s="179">
        <f t="shared" si="20"/>
        <v>23228.885836468089</v>
      </c>
      <c r="AQ78" s="175">
        <f t="shared" si="20"/>
        <v>5153.2269390385145</v>
      </c>
      <c r="AR78" s="175">
        <f t="shared" si="20"/>
        <v>236087.7450785476</v>
      </c>
    </row>
    <row r="79" spans="1:47" ht="13.5" customHeight="1">
      <c r="B79" s="119"/>
      <c r="C79" s="119"/>
      <c r="Q79" s="309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80" t="s">
        <v>430</v>
      </c>
      <c r="AE79" s="308">
        <f>+SUM(AE40:AE61)</f>
        <v>120.89067196829745</v>
      </c>
      <c r="AF79" s="165"/>
      <c r="AG79" s="309" t="s">
        <v>464</v>
      </c>
      <c r="AH79" s="191">
        <f>+SUM(AH53:AH59)</f>
        <v>18.562495019523467</v>
      </c>
      <c r="AI79" s="192" t="s">
        <v>437</v>
      </c>
    </row>
    <row r="80" spans="1:47" ht="12" customHeight="1">
      <c r="B80" s="156" t="s">
        <v>344</v>
      </c>
      <c r="C80" s="156" t="s">
        <v>344</v>
      </c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</row>
    <row r="81" spans="1:44" ht="8.25" customHeight="1">
      <c r="B81" s="194"/>
      <c r="C81" s="194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</row>
    <row r="82" spans="1:44" ht="12" customHeight="1">
      <c r="B82" s="195" t="s">
        <v>345</v>
      </c>
      <c r="C82" s="195" t="s">
        <v>345</v>
      </c>
      <c r="S82" s="165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310" t="s">
        <v>465</v>
      </c>
      <c r="AH82" s="311">
        <f>+AE79+AE36</f>
        <v>1722.7402168645731</v>
      </c>
    </row>
    <row r="83" spans="1:44" ht="12" customHeight="1">
      <c r="A83" s="117" t="s">
        <v>438</v>
      </c>
      <c r="B83" s="117" t="s">
        <v>346</v>
      </c>
      <c r="C83" s="117" t="s">
        <v>347</v>
      </c>
      <c r="D83" s="161">
        <v>295.24</v>
      </c>
      <c r="E83" s="161">
        <v>590.48</v>
      </c>
      <c r="F83" s="161">
        <v>590.48</v>
      </c>
      <c r="G83" s="161">
        <v>590.48</v>
      </c>
      <c r="H83" s="161">
        <v>590.48</v>
      </c>
      <c r="I83" s="161">
        <v>590.48</v>
      </c>
      <c r="J83" s="161">
        <v>590.48</v>
      </c>
      <c r="K83" s="161">
        <v>590.48</v>
      </c>
      <c r="L83" s="161">
        <v>590.48</v>
      </c>
      <c r="M83" s="161">
        <v>590.48</v>
      </c>
      <c r="N83" s="161">
        <v>590.48</v>
      </c>
      <c r="O83" s="161">
        <v>590.48</v>
      </c>
      <c r="P83" s="161">
        <v>590.48</v>
      </c>
      <c r="Q83" s="125">
        <v>7085.7599999999984</v>
      </c>
      <c r="R83" s="196"/>
      <c r="S83" s="163">
        <f t="shared" ref="S83:AD94" si="21">IFERROR(E83/$D83,0)</f>
        <v>2</v>
      </c>
      <c r="T83" s="163">
        <f t="shared" si="21"/>
        <v>2</v>
      </c>
      <c r="U83" s="163">
        <f t="shared" si="21"/>
        <v>2</v>
      </c>
      <c r="V83" s="163">
        <f t="shared" si="21"/>
        <v>2</v>
      </c>
      <c r="W83" s="163">
        <f t="shared" si="21"/>
        <v>2</v>
      </c>
      <c r="X83" s="163">
        <f t="shared" si="21"/>
        <v>2</v>
      </c>
      <c r="Y83" s="163">
        <f t="shared" si="21"/>
        <v>2</v>
      </c>
      <c r="Z83" s="163">
        <f t="shared" si="21"/>
        <v>2</v>
      </c>
      <c r="AA83" s="163">
        <f t="shared" si="21"/>
        <v>2</v>
      </c>
      <c r="AB83" s="163">
        <f t="shared" si="21"/>
        <v>2</v>
      </c>
      <c r="AC83" s="163">
        <f t="shared" si="21"/>
        <v>2</v>
      </c>
      <c r="AD83" s="163">
        <f t="shared" si="21"/>
        <v>2</v>
      </c>
      <c r="AE83" s="169">
        <f t="shared" ref="AE83:AE94" si="22">SUM(S83:AD83)/12</f>
        <v>2</v>
      </c>
      <c r="AF83" s="183"/>
      <c r="AG83" s="117" t="s">
        <v>466</v>
      </c>
      <c r="AH83" s="197">
        <f>+'Spokane DF Calc'!D46-AH82</f>
        <v>0</v>
      </c>
      <c r="AN83" s="198">
        <v>295.24</v>
      </c>
      <c r="AO83" s="168">
        <f t="shared" ref="AO83:AO94" si="23">+AN83*$AQ$2</f>
        <v>32.218984348493954</v>
      </c>
      <c r="AP83" s="168">
        <f t="shared" ref="AP83:AP94" si="24">+AO83*AE83*12</f>
        <v>773.25562436385485</v>
      </c>
      <c r="AQ83" s="125">
        <f t="shared" ref="AQ83:AQ94" si="25">+AN83+AO83</f>
        <v>327.45898434849397</v>
      </c>
      <c r="AR83" s="125">
        <f t="shared" ref="AR83:AR94" si="26">+AQ83*AE83*12</f>
        <v>7859.0156243638557</v>
      </c>
    </row>
    <row r="84" spans="1:44" ht="12" customHeight="1">
      <c r="A84" s="117" t="s">
        <v>438</v>
      </c>
      <c r="B84" s="117" t="s">
        <v>348</v>
      </c>
      <c r="C84" s="117" t="s">
        <v>349</v>
      </c>
      <c r="D84" s="161">
        <v>274.22000000000003</v>
      </c>
      <c r="E84" s="161">
        <v>0</v>
      </c>
      <c r="F84" s="161">
        <v>274.22000000000003</v>
      </c>
      <c r="G84" s="161">
        <v>548.44000000000005</v>
      </c>
      <c r="H84" s="161">
        <v>0</v>
      </c>
      <c r="I84" s="161">
        <v>548.44000000000005</v>
      </c>
      <c r="J84" s="161">
        <v>274.22000000000003</v>
      </c>
      <c r="K84" s="161">
        <v>0</v>
      </c>
      <c r="L84" s="161">
        <v>274.22000000000003</v>
      </c>
      <c r="M84" s="161">
        <v>548.44000000000005</v>
      </c>
      <c r="N84" s="161">
        <v>548.44000000000005</v>
      </c>
      <c r="O84" s="161">
        <v>0</v>
      </c>
      <c r="P84" s="161">
        <v>0</v>
      </c>
      <c r="Q84" s="125">
        <v>3016.4200000000005</v>
      </c>
      <c r="S84" s="163">
        <f t="shared" si="21"/>
        <v>0</v>
      </c>
      <c r="T84" s="163">
        <f t="shared" si="21"/>
        <v>1</v>
      </c>
      <c r="U84" s="163">
        <f t="shared" si="21"/>
        <v>2</v>
      </c>
      <c r="V84" s="163">
        <f t="shared" si="21"/>
        <v>0</v>
      </c>
      <c r="W84" s="163">
        <f t="shared" si="21"/>
        <v>2</v>
      </c>
      <c r="X84" s="163">
        <f t="shared" si="21"/>
        <v>1</v>
      </c>
      <c r="Y84" s="163">
        <f t="shared" si="21"/>
        <v>0</v>
      </c>
      <c r="Z84" s="163">
        <f t="shared" si="21"/>
        <v>1</v>
      </c>
      <c r="AA84" s="163">
        <f t="shared" si="21"/>
        <v>2</v>
      </c>
      <c r="AB84" s="163">
        <f t="shared" si="21"/>
        <v>2</v>
      </c>
      <c r="AC84" s="163">
        <f t="shared" si="21"/>
        <v>0</v>
      </c>
      <c r="AD84" s="163">
        <f t="shared" si="21"/>
        <v>0</v>
      </c>
      <c r="AE84" s="169">
        <f t="shared" si="22"/>
        <v>0.91666666666666663</v>
      </c>
      <c r="AF84" s="183"/>
      <c r="AN84" s="198">
        <v>274.22000000000003</v>
      </c>
      <c r="AO84" s="168">
        <f t="shared" si="23"/>
        <v>29.925111394269113</v>
      </c>
      <c r="AP84" s="168">
        <f t="shared" si="24"/>
        <v>329.17622533696021</v>
      </c>
      <c r="AQ84" s="125">
        <f t="shared" si="25"/>
        <v>304.14511139426912</v>
      </c>
      <c r="AR84" s="125">
        <f t="shared" si="26"/>
        <v>3345.5962253369598</v>
      </c>
    </row>
    <row r="85" spans="1:44" ht="12" customHeight="1">
      <c r="A85" s="117" t="s">
        <v>438</v>
      </c>
      <c r="B85" s="117" t="s">
        <v>350</v>
      </c>
      <c r="C85" s="117" t="s">
        <v>351</v>
      </c>
      <c r="D85" s="161">
        <v>407.16</v>
      </c>
      <c r="E85" s="161">
        <v>0</v>
      </c>
      <c r="F85" s="161">
        <v>814.32</v>
      </c>
      <c r="G85" s="161">
        <v>0</v>
      </c>
      <c r="H85" s="161">
        <v>1221.48</v>
      </c>
      <c r="I85" s="161">
        <v>814.32</v>
      </c>
      <c r="J85" s="161">
        <v>814.32</v>
      </c>
      <c r="K85" s="161">
        <v>0</v>
      </c>
      <c r="L85" s="161">
        <v>2035.8</v>
      </c>
      <c r="M85" s="161">
        <v>2035.8</v>
      </c>
      <c r="N85" s="161">
        <v>1221.48</v>
      </c>
      <c r="O85" s="161">
        <v>1628.64</v>
      </c>
      <c r="P85" s="161">
        <v>0</v>
      </c>
      <c r="Q85" s="125">
        <v>10586.16</v>
      </c>
      <c r="S85" s="163">
        <f t="shared" si="21"/>
        <v>0</v>
      </c>
      <c r="T85" s="163">
        <f t="shared" si="21"/>
        <v>2</v>
      </c>
      <c r="U85" s="163">
        <f t="shared" si="21"/>
        <v>0</v>
      </c>
      <c r="V85" s="163">
        <f t="shared" si="21"/>
        <v>3</v>
      </c>
      <c r="W85" s="163">
        <f t="shared" si="21"/>
        <v>2</v>
      </c>
      <c r="X85" s="163">
        <f t="shared" si="21"/>
        <v>2</v>
      </c>
      <c r="Y85" s="163">
        <f t="shared" si="21"/>
        <v>0</v>
      </c>
      <c r="Z85" s="163">
        <f t="shared" si="21"/>
        <v>5</v>
      </c>
      <c r="AA85" s="163">
        <f t="shared" si="21"/>
        <v>5</v>
      </c>
      <c r="AB85" s="163">
        <f t="shared" si="21"/>
        <v>3</v>
      </c>
      <c r="AC85" s="163">
        <f t="shared" si="21"/>
        <v>4</v>
      </c>
      <c r="AD85" s="163">
        <f t="shared" si="21"/>
        <v>0</v>
      </c>
      <c r="AE85" s="169">
        <f t="shared" si="22"/>
        <v>2.1666666666666665</v>
      </c>
      <c r="AF85" s="183"/>
      <c r="AN85" s="198">
        <v>407.16</v>
      </c>
      <c r="AO85" s="168">
        <f t="shared" si="23"/>
        <v>44.432602856431373</v>
      </c>
      <c r="AP85" s="168">
        <f t="shared" si="24"/>
        <v>1155.2476742672156</v>
      </c>
      <c r="AQ85" s="125">
        <f t="shared" si="25"/>
        <v>451.59260285643143</v>
      </c>
      <c r="AR85" s="125">
        <f t="shared" si="26"/>
        <v>11741.407674267217</v>
      </c>
    </row>
    <row r="86" spans="1:44" ht="12" customHeight="1">
      <c r="A86" s="117" t="s">
        <v>438</v>
      </c>
      <c r="B86" s="117" t="s">
        <v>439</v>
      </c>
      <c r="C86" s="117" t="s">
        <v>440</v>
      </c>
      <c r="D86" s="161">
        <v>425.38</v>
      </c>
      <c r="E86" s="161">
        <v>425.38</v>
      </c>
      <c r="F86" s="161">
        <v>425.38</v>
      </c>
      <c r="G86" s="161">
        <v>425.38</v>
      </c>
      <c r="H86" s="161">
        <v>425.38</v>
      </c>
      <c r="I86" s="161">
        <v>425.38</v>
      </c>
      <c r="J86" s="161">
        <v>425.38</v>
      </c>
      <c r="K86" s="161">
        <v>425.38</v>
      </c>
      <c r="L86" s="161">
        <v>425.38</v>
      </c>
      <c r="M86" s="161">
        <v>850.76</v>
      </c>
      <c r="N86" s="161">
        <v>334.59</v>
      </c>
      <c r="O86" s="161">
        <v>425.38</v>
      </c>
      <c r="P86" s="161">
        <v>425.38</v>
      </c>
      <c r="Q86" s="125">
        <v>5439.1500000000005</v>
      </c>
      <c r="S86" s="163">
        <f t="shared" si="21"/>
        <v>1</v>
      </c>
      <c r="T86" s="163">
        <f t="shared" si="21"/>
        <v>1</v>
      </c>
      <c r="U86" s="163">
        <f t="shared" si="21"/>
        <v>1</v>
      </c>
      <c r="V86" s="163">
        <f t="shared" si="21"/>
        <v>1</v>
      </c>
      <c r="W86" s="163">
        <f t="shared" si="21"/>
        <v>1</v>
      </c>
      <c r="X86" s="163">
        <f t="shared" si="21"/>
        <v>1</v>
      </c>
      <c r="Y86" s="163">
        <f t="shared" si="21"/>
        <v>1</v>
      </c>
      <c r="Z86" s="163">
        <f t="shared" si="21"/>
        <v>1</v>
      </c>
      <c r="AA86" s="163">
        <f t="shared" si="21"/>
        <v>2</v>
      </c>
      <c r="AB86" s="163">
        <f t="shared" si="21"/>
        <v>0.78656730452771639</v>
      </c>
      <c r="AC86" s="163">
        <f t="shared" si="21"/>
        <v>1</v>
      </c>
      <c r="AD86" s="163">
        <f t="shared" si="21"/>
        <v>1</v>
      </c>
      <c r="AE86" s="169">
        <f t="shared" si="22"/>
        <v>1.0655472753773096</v>
      </c>
      <c r="AF86" s="183"/>
      <c r="AH86" s="197"/>
      <c r="AN86" s="198">
        <v>425.38</v>
      </c>
      <c r="AO86" s="168">
        <f t="shared" si="23"/>
        <v>46.420917091729976</v>
      </c>
      <c r="AP86" s="168">
        <f t="shared" si="24"/>
        <v>593.56418073130635</v>
      </c>
      <c r="AQ86" s="125">
        <f t="shared" si="25"/>
        <v>471.80091709172996</v>
      </c>
      <c r="AR86" s="125">
        <f t="shared" si="26"/>
        <v>6032.7141807313055</v>
      </c>
    </row>
    <row r="87" spans="1:44" ht="12" customHeight="1">
      <c r="A87" s="199">
        <v>42</v>
      </c>
      <c r="B87" s="117" t="s">
        <v>352</v>
      </c>
      <c r="C87" s="117" t="s">
        <v>353</v>
      </c>
      <c r="D87" s="161">
        <v>294.95999999999998</v>
      </c>
      <c r="E87" s="161">
        <v>294.95999999999998</v>
      </c>
      <c r="F87" s="161">
        <v>294.95999999999998</v>
      </c>
      <c r="G87" s="161">
        <v>0</v>
      </c>
      <c r="H87" s="161">
        <v>294.95999999999998</v>
      </c>
      <c r="I87" s="161">
        <v>0</v>
      </c>
      <c r="J87" s="161">
        <v>294.95999999999998</v>
      </c>
      <c r="K87" s="161">
        <v>0</v>
      </c>
      <c r="L87" s="161">
        <v>294.95999999999998</v>
      </c>
      <c r="M87" s="161">
        <v>0</v>
      </c>
      <c r="N87" s="161">
        <v>294.95999999999998</v>
      </c>
      <c r="O87" s="161">
        <v>0</v>
      </c>
      <c r="P87" s="161">
        <v>294.95999999999998</v>
      </c>
      <c r="Q87" s="125">
        <v>2064.7199999999998</v>
      </c>
      <c r="S87" s="163">
        <f t="shared" si="21"/>
        <v>1</v>
      </c>
      <c r="T87" s="163">
        <f t="shared" si="21"/>
        <v>1</v>
      </c>
      <c r="U87" s="163">
        <f t="shared" si="21"/>
        <v>0</v>
      </c>
      <c r="V87" s="163">
        <f t="shared" si="21"/>
        <v>1</v>
      </c>
      <c r="W87" s="163">
        <f t="shared" si="21"/>
        <v>0</v>
      </c>
      <c r="X87" s="163">
        <f t="shared" si="21"/>
        <v>1</v>
      </c>
      <c r="Y87" s="163">
        <f t="shared" si="21"/>
        <v>0</v>
      </c>
      <c r="Z87" s="163">
        <f t="shared" si="21"/>
        <v>1</v>
      </c>
      <c r="AA87" s="163">
        <f t="shared" si="21"/>
        <v>0</v>
      </c>
      <c r="AB87" s="163">
        <f t="shared" si="21"/>
        <v>1</v>
      </c>
      <c r="AC87" s="163">
        <f t="shared" si="21"/>
        <v>0</v>
      </c>
      <c r="AD87" s="163">
        <f t="shared" si="21"/>
        <v>1</v>
      </c>
      <c r="AE87" s="169">
        <f t="shared" si="22"/>
        <v>0.58333333333333337</v>
      </c>
      <c r="AF87" s="183"/>
      <c r="AH87" s="197"/>
      <c r="AN87" s="198">
        <v>294.95999999999998</v>
      </c>
      <c r="AO87" s="168">
        <f t="shared" si="23"/>
        <v>32.188428476601331</v>
      </c>
      <c r="AP87" s="168">
        <f t="shared" si="24"/>
        <v>225.31899933620934</v>
      </c>
      <c r="AQ87" s="125">
        <f t="shared" si="25"/>
        <v>327.14842847660134</v>
      </c>
      <c r="AR87" s="125">
        <f t="shared" si="26"/>
        <v>2290.0389993362096</v>
      </c>
    </row>
    <row r="88" spans="1:44" s="135" customFormat="1" ht="12" customHeight="1">
      <c r="A88" s="117" t="s">
        <v>438</v>
      </c>
      <c r="B88" s="135" t="s">
        <v>354</v>
      </c>
      <c r="C88" s="135" t="s">
        <v>355</v>
      </c>
      <c r="D88" s="200">
        <v>115.56</v>
      </c>
      <c r="E88" s="161">
        <v>115.56</v>
      </c>
      <c r="F88" s="161">
        <v>115.56</v>
      </c>
      <c r="G88" s="161">
        <v>119.41</v>
      </c>
      <c r="H88" s="161">
        <v>115.56</v>
      </c>
      <c r="I88" s="161">
        <v>115.56</v>
      </c>
      <c r="J88" s="161">
        <v>192.58</v>
      </c>
      <c r="K88" s="161">
        <v>346.68</v>
      </c>
      <c r="L88" s="161">
        <v>346.68</v>
      </c>
      <c r="M88" s="161">
        <v>308.14999999999998</v>
      </c>
      <c r="N88" s="161">
        <v>396.75</v>
      </c>
      <c r="O88" s="161">
        <v>115.56</v>
      </c>
      <c r="P88" s="161">
        <v>231.12</v>
      </c>
      <c r="Q88" s="125">
        <v>2519.17</v>
      </c>
      <c r="S88" s="163">
        <f t="shared" si="21"/>
        <v>1</v>
      </c>
      <c r="T88" s="163">
        <f t="shared" si="21"/>
        <v>1</v>
      </c>
      <c r="U88" s="163">
        <f t="shared" si="21"/>
        <v>1.0333160263066805</v>
      </c>
      <c r="V88" s="163">
        <f t="shared" si="21"/>
        <v>1</v>
      </c>
      <c r="W88" s="163">
        <f t="shared" si="21"/>
        <v>1</v>
      </c>
      <c r="X88" s="163">
        <f t="shared" si="21"/>
        <v>1.6664935964001386</v>
      </c>
      <c r="Y88" s="163">
        <f t="shared" si="21"/>
        <v>3</v>
      </c>
      <c r="Z88" s="163">
        <f t="shared" si="21"/>
        <v>3</v>
      </c>
      <c r="AA88" s="163">
        <f t="shared" si="21"/>
        <v>2.6665801315334021</v>
      </c>
      <c r="AB88" s="163">
        <f t="shared" si="21"/>
        <v>3.433281412253375</v>
      </c>
      <c r="AC88" s="163">
        <f t="shared" si="21"/>
        <v>1</v>
      </c>
      <c r="AD88" s="163">
        <f t="shared" si="21"/>
        <v>2</v>
      </c>
      <c r="AE88" s="169">
        <f t="shared" si="22"/>
        <v>1.8166392638744664</v>
      </c>
      <c r="AF88" s="170"/>
      <c r="AH88" s="201">
        <f>+AE88</f>
        <v>1.8166392638744664</v>
      </c>
      <c r="AN88" s="202">
        <v>115.56</v>
      </c>
      <c r="AO88" s="168">
        <f t="shared" si="23"/>
        <v>12.61084484254153</v>
      </c>
      <c r="AP88" s="168">
        <f t="shared" si="24"/>
        <v>274.91227069907706</v>
      </c>
      <c r="AQ88" s="125">
        <f t="shared" si="25"/>
        <v>128.17084484254153</v>
      </c>
      <c r="AR88" s="125">
        <f t="shared" si="26"/>
        <v>2794.0822706990771</v>
      </c>
    </row>
    <row r="89" spans="1:44" s="135" customFormat="1" ht="12" customHeight="1">
      <c r="A89" s="117" t="s">
        <v>438</v>
      </c>
      <c r="B89" s="135" t="s">
        <v>356</v>
      </c>
      <c r="C89" s="135" t="s">
        <v>357</v>
      </c>
      <c r="D89" s="200">
        <v>144.36000000000001</v>
      </c>
      <c r="E89" s="161">
        <v>433.08</v>
      </c>
      <c r="F89" s="161">
        <v>433.08</v>
      </c>
      <c r="G89" s="161">
        <v>470.32</v>
      </c>
      <c r="H89" s="161">
        <v>721.8</v>
      </c>
      <c r="I89" s="161">
        <v>633.30999999999995</v>
      </c>
      <c r="J89" s="161">
        <v>428.26</v>
      </c>
      <c r="K89" s="161">
        <v>488.96</v>
      </c>
      <c r="L89" s="161">
        <v>673.68</v>
      </c>
      <c r="M89" s="161">
        <v>652.25</v>
      </c>
      <c r="N89" s="161">
        <v>819.58</v>
      </c>
      <c r="O89" s="161">
        <v>495.62</v>
      </c>
      <c r="P89" s="161">
        <v>433.08</v>
      </c>
      <c r="Q89" s="125">
        <v>6683.0199999999995</v>
      </c>
      <c r="S89" s="163">
        <f t="shared" si="21"/>
        <v>2.9999999999999996</v>
      </c>
      <c r="T89" s="163">
        <f t="shared" si="21"/>
        <v>2.9999999999999996</v>
      </c>
      <c r="U89" s="163">
        <f t="shared" si="21"/>
        <v>3.2579661956220556</v>
      </c>
      <c r="V89" s="163">
        <f t="shared" si="21"/>
        <v>4.9999999999999991</v>
      </c>
      <c r="W89" s="163">
        <f t="shared" si="21"/>
        <v>4.3870185646993622</v>
      </c>
      <c r="X89" s="163">
        <f t="shared" si="21"/>
        <v>2.9666112496536434</v>
      </c>
      <c r="Y89" s="163">
        <f t="shared" si="21"/>
        <v>3.3870878359656409</v>
      </c>
      <c r="Z89" s="163">
        <f t="shared" si="21"/>
        <v>4.6666666666666661</v>
      </c>
      <c r="AA89" s="163">
        <f t="shared" si="21"/>
        <v>4.5182183430313101</v>
      </c>
      <c r="AB89" s="163">
        <f t="shared" si="21"/>
        <v>5.6773344416735938</v>
      </c>
      <c r="AC89" s="163">
        <f t="shared" si="21"/>
        <v>3.4332224993072868</v>
      </c>
      <c r="AD89" s="163">
        <f t="shared" si="21"/>
        <v>2.9999999999999996</v>
      </c>
      <c r="AE89" s="169">
        <f t="shared" si="22"/>
        <v>3.8578438163849622</v>
      </c>
      <c r="AF89" s="170"/>
      <c r="AH89" s="201">
        <f>+AE89</f>
        <v>3.8578438163849622</v>
      </c>
      <c r="AN89" s="202">
        <v>144.36000000000001</v>
      </c>
      <c r="AO89" s="168">
        <f t="shared" si="23"/>
        <v>15.753734522925713</v>
      </c>
      <c r="AP89" s="168">
        <f t="shared" si="24"/>
        <v>729.30536777087116</v>
      </c>
      <c r="AQ89" s="125">
        <f t="shared" si="25"/>
        <v>160.11373452292574</v>
      </c>
      <c r="AR89" s="125">
        <f t="shared" si="26"/>
        <v>7412.3253677708708</v>
      </c>
    </row>
    <row r="90" spans="1:44" ht="12" customHeight="1">
      <c r="A90" s="117" t="s">
        <v>438</v>
      </c>
      <c r="B90" s="117" t="s">
        <v>358</v>
      </c>
      <c r="C90" s="117" t="s">
        <v>359</v>
      </c>
      <c r="D90" s="161">
        <v>87.31</v>
      </c>
      <c r="E90" s="161">
        <v>0</v>
      </c>
      <c r="F90" s="161">
        <v>0</v>
      </c>
      <c r="G90" s="161">
        <v>261.93</v>
      </c>
      <c r="H90" s="161">
        <v>0</v>
      </c>
      <c r="I90" s="161">
        <v>261.93</v>
      </c>
      <c r="J90" s="161">
        <v>349.24</v>
      </c>
      <c r="K90" s="161">
        <v>87.31</v>
      </c>
      <c r="L90" s="161">
        <v>174.62</v>
      </c>
      <c r="M90" s="161">
        <v>611.16999999999996</v>
      </c>
      <c r="N90" s="161">
        <v>174.62</v>
      </c>
      <c r="O90" s="161">
        <v>87.31</v>
      </c>
      <c r="P90" s="161">
        <v>0</v>
      </c>
      <c r="Q90" s="125">
        <v>2008.13</v>
      </c>
      <c r="S90" s="163">
        <f t="shared" si="21"/>
        <v>0</v>
      </c>
      <c r="T90" s="163">
        <f t="shared" si="21"/>
        <v>0</v>
      </c>
      <c r="U90" s="163">
        <f t="shared" si="21"/>
        <v>3</v>
      </c>
      <c r="V90" s="163">
        <f t="shared" si="21"/>
        <v>0</v>
      </c>
      <c r="W90" s="163">
        <f t="shared" si="21"/>
        <v>3</v>
      </c>
      <c r="X90" s="163">
        <f t="shared" si="21"/>
        <v>4</v>
      </c>
      <c r="Y90" s="163">
        <f t="shared" si="21"/>
        <v>1</v>
      </c>
      <c r="Z90" s="163">
        <f t="shared" si="21"/>
        <v>2</v>
      </c>
      <c r="AA90" s="163">
        <f t="shared" si="21"/>
        <v>6.9999999999999991</v>
      </c>
      <c r="AB90" s="163">
        <f t="shared" si="21"/>
        <v>2</v>
      </c>
      <c r="AC90" s="163">
        <f t="shared" si="21"/>
        <v>1</v>
      </c>
      <c r="AD90" s="163">
        <f t="shared" si="21"/>
        <v>0</v>
      </c>
      <c r="AE90" s="169">
        <f t="shared" si="22"/>
        <v>1.9166666666666667</v>
      </c>
      <c r="AF90" s="165"/>
      <c r="AN90" s="198">
        <v>87.31</v>
      </c>
      <c r="AO90" s="168">
        <f t="shared" si="23"/>
        <v>9.5279756248035739</v>
      </c>
      <c r="AP90" s="168">
        <f t="shared" si="24"/>
        <v>219.14343937048221</v>
      </c>
      <c r="AQ90" s="125">
        <f t="shared" si="25"/>
        <v>96.837975624803576</v>
      </c>
      <c r="AR90" s="125">
        <f t="shared" si="26"/>
        <v>2227.2734393704823</v>
      </c>
    </row>
    <row r="91" spans="1:44" ht="12" customHeight="1">
      <c r="B91" s="117" t="s">
        <v>441</v>
      </c>
      <c r="C91" s="117" t="s">
        <v>442</v>
      </c>
      <c r="D91" s="161"/>
      <c r="E91" s="161">
        <v>0</v>
      </c>
      <c r="F91" s="161">
        <v>0</v>
      </c>
      <c r="G91" s="161">
        <v>0</v>
      </c>
      <c r="H91" s="161">
        <v>0</v>
      </c>
      <c r="I91" s="161">
        <v>0</v>
      </c>
      <c r="J91" s="161">
        <v>0</v>
      </c>
      <c r="K91" s="161">
        <v>0</v>
      </c>
      <c r="L91" s="161">
        <v>0</v>
      </c>
      <c r="M91" s="161">
        <v>0</v>
      </c>
      <c r="N91" s="161">
        <v>0</v>
      </c>
      <c r="O91" s="161">
        <v>0</v>
      </c>
      <c r="P91" s="161">
        <v>217.82</v>
      </c>
      <c r="Q91" s="125">
        <v>217.82</v>
      </c>
      <c r="S91" s="163">
        <f t="shared" si="21"/>
        <v>0</v>
      </c>
      <c r="T91" s="163">
        <f t="shared" si="21"/>
        <v>0</v>
      </c>
      <c r="U91" s="163">
        <f t="shared" si="21"/>
        <v>0</v>
      </c>
      <c r="V91" s="163">
        <f t="shared" si="21"/>
        <v>0</v>
      </c>
      <c r="W91" s="163">
        <f t="shared" si="21"/>
        <v>0</v>
      </c>
      <c r="X91" s="163">
        <f t="shared" si="21"/>
        <v>0</v>
      </c>
      <c r="Y91" s="163">
        <f t="shared" si="21"/>
        <v>0</v>
      </c>
      <c r="Z91" s="163">
        <f t="shared" si="21"/>
        <v>0</v>
      </c>
      <c r="AA91" s="163">
        <f t="shared" si="21"/>
        <v>0</v>
      </c>
      <c r="AB91" s="163">
        <f t="shared" si="21"/>
        <v>0</v>
      </c>
      <c r="AC91" s="163">
        <f t="shared" si="21"/>
        <v>0</v>
      </c>
      <c r="AD91" s="163">
        <f t="shared" si="21"/>
        <v>0</v>
      </c>
      <c r="AE91" s="169">
        <f t="shared" si="22"/>
        <v>0</v>
      </c>
      <c r="AF91" s="165"/>
      <c r="AO91" s="168">
        <f t="shared" si="23"/>
        <v>0</v>
      </c>
      <c r="AP91" s="168">
        <f t="shared" si="24"/>
        <v>0</v>
      </c>
      <c r="AQ91" s="125">
        <f t="shared" si="25"/>
        <v>0</v>
      </c>
      <c r="AR91" s="125">
        <f t="shared" si="26"/>
        <v>0</v>
      </c>
    </row>
    <row r="92" spans="1:44" ht="12" customHeight="1">
      <c r="B92" s="117" t="s">
        <v>443</v>
      </c>
      <c r="C92" s="117" t="s">
        <v>429</v>
      </c>
      <c r="D92" s="161"/>
      <c r="E92" s="161">
        <v>0</v>
      </c>
      <c r="F92" s="161">
        <v>0</v>
      </c>
      <c r="G92" s="161">
        <v>0</v>
      </c>
      <c r="H92" s="161">
        <v>0</v>
      </c>
      <c r="I92" s="161">
        <v>0</v>
      </c>
      <c r="J92" s="161">
        <v>0</v>
      </c>
      <c r="K92" s="161">
        <v>76.400000000000006</v>
      </c>
      <c r="L92" s="161">
        <v>257.32</v>
      </c>
      <c r="M92" s="161">
        <v>169.25</v>
      </c>
      <c r="N92" s="161">
        <v>90.039999999999992</v>
      </c>
      <c r="O92" s="161">
        <v>191.39999999999998</v>
      </c>
      <c r="P92" s="161">
        <v>0</v>
      </c>
      <c r="Q92" s="125">
        <v>784.41</v>
      </c>
      <c r="S92" s="163">
        <f t="shared" si="21"/>
        <v>0</v>
      </c>
      <c r="T92" s="163">
        <f t="shared" si="21"/>
        <v>0</v>
      </c>
      <c r="U92" s="163">
        <f t="shared" si="21"/>
        <v>0</v>
      </c>
      <c r="V92" s="163">
        <f t="shared" si="21"/>
        <v>0</v>
      </c>
      <c r="W92" s="163">
        <f t="shared" si="21"/>
        <v>0</v>
      </c>
      <c r="X92" s="163">
        <f t="shared" si="21"/>
        <v>0</v>
      </c>
      <c r="Y92" s="163">
        <f t="shared" si="21"/>
        <v>0</v>
      </c>
      <c r="Z92" s="163">
        <f t="shared" si="21"/>
        <v>0</v>
      </c>
      <c r="AA92" s="163">
        <f t="shared" si="21"/>
        <v>0</v>
      </c>
      <c r="AB92" s="163">
        <f t="shared" si="21"/>
        <v>0</v>
      </c>
      <c r="AC92" s="163">
        <f t="shared" si="21"/>
        <v>0</v>
      </c>
      <c r="AD92" s="163">
        <f t="shared" si="21"/>
        <v>0</v>
      </c>
      <c r="AE92" s="169">
        <f t="shared" si="22"/>
        <v>0</v>
      </c>
      <c r="AF92" s="165"/>
      <c r="AN92" s="198"/>
      <c r="AO92" s="167">
        <f t="shared" si="23"/>
        <v>0</v>
      </c>
      <c r="AP92" s="167">
        <f t="shared" si="24"/>
        <v>0</v>
      </c>
      <c r="AQ92" s="172">
        <f t="shared" si="25"/>
        <v>0</v>
      </c>
      <c r="AR92" s="172">
        <f t="shared" si="26"/>
        <v>0</v>
      </c>
    </row>
    <row r="93" spans="1:44" ht="12" customHeight="1">
      <c r="A93" s="117" t="s">
        <v>444</v>
      </c>
      <c r="B93" s="117" t="s">
        <v>445</v>
      </c>
      <c r="C93" s="117" t="s">
        <v>446</v>
      </c>
      <c r="D93" s="161">
        <v>108.91</v>
      </c>
      <c r="E93" s="161">
        <v>25.86</v>
      </c>
      <c r="F93" s="161">
        <v>25.86</v>
      </c>
      <c r="G93" s="161">
        <v>0</v>
      </c>
      <c r="H93" s="161">
        <v>25.86</v>
      </c>
      <c r="I93" s="161">
        <v>0</v>
      </c>
      <c r="J93" s="161">
        <v>25.86</v>
      </c>
      <c r="K93" s="161">
        <v>0</v>
      </c>
      <c r="L93" s="161">
        <v>25.86</v>
      </c>
      <c r="M93" s="161">
        <v>0</v>
      </c>
      <c r="N93" s="161">
        <v>25.86</v>
      </c>
      <c r="O93" s="161">
        <v>0</v>
      </c>
      <c r="P93" s="161">
        <v>25.86</v>
      </c>
      <c r="Q93" s="125">
        <v>181.02000000000004</v>
      </c>
      <c r="S93" s="163">
        <f t="shared" si="21"/>
        <v>0.23744376090349831</v>
      </c>
      <c r="T93" s="163">
        <f t="shared" si="21"/>
        <v>0.23744376090349831</v>
      </c>
      <c r="U93" s="163">
        <f t="shared" si="21"/>
        <v>0</v>
      </c>
      <c r="V93" s="163">
        <f t="shared" si="21"/>
        <v>0.23744376090349831</v>
      </c>
      <c r="W93" s="163">
        <f t="shared" si="21"/>
        <v>0</v>
      </c>
      <c r="X93" s="163">
        <f t="shared" si="21"/>
        <v>0.23744376090349831</v>
      </c>
      <c r="Y93" s="163">
        <f t="shared" si="21"/>
        <v>0</v>
      </c>
      <c r="Z93" s="163">
        <f t="shared" si="21"/>
        <v>0.23744376090349831</v>
      </c>
      <c r="AA93" s="163">
        <f t="shared" si="21"/>
        <v>0</v>
      </c>
      <c r="AB93" s="163">
        <f t="shared" si="21"/>
        <v>0.23744376090349831</v>
      </c>
      <c r="AC93" s="163">
        <f t="shared" si="21"/>
        <v>0</v>
      </c>
      <c r="AD93" s="163">
        <f t="shared" si="21"/>
        <v>0.23744376090349831</v>
      </c>
      <c r="AE93" s="169">
        <f t="shared" si="22"/>
        <v>0.13850886052704067</v>
      </c>
      <c r="AF93" s="165"/>
      <c r="AN93" s="198">
        <v>108.91</v>
      </c>
      <c r="AO93" s="168">
        <f t="shared" si="23"/>
        <v>11.88514288509171</v>
      </c>
      <c r="AP93" s="168">
        <f t="shared" si="24"/>
        <v>19.754371178581412</v>
      </c>
      <c r="AQ93" s="125">
        <f t="shared" si="25"/>
        <v>120.79514288509171</v>
      </c>
      <c r="AR93" s="125">
        <f t="shared" si="26"/>
        <v>200.77437117858142</v>
      </c>
    </row>
    <row r="94" spans="1:44" ht="12" customHeight="1">
      <c r="A94" s="117" t="s">
        <v>438</v>
      </c>
      <c r="B94" s="117" t="s">
        <v>360</v>
      </c>
      <c r="C94" s="117" t="s">
        <v>361</v>
      </c>
      <c r="D94" s="161">
        <v>6.33</v>
      </c>
      <c r="E94" s="161">
        <v>348.15</v>
      </c>
      <c r="F94" s="161">
        <v>721.62</v>
      </c>
      <c r="G94" s="161">
        <v>398.79</v>
      </c>
      <c r="H94" s="161">
        <v>879.87</v>
      </c>
      <c r="I94" s="161">
        <v>126.6</v>
      </c>
      <c r="J94" s="161">
        <v>715.29</v>
      </c>
      <c r="K94" s="161">
        <v>126.6</v>
      </c>
      <c r="L94" s="161">
        <v>816.57</v>
      </c>
      <c r="M94" s="161">
        <v>835.56</v>
      </c>
      <c r="N94" s="161">
        <v>708.96</v>
      </c>
      <c r="O94" s="161">
        <v>601.35</v>
      </c>
      <c r="P94" s="161">
        <v>259.52999999999997</v>
      </c>
      <c r="Q94" s="125">
        <v>6538.8899999999994</v>
      </c>
      <c r="S94" s="163">
        <f t="shared" si="21"/>
        <v>54.999999999999993</v>
      </c>
      <c r="T94" s="163">
        <f t="shared" si="21"/>
        <v>114</v>
      </c>
      <c r="U94" s="163">
        <f t="shared" si="21"/>
        <v>63</v>
      </c>
      <c r="V94" s="163">
        <f t="shared" si="21"/>
        <v>139</v>
      </c>
      <c r="W94" s="163">
        <f t="shared" si="21"/>
        <v>20</v>
      </c>
      <c r="X94" s="163">
        <f t="shared" si="21"/>
        <v>113</v>
      </c>
      <c r="Y94" s="163">
        <f t="shared" si="21"/>
        <v>20</v>
      </c>
      <c r="Z94" s="163">
        <f t="shared" si="21"/>
        <v>129</v>
      </c>
      <c r="AA94" s="163">
        <f t="shared" si="21"/>
        <v>132</v>
      </c>
      <c r="AB94" s="163">
        <f t="shared" si="21"/>
        <v>112</v>
      </c>
      <c r="AC94" s="163">
        <f t="shared" si="21"/>
        <v>95</v>
      </c>
      <c r="AD94" s="163">
        <f t="shared" si="21"/>
        <v>40.999999999999993</v>
      </c>
      <c r="AE94" s="169">
        <f t="shared" si="22"/>
        <v>86.083333333333329</v>
      </c>
      <c r="AF94" s="165"/>
      <c r="AN94" s="198">
        <v>6.33</v>
      </c>
      <c r="AO94" s="168">
        <f t="shared" si="23"/>
        <v>0.69078096100110664</v>
      </c>
      <c r="AP94" s="168">
        <f t="shared" si="24"/>
        <v>713.57673271414319</v>
      </c>
      <c r="AQ94" s="125">
        <f t="shared" si="25"/>
        <v>7.0207809610011065</v>
      </c>
      <c r="AR94" s="125">
        <f t="shared" si="26"/>
        <v>7252.4667327141415</v>
      </c>
    </row>
    <row r="95" spans="1:44" ht="8.25" customHeight="1" thickBot="1">
      <c r="B95" s="119"/>
      <c r="C95" s="119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</row>
    <row r="96" spans="1:44" ht="12" customHeight="1" thickBot="1">
      <c r="B96" s="119"/>
      <c r="C96" s="174" t="s">
        <v>362</v>
      </c>
      <c r="E96" s="175">
        <v>2233.4699999999998</v>
      </c>
      <c r="F96" s="175">
        <v>3695.48</v>
      </c>
      <c r="G96" s="175">
        <v>2814.75</v>
      </c>
      <c r="H96" s="175">
        <v>4275.3900000000003</v>
      </c>
      <c r="I96" s="175">
        <v>3516.02</v>
      </c>
      <c r="J96" s="175">
        <v>4110.59</v>
      </c>
      <c r="K96" s="175">
        <v>2141.81</v>
      </c>
      <c r="L96" s="175">
        <v>5915.5699999999988</v>
      </c>
      <c r="M96" s="175">
        <v>6601.8600000000006</v>
      </c>
      <c r="N96" s="175">
        <v>5205.76</v>
      </c>
      <c r="O96" s="175">
        <v>4135.74</v>
      </c>
      <c r="P96" s="175">
        <v>2478.2300000000005</v>
      </c>
      <c r="Q96" s="175">
        <v>47124.669999999991</v>
      </c>
      <c r="S96" s="176">
        <f t="shared" ref="S96:AD96" si="27">+SUM(S88:S89)</f>
        <v>3.9999999999999996</v>
      </c>
      <c r="T96" s="176">
        <f t="shared" si="27"/>
        <v>3.9999999999999996</v>
      </c>
      <c r="U96" s="176">
        <f t="shared" si="27"/>
        <v>4.2912822219287357</v>
      </c>
      <c r="V96" s="176">
        <f t="shared" si="27"/>
        <v>5.9999999999999991</v>
      </c>
      <c r="W96" s="176">
        <f t="shared" si="27"/>
        <v>5.3870185646993622</v>
      </c>
      <c r="X96" s="176">
        <f t="shared" si="27"/>
        <v>4.633104846053782</v>
      </c>
      <c r="Y96" s="176">
        <f t="shared" si="27"/>
        <v>6.3870878359656409</v>
      </c>
      <c r="Z96" s="176">
        <f t="shared" si="27"/>
        <v>7.6666666666666661</v>
      </c>
      <c r="AA96" s="176">
        <f t="shared" si="27"/>
        <v>7.1847984745647118</v>
      </c>
      <c r="AB96" s="176">
        <f t="shared" si="27"/>
        <v>9.1106158539269693</v>
      </c>
      <c r="AC96" s="176">
        <f t="shared" si="27"/>
        <v>4.4332224993072868</v>
      </c>
      <c r="AD96" s="176">
        <f t="shared" si="27"/>
        <v>5</v>
      </c>
      <c r="AE96" s="176">
        <f>+SUM(AE88:AE89)</f>
        <v>5.6744830802594288</v>
      </c>
      <c r="AF96" s="189"/>
      <c r="AH96" s="190">
        <f>SUM(AH83:AH94)</f>
        <v>5.6744830802594288</v>
      </c>
      <c r="AN96" s="175">
        <f>SUM(AN83:AN94)</f>
        <v>2159.4299999999998</v>
      </c>
      <c r="AO96" s="175">
        <f t="shared" ref="AO96:AR96" si="28">SUM(AO83:AO94)</f>
        <v>235.65452300388941</v>
      </c>
      <c r="AP96" s="179">
        <f t="shared" si="28"/>
        <v>5033.2548857687007</v>
      </c>
      <c r="AQ96" s="175">
        <f t="shared" si="28"/>
        <v>2395.084523003889</v>
      </c>
      <c r="AR96" s="175">
        <f t="shared" si="28"/>
        <v>51155.694885768702</v>
      </c>
    </row>
    <row r="97" spans="1:44" ht="8.25" customHeight="1">
      <c r="B97" s="119"/>
      <c r="C97" s="174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</row>
    <row r="98" spans="1:44" s="119" customFormat="1" ht="12" customHeight="1">
      <c r="B98" s="136" t="s">
        <v>363</v>
      </c>
      <c r="C98" s="136" t="s">
        <v>364</v>
      </c>
      <c r="D98" s="121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4"/>
      <c r="Q98" s="204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N98" s="155"/>
    </row>
    <row r="99" spans="1:44" s="119" customFormat="1" ht="12" customHeight="1">
      <c r="B99" s="117" t="s">
        <v>365</v>
      </c>
      <c r="C99" s="117" t="s">
        <v>366</v>
      </c>
      <c r="D99" s="161">
        <v>300</v>
      </c>
      <c r="E99" s="161">
        <v>900</v>
      </c>
      <c r="F99" s="161">
        <v>300</v>
      </c>
      <c r="G99" s="161">
        <v>1200</v>
      </c>
      <c r="H99" s="161">
        <v>600</v>
      </c>
      <c r="I99" s="161">
        <v>600</v>
      </c>
      <c r="J99" s="161">
        <v>600</v>
      </c>
      <c r="K99" s="161">
        <v>600</v>
      </c>
      <c r="L99" s="161">
        <v>600</v>
      </c>
      <c r="M99" s="161">
        <v>600</v>
      </c>
      <c r="N99" s="161">
        <v>1200</v>
      </c>
      <c r="O99" s="161">
        <v>300</v>
      </c>
      <c r="P99" s="161">
        <v>300</v>
      </c>
      <c r="Q99" s="125">
        <v>7800</v>
      </c>
      <c r="S99" s="163">
        <f t="shared" ref="S99:AD99" si="29">E99/$D99</f>
        <v>3</v>
      </c>
      <c r="T99" s="163">
        <f t="shared" si="29"/>
        <v>1</v>
      </c>
      <c r="U99" s="163">
        <f t="shared" si="29"/>
        <v>4</v>
      </c>
      <c r="V99" s="163">
        <f t="shared" si="29"/>
        <v>2</v>
      </c>
      <c r="W99" s="163">
        <f t="shared" si="29"/>
        <v>2</v>
      </c>
      <c r="X99" s="163">
        <f t="shared" si="29"/>
        <v>2</v>
      </c>
      <c r="Y99" s="163">
        <f t="shared" si="29"/>
        <v>2</v>
      </c>
      <c r="Z99" s="163">
        <f t="shared" si="29"/>
        <v>2</v>
      </c>
      <c r="AA99" s="163">
        <f t="shared" si="29"/>
        <v>2</v>
      </c>
      <c r="AB99" s="163">
        <f t="shared" si="29"/>
        <v>4</v>
      </c>
      <c r="AC99" s="163">
        <f t="shared" si="29"/>
        <v>1</v>
      </c>
      <c r="AD99" s="163">
        <f t="shared" si="29"/>
        <v>1</v>
      </c>
      <c r="AE99" s="183">
        <f>SUM(S99:AD99)/12</f>
        <v>2.1666666666666665</v>
      </c>
      <c r="AF99" s="163"/>
      <c r="AN99" s="155"/>
    </row>
    <row r="100" spans="1:44" s="119" customFormat="1" ht="8.25" customHeight="1">
      <c r="B100" s="117"/>
      <c r="C100" s="117"/>
      <c r="D100" s="161"/>
      <c r="E100" s="161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N100" s="155"/>
    </row>
    <row r="101" spans="1:44" s="119" customFormat="1" ht="12" customHeight="1">
      <c r="B101" s="117"/>
      <c r="C101" s="174" t="s">
        <v>367</v>
      </c>
      <c r="D101" s="161"/>
      <c r="E101" s="175">
        <v>900</v>
      </c>
      <c r="F101" s="175">
        <v>300</v>
      </c>
      <c r="G101" s="175">
        <v>1200</v>
      </c>
      <c r="H101" s="175">
        <v>600</v>
      </c>
      <c r="I101" s="175">
        <v>600</v>
      </c>
      <c r="J101" s="175">
        <v>600</v>
      </c>
      <c r="K101" s="175">
        <v>600</v>
      </c>
      <c r="L101" s="175">
        <v>600</v>
      </c>
      <c r="M101" s="175">
        <v>600</v>
      </c>
      <c r="N101" s="175">
        <v>1200</v>
      </c>
      <c r="O101" s="175">
        <v>300</v>
      </c>
      <c r="P101" s="175">
        <v>300</v>
      </c>
      <c r="Q101" s="175">
        <v>7800</v>
      </c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N101" s="155"/>
      <c r="AR101" s="205">
        <f>+Q101</f>
        <v>7800</v>
      </c>
    </row>
    <row r="102" spans="1:44" ht="8.25" customHeight="1">
      <c r="B102" s="119"/>
      <c r="C102" s="119"/>
      <c r="S102" s="165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</row>
    <row r="103" spans="1:44" ht="12" customHeight="1">
      <c r="B103" s="195" t="s">
        <v>368</v>
      </c>
      <c r="C103" s="195" t="s">
        <v>368</v>
      </c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5"/>
    </row>
    <row r="104" spans="1:44" ht="12" customHeight="1">
      <c r="A104" s="117">
        <v>36</v>
      </c>
      <c r="B104" s="117" t="s">
        <v>369</v>
      </c>
      <c r="C104" s="117" t="s">
        <v>370</v>
      </c>
      <c r="D104" s="161">
        <v>112</v>
      </c>
      <c r="E104" s="161">
        <v>1914.24</v>
      </c>
      <c r="F104" s="161">
        <v>2841.3</v>
      </c>
      <c r="G104" s="161">
        <v>1524.26</v>
      </c>
      <c r="H104" s="161">
        <v>4135.76</v>
      </c>
      <c r="I104" s="161">
        <v>3091.88</v>
      </c>
      <c r="J104" s="161">
        <v>4287.95</v>
      </c>
      <c r="K104" s="161">
        <v>669.52</v>
      </c>
      <c r="L104" s="161">
        <v>4977.6499999999996</v>
      </c>
      <c r="M104" s="161">
        <v>3534.01</v>
      </c>
      <c r="N104" s="161">
        <v>3933.41</v>
      </c>
      <c r="O104" s="161">
        <v>3536.02</v>
      </c>
      <c r="P104" s="161">
        <v>2258.34</v>
      </c>
      <c r="Q104" s="125">
        <v>36704.340000000011</v>
      </c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</row>
    <row r="105" spans="1:44" ht="8.25" customHeight="1">
      <c r="Q105" s="164"/>
      <c r="S105" s="165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  <c r="AE105" s="165"/>
      <c r="AF105" s="165"/>
    </row>
    <row r="106" spans="1:44" ht="12" customHeight="1">
      <c r="B106" s="119"/>
      <c r="C106" s="174" t="s">
        <v>371</v>
      </c>
      <c r="E106" s="175">
        <v>1914.24</v>
      </c>
      <c r="F106" s="175">
        <v>2841.3</v>
      </c>
      <c r="G106" s="175">
        <v>1524.26</v>
      </c>
      <c r="H106" s="175">
        <v>4135.76</v>
      </c>
      <c r="I106" s="175">
        <v>3091.88</v>
      </c>
      <c r="J106" s="175">
        <v>4287.95</v>
      </c>
      <c r="K106" s="175">
        <v>669.52</v>
      </c>
      <c r="L106" s="175">
        <v>4977.6499999999996</v>
      </c>
      <c r="M106" s="175">
        <v>3534.01</v>
      </c>
      <c r="N106" s="175">
        <v>3933.41</v>
      </c>
      <c r="O106" s="175">
        <v>3536.02</v>
      </c>
      <c r="P106" s="175">
        <v>2258.34</v>
      </c>
      <c r="Q106" s="175">
        <v>36704.340000000011</v>
      </c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5"/>
      <c r="AR106" s="206">
        <f>+Q106</f>
        <v>36704.340000000011</v>
      </c>
    </row>
    <row r="107" spans="1:44" ht="8.25" customHeight="1">
      <c r="B107" s="119"/>
      <c r="C107" s="174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  <c r="AE107" s="165"/>
      <c r="AF107" s="165"/>
    </row>
    <row r="108" spans="1:44" s="119" customFormat="1" ht="12" customHeight="1">
      <c r="B108" s="194" t="s">
        <v>372</v>
      </c>
      <c r="C108" s="194" t="s">
        <v>372</v>
      </c>
      <c r="D108" s="161"/>
      <c r="E108" s="161"/>
      <c r="Q108" s="125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5"/>
      <c r="AF108" s="165"/>
      <c r="AN108" s="155"/>
    </row>
    <row r="109" spans="1:44" s="119" customFormat="1" ht="12" customHeight="1">
      <c r="B109" s="117" t="s">
        <v>373</v>
      </c>
      <c r="C109" s="117" t="s">
        <v>374</v>
      </c>
      <c r="D109" s="161">
        <v>0</v>
      </c>
      <c r="E109" s="161">
        <v>0</v>
      </c>
      <c r="F109" s="161">
        <v>62.959999999999994</v>
      </c>
      <c r="G109" s="161">
        <v>90.399999999999991</v>
      </c>
      <c r="H109" s="161">
        <v>68.86999999999999</v>
      </c>
      <c r="I109" s="161">
        <v>114.32</v>
      </c>
      <c r="J109" s="161">
        <v>513.23</v>
      </c>
      <c r="K109" s="161">
        <v>109.13000000000001</v>
      </c>
      <c r="L109" s="161">
        <v>83.820000000000007</v>
      </c>
      <c r="M109" s="161">
        <v>102.69</v>
      </c>
      <c r="N109" s="161">
        <v>113.12</v>
      </c>
      <c r="O109" s="161">
        <v>74.039999999999992</v>
      </c>
      <c r="P109" s="161">
        <v>99.59</v>
      </c>
      <c r="Q109" s="125">
        <v>1432.1699999999998</v>
      </c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5"/>
      <c r="AF109" s="165"/>
      <c r="AN109" s="155"/>
    </row>
    <row r="110" spans="1:44" s="119" customFormat="1" ht="12" customHeight="1">
      <c r="B110" s="117" t="s">
        <v>447</v>
      </c>
      <c r="C110" s="117" t="s">
        <v>448</v>
      </c>
      <c r="D110" s="161">
        <v>0</v>
      </c>
      <c r="E110" s="161">
        <v>-5.58</v>
      </c>
      <c r="F110" s="161">
        <v>0</v>
      </c>
      <c r="G110" s="161">
        <v>0</v>
      </c>
      <c r="H110" s="161">
        <v>0</v>
      </c>
      <c r="I110" s="161">
        <v>-11.37</v>
      </c>
      <c r="J110" s="161">
        <v>0</v>
      </c>
      <c r="K110" s="161">
        <v>0</v>
      </c>
      <c r="L110" s="161">
        <v>0</v>
      </c>
      <c r="M110" s="161">
        <v>0</v>
      </c>
      <c r="N110" s="161">
        <v>0</v>
      </c>
      <c r="O110" s="161">
        <v>0</v>
      </c>
      <c r="P110" s="161">
        <v>0</v>
      </c>
      <c r="Q110" s="125">
        <v>-16.95</v>
      </c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5"/>
      <c r="AF110" s="165"/>
      <c r="AN110" s="155"/>
    </row>
    <row r="111" spans="1:44" s="119" customFormat="1" ht="12" customHeight="1">
      <c r="B111" s="117" t="s">
        <v>449</v>
      </c>
      <c r="C111" s="117" t="s">
        <v>450</v>
      </c>
      <c r="D111" s="161">
        <v>0</v>
      </c>
      <c r="E111" s="161">
        <v>0</v>
      </c>
      <c r="F111" s="161">
        <v>255.44</v>
      </c>
      <c r="G111" s="161">
        <v>0</v>
      </c>
      <c r="H111" s="161">
        <v>0</v>
      </c>
      <c r="I111" s="161">
        <v>0</v>
      </c>
      <c r="J111" s="161">
        <v>0</v>
      </c>
      <c r="K111" s="161">
        <v>0</v>
      </c>
      <c r="L111" s="161">
        <v>0</v>
      </c>
      <c r="M111" s="161">
        <v>0</v>
      </c>
      <c r="N111" s="161">
        <v>0</v>
      </c>
      <c r="O111" s="161">
        <v>0</v>
      </c>
      <c r="P111" s="161">
        <v>0</v>
      </c>
      <c r="Q111" s="125">
        <v>255.44</v>
      </c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5"/>
      <c r="AF111" s="165"/>
      <c r="AN111" s="155"/>
    </row>
    <row r="112" spans="1:44" s="119" customFormat="1" ht="12" customHeight="1">
      <c r="B112" s="117" t="s">
        <v>451</v>
      </c>
      <c r="C112" s="117" t="s">
        <v>452</v>
      </c>
      <c r="D112" s="161">
        <v>0</v>
      </c>
      <c r="E112" s="161">
        <v>10.510000000000005</v>
      </c>
      <c r="F112" s="161">
        <v>0</v>
      </c>
      <c r="G112" s="161">
        <v>85.85</v>
      </c>
      <c r="H112" s="161">
        <v>0</v>
      </c>
      <c r="I112" s="161">
        <v>0</v>
      </c>
      <c r="J112" s="161">
        <v>-533.34</v>
      </c>
      <c r="K112" s="161">
        <v>0</v>
      </c>
      <c r="L112" s="161">
        <v>259.63</v>
      </c>
      <c r="M112" s="161">
        <v>124.18999999999997</v>
      </c>
      <c r="N112" s="161">
        <v>-173.24</v>
      </c>
      <c r="O112" s="161">
        <v>0</v>
      </c>
      <c r="P112" s="161">
        <v>0</v>
      </c>
      <c r="Q112" s="125">
        <v>-226.40000000000006</v>
      </c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5"/>
      <c r="AF112" s="165"/>
      <c r="AN112" s="155"/>
    </row>
    <row r="113" spans="2:46" s="119" customFormat="1" ht="12" customHeight="1">
      <c r="B113" s="117" t="s">
        <v>453</v>
      </c>
      <c r="C113" s="117" t="s">
        <v>454</v>
      </c>
      <c r="D113" s="161">
        <v>0</v>
      </c>
      <c r="E113" s="161">
        <v>-1069.6399999999999</v>
      </c>
      <c r="F113" s="161">
        <v>0</v>
      </c>
      <c r="G113" s="161">
        <v>-305.39999999999998</v>
      </c>
      <c r="H113" s="161">
        <v>-210.53</v>
      </c>
      <c r="I113" s="161">
        <v>-265.16000000000003</v>
      </c>
      <c r="J113" s="161">
        <v>-1651.42</v>
      </c>
      <c r="K113" s="161">
        <v>-538.91999999999996</v>
      </c>
      <c r="L113" s="161">
        <v>-841.59</v>
      </c>
      <c r="M113" s="161">
        <v>-426.36</v>
      </c>
      <c r="N113" s="161">
        <v>-215.89</v>
      </c>
      <c r="O113" s="161">
        <v>-1151.54</v>
      </c>
      <c r="P113" s="161">
        <v>-176.36</v>
      </c>
      <c r="Q113" s="125">
        <v>-6852.8099999999995</v>
      </c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5"/>
      <c r="AF113" s="165"/>
      <c r="AN113" s="155"/>
    </row>
    <row r="114" spans="2:46" s="119" customFormat="1" ht="12" customHeight="1">
      <c r="B114" s="117" t="s">
        <v>455</v>
      </c>
      <c r="C114" s="117" t="s">
        <v>456</v>
      </c>
      <c r="D114" s="161">
        <v>0</v>
      </c>
      <c r="E114" s="161">
        <v>0</v>
      </c>
      <c r="F114" s="161">
        <v>-87.9</v>
      </c>
      <c r="G114" s="161">
        <v>0</v>
      </c>
      <c r="H114" s="161">
        <v>304.39999999999998</v>
      </c>
      <c r="I114" s="161">
        <v>0</v>
      </c>
      <c r="J114" s="161">
        <v>635.72</v>
      </c>
      <c r="K114" s="161">
        <v>326.91000000000003</v>
      </c>
      <c r="L114" s="161">
        <v>297.04000000000002</v>
      </c>
      <c r="M114" s="161">
        <v>829</v>
      </c>
      <c r="N114" s="161">
        <v>116.5</v>
      </c>
      <c r="O114" s="161">
        <v>645.24</v>
      </c>
      <c r="P114" s="161">
        <v>514.09</v>
      </c>
      <c r="Q114" s="125">
        <v>3581</v>
      </c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5"/>
      <c r="AF114" s="165"/>
      <c r="AN114" s="155"/>
    </row>
    <row r="115" spans="2:46" s="119" customFormat="1" ht="12" customHeight="1">
      <c r="B115" s="117" t="s">
        <v>457</v>
      </c>
      <c r="C115" s="117" t="s">
        <v>458</v>
      </c>
      <c r="D115" s="161">
        <v>0</v>
      </c>
      <c r="E115" s="161">
        <v>0</v>
      </c>
      <c r="F115" s="161">
        <v>0</v>
      </c>
      <c r="G115" s="161">
        <v>54.4</v>
      </c>
      <c r="H115" s="161">
        <v>0</v>
      </c>
      <c r="I115" s="161">
        <v>0</v>
      </c>
      <c r="J115" s="161">
        <v>0</v>
      </c>
      <c r="K115" s="161">
        <v>0</v>
      </c>
      <c r="L115" s="161">
        <v>0</v>
      </c>
      <c r="M115" s="161">
        <v>17.43</v>
      </c>
      <c r="N115" s="161">
        <v>25.6</v>
      </c>
      <c r="O115" s="161">
        <v>10.96</v>
      </c>
      <c r="P115" s="161">
        <v>17.440000000000001</v>
      </c>
      <c r="Q115" s="125">
        <v>125.83000000000001</v>
      </c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5"/>
      <c r="AF115" s="165"/>
      <c r="AN115" s="155"/>
    </row>
    <row r="116" spans="2:46" s="119" customFormat="1" ht="12" customHeight="1">
      <c r="B116" s="173"/>
      <c r="C116" s="173"/>
      <c r="D116" s="161"/>
      <c r="E116" s="161"/>
      <c r="Q116" s="125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5"/>
      <c r="AF116" s="165"/>
      <c r="AN116" s="155"/>
    </row>
    <row r="117" spans="2:46" s="119" customFormat="1" ht="12" customHeight="1">
      <c r="C117" s="174" t="s">
        <v>375</v>
      </c>
      <c r="D117" s="161"/>
      <c r="E117" s="175">
        <v>-1064.7099999999998</v>
      </c>
      <c r="F117" s="175">
        <v>230.49999999999997</v>
      </c>
      <c r="G117" s="175">
        <v>-74.749999999999972</v>
      </c>
      <c r="H117" s="175">
        <v>162.73999999999995</v>
      </c>
      <c r="I117" s="175">
        <v>-162.21000000000004</v>
      </c>
      <c r="J117" s="175">
        <v>-1035.8100000000002</v>
      </c>
      <c r="K117" s="175">
        <v>-102.87999999999994</v>
      </c>
      <c r="L117" s="175">
        <v>-201.10000000000002</v>
      </c>
      <c r="M117" s="175">
        <v>646.94999999999993</v>
      </c>
      <c r="N117" s="175">
        <v>-133.91</v>
      </c>
      <c r="O117" s="175">
        <v>-421.3</v>
      </c>
      <c r="P117" s="175">
        <v>454.76000000000005</v>
      </c>
      <c r="Q117" s="175">
        <v>-1701.7199999999993</v>
      </c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5"/>
      <c r="AF117" s="165"/>
      <c r="AR117" s="205">
        <f>+Q117</f>
        <v>-1701.7199999999993</v>
      </c>
    </row>
    <row r="118" spans="2:46" ht="12" customHeight="1">
      <c r="B118" s="119"/>
      <c r="C118" s="174"/>
      <c r="S118" s="165"/>
      <c r="T118" s="165"/>
      <c r="U118" s="165"/>
      <c r="V118" s="165"/>
      <c r="W118" s="165"/>
      <c r="X118" s="165"/>
      <c r="Y118" s="165"/>
      <c r="Z118" s="165"/>
      <c r="AA118" s="165"/>
      <c r="AB118" s="165"/>
      <c r="AC118" s="165"/>
      <c r="AD118" s="165"/>
      <c r="AE118" s="165"/>
      <c r="AF118" s="165"/>
    </row>
    <row r="119" spans="2:46" ht="12" customHeight="1">
      <c r="B119" s="195"/>
      <c r="C119" s="174" t="s">
        <v>376</v>
      </c>
      <c r="E119" s="175">
        <v>68723.790000000008</v>
      </c>
      <c r="F119" s="175">
        <v>72048.864999999991</v>
      </c>
      <c r="G119" s="175">
        <v>71671.889999999985</v>
      </c>
      <c r="H119" s="175">
        <v>75291.544999999998</v>
      </c>
      <c r="I119" s="175">
        <v>74476.200000000012</v>
      </c>
      <c r="J119" s="175">
        <v>77097.834999999977</v>
      </c>
      <c r="K119" s="175">
        <v>72520.41</v>
      </c>
      <c r="L119" s="175">
        <v>80921.124999999985</v>
      </c>
      <c r="M119" s="175">
        <v>81697.949999999983</v>
      </c>
      <c r="N119" s="175">
        <v>79952.13</v>
      </c>
      <c r="O119" s="175">
        <v>77233.104999999996</v>
      </c>
      <c r="P119" s="175">
        <v>74401.939999999988</v>
      </c>
      <c r="Q119" s="175">
        <v>906036.78500000015</v>
      </c>
    </row>
    <row r="120" spans="2:46" ht="13.5" thickBot="1">
      <c r="B120" s="195"/>
      <c r="C120" s="195"/>
    </row>
    <row r="121" spans="2:46" ht="45">
      <c r="D121" s="207"/>
      <c r="E121" s="208">
        <v>69782.919999999969</v>
      </c>
      <c r="F121" s="208">
        <v>71881.325000000012</v>
      </c>
      <c r="G121" s="208">
        <v>71837.040000000008</v>
      </c>
      <c r="H121" s="208">
        <v>75197.675000000003</v>
      </c>
      <c r="I121" s="208">
        <v>74741.360000000015</v>
      </c>
      <c r="J121" s="208">
        <v>78646.875000000015</v>
      </c>
      <c r="K121" s="208">
        <v>72732.420000000027</v>
      </c>
      <c r="L121" s="208">
        <v>81206.044999999998</v>
      </c>
      <c r="M121" s="208">
        <v>81153.690000000031</v>
      </c>
      <c r="N121" s="208">
        <v>80199.160000000018</v>
      </c>
      <c r="O121" s="208">
        <v>77728.445000000007</v>
      </c>
      <c r="P121" s="208">
        <v>74046.76999999999</v>
      </c>
      <c r="Q121" s="182">
        <v>909153.72500000033</v>
      </c>
      <c r="AL121" s="209"/>
      <c r="AM121" s="210"/>
      <c r="AN121" s="210"/>
      <c r="AO121" s="210"/>
      <c r="AP121" s="210"/>
      <c r="AQ121" s="210"/>
      <c r="AR121" s="211" t="s">
        <v>459</v>
      </c>
      <c r="AS121" s="212" t="s">
        <v>390</v>
      </c>
      <c r="AT121" s="213"/>
    </row>
    <row r="122" spans="2:46" ht="15.75" thickBot="1">
      <c r="D122" s="207"/>
      <c r="E122" s="193">
        <v>1059.129999999961</v>
      </c>
      <c r="F122" s="193">
        <v>-167.53999999997905</v>
      </c>
      <c r="G122" s="193">
        <v>165.15000000002328</v>
      </c>
      <c r="H122" s="193">
        <v>-93.869999999995343</v>
      </c>
      <c r="I122" s="193">
        <v>265.16000000000349</v>
      </c>
      <c r="J122" s="193">
        <v>1549.0400000000373</v>
      </c>
      <c r="K122" s="193">
        <v>212.01000000002387</v>
      </c>
      <c r="L122" s="193">
        <v>284.92000000001281</v>
      </c>
      <c r="M122" s="193">
        <v>-544.25999999995111</v>
      </c>
      <c r="N122" s="193">
        <v>247.03000000001339</v>
      </c>
      <c r="O122" s="193">
        <v>495.34000000001106</v>
      </c>
      <c r="P122" s="193">
        <v>-355.16999999999825</v>
      </c>
      <c r="Q122" s="193">
        <v>3116.940000000177</v>
      </c>
      <c r="S122" s="214"/>
      <c r="T122" s="214"/>
      <c r="U122" s="214"/>
      <c r="V122" s="214"/>
      <c r="W122" s="214"/>
      <c r="X122" s="214"/>
      <c r="AL122" s="215"/>
      <c r="AM122" s="216"/>
      <c r="AN122" s="217" t="s">
        <v>392</v>
      </c>
      <c r="AO122" s="218">
        <f>+AP96+AP78+AP35+'[69]Whitman Reg - Price Out'!AP37+'[69]Whitman Reg - Price Out'!AP123+'[69]Whitman Reg - Price Out'!AP150</f>
        <v>416222.64862486004</v>
      </c>
      <c r="AP122" s="217"/>
      <c r="AQ122" s="219">
        <f>+AR106+AR96+AR78+AR35+'[69]Whitman Reg - Price Out'!AR150+'[69]Whitman Reg - Price Out'!AR154+'[69]Whitman Reg - Price Out'!AR123+'[69]Whitman Reg - Price Out'!AR37+'[69]Consolidated IS (C)'!H24+AR117+'[69]Whitman Reg - Price Out'!AR173</f>
        <v>4384342.1724626878</v>
      </c>
      <c r="AR122" s="220">
        <f>+'[69]LG Public - MSW'!J21</f>
        <v>4383978.6602565357</v>
      </c>
      <c r="AS122" s="221">
        <f>+AQ122-AR122</f>
        <v>363.51220615208149</v>
      </c>
      <c r="AT122" s="222"/>
    </row>
    <row r="123" spans="2:46" ht="16.5" thickTop="1" thickBot="1">
      <c r="Q123" s="223">
        <v>3.4283971063311389E-3</v>
      </c>
      <c r="AL123" s="224"/>
      <c r="AM123" s="225"/>
      <c r="AN123" s="226" t="s">
        <v>396</v>
      </c>
      <c r="AO123" s="226">
        <f>+'[69]Whitman Reg - Price Out'!AP42</f>
        <v>-886.32647002602198</v>
      </c>
      <c r="AP123" s="226"/>
      <c r="AQ123" s="226">
        <f>+'[69]Whitman Reg - Price Out'!AR42</f>
        <v>15172.843529973976</v>
      </c>
      <c r="AR123" s="227">
        <f>+'[69]LG Public - Recycling'!J21</f>
        <v>15178.044109584487</v>
      </c>
      <c r="AS123" s="221">
        <f>+AQ123-AR123</f>
        <v>-5.2005796105113404</v>
      </c>
      <c r="AT123" s="228"/>
    </row>
    <row r="124" spans="2:46" ht="16.5" thickTop="1" thickBot="1">
      <c r="AL124" s="229"/>
      <c r="AM124" s="230"/>
      <c r="AN124" s="230"/>
      <c r="AO124" s="230"/>
      <c r="AP124" s="230"/>
      <c r="AQ124" s="230"/>
      <c r="AR124" s="230"/>
      <c r="AS124" s="230"/>
      <c r="AT124" s="231"/>
    </row>
    <row r="125" spans="2:46"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</row>
  </sheetData>
  <pageMargins left="0.25" right="0.25" top="0.75" bottom="0.75" header="0.3" footer="0.3"/>
  <pageSetup scale="55" fitToWidth="2" fitToHeight="5" pageOrder="overThenDown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C302E-509D-4DB0-B142-D2C948149460}">
  <sheetPr>
    <tabColor theme="7" tint="0.59999389629810485"/>
    <pageSetUpPr fitToPage="1"/>
  </sheetPr>
  <dimension ref="A1:AB63"/>
  <sheetViews>
    <sheetView topLeftCell="A9" workbookViewId="0">
      <selection activeCell="E64" sqref="E64"/>
    </sheetView>
  </sheetViews>
  <sheetFormatPr defaultColWidth="9.140625" defaultRowHeight="12.75"/>
  <cols>
    <col min="1" max="1" width="9.42578125" style="237" customWidth="1"/>
    <col min="2" max="2" width="9.5703125" style="233" bestFit="1" customWidth="1"/>
    <col min="3" max="3" width="15.5703125" style="234" bestFit="1" customWidth="1"/>
    <col min="4" max="4" width="14.28515625" style="233" bestFit="1" customWidth="1"/>
    <col min="5" max="5" width="14.7109375" style="234" customWidth="1"/>
    <col min="6" max="6" width="13" style="233" customWidth="1"/>
    <col min="7" max="7" width="9.42578125" style="235" customWidth="1"/>
    <col min="8" max="8" width="14.28515625" style="236" bestFit="1" customWidth="1"/>
    <col min="9" max="9" width="8.140625" style="235" customWidth="1"/>
    <col min="10" max="10" width="14" style="236" customWidth="1"/>
    <col min="11" max="11" width="10.28515625" style="233" customWidth="1"/>
    <col min="12" max="12" width="8.42578125" style="235" customWidth="1"/>
    <col min="13" max="13" width="14" style="236" customWidth="1"/>
    <col min="14" max="14" width="12.42578125" style="235" customWidth="1"/>
    <col min="15" max="15" width="0.28515625" style="236" customWidth="1"/>
    <col min="16" max="16" width="9.5703125" style="233" bestFit="1" customWidth="1"/>
    <col min="17" max="17" width="12.5703125" style="235" customWidth="1"/>
    <col min="18" max="18" width="15.42578125" style="236" customWidth="1"/>
    <col min="19" max="19" width="2" style="233" customWidth="1"/>
    <col min="20" max="20" width="16.85546875" style="237" customWidth="1"/>
    <col min="21" max="21" width="17.140625" style="234" customWidth="1"/>
    <col min="22" max="22" width="2" style="234" customWidth="1"/>
    <col min="23" max="23" width="13.140625" style="233" bestFit="1" customWidth="1"/>
    <col min="24" max="24" width="13.42578125" style="234" bestFit="1" customWidth="1"/>
    <col min="25" max="25" width="11.5703125" style="233" bestFit="1" customWidth="1"/>
    <col min="26" max="26" width="12.5703125" style="234" bestFit="1" customWidth="1"/>
    <col min="27" max="27" width="10.5703125" style="233" bestFit="1" customWidth="1"/>
    <col min="28" max="28" width="12.5703125" style="234" bestFit="1" customWidth="1"/>
    <col min="29" max="16384" width="9.140625" style="237"/>
  </cols>
  <sheetData>
    <row r="1" spans="1:28">
      <c r="A1" s="232" t="s">
        <v>298</v>
      </c>
      <c r="V1" s="237"/>
      <c r="W1" s="237"/>
      <c r="X1" s="237"/>
      <c r="Y1" s="237"/>
      <c r="Z1" s="237"/>
      <c r="AA1" s="237"/>
      <c r="AB1" s="237"/>
    </row>
    <row r="2" spans="1:28">
      <c r="A2" s="232" t="s">
        <v>460</v>
      </c>
      <c r="V2" s="237"/>
      <c r="W2" s="237"/>
      <c r="X2" s="237"/>
      <c r="Y2" s="237"/>
      <c r="Z2" s="237"/>
      <c r="AA2" s="237"/>
      <c r="AB2" s="237"/>
    </row>
    <row r="3" spans="1:28" ht="9" hidden="1" customHeight="1">
      <c r="V3" s="237"/>
      <c r="W3" s="237"/>
      <c r="X3" s="237"/>
      <c r="Y3" s="237"/>
      <c r="Z3" s="237"/>
      <c r="AA3" s="237"/>
      <c r="AB3" s="237"/>
    </row>
    <row r="4" spans="1:28" ht="9" hidden="1" customHeight="1">
      <c r="B4" s="238"/>
      <c r="E4" s="239"/>
    </row>
    <row r="5" spans="1:28" ht="9" customHeight="1">
      <c r="B5" s="238"/>
      <c r="E5" s="239"/>
    </row>
    <row r="6" spans="1:28">
      <c r="A6" s="240" t="s">
        <v>298</v>
      </c>
      <c r="B6" s="238"/>
      <c r="E6" s="239"/>
    </row>
    <row r="7" spans="1:28" s="244" customFormat="1">
      <c r="A7" s="241" t="s">
        <v>461</v>
      </c>
      <c r="B7" s="242"/>
      <c r="C7" s="243"/>
      <c r="D7" s="233"/>
      <c r="E7" s="234"/>
      <c r="G7" s="234"/>
      <c r="H7" s="233"/>
      <c r="J7" s="234"/>
    </row>
    <row r="8" spans="1:28" s="244" customFormat="1" ht="7.5" customHeight="1" thickBot="1">
      <c r="B8" s="233"/>
      <c r="C8" s="234"/>
      <c r="D8" s="233"/>
      <c r="E8" s="234"/>
      <c r="G8" s="234"/>
      <c r="H8" s="233"/>
      <c r="J8" s="234"/>
    </row>
    <row r="9" spans="1:28">
      <c r="A9" s="281" t="s">
        <v>298</v>
      </c>
      <c r="B9" s="282"/>
      <c r="C9" s="283"/>
      <c r="D9" s="284"/>
      <c r="E9" s="283"/>
      <c r="F9" s="284"/>
      <c r="G9" s="285"/>
      <c r="H9" s="286"/>
      <c r="I9" s="287"/>
      <c r="J9" s="286"/>
      <c r="K9" s="282"/>
      <c r="L9" s="287"/>
      <c r="M9" s="286"/>
      <c r="N9" s="287"/>
      <c r="O9" s="286"/>
      <c r="P9" s="282"/>
      <c r="Q9" s="288"/>
    </row>
    <row r="10" spans="1:28" customFormat="1" ht="15">
      <c r="A10" s="256" t="s">
        <v>299</v>
      </c>
      <c r="B10" s="254"/>
      <c r="C10" s="253"/>
      <c r="D10" s="253"/>
      <c r="E10" s="257"/>
      <c r="F10" s="253"/>
      <c r="G10" s="253"/>
      <c r="H10" s="289"/>
      <c r="I10" s="254"/>
      <c r="J10" s="257"/>
      <c r="K10" s="253"/>
      <c r="L10" s="254"/>
      <c r="M10" s="253"/>
      <c r="N10" s="253"/>
      <c r="O10" s="289"/>
      <c r="P10" s="253"/>
      <c r="Q10" s="258"/>
      <c r="S10" s="236"/>
    </row>
    <row r="11" spans="1:28" customFormat="1" ht="9" customHeight="1">
      <c r="A11" s="259"/>
      <c r="B11" s="254"/>
      <c r="C11" s="253"/>
      <c r="D11" s="253"/>
      <c r="E11" s="254"/>
      <c r="F11" s="253"/>
      <c r="G11" s="253"/>
      <c r="H11" s="289"/>
      <c r="I11" s="254"/>
      <c r="J11" s="253"/>
      <c r="K11" s="253"/>
      <c r="L11" s="254"/>
      <c r="M11" s="253"/>
      <c r="N11" s="253"/>
      <c r="O11" s="289"/>
      <c r="P11" s="253"/>
      <c r="Q11" s="258"/>
      <c r="S11" s="236"/>
    </row>
    <row r="12" spans="1:28" customFormat="1" ht="15">
      <c r="A12" s="259"/>
      <c r="B12" s="325" t="s">
        <v>462</v>
      </c>
      <c r="C12" s="326"/>
      <c r="D12" s="326"/>
      <c r="E12" s="326"/>
      <c r="F12" s="327"/>
      <c r="G12" s="260"/>
      <c r="H12" s="289"/>
      <c r="I12" s="325" t="s">
        <v>463</v>
      </c>
      <c r="J12" s="326"/>
      <c r="K12" s="326"/>
      <c r="L12" s="326"/>
      <c r="M12" s="327"/>
      <c r="N12" s="260"/>
      <c r="O12" s="289"/>
      <c r="P12" s="289"/>
      <c r="Q12" s="261" t="s">
        <v>0</v>
      </c>
      <c r="S12" s="236"/>
    </row>
    <row r="13" spans="1:28" customFormat="1" ht="15">
      <c r="A13" s="259"/>
      <c r="B13" s="328" t="s">
        <v>256</v>
      </c>
      <c r="C13" s="328"/>
      <c r="D13" s="262" t="s">
        <v>3</v>
      </c>
      <c r="E13" s="328" t="s">
        <v>257</v>
      </c>
      <c r="F13" s="328"/>
      <c r="G13" s="262" t="s">
        <v>3</v>
      </c>
      <c r="H13" s="254"/>
      <c r="I13" s="328" t="s">
        <v>256</v>
      </c>
      <c r="J13" s="328"/>
      <c r="K13" s="262" t="s">
        <v>3</v>
      </c>
      <c r="L13" s="328" t="s">
        <v>257</v>
      </c>
      <c r="M13" s="328"/>
      <c r="N13" s="262" t="s">
        <v>3</v>
      </c>
      <c r="O13" s="254"/>
      <c r="P13" s="289"/>
      <c r="Q13" s="263"/>
    </row>
    <row r="14" spans="1:28" customFormat="1" ht="15">
      <c r="A14" s="259"/>
      <c r="B14" s="246" t="s">
        <v>191</v>
      </c>
      <c r="C14" s="247" t="s">
        <v>258</v>
      </c>
      <c r="D14" s="247"/>
      <c r="E14" s="246" t="s">
        <v>191</v>
      </c>
      <c r="F14" s="247" t="s">
        <v>258</v>
      </c>
      <c r="G14" s="264"/>
      <c r="H14" s="254"/>
      <c r="I14" s="246" t="s">
        <v>191</v>
      </c>
      <c r="J14" s="247" t="s">
        <v>258</v>
      </c>
      <c r="K14" s="247"/>
      <c r="L14" s="246" t="s">
        <v>191</v>
      </c>
      <c r="M14" s="247" t="s">
        <v>258</v>
      </c>
      <c r="N14" s="247"/>
      <c r="O14" s="254"/>
      <c r="P14" s="265" t="s">
        <v>191</v>
      </c>
      <c r="Q14" s="266" t="s">
        <v>258</v>
      </c>
    </row>
    <row r="15" spans="1:28" customFormat="1" ht="15" hidden="1">
      <c r="A15" s="248">
        <v>41183</v>
      </c>
      <c r="B15" s="267">
        <v>3.45</v>
      </c>
      <c r="C15" s="249">
        <v>376.05</v>
      </c>
      <c r="D15" s="249">
        <f t="shared" ref="D15:D41" si="0">IFERROR((C15/B15),0)</f>
        <v>109</v>
      </c>
      <c r="E15" s="267">
        <v>103.82</v>
      </c>
      <c r="F15" s="249">
        <v>11316.38</v>
      </c>
      <c r="G15" s="249">
        <f t="shared" ref="G15:G41" si="1">F15/E15</f>
        <v>109</v>
      </c>
      <c r="H15" s="245"/>
      <c r="I15" s="267">
        <v>2.23</v>
      </c>
      <c r="J15" s="249">
        <v>231.92</v>
      </c>
      <c r="K15" s="249">
        <f t="shared" ref="K15:K41" si="2">IFERROR((J15/I15),0)</f>
        <v>104</v>
      </c>
      <c r="L15" s="267">
        <v>50.13</v>
      </c>
      <c r="M15" s="249">
        <v>5213.5200000000004</v>
      </c>
      <c r="N15" s="249">
        <f t="shared" ref="N15:N41" si="3">IFERROR((M15/L15),0)</f>
        <v>104</v>
      </c>
      <c r="O15" s="245"/>
      <c r="P15" s="250">
        <f t="shared" ref="P15:Q41" si="4">B15+E15+I15+L15</f>
        <v>159.63</v>
      </c>
      <c r="Q15" s="268">
        <f t="shared" si="4"/>
        <v>17137.87</v>
      </c>
      <c r="R15" s="234"/>
      <c r="S15" s="235"/>
      <c r="T15" s="269"/>
      <c r="U15" s="235"/>
      <c r="V15" s="236"/>
      <c r="W15" s="235"/>
      <c r="X15" s="236"/>
      <c r="Y15" s="235"/>
      <c r="Z15" s="236"/>
      <c r="AA15" s="235"/>
      <c r="AB15" s="236"/>
    </row>
    <row r="16" spans="1:28" customFormat="1" ht="15" hidden="1">
      <c r="A16" s="248">
        <v>41214</v>
      </c>
      <c r="B16" s="267">
        <v>0</v>
      </c>
      <c r="C16" s="249">
        <v>0</v>
      </c>
      <c r="D16" s="249">
        <f t="shared" si="0"/>
        <v>0</v>
      </c>
      <c r="E16" s="267">
        <v>88.47</v>
      </c>
      <c r="F16" s="249">
        <v>9643.23</v>
      </c>
      <c r="G16" s="249">
        <f t="shared" si="1"/>
        <v>109</v>
      </c>
      <c r="H16" s="245"/>
      <c r="I16" s="267">
        <v>10.09</v>
      </c>
      <c r="J16" s="249">
        <v>1049.3599999999999</v>
      </c>
      <c r="K16" s="249">
        <f t="shared" si="2"/>
        <v>103.99999999999999</v>
      </c>
      <c r="L16" s="267">
        <v>43.27</v>
      </c>
      <c r="M16" s="249">
        <v>4500.08</v>
      </c>
      <c r="N16" s="249">
        <f t="shared" si="3"/>
        <v>103.99999999999999</v>
      </c>
      <c r="O16" s="245"/>
      <c r="P16" s="250">
        <f t="shared" si="4"/>
        <v>141.83000000000001</v>
      </c>
      <c r="Q16" s="268">
        <f t="shared" si="4"/>
        <v>15192.67</v>
      </c>
      <c r="R16" s="234"/>
      <c r="S16" s="235"/>
      <c r="T16" s="269"/>
      <c r="U16" s="235"/>
      <c r="V16" s="236"/>
      <c r="W16" s="235"/>
      <c r="X16" s="236"/>
      <c r="Y16" s="235"/>
      <c r="Z16" s="236"/>
      <c r="AA16" s="235"/>
      <c r="AB16" s="236"/>
    </row>
    <row r="17" spans="1:28" customFormat="1" ht="15" hidden="1">
      <c r="A17" s="248">
        <v>41244</v>
      </c>
      <c r="B17" s="267">
        <v>2.87</v>
      </c>
      <c r="C17" s="249">
        <v>312.83</v>
      </c>
      <c r="D17" s="249">
        <f t="shared" si="0"/>
        <v>108.99999999999999</v>
      </c>
      <c r="E17" s="267">
        <v>63.76</v>
      </c>
      <c r="F17" s="249">
        <v>6949.84</v>
      </c>
      <c r="G17" s="249">
        <f t="shared" si="1"/>
        <v>109</v>
      </c>
      <c r="H17" s="245"/>
      <c r="I17" s="267">
        <v>0</v>
      </c>
      <c r="J17" s="249">
        <v>0</v>
      </c>
      <c r="K17" s="249">
        <f t="shared" si="2"/>
        <v>0</v>
      </c>
      <c r="L17" s="267">
        <v>42.78</v>
      </c>
      <c r="M17" s="249">
        <v>4449.12</v>
      </c>
      <c r="N17" s="249">
        <f t="shared" si="3"/>
        <v>104</v>
      </c>
      <c r="O17" s="245"/>
      <c r="P17" s="250">
        <f t="shared" si="4"/>
        <v>109.41</v>
      </c>
      <c r="Q17" s="268">
        <f t="shared" si="4"/>
        <v>11711.79</v>
      </c>
      <c r="R17" s="234"/>
      <c r="S17" s="235"/>
      <c r="T17" s="269"/>
      <c r="U17" s="235"/>
      <c r="V17" s="236"/>
      <c r="W17" s="235"/>
      <c r="X17" s="236"/>
      <c r="Y17" s="235"/>
      <c r="Z17" s="236"/>
      <c r="AA17" s="235"/>
      <c r="AB17" s="236"/>
    </row>
    <row r="18" spans="1:28" customFormat="1" ht="15" hidden="1">
      <c r="A18" s="248">
        <v>41275</v>
      </c>
      <c r="B18" s="267">
        <v>3.65</v>
      </c>
      <c r="C18" s="249">
        <v>408.8</v>
      </c>
      <c r="D18" s="249">
        <f t="shared" si="0"/>
        <v>112</v>
      </c>
      <c r="E18" s="267">
        <v>78.400000000000006</v>
      </c>
      <c r="F18" s="249">
        <v>8780.7999999999993</v>
      </c>
      <c r="G18" s="249">
        <f t="shared" si="1"/>
        <v>111.99999999999999</v>
      </c>
      <c r="H18" s="245"/>
      <c r="I18" s="267">
        <v>5.97</v>
      </c>
      <c r="J18" s="249">
        <v>638.79</v>
      </c>
      <c r="K18" s="249">
        <f t="shared" si="2"/>
        <v>107</v>
      </c>
      <c r="L18" s="267">
        <v>33.93</v>
      </c>
      <c r="M18" s="249">
        <v>3630.51</v>
      </c>
      <c r="N18" s="249">
        <f t="shared" si="3"/>
        <v>107.00000000000001</v>
      </c>
      <c r="O18" s="245"/>
      <c r="P18" s="250">
        <f t="shared" si="4"/>
        <v>121.95000000000002</v>
      </c>
      <c r="Q18" s="268">
        <f t="shared" si="4"/>
        <v>13458.9</v>
      </c>
      <c r="R18" s="234"/>
      <c r="S18" s="235"/>
      <c r="T18" s="269"/>
      <c r="U18" s="235"/>
      <c r="V18" s="236"/>
      <c r="W18" s="235"/>
      <c r="X18" s="236"/>
      <c r="Y18" s="235"/>
      <c r="Z18" s="236"/>
      <c r="AA18" s="235"/>
      <c r="AB18" s="236"/>
    </row>
    <row r="19" spans="1:28" customFormat="1" ht="15" hidden="1">
      <c r="A19" s="248">
        <v>41306</v>
      </c>
      <c r="B19" s="267">
        <v>3.61</v>
      </c>
      <c r="C19" s="249">
        <v>404.32</v>
      </c>
      <c r="D19" s="249">
        <f t="shared" si="0"/>
        <v>112</v>
      </c>
      <c r="E19" s="267">
        <v>74.16</v>
      </c>
      <c r="F19" s="249">
        <v>8305.92</v>
      </c>
      <c r="G19" s="249">
        <f t="shared" si="1"/>
        <v>112</v>
      </c>
      <c r="H19" s="245"/>
      <c r="I19" s="267">
        <v>22.25</v>
      </c>
      <c r="J19" s="249">
        <v>2380.75</v>
      </c>
      <c r="K19" s="249">
        <f t="shared" si="2"/>
        <v>107</v>
      </c>
      <c r="L19" s="267">
        <v>27.78</v>
      </c>
      <c r="M19" s="249">
        <v>2972.46</v>
      </c>
      <c r="N19" s="249">
        <f t="shared" si="3"/>
        <v>107</v>
      </c>
      <c r="O19" s="245"/>
      <c r="P19" s="250">
        <f t="shared" si="4"/>
        <v>127.8</v>
      </c>
      <c r="Q19" s="268">
        <f t="shared" si="4"/>
        <v>14063.45</v>
      </c>
      <c r="R19" s="234"/>
      <c r="S19" s="235"/>
      <c r="T19" s="269"/>
      <c r="U19" s="235"/>
      <c r="V19" s="236"/>
      <c r="W19" s="235"/>
      <c r="X19" s="236"/>
      <c r="Y19" s="235"/>
      <c r="Z19" s="236"/>
      <c r="AA19" s="235"/>
      <c r="AB19" s="236"/>
    </row>
    <row r="20" spans="1:28" customFormat="1" ht="15" hidden="1">
      <c r="A20" s="248">
        <v>41334</v>
      </c>
      <c r="B20" s="267">
        <v>3.39</v>
      </c>
      <c r="C20" s="249">
        <v>379.68</v>
      </c>
      <c r="D20" s="249">
        <f t="shared" si="0"/>
        <v>112</v>
      </c>
      <c r="E20" s="267">
        <v>86.1</v>
      </c>
      <c r="F20" s="249">
        <v>9643.2000000000007</v>
      </c>
      <c r="G20" s="249">
        <f t="shared" si="1"/>
        <v>112.00000000000001</v>
      </c>
      <c r="H20" s="245"/>
      <c r="I20" s="267">
        <v>0</v>
      </c>
      <c r="J20" s="249">
        <v>0</v>
      </c>
      <c r="K20" s="249">
        <f t="shared" si="2"/>
        <v>0</v>
      </c>
      <c r="L20" s="267">
        <v>39.6</v>
      </c>
      <c r="M20" s="249">
        <v>4237.2</v>
      </c>
      <c r="N20" s="249">
        <f t="shared" si="3"/>
        <v>106.99999999999999</v>
      </c>
      <c r="O20" s="245"/>
      <c r="P20" s="250">
        <f t="shared" si="4"/>
        <v>129.09</v>
      </c>
      <c r="Q20" s="268">
        <f t="shared" si="4"/>
        <v>14260.080000000002</v>
      </c>
      <c r="R20" s="234"/>
      <c r="S20" s="235"/>
      <c r="T20" s="269"/>
      <c r="U20" s="235"/>
      <c r="V20" s="236"/>
      <c r="W20" s="235"/>
      <c r="X20" s="236"/>
      <c r="Y20" s="235"/>
      <c r="Z20" s="236"/>
      <c r="AA20" s="235"/>
      <c r="AB20" s="236"/>
    </row>
    <row r="21" spans="1:28" customFormat="1" ht="15" hidden="1">
      <c r="A21" s="248">
        <v>41365</v>
      </c>
      <c r="B21" s="267">
        <v>3.25</v>
      </c>
      <c r="C21" s="249">
        <v>364</v>
      </c>
      <c r="D21" s="249">
        <f t="shared" si="0"/>
        <v>112</v>
      </c>
      <c r="E21" s="267">
        <v>89.609999999999985</v>
      </c>
      <c r="F21" s="249">
        <v>10036.32</v>
      </c>
      <c r="G21" s="249">
        <f t="shared" si="1"/>
        <v>112.00000000000001</v>
      </c>
      <c r="H21" s="245"/>
      <c r="I21" s="267">
        <v>16.89</v>
      </c>
      <c r="J21" s="249">
        <v>1807.23</v>
      </c>
      <c r="K21" s="249">
        <f t="shared" si="2"/>
        <v>107</v>
      </c>
      <c r="L21" s="267">
        <v>47.55</v>
      </c>
      <c r="M21" s="249">
        <v>5087.8499999999995</v>
      </c>
      <c r="N21" s="249">
        <f t="shared" si="3"/>
        <v>107</v>
      </c>
      <c r="O21" s="245"/>
      <c r="P21" s="250">
        <f t="shared" si="4"/>
        <v>157.29999999999998</v>
      </c>
      <c r="Q21" s="268">
        <f t="shared" si="4"/>
        <v>17295.399999999998</v>
      </c>
      <c r="R21" s="234"/>
      <c r="S21" s="235"/>
      <c r="T21" s="269"/>
      <c r="U21" s="235"/>
      <c r="V21" s="236"/>
      <c r="W21" s="235"/>
      <c r="X21" s="236"/>
      <c r="Y21" s="235"/>
      <c r="Z21" s="236"/>
      <c r="AA21" s="235"/>
      <c r="AB21" s="236"/>
    </row>
    <row r="22" spans="1:28" customFormat="1" ht="15" hidden="1">
      <c r="A22" s="248">
        <v>41395</v>
      </c>
      <c r="B22" s="267">
        <v>0</v>
      </c>
      <c r="C22" s="249">
        <v>0</v>
      </c>
      <c r="D22" s="249">
        <f t="shared" si="0"/>
        <v>0</v>
      </c>
      <c r="E22" s="267">
        <v>104.82000000000001</v>
      </c>
      <c r="F22" s="249">
        <v>10796.460000000001</v>
      </c>
      <c r="G22" s="249">
        <f t="shared" si="1"/>
        <v>103</v>
      </c>
      <c r="H22" s="245"/>
      <c r="I22" s="267">
        <v>21.729999999999997</v>
      </c>
      <c r="J22" s="249">
        <v>2129.54</v>
      </c>
      <c r="K22" s="249">
        <f t="shared" si="2"/>
        <v>98.000000000000014</v>
      </c>
      <c r="L22" s="267">
        <v>36.03</v>
      </c>
      <c r="M22" s="249">
        <v>3530.94</v>
      </c>
      <c r="N22" s="249">
        <f t="shared" si="3"/>
        <v>98</v>
      </c>
      <c r="O22" s="245"/>
      <c r="P22" s="250">
        <f t="shared" si="4"/>
        <v>162.58000000000001</v>
      </c>
      <c r="Q22" s="268">
        <f t="shared" si="4"/>
        <v>16456.939999999999</v>
      </c>
      <c r="R22" s="234"/>
      <c r="S22" s="235"/>
      <c r="T22" s="269"/>
      <c r="U22" s="235"/>
      <c r="V22" s="236"/>
      <c r="W22" s="235"/>
      <c r="X22" s="236"/>
      <c r="Y22" s="235"/>
      <c r="Z22" s="236"/>
      <c r="AA22" s="235"/>
      <c r="AB22" s="236"/>
    </row>
    <row r="23" spans="1:28" customFormat="1" ht="15" hidden="1">
      <c r="A23" s="248">
        <v>41426</v>
      </c>
      <c r="B23" s="267"/>
      <c r="C23" s="249"/>
      <c r="D23" s="249">
        <f t="shared" si="0"/>
        <v>0</v>
      </c>
      <c r="E23" s="267">
        <v>88.649999999999991</v>
      </c>
      <c r="F23" s="249">
        <v>9130.9499999999989</v>
      </c>
      <c r="G23" s="249">
        <f t="shared" si="1"/>
        <v>103</v>
      </c>
      <c r="H23" s="245"/>
      <c r="I23" s="267">
        <v>4.8499999999999996</v>
      </c>
      <c r="J23" s="249">
        <v>475.3</v>
      </c>
      <c r="K23" s="249">
        <f t="shared" si="2"/>
        <v>98.000000000000014</v>
      </c>
      <c r="L23" s="267">
        <v>43.32</v>
      </c>
      <c r="M23" s="249">
        <v>4245.3600000000006</v>
      </c>
      <c r="N23" s="249">
        <f t="shared" si="3"/>
        <v>98.000000000000014</v>
      </c>
      <c r="O23" s="245"/>
      <c r="P23" s="250">
        <f t="shared" si="4"/>
        <v>136.82</v>
      </c>
      <c r="Q23" s="268">
        <f t="shared" si="4"/>
        <v>13851.609999999999</v>
      </c>
      <c r="R23" s="234"/>
      <c r="S23" s="235"/>
      <c r="T23" s="269"/>
      <c r="U23" s="235"/>
      <c r="V23" s="236"/>
      <c r="W23" s="235"/>
      <c r="X23" s="236"/>
      <c r="Y23" s="235"/>
      <c r="Z23" s="236"/>
      <c r="AA23" s="235"/>
      <c r="AB23" s="236"/>
    </row>
    <row r="24" spans="1:28" customFormat="1" ht="15" hidden="1">
      <c r="A24" s="248">
        <v>41456</v>
      </c>
      <c r="B24" s="267">
        <v>14.29</v>
      </c>
      <c r="C24" s="249">
        <v>1471.87</v>
      </c>
      <c r="D24" s="249">
        <f t="shared" si="0"/>
        <v>103</v>
      </c>
      <c r="E24" s="267">
        <v>109.78000000000002</v>
      </c>
      <c r="F24" s="249">
        <v>11307.340000000002</v>
      </c>
      <c r="G24" s="249">
        <f t="shared" si="1"/>
        <v>103</v>
      </c>
      <c r="H24" s="245"/>
      <c r="I24" s="267">
        <v>10.07</v>
      </c>
      <c r="J24" s="249">
        <v>986.86</v>
      </c>
      <c r="K24" s="249">
        <f t="shared" si="2"/>
        <v>98</v>
      </c>
      <c r="L24" s="267">
        <v>46.510000000000005</v>
      </c>
      <c r="M24" s="249">
        <v>4557.9799999999996</v>
      </c>
      <c r="N24" s="249">
        <f t="shared" si="3"/>
        <v>97.999999999999986</v>
      </c>
      <c r="O24" s="245"/>
      <c r="P24" s="250">
        <f t="shared" si="4"/>
        <v>180.65000000000003</v>
      </c>
      <c r="Q24" s="268">
        <f t="shared" si="4"/>
        <v>18324.050000000003</v>
      </c>
      <c r="R24" s="234"/>
      <c r="S24" s="235"/>
      <c r="T24" s="269"/>
      <c r="U24" s="235"/>
      <c r="V24" s="236"/>
      <c r="W24" s="235"/>
      <c r="X24" s="236"/>
      <c r="Y24" s="235"/>
      <c r="Z24" s="236"/>
      <c r="AA24" s="235"/>
      <c r="AB24" s="236"/>
    </row>
    <row r="25" spans="1:28" customFormat="1" ht="15" hidden="1">
      <c r="A25" s="248">
        <v>41487</v>
      </c>
      <c r="B25" s="267">
        <v>8.11</v>
      </c>
      <c r="C25" s="249">
        <v>835.33</v>
      </c>
      <c r="D25" s="249">
        <f t="shared" si="0"/>
        <v>103.00000000000001</v>
      </c>
      <c r="E25" s="267">
        <v>90.21</v>
      </c>
      <c r="F25" s="249">
        <v>9291.6299999999992</v>
      </c>
      <c r="G25" s="249">
        <f t="shared" si="1"/>
        <v>103</v>
      </c>
      <c r="H25" s="245"/>
      <c r="I25" s="267">
        <v>0</v>
      </c>
      <c r="J25" s="249">
        <v>0</v>
      </c>
      <c r="K25" s="249">
        <f t="shared" si="2"/>
        <v>0</v>
      </c>
      <c r="L25" s="267">
        <v>33.620000000000005</v>
      </c>
      <c r="M25" s="249">
        <v>3294.76</v>
      </c>
      <c r="N25" s="249">
        <f t="shared" si="3"/>
        <v>98</v>
      </c>
      <c r="O25" s="245"/>
      <c r="P25" s="250">
        <f t="shared" si="4"/>
        <v>131.94</v>
      </c>
      <c r="Q25" s="268">
        <f t="shared" si="4"/>
        <v>13421.72</v>
      </c>
      <c r="R25" s="234"/>
      <c r="S25" s="235"/>
      <c r="T25" s="269"/>
      <c r="U25" s="235"/>
      <c r="V25" s="236"/>
      <c r="W25" s="235"/>
      <c r="X25" s="236"/>
      <c r="Y25" s="235"/>
      <c r="Z25" s="236"/>
      <c r="AA25" s="235"/>
      <c r="AB25" s="236"/>
    </row>
    <row r="26" spans="1:28" customFormat="1" ht="15" hidden="1">
      <c r="A26" s="248">
        <v>41518</v>
      </c>
      <c r="B26" s="267">
        <v>5.12</v>
      </c>
      <c r="C26" s="249">
        <v>527.36</v>
      </c>
      <c r="D26" s="249">
        <f t="shared" si="0"/>
        <v>103</v>
      </c>
      <c r="E26" s="267">
        <v>103.13</v>
      </c>
      <c r="F26" s="249">
        <v>10622.39</v>
      </c>
      <c r="G26" s="249">
        <f t="shared" si="1"/>
        <v>103</v>
      </c>
      <c r="H26" s="245"/>
      <c r="I26" s="267">
        <v>8.75</v>
      </c>
      <c r="J26" s="249">
        <v>857.5</v>
      </c>
      <c r="K26" s="249">
        <f t="shared" si="2"/>
        <v>98</v>
      </c>
      <c r="L26" s="267">
        <v>44.550000000000004</v>
      </c>
      <c r="M26" s="249">
        <v>4365.8999999999996</v>
      </c>
      <c r="N26" s="249">
        <f t="shared" si="3"/>
        <v>97.999999999999986</v>
      </c>
      <c r="O26" s="245"/>
      <c r="P26" s="250">
        <f t="shared" si="4"/>
        <v>161.55000000000001</v>
      </c>
      <c r="Q26" s="268">
        <f t="shared" si="4"/>
        <v>16373.15</v>
      </c>
      <c r="R26" s="234"/>
      <c r="S26" s="235"/>
      <c r="T26" s="269"/>
      <c r="U26" s="235"/>
      <c r="V26" s="236"/>
      <c r="W26" s="235"/>
      <c r="X26" s="236"/>
      <c r="Y26" s="235"/>
      <c r="Z26" s="236"/>
      <c r="AA26" s="235"/>
      <c r="AB26" s="236"/>
    </row>
    <row r="27" spans="1:28" customFormat="1" ht="15" hidden="1">
      <c r="A27" s="248">
        <v>41548</v>
      </c>
      <c r="B27" s="267">
        <v>5.39</v>
      </c>
      <c r="C27" s="249">
        <v>555.16999999999996</v>
      </c>
      <c r="D27" s="249">
        <f t="shared" si="0"/>
        <v>103</v>
      </c>
      <c r="E27" s="267">
        <v>111.01</v>
      </c>
      <c r="F27" s="249">
        <v>11434.03</v>
      </c>
      <c r="G27" s="249">
        <f t="shared" si="1"/>
        <v>103</v>
      </c>
      <c r="H27" s="245"/>
      <c r="I27" s="267">
        <v>19.02</v>
      </c>
      <c r="J27" s="249">
        <v>1863.96</v>
      </c>
      <c r="K27" s="249">
        <f t="shared" si="2"/>
        <v>98</v>
      </c>
      <c r="L27" s="267">
        <v>36</v>
      </c>
      <c r="M27" s="249">
        <v>3528</v>
      </c>
      <c r="N27" s="249">
        <f t="shared" si="3"/>
        <v>98</v>
      </c>
      <c r="O27" s="245"/>
      <c r="P27" s="250">
        <f t="shared" si="4"/>
        <v>171.42000000000002</v>
      </c>
      <c r="Q27" s="268">
        <f t="shared" si="4"/>
        <v>17381.16</v>
      </c>
      <c r="R27" s="234"/>
      <c r="S27" s="235"/>
      <c r="T27" s="269"/>
      <c r="U27" s="235"/>
      <c r="V27" s="236"/>
      <c r="W27" s="235"/>
      <c r="X27" s="236"/>
      <c r="Y27" s="235"/>
      <c r="Z27" s="236"/>
      <c r="AA27" s="235"/>
      <c r="AB27" s="236"/>
    </row>
    <row r="28" spans="1:28" customFormat="1" ht="15" hidden="1">
      <c r="A28" s="248">
        <v>41579</v>
      </c>
      <c r="B28" s="267">
        <v>3.8899999999999997</v>
      </c>
      <c r="C28" s="249">
        <v>400.66999999999996</v>
      </c>
      <c r="D28" s="249">
        <f t="shared" si="0"/>
        <v>103</v>
      </c>
      <c r="E28" s="267">
        <v>90.320000000000007</v>
      </c>
      <c r="F28" s="249">
        <v>9302.9599999999991</v>
      </c>
      <c r="G28" s="249">
        <f t="shared" si="1"/>
        <v>102.99999999999999</v>
      </c>
      <c r="H28" s="245"/>
      <c r="I28" s="267">
        <v>5.57</v>
      </c>
      <c r="J28" s="249">
        <v>545.86</v>
      </c>
      <c r="K28" s="249">
        <f t="shared" si="2"/>
        <v>98</v>
      </c>
      <c r="L28" s="267">
        <v>32.880000000000003</v>
      </c>
      <c r="M28" s="249">
        <v>3222.24</v>
      </c>
      <c r="N28" s="249">
        <f t="shared" si="3"/>
        <v>97.999999999999986</v>
      </c>
      <c r="O28" s="245"/>
      <c r="P28" s="250">
        <f t="shared" si="4"/>
        <v>132.66</v>
      </c>
      <c r="Q28" s="268">
        <f t="shared" si="4"/>
        <v>13471.73</v>
      </c>
      <c r="R28" s="234"/>
      <c r="S28" s="235"/>
      <c r="T28" s="269"/>
      <c r="U28" s="235"/>
      <c r="V28" s="236"/>
      <c r="W28" s="235"/>
      <c r="X28" s="236"/>
      <c r="Y28" s="235"/>
      <c r="Z28" s="236"/>
      <c r="AA28" s="235"/>
      <c r="AB28" s="236"/>
    </row>
    <row r="29" spans="1:28" customFormat="1" ht="15" hidden="1">
      <c r="A29" s="248">
        <v>41609</v>
      </c>
      <c r="B29" s="267">
        <v>2.58</v>
      </c>
      <c r="C29" s="249">
        <v>265.74</v>
      </c>
      <c r="D29" s="249">
        <f t="shared" si="0"/>
        <v>103</v>
      </c>
      <c r="E29" s="267">
        <v>94.620000000000019</v>
      </c>
      <c r="F29" s="249">
        <v>9745.86</v>
      </c>
      <c r="G29" s="249">
        <f t="shared" si="1"/>
        <v>102.99999999999999</v>
      </c>
      <c r="H29" s="245"/>
      <c r="I29" s="267">
        <v>1.8</v>
      </c>
      <c r="J29" s="249">
        <v>176.4</v>
      </c>
      <c r="K29" s="249">
        <f t="shared" si="2"/>
        <v>98</v>
      </c>
      <c r="L29" s="267">
        <v>39.28</v>
      </c>
      <c r="M29" s="249">
        <v>3849.4399999999996</v>
      </c>
      <c r="N29" s="249">
        <f t="shared" si="3"/>
        <v>97.999999999999986</v>
      </c>
      <c r="O29" s="245"/>
      <c r="P29" s="250">
        <f t="shared" si="4"/>
        <v>138.28000000000003</v>
      </c>
      <c r="Q29" s="268">
        <f t="shared" si="4"/>
        <v>14037.439999999999</v>
      </c>
      <c r="R29" s="234"/>
      <c r="S29" s="235"/>
      <c r="T29" s="269"/>
      <c r="U29" s="235"/>
      <c r="V29" s="236"/>
      <c r="W29" s="235"/>
      <c r="X29" s="236"/>
      <c r="Y29" s="235"/>
      <c r="Z29" s="236"/>
      <c r="AA29" s="235"/>
      <c r="AB29" s="236"/>
    </row>
    <row r="30" spans="1:28" customFormat="1" ht="15">
      <c r="A30" s="270">
        <v>44574</v>
      </c>
      <c r="B30" s="267">
        <v>0</v>
      </c>
      <c r="C30" s="271">
        <v>0</v>
      </c>
      <c r="D30" s="249">
        <f t="shared" si="0"/>
        <v>0</v>
      </c>
      <c r="E30" s="267">
        <v>109.97</v>
      </c>
      <c r="F30" s="271">
        <v>12316.64</v>
      </c>
      <c r="G30" s="249">
        <f t="shared" si="1"/>
        <v>112</v>
      </c>
      <c r="H30" s="245"/>
      <c r="I30" s="267">
        <v>6.01</v>
      </c>
      <c r="J30" s="271">
        <v>704.13160000000005</v>
      </c>
      <c r="K30" s="249">
        <f t="shared" si="2"/>
        <v>117.16000000000001</v>
      </c>
      <c r="L30" s="267">
        <v>32.57</v>
      </c>
      <c r="M30" s="271">
        <v>3815.9011999999998</v>
      </c>
      <c r="N30" s="249">
        <f t="shared" si="3"/>
        <v>117.16</v>
      </c>
      <c r="O30" s="245"/>
      <c r="P30" s="250">
        <f t="shared" si="4"/>
        <v>148.55000000000001</v>
      </c>
      <c r="Q30" s="268">
        <f t="shared" si="4"/>
        <v>16836.6728</v>
      </c>
      <c r="R30" s="234"/>
      <c r="Y30" s="235"/>
      <c r="Z30" s="236"/>
      <c r="AA30" s="235"/>
      <c r="AB30" s="236"/>
    </row>
    <row r="31" spans="1:28" customFormat="1" ht="15">
      <c r="A31" s="248">
        <f t="shared" ref="A31:A41" si="5">A30+32</f>
        <v>44606</v>
      </c>
      <c r="B31" s="267">
        <v>14.76</v>
      </c>
      <c r="C31" s="271">
        <v>1653.12</v>
      </c>
      <c r="D31" s="249">
        <f t="shared" si="0"/>
        <v>112</v>
      </c>
      <c r="E31" s="267">
        <v>91.8</v>
      </c>
      <c r="F31" s="271">
        <v>10281.6</v>
      </c>
      <c r="G31" s="249">
        <f t="shared" si="1"/>
        <v>112.00000000000001</v>
      </c>
      <c r="H31" s="245"/>
      <c r="I31" s="267">
        <v>0</v>
      </c>
      <c r="J31" s="271">
        <v>0</v>
      </c>
      <c r="K31" s="249">
        <f t="shared" si="2"/>
        <v>0</v>
      </c>
      <c r="L31" s="267">
        <v>28.38</v>
      </c>
      <c r="M31" s="271">
        <v>3325.0007999999998</v>
      </c>
      <c r="N31" s="249">
        <f t="shared" si="3"/>
        <v>117.16</v>
      </c>
      <c r="O31" s="245"/>
      <c r="P31" s="250">
        <f t="shared" si="4"/>
        <v>134.94</v>
      </c>
      <c r="Q31" s="268">
        <f t="shared" si="4"/>
        <v>15259.720800000001</v>
      </c>
      <c r="R31" s="234"/>
      <c r="Y31" s="235"/>
      <c r="Z31" s="236"/>
      <c r="AA31" s="235"/>
      <c r="AB31" s="236"/>
    </row>
    <row r="32" spans="1:28" customFormat="1" ht="15">
      <c r="A32" s="248">
        <f t="shared" si="5"/>
        <v>44638</v>
      </c>
      <c r="B32" s="267">
        <v>3.8</v>
      </c>
      <c r="C32" s="271">
        <v>425.59999999999997</v>
      </c>
      <c r="D32" s="249">
        <f t="shared" si="0"/>
        <v>112</v>
      </c>
      <c r="E32" s="267">
        <v>133.01</v>
      </c>
      <c r="F32" s="271">
        <v>14897.119999999995</v>
      </c>
      <c r="G32" s="249">
        <f t="shared" si="1"/>
        <v>111.99999999999997</v>
      </c>
      <c r="H32" s="245"/>
      <c r="I32" s="267">
        <v>2.52</v>
      </c>
      <c r="J32" s="271">
        <v>295.2432</v>
      </c>
      <c r="K32" s="249">
        <f t="shared" si="2"/>
        <v>117.16</v>
      </c>
      <c r="L32" s="267">
        <v>30.880000000000003</v>
      </c>
      <c r="M32" s="271">
        <v>3617.9007999999994</v>
      </c>
      <c r="N32" s="249">
        <f t="shared" si="3"/>
        <v>117.15999999999997</v>
      </c>
      <c r="O32" s="245"/>
      <c r="P32" s="250">
        <f t="shared" si="4"/>
        <v>170.21</v>
      </c>
      <c r="Q32" s="268">
        <f t="shared" si="4"/>
        <v>19235.863999999994</v>
      </c>
      <c r="R32" s="234"/>
      <c r="Y32" s="235"/>
      <c r="Z32" s="236"/>
      <c r="AA32" s="235"/>
      <c r="AB32" s="236"/>
    </row>
    <row r="33" spans="1:28" customFormat="1" ht="15">
      <c r="A33" s="248">
        <f t="shared" si="5"/>
        <v>44670</v>
      </c>
      <c r="B33" s="267">
        <v>41.309999999999995</v>
      </c>
      <c r="C33" s="271">
        <v>4626.72</v>
      </c>
      <c r="D33" s="249">
        <f t="shared" si="0"/>
        <v>112.00000000000001</v>
      </c>
      <c r="E33" s="267">
        <v>101.96</v>
      </c>
      <c r="F33" s="271">
        <v>11419.519999999997</v>
      </c>
      <c r="G33" s="249">
        <f t="shared" si="1"/>
        <v>111.99999999999997</v>
      </c>
      <c r="H33" s="245"/>
      <c r="I33" s="267">
        <v>10.14</v>
      </c>
      <c r="J33" s="271">
        <v>1188.0024000000001</v>
      </c>
      <c r="K33" s="249">
        <f t="shared" si="2"/>
        <v>117.16</v>
      </c>
      <c r="L33" s="267">
        <v>29.87</v>
      </c>
      <c r="M33" s="271">
        <v>3499.5691999999999</v>
      </c>
      <c r="N33" s="249">
        <f t="shared" si="3"/>
        <v>117.16</v>
      </c>
      <c r="O33" s="245"/>
      <c r="P33" s="250">
        <f t="shared" si="4"/>
        <v>183.27999999999997</v>
      </c>
      <c r="Q33" s="268">
        <f t="shared" si="4"/>
        <v>20733.811600000001</v>
      </c>
      <c r="R33" s="234"/>
      <c r="Y33" s="235"/>
      <c r="Z33" s="236"/>
      <c r="AA33" s="235"/>
      <c r="AB33" s="236"/>
    </row>
    <row r="34" spans="1:28" customFormat="1" ht="15">
      <c r="A34" s="248">
        <f t="shared" si="5"/>
        <v>44702</v>
      </c>
      <c r="B34" s="267">
        <v>19.149999999999999</v>
      </c>
      <c r="C34" s="271">
        <v>2144.7999999999997</v>
      </c>
      <c r="D34" s="249">
        <f t="shared" si="0"/>
        <v>112</v>
      </c>
      <c r="E34" s="267">
        <v>107.94000000000003</v>
      </c>
      <c r="F34" s="271">
        <v>12089.28</v>
      </c>
      <c r="G34" s="249">
        <f t="shared" si="1"/>
        <v>111.99999999999999</v>
      </c>
      <c r="H34" s="245"/>
      <c r="I34" s="267">
        <v>0</v>
      </c>
      <c r="J34" s="271">
        <v>0</v>
      </c>
      <c r="K34" s="249">
        <f t="shared" si="2"/>
        <v>0</v>
      </c>
      <c r="L34" s="267">
        <v>40.14</v>
      </c>
      <c r="M34" s="271">
        <v>4702.8023999999996</v>
      </c>
      <c r="N34" s="249">
        <f t="shared" si="3"/>
        <v>117.15999999999998</v>
      </c>
      <c r="O34" s="245"/>
      <c r="P34" s="250">
        <f t="shared" si="4"/>
        <v>167.23000000000002</v>
      </c>
      <c r="Q34" s="268">
        <f t="shared" si="4"/>
        <v>18936.882399999999</v>
      </c>
      <c r="R34" s="234"/>
      <c r="Y34" s="235"/>
      <c r="Z34" s="236"/>
      <c r="AA34" s="235"/>
      <c r="AB34" s="236"/>
    </row>
    <row r="35" spans="1:28" customFormat="1" ht="15">
      <c r="A35" s="248">
        <f t="shared" si="5"/>
        <v>44734</v>
      </c>
      <c r="B35" s="267">
        <v>21.509999999999998</v>
      </c>
      <c r="C35" s="271">
        <v>2409.12</v>
      </c>
      <c r="D35" s="249">
        <f t="shared" si="0"/>
        <v>112</v>
      </c>
      <c r="E35" s="267">
        <v>141.16999999999999</v>
      </c>
      <c r="F35" s="271">
        <v>15811.04</v>
      </c>
      <c r="G35" s="249">
        <f t="shared" si="1"/>
        <v>112.00000000000001</v>
      </c>
      <c r="H35" s="245"/>
      <c r="I35" s="267">
        <v>15.58</v>
      </c>
      <c r="J35" s="271">
        <v>1825.3527999999999</v>
      </c>
      <c r="K35" s="249">
        <f t="shared" si="2"/>
        <v>117.16</v>
      </c>
      <c r="L35" s="267">
        <v>31.37</v>
      </c>
      <c r="M35" s="271">
        <v>3675.3092000000001</v>
      </c>
      <c r="N35" s="249">
        <f t="shared" si="3"/>
        <v>117.16</v>
      </c>
      <c r="O35" s="245"/>
      <c r="P35" s="250">
        <f t="shared" si="4"/>
        <v>209.63</v>
      </c>
      <c r="Q35" s="268">
        <f t="shared" si="4"/>
        <v>23720.822</v>
      </c>
      <c r="R35" s="234"/>
      <c r="Y35" s="235"/>
      <c r="Z35" s="236"/>
      <c r="AA35" s="235"/>
      <c r="AB35" s="236"/>
    </row>
    <row r="36" spans="1:28" customFormat="1" ht="15">
      <c r="A36" s="248">
        <f t="shared" si="5"/>
        <v>44766</v>
      </c>
      <c r="B36" s="267">
        <v>5.96</v>
      </c>
      <c r="C36" s="271">
        <v>667.52</v>
      </c>
      <c r="D36" s="249">
        <f t="shared" si="0"/>
        <v>112</v>
      </c>
      <c r="E36" s="267">
        <v>118.46</v>
      </c>
      <c r="F36" s="271">
        <v>13267.52</v>
      </c>
      <c r="G36" s="249">
        <f t="shared" si="1"/>
        <v>112.00000000000001</v>
      </c>
      <c r="H36" s="245"/>
      <c r="I36" s="267">
        <v>0</v>
      </c>
      <c r="J36" s="271">
        <v>0</v>
      </c>
      <c r="K36" s="249">
        <f t="shared" si="2"/>
        <v>0</v>
      </c>
      <c r="L36" s="267">
        <v>15.34</v>
      </c>
      <c r="M36" s="271">
        <v>1797.2344000000001</v>
      </c>
      <c r="N36" s="249">
        <f t="shared" si="3"/>
        <v>117.16000000000001</v>
      </c>
      <c r="O36" s="245"/>
      <c r="P36" s="250">
        <f t="shared" si="4"/>
        <v>139.76</v>
      </c>
      <c r="Q36" s="268">
        <f t="shared" si="4"/>
        <v>15732.2744</v>
      </c>
      <c r="R36" s="234"/>
      <c r="Y36" s="235"/>
      <c r="Z36" s="236"/>
      <c r="AA36" s="235"/>
      <c r="AB36" s="236"/>
    </row>
    <row r="37" spans="1:28" customFormat="1" ht="15">
      <c r="A37" s="248">
        <f t="shared" si="5"/>
        <v>44798</v>
      </c>
      <c r="B37" s="267">
        <v>25.92</v>
      </c>
      <c r="C37" s="271">
        <v>2903.04</v>
      </c>
      <c r="D37" s="249">
        <f t="shared" si="0"/>
        <v>111.99999999999999</v>
      </c>
      <c r="E37" s="267">
        <v>130.92999999999998</v>
      </c>
      <c r="F37" s="271">
        <v>14664.16</v>
      </c>
      <c r="G37" s="249">
        <f t="shared" si="1"/>
        <v>112.00000000000001</v>
      </c>
      <c r="H37" s="245"/>
      <c r="I37" s="267">
        <v>19.100000000000001</v>
      </c>
      <c r="J37" s="271">
        <v>2237.7559999999999</v>
      </c>
      <c r="K37" s="249">
        <f t="shared" si="2"/>
        <v>117.15999999999998</v>
      </c>
      <c r="L37" s="267">
        <v>28.33</v>
      </c>
      <c r="M37" s="271">
        <v>3319.1427999999996</v>
      </c>
      <c r="N37" s="249">
        <f t="shared" si="3"/>
        <v>117.16</v>
      </c>
      <c r="O37" s="245"/>
      <c r="P37" s="250">
        <f t="shared" si="4"/>
        <v>204.27999999999997</v>
      </c>
      <c r="Q37" s="268">
        <f t="shared" si="4"/>
        <v>23124.0988</v>
      </c>
      <c r="R37" s="234"/>
      <c r="Y37" s="235"/>
      <c r="Z37" s="236"/>
      <c r="AA37" s="235"/>
      <c r="AB37" s="236"/>
    </row>
    <row r="38" spans="1:28" customFormat="1" ht="15">
      <c r="A38" s="248">
        <f t="shared" si="5"/>
        <v>44830</v>
      </c>
      <c r="B38" s="267">
        <v>27.240000000000002</v>
      </c>
      <c r="C38" s="271">
        <v>3050.8799999999997</v>
      </c>
      <c r="D38" s="249">
        <f t="shared" si="0"/>
        <v>111.99999999999999</v>
      </c>
      <c r="E38" s="267">
        <v>104.49</v>
      </c>
      <c r="F38" s="271">
        <v>11702.880000000001</v>
      </c>
      <c r="G38" s="249">
        <f t="shared" si="1"/>
        <v>112.00000000000001</v>
      </c>
      <c r="H38" s="245"/>
      <c r="I38" s="267">
        <v>1.99</v>
      </c>
      <c r="J38" s="271">
        <v>233.14839999999998</v>
      </c>
      <c r="K38" s="249">
        <f t="shared" si="2"/>
        <v>117.16</v>
      </c>
      <c r="L38" s="267">
        <v>27.73</v>
      </c>
      <c r="M38" s="271">
        <v>3248.8468000000003</v>
      </c>
      <c r="N38" s="249">
        <f t="shared" si="3"/>
        <v>117.16000000000001</v>
      </c>
      <c r="O38" s="245"/>
      <c r="P38" s="250">
        <f t="shared" si="4"/>
        <v>161.44999999999999</v>
      </c>
      <c r="Q38" s="268">
        <f t="shared" si="4"/>
        <v>18235.7552</v>
      </c>
      <c r="R38" s="234"/>
      <c r="Y38" s="235"/>
      <c r="Z38" s="236"/>
      <c r="AA38" s="235"/>
      <c r="AB38" s="236"/>
    </row>
    <row r="39" spans="1:28" customFormat="1" ht="15">
      <c r="A39" s="248">
        <f t="shared" si="5"/>
        <v>44862</v>
      </c>
      <c r="B39" s="267">
        <v>21.52</v>
      </c>
      <c r="C39" s="271">
        <v>2410.2399999999998</v>
      </c>
      <c r="D39" s="249">
        <f t="shared" si="0"/>
        <v>111.99999999999999</v>
      </c>
      <c r="E39" s="267">
        <v>101.31</v>
      </c>
      <c r="F39" s="271">
        <v>11346.72</v>
      </c>
      <c r="G39" s="249">
        <f t="shared" si="1"/>
        <v>111.99999999999999</v>
      </c>
      <c r="H39" s="245"/>
      <c r="I39" s="267">
        <v>16.810000000000002</v>
      </c>
      <c r="J39" s="271">
        <v>1969.4595999999999</v>
      </c>
      <c r="K39" s="249">
        <f t="shared" si="2"/>
        <v>117.15999999999998</v>
      </c>
      <c r="L39" s="267">
        <v>33.300000000000004</v>
      </c>
      <c r="M39" s="271">
        <v>3901.4279999999999</v>
      </c>
      <c r="N39" s="249">
        <f t="shared" si="3"/>
        <v>117.15999999999998</v>
      </c>
      <c r="O39" s="245"/>
      <c r="P39" s="250">
        <f t="shared" si="4"/>
        <v>172.94</v>
      </c>
      <c r="Q39" s="268">
        <f t="shared" si="4"/>
        <v>19627.847600000001</v>
      </c>
      <c r="R39" s="234"/>
      <c r="Y39" s="235"/>
      <c r="Z39" s="236"/>
      <c r="AA39" s="235"/>
      <c r="AB39" s="236"/>
    </row>
    <row r="40" spans="1:28" customFormat="1" ht="15">
      <c r="A40" s="248">
        <f t="shared" si="5"/>
        <v>44894</v>
      </c>
      <c r="B40" s="267">
        <v>22.369999999999997</v>
      </c>
      <c r="C40" s="271">
        <v>2505.44</v>
      </c>
      <c r="D40" s="249">
        <f t="shared" si="0"/>
        <v>112.00000000000001</v>
      </c>
      <c r="E40" s="267">
        <v>87.909999999999982</v>
      </c>
      <c r="F40" s="271">
        <v>9845.92</v>
      </c>
      <c r="G40" s="249">
        <f t="shared" si="1"/>
        <v>112.00000000000003</v>
      </c>
      <c r="H40" s="245"/>
      <c r="I40" s="267">
        <v>0</v>
      </c>
      <c r="J40" s="271">
        <v>0</v>
      </c>
      <c r="K40" s="249">
        <f t="shared" si="2"/>
        <v>0</v>
      </c>
      <c r="L40" s="267">
        <v>9.49</v>
      </c>
      <c r="M40" s="271">
        <v>1111.8484000000001</v>
      </c>
      <c r="N40" s="249">
        <f t="shared" si="3"/>
        <v>117.16000000000001</v>
      </c>
      <c r="O40" s="245"/>
      <c r="P40" s="250">
        <f t="shared" si="4"/>
        <v>119.76999999999997</v>
      </c>
      <c r="Q40" s="268">
        <f t="shared" si="4"/>
        <v>13463.208400000001</v>
      </c>
      <c r="R40" s="234"/>
      <c r="Y40" s="235"/>
      <c r="Z40" s="236"/>
      <c r="AA40" s="235"/>
      <c r="AB40" s="236"/>
    </row>
    <row r="41" spans="1:28" customFormat="1" ht="15">
      <c r="A41" s="248">
        <f t="shared" si="5"/>
        <v>44926</v>
      </c>
      <c r="B41" s="267">
        <v>0</v>
      </c>
      <c r="C41" s="271">
        <v>0</v>
      </c>
      <c r="D41" s="249">
        <f t="shared" si="0"/>
        <v>0</v>
      </c>
      <c r="E41" s="267">
        <v>64.55</v>
      </c>
      <c r="F41" s="271">
        <v>7229.5999999999995</v>
      </c>
      <c r="G41" s="249">
        <f t="shared" si="1"/>
        <v>112</v>
      </c>
      <c r="H41" s="245"/>
      <c r="I41" s="267">
        <v>0</v>
      </c>
      <c r="J41" s="271">
        <v>0</v>
      </c>
      <c r="K41" s="249">
        <f t="shared" si="2"/>
        <v>0</v>
      </c>
      <c r="L41" s="267">
        <v>7.11</v>
      </c>
      <c r="M41" s="271">
        <v>833.00760000000002</v>
      </c>
      <c r="N41" s="249">
        <f t="shared" si="3"/>
        <v>117.16</v>
      </c>
      <c r="O41" s="245"/>
      <c r="P41" s="250">
        <f t="shared" si="4"/>
        <v>71.66</v>
      </c>
      <c r="Q41" s="268">
        <f t="shared" si="4"/>
        <v>8062.6075999999994</v>
      </c>
      <c r="R41" s="234"/>
      <c r="S41" s="235"/>
      <c r="T41" s="269"/>
      <c r="U41" s="235"/>
      <c r="V41" s="236"/>
      <c r="W41" s="235"/>
      <c r="X41" s="236"/>
      <c r="Y41" s="235"/>
      <c r="Z41" s="236"/>
      <c r="AA41" s="235"/>
      <c r="AB41" s="236"/>
    </row>
    <row r="42" spans="1:28" customFormat="1" ht="5.25" customHeight="1">
      <c r="A42" s="248"/>
      <c r="B42" s="272"/>
      <c r="C42" s="252"/>
      <c r="D42" s="252"/>
      <c r="E42" s="273"/>
      <c r="F42" s="252"/>
      <c r="G42" s="252"/>
      <c r="H42" s="251"/>
      <c r="I42" s="272"/>
      <c r="J42" s="252"/>
      <c r="K42" s="252"/>
      <c r="L42" s="273"/>
      <c r="M42" s="252"/>
      <c r="N42" s="252"/>
      <c r="O42" s="251"/>
      <c r="P42" s="250"/>
      <c r="Q42" s="268"/>
      <c r="R42" s="236"/>
      <c r="S42" s="235"/>
      <c r="T42" s="236"/>
      <c r="U42" s="235"/>
      <c r="V42" s="236"/>
      <c r="W42" s="235"/>
      <c r="X42" s="236"/>
      <c r="Y42" s="235"/>
      <c r="Z42" s="236"/>
      <c r="AA42" s="235"/>
      <c r="AB42" s="236"/>
    </row>
    <row r="43" spans="1:28" customFormat="1" ht="15.75" thickBot="1">
      <c r="A43" s="259"/>
      <c r="B43" s="274">
        <f>SUM(B30:B41)</f>
        <v>203.54</v>
      </c>
      <c r="C43" s="275">
        <f>SUM(C30:C41)</f>
        <v>22796.48</v>
      </c>
      <c r="D43" s="275">
        <f>C43/B43</f>
        <v>112</v>
      </c>
      <c r="E43" s="274">
        <f>SUM(E30:E41)</f>
        <v>1293.4999999999998</v>
      </c>
      <c r="F43" s="275">
        <f>SUM(F30:F41)</f>
        <v>144872</v>
      </c>
      <c r="G43" s="275">
        <f>F43/E43</f>
        <v>112.00000000000001</v>
      </c>
      <c r="H43" s="274"/>
      <c r="I43" s="274">
        <f>SUM(I30:I41)</f>
        <v>72.150000000000006</v>
      </c>
      <c r="J43" s="275">
        <f>SUM(J30:J41)</f>
        <v>8453.0939999999991</v>
      </c>
      <c r="K43" s="275">
        <f>J43/I43</f>
        <v>117.15999999999998</v>
      </c>
      <c r="L43" s="274">
        <f>SUM(L30:L41)</f>
        <v>314.5100000000001</v>
      </c>
      <c r="M43" s="275">
        <f>SUM(M30:M41)</f>
        <v>36847.991600000001</v>
      </c>
      <c r="N43" s="275">
        <f>M43/L43</f>
        <v>117.15999999999997</v>
      </c>
      <c r="O43" s="274"/>
      <c r="P43" s="274">
        <f>SUM(P30:P41)</f>
        <v>1883.7</v>
      </c>
      <c r="Q43" s="276">
        <f>SUM(Q30:Q41)</f>
        <v>212969.5656</v>
      </c>
      <c r="R43" s="236"/>
      <c r="S43" s="235"/>
      <c r="T43" s="236"/>
      <c r="U43" s="235"/>
      <c r="V43" s="236"/>
      <c r="W43" s="235"/>
      <c r="X43" s="236"/>
      <c r="Y43" s="235"/>
      <c r="Z43" s="236"/>
      <c r="AA43" s="235"/>
      <c r="AB43" s="236"/>
    </row>
    <row r="44" spans="1:28" customFormat="1" ht="10.5" customHeight="1" thickTop="1">
      <c r="A44" s="259"/>
      <c r="B44" s="254">
        <v>0</v>
      </c>
      <c r="C44" s="254">
        <v>0</v>
      </c>
      <c r="D44" s="253"/>
      <c r="E44" s="254">
        <v>0</v>
      </c>
      <c r="F44" s="254">
        <v>0</v>
      </c>
      <c r="G44" s="253"/>
      <c r="H44" s="254"/>
      <c r="I44" s="254">
        <v>0</v>
      </c>
      <c r="J44" s="254">
        <v>0</v>
      </c>
      <c r="K44" s="253"/>
      <c r="L44" s="254">
        <v>0</v>
      </c>
      <c r="M44" s="254">
        <v>0</v>
      </c>
      <c r="N44" s="253"/>
      <c r="O44" s="254"/>
      <c r="P44" s="289"/>
      <c r="Q44" s="258">
        <v>0</v>
      </c>
      <c r="R44" s="236"/>
      <c r="S44" s="235"/>
      <c r="T44" s="236"/>
      <c r="U44" s="235"/>
      <c r="V44" s="236"/>
      <c r="W44" s="235"/>
      <c r="X44" s="236"/>
      <c r="Y44" s="235"/>
      <c r="Z44" s="236"/>
      <c r="AA44" s="235"/>
      <c r="AB44" s="236"/>
    </row>
    <row r="45" spans="1:28" customFormat="1" ht="10.5" customHeight="1">
      <c r="A45" s="259"/>
      <c r="B45" s="254"/>
      <c r="C45" s="253"/>
      <c r="D45" s="253"/>
      <c r="E45" s="254"/>
      <c r="F45" s="253"/>
      <c r="G45" s="253"/>
      <c r="H45" s="254"/>
      <c r="I45" s="254"/>
      <c r="J45" s="253"/>
      <c r="K45" s="253"/>
      <c r="L45" s="254"/>
      <c r="M45" s="253"/>
      <c r="N45" s="253"/>
      <c r="O45" s="254"/>
      <c r="P45" s="289"/>
      <c r="Q45" s="258"/>
      <c r="R45" s="236"/>
      <c r="S45" s="235"/>
      <c r="T45" s="236"/>
      <c r="U45" s="235"/>
      <c r="V45" s="236"/>
      <c r="W45" s="235"/>
      <c r="X45" s="236"/>
      <c r="Y45" s="235"/>
      <c r="Z45" s="236"/>
      <c r="AA45" s="235"/>
      <c r="AB45" s="236"/>
    </row>
    <row r="46" spans="1:28" customFormat="1" ht="15">
      <c r="A46" s="259"/>
      <c r="B46" s="254"/>
      <c r="C46" s="253"/>
      <c r="D46" s="253"/>
      <c r="E46" s="254"/>
      <c r="F46" s="254"/>
      <c r="G46" s="253"/>
      <c r="H46" s="254"/>
      <c r="I46" s="254"/>
      <c r="J46" s="253"/>
      <c r="K46" s="253"/>
      <c r="L46" s="254"/>
      <c r="M46" s="253"/>
      <c r="N46" s="253"/>
      <c r="O46" s="254"/>
      <c r="P46" s="289"/>
      <c r="Q46" s="258"/>
      <c r="R46" s="236"/>
      <c r="S46" s="235"/>
      <c r="T46" s="236"/>
      <c r="U46" s="235"/>
      <c r="V46" s="236"/>
      <c r="W46" s="235"/>
      <c r="X46" s="236"/>
      <c r="Y46" s="235"/>
      <c r="Z46" s="236"/>
      <c r="AA46" s="235"/>
      <c r="AB46" s="236"/>
    </row>
    <row r="47" spans="1:28" customFormat="1" ht="15.75" thickBot="1">
      <c r="A47" s="259"/>
      <c r="B47" s="254"/>
      <c r="C47" s="253"/>
      <c r="D47" s="253"/>
      <c r="E47" s="254"/>
      <c r="F47" s="254"/>
      <c r="G47" s="253"/>
      <c r="H47" s="254"/>
      <c r="I47" s="254"/>
      <c r="J47" s="253"/>
      <c r="K47" s="253"/>
      <c r="L47" s="254"/>
      <c r="M47" s="253"/>
      <c r="N47" s="253"/>
      <c r="O47" s="254"/>
      <c r="P47" s="289"/>
      <c r="Q47" s="258"/>
      <c r="R47" s="236"/>
      <c r="S47" s="235"/>
      <c r="T47" s="236"/>
      <c r="U47" s="235"/>
      <c r="V47" s="236"/>
      <c r="W47" s="235"/>
      <c r="X47" s="236"/>
      <c r="Y47" s="235"/>
      <c r="Z47" s="236"/>
      <c r="AA47" s="235"/>
      <c r="AB47" s="236"/>
    </row>
    <row r="48" spans="1:28" customFormat="1" ht="15">
      <c r="A48" s="259"/>
      <c r="B48" s="254"/>
      <c r="C48" s="253"/>
      <c r="D48" s="253"/>
      <c r="E48" s="254"/>
      <c r="F48" s="254"/>
      <c r="G48" s="292"/>
      <c r="H48" s="293"/>
      <c r="I48" s="293"/>
      <c r="J48" s="293"/>
      <c r="K48" s="294"/>
      <c r="L48" s="254"/>
      <c r="M48" s="253"/>
      <c r="N48" s="253"/>
      <c r="O48" s="254"/>
      <c r="P48" s="289"/>
      <c r="Q48" s="258"/>
      <c r="R48" s="236"/>
      <c r="S48" s="235"/>
      <c r="T48" s="236"/>
      <c r="U48" s="235"/>
      <c r="V48" s="236"/>
      <c r="W48" s="235"/>
      <c r="X48" s="236"/>
      <c r="Y48" s="235"/>
      <c r="Z48" s="236"/>
      <c r="AA48" s="235"/>
      <c r="AB48" s="236"/>
    </row>
    <row r="49" spans="1:28" customFormat="1" ht="15">
      <c r="A49" s="259"/>
      <c r="B49" s="254"/>
      <c r="C49" s="253"/>
      <c r="D49" s="253"/>
      <c r="E49" s="254"/>
      <c r="F49" s="254"/>
      <c r="G49" s="295" t="s">
        <v>298</v>
      </c>
      <c r="H49" s="289"/>
      <c r="I49" s="289"/>
      <c r="J49" s="289"/>
      <c r="K49" s="296"/>
      <c r="L49" s="254"/>
      <c r="M49" s="253"/>
      <c r="N49" s="253"/>
      <c r="O49" s="254"/>
      <c r="P49" s="289"/>
      <c r="Q49" s="258"/>
      <c r="R49" s="236"/>
      <c r="S49" s="235"/>
      <c r="T49" s="236"/>
      <c r="U49" s="235"/>
      <c r="V49" s="236"/>
      <c r="W49" s="235"/>
      <c r="X49" s="236"/>
      <c r="Y49" s="235"/>
      <c r="Z49" s="236"/>
      <c r="AA49" s="235"/>
      <c r="AB49" s="236"/>
    </row>
    <row r="50" spans="1:28" ht="15">
      <c r="A50" s="259"/>
      <c r="B50" s="254"/>
      <c r="C50" s="253"/>
      <c r="D50" s="253"/>
      <c r="E50" s="254"/>
      <c r="F50" s="254"/>
      <c r="G50" s="295" t="s">
        <v>300</v>
      </c>
      <c r="H50" s="289"/>
      <c r="I50" s="289"/>
      <c r="J50" s="289"/>
      <c r="K50" s="296"/>
      <c r="L50" s="254"/>
      <c r="M50" s="253"/>
      <c r="N50" s="253"/>
      <c r="O50" s="253"/>
      <c r="P50" s="245"/>
      <c r="Q50" s="255"/>
    </row>
    <row r="51" spans="1:28" ht="15">
      <c r="A51" s="259"/>
      <c r="B51" s="254"/>
      <c r="C51" s="253"/>
      <c r="D51" s="253"/>
      <c r="E51" s="254"/>
      <c r="F51" s="254"/>
      <c r="G51" s="297"/>
      <c r="H51" s="289"/>
      <c r="I51" s="289"/>
      <c r="J51" s="289"/>
      <c r="K51" s="296"/>
      <c r="L51" s="254"/>
      <c r="M51" s="253"/>
      <c r="N51" s="253"/>
      <c r="O51" s="253"/>
      <c r="P51" s="245"/>
      <c r="Q51" s="255"/>
    </row>
    <row r="52" spans="1:28" ht="15">
      <c r="A52" s="259"/>
      <c r="B52" s="254"/>
      <c r="C52" s="253"/>
      <c r="D52" s="253"/>
      <c r="E52" s="254"/>
      <c r="F52" s="254"/>
      <c r="G52" s="298" t="s">
        <v>292</v>
      </c>
      <c r="H52" s="289"/>
      <c r="I52" s="289"/>
      <c r="J52" s="289"/>
      <c r="K52" s="296"/>
      <c r="L52" s="254"/>
      <c r="M52" s="253"/>
      <c r="N52" s="253"/>
      <c r="O52" s="253"/>
      <c r="P52" s="245"/>
      <c r="Q52" s="255"/>
    </row>
    <row r="53" spans="1:28" ht="15">
      <c r="A53" s="259"/>
      <c r="B53" s="254"/>
      <c r="C53" s="253"/>
      <c r="D53" s="253"/>
      <c r="E53" s="254"/>
      <c r="F53" s="254"/>
      <c r="G53" s="297"/>
      <c r="H53" s="116" t="s">
        <v>259</v>
      </c>
      <c r="I53" s="116" t="s">
        <v>260</v>
      </c>
      <c r="J53" s="289"/>
      <c r="K53" s="296"/>
      <c r="L53" s="254"/>
      <c r="M53" s="253"/>
      <c r="N53" s="253"/>
      <c r="O53" s="253"/>
      <c r="P53" s="245"/>
      <c r="Q53" s="255"/>
    </row>
    <row r="54" spans="1:28" ht="15">
      <c r="A54" s="259"/>
      <c r="B54" s="254"/>
      <c r="C54" s="253"/>
      <c r="D54" s="253"/>
      <c r="E54" s="254"/>
      <c r="F54" s="254"/>
      <c r="G54" s="297" t="s">
        <v>261</v>
      </c>
      <c r="H54" s="299">
        <f>+'[70]Spokane Reg - Price out'!$I$54</f>
        <v>5555383.1164862961</v>
      </c>
      <c r="I54" s="300">
        <f>H54/H56</f>
        <v>0.78857948719119009</v>
      </c>
      <c r="J54" s="289"/>
      <c r="K54" s="296"/>
      <c r="L54" s="254"/>
      <c r="M54" s="253"/>
      <c r="N54" s="253"/>
      <c r="O54" s="253"/>
      <c r="P54" s="245"/>
      <c r="Q54" s="255"/>
    </row>
    <row r="55" spans="1:28" ht="15">
      <c r="A55" s="259"/>
      <c r="B55" s="254"/>
      <c r="C55" s="253"/>
      <c r="D55" s="253"/>
      <c r="E55" s="254"/>
      <c r="F55" s="254"/>
      <c r="G55" s="297" t="s">
        <v>262</v>
      </c>
      <c r="H55" s="301">
        <f>+'[70]Spokane Non-Reg'!$L$36</f>
        <v>1489414.7849577228</v>
      </c>
      <c r="I55" s="300">
        <f>H55/H56</f>
        <v>0.21142051280880997</v>
      </c>
      <c r="J55" s="289"/>
      <c r="K55" s="296"/>
      <c r="L55" s="254"/>
      <c r="M55" s="253"/>
      <c r="N55" s="253"/>
      <c r="O55" s="253"/>
      <c r="P55" s="245"/>
      <c r="Q55" s="255"/>
    </row>
    <row r="56" spans="1:28" ht="15">
      <c r="A56" s="259"/>
      <c r="B56" s="254"/>
      <c r="C56" s="253"/>
      <c r="D56" s="253"/>
      <c r="E56" s="254"/>
      <c r="F56" s="254"/>
      <c r="G56" s="297"/>
      <c r="H56" s="299">
        <f>SUM(H54:H55)</f>
        <v>7044797.9014440188</v>
      </c>
      <c r="I56" s="289"/>
      <c r="J56" s="289"/>
      <c r="K56" s="296"/>
      <c r="L56" s="254"/>
      <c r="M56" s="253"/>
      <c r="N56" s="254"/>
      <c r="O56" s="253"/>
      <c r="P56" s="245"/>
      <c r="Q56" s="255"/>
    </row>
    <row r="57" spans="1:28" ht="15">
      <c r="A57" s="259"/>
      <c r="B57" s="254"/>
      <c r="C57" s="253"/>
      <c r="D57" s="253"/>
      <c r="E57" s="254"/>
      <c r="F57" s="254"/>
      <c r="G57" s="297"/>
      <c r="H57" s="289"/>
      <c r="I57" s="289"/>
      <c r="J57" s="289"/>
      <c r="K57" s="296"/>
      <c r="L57" s="254"/>
      <c r="M57" s="253"/>
      <c r="N57" s="254"/>
      <c r="O57" s="253"/>
      <c r="P57" s="245"/>
      <c r="Q57" s="255"/>
    </row>
    <row r="58" spans="1:28" ht="15">
      <c r="A58" s="259"/>
      <c r="B58" s="254"/>
      <c r="C58" s="253"/>
      <c r="D58" s="253"/>
      <c r="E58" s="254"/>
      <c r="F58" s="254"/>
      <c r="G58" s="302"/>
      <c r="H58" s="289"/>
      <c r="I58" s="289"/>
      <c r="J58" s="289"/>
      <c r="K58" s="296"/>
      <c r="L58" s="254"/>
      <c r="M58" s="253"/>
      <c r="N58" s="254"/>
      <c r="O58" s="253"/>
      <c r="P58" s="245"/>
      <c r="Q58" s="255"/>
    </row>
    <row r="59" spans="1:28" ht="15">
      <c r="A59" s="259"/>
      <c r="B59" s="254"/>
      <c r="C59" s="253"/>
      <c r="D59" s="253"/>
      <c r="E59" s="254"/>
      <c r="F59" s="254"/>
      <c r="G59" s="297"/>
      <c r="H59" s="289"/>
      <c r="I59" s="289"/>
      <c r="J59" s="289"/>
      <c r="K59" s="296"/>
      <c r="L59" s="254"/>
      <c r="M59" s="253"/>
      <c r="N59" s="254"/>
      <c r="O59" s="253"/>
      <c r="P59" s="245"/>
      <c r="Q59" s="255"/>
    </row>
    <row r="60" spans="1:28" ht="15.75" thickBot="1">
      <c r="A60" s="259"/>
      <c r="B60" s="254"/>
      <c r="C60" s="253"/>
      <c r="D60" s="253"/>
      <c r="E60" s="254"/>
      <c r="F60" s="254"/>
      <c r="G60" s="303"/>
      <c r="H60" s="304"/>
      <c r="I60" s="304"/>
      <c r="J60" s="304"/>
      <c r="K60" s="305"/>
      <c r="L60" s="254"/>
      <c r="M60" s="253"/>
      <c r="N60" s="254"/>
      <c r="O60" s="253"/>
      <c r="P60" s="245"/>
      <c r="Q60" s="255"/>
    </row>
    <row r="61" spans="1:28" ht="15">
      <c r="A61" s="259"/>
      <c r="B61" s="254"/>
      <c r="C61" s="253"/>
      <c r="D61" s="253"/>
      <c r="E61" s="254"/>
      <c r="F61" s="254"/>
      <c r="G61" s="253"/>
      <c r="H61" s="253"/>
      <c r="I61" s="254"/>
      <c r="J61" s="253"/>
      <c r="K61" s="245"/>
      <c r="L61" s="254"/>
      <c r="M61" s="253"/>
      <c r="N61" s="254"/>
      <c r="O61" s="253"/>
      <c r="P61" s="245"/>
      <c r="Q61" s="255"/>
    </row>
    <row r="62" spans="1:28" s="236" customFormat="1" ht="15">
      <c r="A62" s="259"/>
      <c r="B62" s="254"/>
      <c r="C62" s="253"/>
      <c r="D62" s="253"/>
      <c r="E62" s="254"/>
      <c r="F62" s="254"/>
      <c r="G62" s="253"/>
      <c r="H62" s="253"/>
      <c r="I62" s="254"/>
      <c r="J62" s="253"/>
      <c r="K62" s="245"/>
      <c r="L62" s="254"/>
      <c r="M62" s="253"/>
      <c r="N62" s="254"/>
      <c r="O62" s="253"/>
      <c r="P62" s="245"/>
      <c r="Q62" s="255"/>
      <c r="S62" s="233"/>
      <c r="T62" s="237"/>
      <c r="U62" s="234"/>
      <c r="V62" s="234"/>
      <c r="W62" s="233"/>
      <c r="X62" s="234"/>
      <c r="Y62" s="233"/>
      <c r="Z62" s="234"/>
      <c r="AA62" s="233"/>
      <c r="AB62" s="234"/>
    </row>
    <row r="63" spans="1:28" s="236" customFormat="1" ht="15.75" thickBot="1">
      <c r="A63" s="290"/>
      <c r="B63" s="277"/>
      <c r="C63" s="277"/>
      <c r="D63" s="277"/>
      <c r="E63" s="277"/>
      <c r="F63" s="277"/>
      <c r="G63" s="278"/>
      <c r="H63" s="278"/>
      <c r="I63" s="277"/>
      <c r="J63" s="278"/>
      <c r="K63" s="279"/>
      <c r="L63" s="277"/>
      <c r="M63" s="278"/>
      <c r="N63" s="277"/>
      <c r="O63" s="278"/>
      <c r="P63" s="279"/>
      <c r="Q63" s="280"/>
      <c r="S63" s="233"/>
      <c r="T63" s="237"/>
      <c r="U63" s="234"/>
      <c r="V63" s="234"/>
      <c r="W63" s="233"/>
      <c r="X63" s="234"/>
      <c r="Y63" s="233"/>
      <c r="Z63" s="234"/>
      <c r="AA63" s="233"/>
      <c r="AB63" s="234"/>
    </row>
  </sheetData>
  <mergeCells count="6">
    <mergeCell ref="B12:F12"/>
    <mergeCell ref="I12:M12"/>
    <mergeCell ref="B13:C13"/>
    <mergeCell ref="E13:F13"/>
    <mergeCell ref="I13:J13"/>
    <mergeCell ref="L13:M13"/>
  </mergeCells>
  <pageMargins left="0.25" right="0.25" top="0.75" bottom="0.75" header="0.3" footer="0.3"/>
  <pageSetup scale="54" fitToHeight="2" orientation="portrait" r:id="rId1"/>
  <headerFooter alignWithMargins="0">
    <oddHeader>&amp;C&amp;KFF0000TEXT IN RED BOX CONFIDENTIAL PER WAC 480-07-160</oddHeader>
    <oddFooter>&amp;C&amp;KFF0000TEXT IN RED BOX CONFIDENTIAL PER WAC 480-07-160</oddFooter>
  </headerFooter>
  <rowBreaks count="1" manualBreakCount="1">
    <brk id="44" max="16" man="1"/>
  </rowBreaks>
  <colBreaks count="1" manualBreakCount="1">
    <brk id="23" max="96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E6B4ED2F659942AFCB457E41737A45" ma:contentTypeVersion="24" ma:contentTypeDescription="" ma:contentTypeScope="" ma:versionID="9cedc4103ea34ed767aa7d60d735414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2023-11-15T08:00:00+00:00</OpenedDate>
    <SignificantOrder xmlns="dc463f71-b30c-4ab2-9473-d307f9d35888">false</SignificantOrder>
    <Date1 xmlns="dc463f71-b30c-4ab2-9473-d307f9d35888">2023-11-15T08:00:00+00:00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EMPIRE DISPOSAL INC.   </CaseCompanyNames>
    <Nickname xmlns="http://schemas.microsoft.com/sharepoint/v3" xsi:nil="true"/>
    <DocketNumber xmlns="dc463f71-b30c-4ab2-9473-d307f9d35888">230965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06E397-2363-4C1A-8ABF-A0F7FE2EA445}"/>
</file>

<file path=customXml/itemProps2.xml><?xml version="1.0" encoding="utf-8"?>
<ds:datastoreItem xmlns:ds="http://schemas.openxmlformats.org/officeDocument/2006/customXml" ds:itemID="{B4E34833-637B-4532-909B-0CC37A29E38F}"/>
</file>

<file path=customXml/itemProps3.xml><?xml version="1.0" encoding="utf-8"?>
<ds:datastoreItem xmlns:ds="http://schemas.openxmlformats.org/officeDocument/2006/customXml" ds:itemID="{7871ADA7-788E-4723-89FE-11F41C757594}"/>
</file>

<file path=customXml/itemProps4.xml><?xml version="1.0" encoding="utf-8"?>
<ds:datastoreItem xmlns:ds="http://schemas.openxmlformats.org/officeDocument/2006/customXml" ds:itemID="{E001A5BF-5B5D-41E4-BDAD-4194B088D2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References</vt:lpstr>
      <vt:lpstr>Spokane DF Calc</vt:lpstr>
      <vt:lpstr>Proposed Rates</vt:lpstr>
      <vt:lpstr>Spokane Reg - Price out 2023</vt:lpstr>
      <vt:lpstr>Disposal 2023</vt:lpstr>
      <vt:lpstr>'Disposal 2023'!Print_Area</vt:lpstr>
      <vt:lpstr>'Proposed Rates'!Print_Area</vt:lpstr>
      <vt:lpstr>'Spokane DF Calc'!Print_Area</vt:lpstr>
      <vt:lpstr>'Spokane Reg - Price out 2023'!Print_Area</vt:lpstr>
      <vt:lpstr>'Disposal 2023'!Print_Titles</vt:lpstr>
      <vt:lpstr>'Proposed Rates'!Print_Titles</vt:lpstr>
      <vt:lpstr>'Spokane DF Calc'!Print_Titles</vt:lpstr>
      <vt:lpstr>'Spokane Reg - Price out 2023'!Print_Titles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Brian Vandenburg</cp:lastModifiedBy>
  <cp:lastPrinted>2023-11-14T01:25:22Z</cp:lastPrinted>
  <dcterms:created xsi:type="dcterms:W3CDTF">2014-11-03T21:22:13Z</dcterms:created>
  <dcterms:modified xsi:type="dcterms:W3CDTF">2023-11-14T01:39:14Z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0x0101006E56B4D1795A2E4DB2F0B01679ED314A005BE6B4ED2F659942AFCB457E41737A45</vt:lpwstr>
  </property>
  <property fmtid="{D5CDD505-2E9C-101B-9397-08002B2CF9AE}" pid="3" name="_docset_NoMedatataSyncRequired">
    <vt:lpwstr>False</vt:lpwstr>
  </property>
</Properties>
</file>