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xhous10fps03rf\orport01fps01\PUBLIC\Evan Burmester\WUTC\Seattle South Sound\"/>
    </mc:Choice>
  </mc:AlternateContent>
  <xr:revisionPtr revIDLastSave="0" documentId="8_{34D55DD9-0C11-46D2-AC73-4475586A8714}" xr6:coauthVersionLast="47" xr6:coauthVersionMax="47" xr10:uidLastSave="{00000000-0000-0000-0000-000000000000}"/>
  <bookViews>
    <workbookView xWindow="25080" yWindow="180" windowWidth="25440" windowHeight="15390" xr2:uid="{ACD8C153-D694-495C-A7D6-BDEF993CC94C}"/>
  </bookViews>
  <sheets>
    <sheet name="FAC by Jurisdiction" sheetId="17" r:id="rId1"/>
    <sheet name="FAC Allocation" sheetId="9" r:id="rId2"/>
    <sheet name="Version Notes" sheetId="1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7" l="1"/>
  <c r="E7" i="17"/>
  <c r="F7" i="17"/>
  <c r="H7" i="17"/>
  <c r="K7" i="17" s="1"/>
  <c r="J7" i="17"/>
  <c r="D8" i="17"/>
  <c r="E8" i="17"/>
  <c r="F8" i="17"/>
  <c r="J8" i="17"/>
  <c r="D9" i="17"/>
  <c r="H9" i="17" s="1"/>
  <c r="K9" i="17" s="1"/>
  <c r="E9" i="17"/>
  <c r="F9" i="17"/>
  <c r="J9" i="17"/>
  <c r="D10" i="17"/>
  <c r="E10" i="17"/>
  <c r="H10" i="17" s="1"/>
  <c r="K10" i="17" s="1"/>
  <c r="F10" i="17"/>
  <c r="J10" i="17"/>
  <c r="D11" i="17"/>
  <c r="E11" i="17"/>
  <c r="F11" i="17"/>
  <c r="H11" i="17"/>
  <c r="J11" i="17"/>
  <c r="K11" i="17" s="1"/>
  <c r="D12" i="17"/>
  <c r="E12" i="17"/>
  <c r="F12" i="17"/>
  <c r="J12" i="17"/>
  <c r="D13" i="17"/>
  <c r="E13" i="17"/>
  <c r="F13" i="17"/>
  <c r="H13" i="17"/>
  <c r="J13" i="17"/>
  <c r="K13" i="17"/>
  <c r="D14" i="17"/>
  <c r="H14" i="17" s="1"/>
  <c r="E14" i="17"/>
  <c r="F14" i="17"/>
  <c r="J14" i="17"/>
  <c r="K14" i="17" s="1"/>
  <c r="D15" i="17"/>
  <c r="E15" i="17"/>
  <c r="F15" i="17"/>
  <c r="J15" i="17"/>
  <c r="D16" i="17"/>
  <c r="E16" i="17"/>
  <c r="F16" i="17"/>
  <c r="J16" i="17"/>
  <c r="D17" i="17"/>
  <c r="H17" i="17" s="1"/>
  <c r="K17" i="17" s="1"/>
  <c r="E17" i="17"/>
  <c r="F17" i="17"/>
  <c r="J17" i="17"/>
  <c r="D18" i="17"/>
  <c r="E18" i="17"/>
  <c r="H18" i="17" s="1"/>
  <c r="F18" i="17"/>
  <c r="J18" i="17"/>
  <c r="K18" i="17" s="1"/>
  <c r="D19" i="17"/>
  <c r="E19" i="17"/>
  <c r="F19" i="17"/>
  <c r="H19" i="17"/>
  <c r="J19" i="17"/>
  <c r="K19" i="17" s="1"/>
  <c r="D20" i="17"/>
  <c r="E20" i="17"/>
  <c r="H20" i="17" s="1"/>
  <c r="F20" i="17"/>
  <c r="J20" i="17"/>
  <c r="D21" i="17"/>
  <c r="E21" i="17"/>
  <c r="F21" i="17"/>
  <c r="H21" i="17"/>
  <c r="J21" i="17"/>
  <c r="K21" i="17"/>
  <c r="D22" i="17"/>
  <c r="E22" i="17"/>
  <c r="H22" i="17" s="1"/>
  <c r="F22" i="17"/>
  <c r="J22" i="17"/>
  <c r="K22" i="17" s="1"/>
  <c r="D23" i="17"/>
  <c r="E23" i="17"/>
  <c r="F23" i="17"/>
  <c r="J23" i="17"/>
  <c r="D24" i="17"/>
  <c r="E24" i="17"/>
  <c r="F24" i="17"/>
  <c r="J24" i="17"/>
  <c r="D25" i="17"/>
  <c r="E25" i="17"/>
  <c r="H25" i="17" s="1"/>
  <c r="K25" i="17" s="1"/>
  <c r="F25" i="17"/>
  <c r="J25" i="17"/>
  <c r="D26" i="17"/>
  <c r="E26" i="17"/>
  <c r="H26" i="17" s="1"/>
  <c r="K26" i="17" s="1"/>
  <c r="F26" i="17"/>
  <c r="J26" i="17"/>
  <c r="D27" i="17"/>
  <c r="E27" i="17"/>
  <c r="F27" i="17"/>
  <c r="H27" i="17"/>
  <c r="J27" i="17"/>
  <c r="K27" i="17" s="1"/>
  <c r="D28" i="17"/>
  <c r="E28" i="17"/>
  <c r="H28" i="17" s="1"/>
  <c r="F28" i="17"/>
  <c r="J28" i="17"/>
  <c r="D29" i="17"/>
  <c r="E29" i="17"/>
  <c r="F29" i="17"/>
  <c r="H29" i="17"/>
  <c r="J29" i="17"/>
  <c r="K29" i="17"/>
  <c r="D30" i="17"/>
  <c r="E30" i="17"/>
  <c r="H30" i="17" s="1"/>
  <c r="F30" i="17"/>
  <c r="J30" i="17"/>
  <c r="K30" i="17" s="1"/>
  <c r="D31" i="17"/>
  <c r="E31" i="17"/>
  <c r="F31" i="17"/>
  <c r="J31" i="17"/>
  <c r="D32" i="17"/>
  <c r="E32" i="17"/>
  <c r="F32" i="17"/>
  <c r="J32" i="17"/>
  <c r="D33" i="17"/>
  <c r="E33" i="17"/>
  <c r="H33" i="17" s="1"/>
  <c r="K33" i="17" s="1"/>
  <c r="F33" i="17"/>
  <c r="J33" i="17"/>
  <c r="D34" i="17"/>
  <c r="E34" i="17"/>
  <c r="F34" i="17"/>
  <c r="H34" i="17"/>
  <c r="J34" i="17"/>
  <c r="K34" i="17" s="1"/>
  <c r="D35" i="17"/>
  <c r="E35" i="17"/>
  <c r="F35" i="17"/>
  <c r="H35" i="17"/>
  <c r="J35" i="17"/>
  <c r="K35" i="17" s="1"/>
  <c r="D36" i="17"/>
  <c r="E36" i="17"/>
  <c r="H36" i="17" s="1"/>
  <c r="K36" i="17" s="1"/>
  <c r="F36" i="17"/>
  <c r="J36" i="17"/>
  <c r="D37" i="17"/>
  <c r="E37" i="17"/>
  <c r="F37" i="17"/>
  <c r="H37" i="17"/>
  <c r="J37" i="17"/>
  <c r="K37" i="17"/>
  <c r="D38" i="17"/>
  <c r="E38" i="17"/>
  <c r="H38" i="17" s="1"/>
  <c r="F38" i="17"/>
  <c r="J38" i="17"/>
  <c r="D39" i="17"/>
  <c r="E39" i="17"/>
  <c r="F39" i="17"/>
  <c r="J39" i="17"/>
  <c r="D40" i="17"/>
  <c r="E40" i="17"/>
  <c r="F40" i="17"/>
  <c r="J40" i="17"/>
  <c r="K16" i="17" l="1"/>
  <c r="K12" i="17"/>
  <c r="K28" i="17"/>
  <c r="K24" i="17"/>
  <c r="K40" i="17"/>
  <c r="K38" i="17"/>
  <c r="K20" i="17"/>
  <c r="H12" i="17"/>
  <c r="H31" i="17"/>
  <c r="K31" i="17" s="1"/>
  <c r="H39" i="17"/>
  <c r="K39" i="17" s="1"/>
  <c r="H23" i="17"/>
  <c r="K23" i="17" s="1"/>
  <c r="H15" i="17"/>
  <c r="K15" i="17" s="1"/>
  <c r="H40" i="17"/>
  <c r="H32" i="17"/>
  <c r="K32" i="17" s="1"/>
  <c r="H24" i="17"/>
  <c r="H16" i="17"/>
  <c r="H8" i="17"/>
  <c r="K8" i="17" s="1"/>
  <c r="J41" i="17"/>
  <c r="J42" i="17"/>
  <c r="J43" i="17"/>
  <c r="J44" i="17"/>
  <c r="J45" i="17"/>
  <c r="J46" i="17"/>
  <c r="J47" i="17"/>
  <c r="J48" i="17"/>
  <c r="J49" i="17"/>
  <c r="J50" i="17"/>
  <c r="J51" i="17"/>
  <c r="J52" i="17"/>
  <c r="J53" i="17"/>
  <c r="J54" i="17"/>
  <c r="J55" i="17"/>
  <c r="J6" i="9"/>
  <c r="D41" i="17"/>
  <c r="D42" i="17"/>
  <c r="D43" i="17"/>
  <c r="D44" i="17"/>
  <c r="D45" i="17"/>
  <c r="D46" i="17"/>
  <c r="D47" i="17"/>
  <c r="D48" i="17"/>
  <c r="D49" i="17"/>
  <c r="D50" i="17"/>
  <c r="D51" i="17"/>
  <c r="D52" i="17"/>
  <c r="D53" i="17"/>
  <c r="D54" i="17"/>
  <c r="D55" i="17"/>
  <c r="C67" i="9" l="1"/>
  <c r="D59" i="9" s="1"/>
  <c r="D48" i="9"/>
  <c r="C81" i="9" l="1"/>
  <c r="D80" i="9" s="1"/>
  <c r="D55" i="9"/>
  <c r="D63" i="9"/>
  <c r="D51" i="9"/>
  <c r="F51" i="9" s="1"/>
  <c r="D56" i="9"/>
  <c r="F56" i="9" s="1"/>
  <c r="D65" i="9"/>
  <c r="D57" i="9"/>
  <c r="D52" i="9"/>
  <c r="D53" i="9"/>
  <c r="F53" i="9" s="1"/>
  <c r="D60" i="9"/>
  <c r="D54" i="9"/>
  <c r="D62" i="9"/>
  <c r="D58" i="9"/>
  <c r="F58" i="9" s="1"/>
  <c r="D66" i="9"/>
  <c r="D61" i="9"/>
  <c r="D64" i="9"/>
  <c r="F64" i="9" s="1"/>
  <c r="C46" i="9"/>
  <c r="D75" i="9" l="1"/>
  <c r="D31" i="9"/>
  <c r="F31" i="9" s="1"/>
  <c r="D26" i="9"/>
  <c r="F26" i="9" s="1"/>
  <c r="F61" i="9"/>
  <c r="F66" i="9"/>
  <c r="F54" i="9"/>
  <c r="F63" i="9"/>
  <c r="F55" i="9"/>
  <c r="F52" i="9"/>
  <c r="F57" i="9"/>
  <c r="F62" i="9"/>
  <c r="F60" i="9"/>
  <c r="F65" i="9"/>
  <c r="F59" i="9"/>
  <c r="C17" i="9"/>
  <c r="D13" i="9" s="1"/>
  <c r="F13" i="9" s="1"/>
  <c r="J13" i="9" s="1"/>
  <c r="D73" i="9"/>
  <c r="F73" i="9" s="1"/>
  <c r="D78" i="9"/>
  <c r="D72" i="9"/>
  <c r="D76" i="9"/>
  <c r="D79" i="9"/>
  <c r="F79" i="9" s="1"/>
  <c r="D74" i="9"/>
  <c r="F74" i="9" s="1"/>
  <c r="D77" i="9"/>
  <c r="D67" i="9"/>
  <c r="D29" i="9"/>
  <c r="F29" i="9" s="1"/>
  <c r="D41" i="9"/>
  <c r="F41" i="9" s="1"/>
  <c r="D32" i="9"/>
  <c r="F32" i="9" s="1"/>
  <c r="D44" i="9"/>
  <c r="D36" i="9"/>
  <c r="F36" i="9" s="1"/>
  <c r="D34" i="9"/>
  <c r="F34" i="9" s="1"/>
  <c r="D28" i="9"/>
  <c r="F28" i="9" s="1"/>
  <c r="D27" i="9"/>
  <c r="F27" i="9" s="1"/>
  <c r="D38" i="9"/>
  <c r="F38" i="9" s="1"/>
  <c r="D39" i="9"/>
  <c r="F39" i="9" s="1"/>
  <c r="D43" i="9"/>
  <c r="D42" i="9"/>
  <c r="D30" i="9"/>
  <c r="F30" i="9" s="1"/>
  <c r="D40" i="9"/>
  <c r="F40" i="9" s="1"/>
  <c r="D45" i="9"/>
  <c r="D35" i="9"/>
  <c r="F35" i="9" s="1"/>
  <c r="D37" i="9"/>
  <c r="F37" i="9" s="1"/>
  <c r="D33" i="9"/>
  <c r="F33" i="9" s="1"/>
  <c r="F44" i="9" l="1"/>
  <c r="F80" i="9"/>
  <c r="F77" i="9"/>
  <c r="F42" i="9"/>
  <c r="F76" i="9"/>
  <c r="F72" i="9"/>
  <c r="F67" i="9"/>
  <c r="F43" i="9"/>
  <c r="F78" i="9"/>
  <c r="F45" i="9"/>
  <c r="F75" i="9"/>
  <c r="D12" i="9"/>
  <c r="G12" i="9" s="1"/>
  <c r="H12" i="9" s="1"/>
  <c r="D15" i="9"/>
  <c r="G15" i="9" s="1"/>
  <c r="D14" i="9"/>
  <c r="F14" i="9" s="1"/>
  <c r="J14" i="9" s="1"/>
  <c r="D11" i="9"/>
  <c r="F11" i="9" s="1"/>
  <c r="G13" i="9"/>
  <c r="D16" i="9"/>
  <c r="F16" i="9" s="1"/>
  <c r="J16" i="9" s="1"/>
  <c r="D10" i="9"/>
  <c r="G10" i="9" s="1"/>
  <c r="H10" i="9" s="1"/>
  <c r="D81" i="9"/>
  <c r="D46" i="9"/>
  <c r="H13" i="9" l="1"/>
  <c r="H15" i="9"/>
  <c r="F10" i="9"/>
  <c r="F46" i="9"/>
  <c r="F81" i="9"/>
  <c r="F12" i="9"/>
  <c r="G11" i="9"/>
  <c r="H11" i="9" s="1"/>
  <c r="F15" i="9"/>
  <c r="J15" i="9" s="1"/>
  <c r="G14" i="9"/>
  <c r="G16" i="9"/>
  <c r="D17" i="9"/>
  <c r="C69" i="9"/>
  <c r="H16" i="9" l="1"/>
  <c r="H14" i="9"/>
  <c r="C23" i="9"/>
  <c r="G45" i="9" s="1"/>
  <c r="F17" i="9"/>
  <c r="C48" i="9"/>
  <c r="G62" i="9" s="1"/>
  <c r="E51" i="17" s="1"/>
  <c r="H51" i="17" s="1"/>
  <c r="K51" i="17" s="1"/>
  <c r="G17" i="9"/>
  <c r="G77" i="9"/>
  <c r="G79" i="9"/>
  <c r="G80" i="9"/>
  <c r="G73" i="9"/>
  <c r="G78" i="9"/>
  <c r="G75" i="9"/>
  <c r="G74" i="9"/>
  <c r="G76" i="9"/>
  <c r="G72" i="9"/>
  <c r="H76" i="9" l="1"/>
  <c r="H74" i="9"/>
  <c r="H79" i="9"/>
  <c r="H72" i="9"/>
  <c r="H75" i="9"/>
  <c r="H78" i="9"/>
  <c r="H80" i="9"/>
  <c r="H77" i="9"/>
  <c r="H73" i="9"/>
  <c r="H45" i="9"/>
  <c r="H62" i="9"/>
  <c r="F51" i="17" s="1"/>
  <c r="G32" i="9"/>
  <c r="G43" i="9"/>
  <c r="G40" i="9"/>
  <c r="J72" i="9"/>
  <c r="G35" i="9"/>
  <c r="G27" i="9"/>
  <c r="G41" i="9"/>
  <c r="G29" i="9"/>
  <c r="G39" i="9"/>
  <c r="G38" i="9"/>
  <c r="G44" i="9"/>
  <c r="G42" i="9"/>
  <c r="G33" i="9"/>
  <c r="G36" i="9"/>
  <c r="G34" i="9"/>
  <c r="J73" i="9"/>
  <c r="G30" i="9"/>
  <c r="G31" i="9"/>
  <c r="G28" i="9"/>
  <c r="J45" i="9"/>
  <c r="G61" i="9"/>
  <c r="E50" i="17" s="1"/>
  <c r="H50" i="17" s="1"/>
  <c r="K50" i="17" s="1"/>
  <c r="G26" i="9"/>
  <c r="G37" i="9"/>
  <c r="G64" i="9"/>
  <c r="E53" i="17" s="1"/>
  <c r="H53" i="17" s="1"/>
  <c r="K53" i="17" s="1"/>
  <c r="G56" i="9"/>
  <c r="E45" i="17" s="1"/>
  <c r="H45" i="17" s="1"/>
  <c r="K45" i="17" s="1"/>
  <c r="G52" i="9"/>
  <c r="E42" i="17" s="1"/>
  <c r="H42" i="17" s="1"/>
  <c r="K42" i="17" s="1"/>
  <c r="G66" i="9"/>
  <c r="E55" i="17" s="1"/>
  <c r="H55" i="17" s="1"/>
  <c r="K55" i="17" s="1"/>
  <c r="G57" i="9"/>
  <c r="E46" i="17" s="1"/>
  <c r="H46" i="17" s="1"/>
  <c r="K46" i="17" s="1"/>
  <c r="G60" i="9"/>
  <c r="E49" i="17" s="1"/>
  <c r="H49" i="17" s="1"/>
  <c r="K49" i="17" s="1"/>
  <c r="G65" i="9"/>
  <c r="E54" i="17" s="1"/>
  <c r="H54" i="17" s="1"/>
  <c r="K54" i="17" s="1"/>
  <c r="G58" i="9"/>
  <c r="E47" i="17" s="1"/>
  <c r="H47" i="17" s="1"/>
  <c r="K47" i="17" s="1"/>
  <c r="G63" i="9"/>
  <c r="E52" i="17" s="1"/>
  <c r="H52" i="17" s="1"/>
  <c r="K52" i="17" s="1"/>
  <c r="G59" i="9"/>
  <c r="E48" i="17" s="1"/>
  <c r="H48" i="17" s="1"/>
  <c r="K48" i="17" s="1"/>
  <c r="G54" i="9"/>
  <c r="E43" i="17" s="1"/>
  <c r="H43" i="17" s="1"/>
  <c r="K43" i="17" s="1"/>
  <c r="G53" i="9"/>
  <c r="G55" i="9"/>
  <c r="E44" i="17" s="1"/>
  <c r="H44" i="17" s="1"/>
  <c r="K44" i="17" s="1"/>
  <c r="G51" i="9"/>
  <c r="E41" i="17" s="1"/>
  <c r="H41" i="17" s="1"/>
  <c r="K41" i="17" s="1"/>
  <c r="J78" i="9"/>
  <c r="J77" i="9"/>
  <c r="J76" i="9"/>
  <c r="J79" i="9"/>
  <c r="J74" i="9"/>
  <c r="J62" i="9"/>
  <c r="J75" i="9"/>
  <c r="J80" i="9"/>
  <c r="G81" i="9"/>
  <c r="H42" i="9" l="1"/>
  <c r="H44" i="9"/>
  <c r="H28" i="9"/>
  <c r="H30" i="9"/>
  <c r="H39" i="9"/>
  <c r="H29" i="9"/>
  <c r="H38" i="9"/>
  <c r="H37" i="9"/>
  <c r="H40" i="9"/>
  <c r="H43" i="9"/>
  <c r="H32" i="9"/>
  <c r="H41" i="9"/>
  <c r="H26" i="9"/>
  <c r="H36" i="9"/>
  <c r="H27" i="9"/>
  <c r="H31" i="9"/>
  <c r="H34" i="9"/>
  <c r="H33" i="9"/>
  <c r="H35" i="9"/>
  <c r="H65" i="9"/>
  <c r="F54" i="17" s="1"/>
  <c r="J51" i="9"/>
  <c r="H51" i="9"/>
  <c r="F41" i="17" s="1"/>
  <c r="H60" i="9"/>
  <c r="F49" i="17" s="1"/>
  <c r="H61" i="9"/>
  <c r="F50" i="17" s="1"/>
  <c r="H57" i="9"/>
  <c r="F46" i="17" s="1"/>
  <c r="H53" i="9"/>
  <c r="H54" i="9"/>
  <c r="F43" i="17" s="1"/>
  <c r="H52" i="9"/>
  <c r="F42" i="17" s="1"/>
  <c r="H56" i="9"/>
  <c r="F45" i="17" s="1"/>
  <c r="H66" i="9"/>
  <c r="F55" i="17" s="1"/>
  <c r="H64" i="9"/>
  <c r="F53" i="17" s="1"/>
  <c r="H55" i="9"/>
  <c r="F44" i="17" s="1"/>
  <c r="H59" i="9"/>
  <c r="F48" i="17" s="1"/>
  <c r="J64" i="9"/>
  <c r="H63" i="9"/>
  <c r="F52" i="17" s="1"/>
  <c r="H58" i="9"/>
  <c r="F47" i="17" s="1"/>
  <c r="J36" i="9"/>
  <c r="J42" i="9"/>
  <c r="J40" i="9"/>
  <c r="J38" i="9"/>
  <c r="J43" i="9"/>
  <c r="J28" i="9"/>
  <c r="J30" i="9"/>
  <c r="J39" i="9"/>
  <c r="J32" i="9"/>
  <c r="J33" i="9"/>
  <c r="J27" i="9"/>
  <c r="J35" i="9"/>
  <c r="J60" i="9"/>
  <c r="J26" i="9"/>
  <c r="G46" i="9"/>
  <c r="J41" i="9"/>
  <c r="H81" i="9"/>
  <c r="J65" i="9"/>
  <c r="J81" i="9"/>
  <c r="J34" i="9"/>
  <c r="J44" i="9"/>
  <c r="J63" i="9"/>
  <c r="J31" i="9"/>
  <c r="J55" i="9"/>
  <c r="J29" i="9"/>
  <c r="J52" i="9"/>
  <c r="J54" i="9"/>
  <c r="J57" i="9"/>
  <c r="J37" i="9"/>
  <c r="J53" i="9"/>
  <c r="J58" i="9"/>
  <c r="J59" i="9"/>
  <c r="J61" i="9"/>
  <c r="G67" i="9"/>
  <c r="J56" i="9"/>
  <c r="J66" i="9"/>
  <c r="E56" i="17" l="1"/>
  <c r="H67" i="9"/>
  <c r="J46" i="9"/>
  <c r="H46" i="9"/>
  <c r="J67" i="9"/>
  <c r="G18" i="17" l="1"/>
  <c r="G9" i="17"/>
  <c r="G17" i="17"/>
  <c r="G25" i="17"/>
  <c r="G33" i="17"/>
  <c r="G14" i="17"/>
  <c r="G22" i="17"/>
  <c r="G30" i="17"/>
  <c r="G38" i="17"/>
  <c r="G34" i="17"/>
  <c r="G21" i="17"/>
  <c r="G20" i="17"/>
  <c r="G28" i="17"/>
  <c r="G36" i="17"/>
  <c r="G19" i="17"/>
  <c r="G27" i="17"/>
  <c r="G35" i="17"/>
  <c r="G10" i="17"/>
  <c r="G26" i="17"/>
  <c r="G29" i="17"/>
  <c r="G37" i="17"/>
  <c r="G16" i="17"/>
  <c r="G12" i="17"/>
  <c r="G15" i="17"/>
  <c r="G40" i="17"/>
  <c r="G24" i="17"/>
  <c r="G39" i="17"/>
  <c r="G32" i="17"/>
  <c r="G7" i="17"/>
  <c r="G31" i="17"/>
  <c r="G23" i="17"/>
  <c r="G8" i="17"/>
  <c r="G13" i="17"/>
  <c r="G11" i="17"/>
  <c r="G45" i="17"/>
  <c r="G43" i="17"/>
  <c r="G50" i="17"/>
  <c r="G44" i="17"/>
  <c r="G41" i="17"/>
  <c r="G47" i="17"/>
  <c r="G49" i="17"/>
  <c r="G51" i="17"/>
  <c r="G53" i="17"/>
  <c r="G55" i="17"/>
  <c r="G46" i="17"/>
  <c r="G48" i="17"/>
  <c r="G54" i="17"/>
  <c r="G42" i="17"/>
  <c r="G52" i="17"/>
  <c r="G56" i="17" l="1"/>
</calcChain>
</file>

<file path=xl/sharedStrings.xml><?xml version="1.0" encoding="utf-8"?>
<sst xmlns="http://schemas.openxmlformats.org/spreadsheetml/2006/main" count="219" uniqueCount="95">
  <si>
    <t>Jurisdiction</t>
  </si>
  <si>
    <t>WM</t>
  </si>
  <si>
    <t>Algona</t>
  </si>
  <si>
    <t>Auburn</t>
  </si>
  <si>
    <t>Federal Way</t>
  </si>
  <si>
    <t>Pacific</t>
  </si>
  <si>
    <t>Newcastle</t>
  </si>
  <si>
    <t>Tukwila</t>
  </si>
  <si>
    <t>Bothell</t>
  </si>
  <si>
    <t>Duvall</t>
  </si>
  <si>
    <t>Kirkland</t>
  </si>
  <si>
    <t>Redmond</t>
  </si>
  <si>
    <t>Sammamish</t>
  </si>
  <si>
    <t>Snoqualmie</t>
  </si>
  <si>
    <t>Woodinville</t>
  </si>
  <si>
    <t>Normandy Park</t>
  </si>
  <si>
    <t>Unincorporated - South</t>
  </si>
  <si>
    <t>Unincorporated - North</t>
  </si>
  <si>
    <t>Recology</t>
  </si>
  <si>
    <t>Burien</t>
  </si>
  <si>
    <t>Carnation</t>
  </si>
  <si>
    <t>Des Moines</t>
  </si>
  <si>
    <t>Issaquah</t>
  </si>
  <si>
    <t>Maple Valley</t>
  </si>
  <si>
    <t>Mercer Island</t>
  </si>
  <si>
    <t>SeaTac</t>
  </si>
  <si>
    <t>Shoreline</t>
  </si>
  <si>
    <t>Republic</t>
  </si>
  <si>
    <t>Hunts Point</t>
  </si>
  <si>
    <t>Beaux Arts</t>
  </si>
  <si>
    <t>Lake Forest Park</t>
  </si>
  <si>
    <t>Bellevue</t>
  </si>
  <si>
    <t>Clyde Hill</t>
  </si>
  <si>
    <t>Medina</t>
  </si>
  <si>
    <t>Yarrow Point</t>
  </si>
  <si>
    <t>Kenmore</t>
  </si>
  <si>
    <t>Sammamish Klahanie</t>
  </si>
  <si>
    <t>Out of Area</t>
  </si>
  <si>
    <t>Black Diamond</t>
  </si>
  <si>
    <t>Covington</t>
  </si>
  <si>
    <t>Kent</t>
  </si>
  <si>
    <t>Republic - Renton</t>
  </si>
  <si>
    <t>Renton</t>
  </si>
  <si>
    <t>Enumclaw</t>
  </si>
  <si>
    <t>City of Enumclaw</t>
  </si>
  <si>
    <t>Waste Connections</t>
  </si>
  <si>
    <t>Total</t>
  </si>
  <si>
    <t>2022 - Tons</t>
  </si>
  <si>
    <t>2022 - %</t>
  </si>
  <si>
    <t>FAC Allocation Table</t>
  </si>
  <si>
    <t>2024 Fixed Annual Charge</t>
  </si>
  <si>
    <t>Commercial Hauler</t>
  </si>
  <si>
    <t>FAC Allocation</t>
  </si>
  <si>
    <t>2024 Annual FAC</t>
  </si>
  <si>
    <t>2024 Monthly Charge</t>
  </si>
  <si>
    <t>Allocated FAC</t>
  </si>
  <si>
    <t>Waste Management</t>
  </si>
  <si>
    <t>Allocations by Jurisdiction for Aggregated Haulers</t>
  </si>
  <si>
    <t>Republic - Renton*</t>
  </si>
  <si>
    <t>City of Enumclaw*</t>
  </si>
  <si>
    <t>Town of Skykomish*</t>
  </si>
  <si>
    <t>Waste Connections*</t>
  </si>
  <si>
    <t>Overall FAC %</t>
  </si>
  <si>
    <t>Estimated Commercial Tonnage - 2024</t>
  </si>
  <si>
    <t>Solid Waste Collection Entity per-ton Fee</t>
  </si>
  <si>
    <t>Skykomish</t>
  </si>
  <si>
    <t>WM Jursidiction Data</t>
  </si>
  <si>
    <t>Town of Skykomish Allocation</t>
  </si>
  <si>
    <t>Proration of Areas</t>
  </si>
  <si>
    <t>Separation of Republic Billing Areas</t>
  </si>
  <si>
    <t>FAC Calculation Table</t>
  </si>
  <si>
    <t>Vashon Island</t>
  </si>
  <si>
    <t>Town of Skykomish</t>
  </si>
  <si>
    <t>Billing Entity</t>
  </si>
  <si>
    <t>2022 - Reported Tons</t>
  </si>
  <si>
    <t>Republic - North King</t>
  </si>
  <si>
    <t>Republic - South King</t>
  </si>
  <si>
    <t>North Bend*</t>
  </si>
  <si>
    <t>Sammamish - Annexations**</t>
  </si>
  <si>
    <t>*The North Bend contract transitions from Republic to Recology on April 1, 2024.  Republic will be billed for the FAC charge January - March.  Recology will be billed April - December. The 2024 Annual FAC shows the prorated amount for each entity.</t>
  </si>
  <si>
    <t xml:space="preserve">**The Sammamish tonnage reported by WM consists of two annexation areas.  The transition period for these areas ends in 2026.  </t>
  </si>
  <si>
    <t>Notes:</t>
  </si>
  <si>
    <t>The table below lists the Fixed Annual Charge for each jurisdiction and billing area. Details on the calculations can be found on FAC Calculation page.</t>
  </si>
  <si>
    <t>The Skykomish drop box is an unmanned station without scales.  All customers pay a flat fee for disposal. The Town of Skykomish collects curbside garbage and disposes of it at the drop box several times a week. The town provided the division with the size of the truck they use, and SWD estimated the load based on standard dimensions.  The estimated load size was then multiplied by the number of transactions to determine the tonnage for FAC allocation purposes.</t>
  </si>
  <si>
    <t>The North Bend contract will transition from Republic to Recology on April 1, 2024.  The FAC was prorated to reflect this.  North Bend and Recology confirmed that the date of transition and the pro rated methodology.</t>
  </si>
  <si>
    <t>Revisions to Draft Version</t>
  </si>
  <si>
    <t>FAC by Jursidiction Table</t>
  </si>
  <si>
    <t>WM provided SWD with updated tonnages by jurisdiction. Jurisdictions were given an opportunity to review, and WM confirmed that the updated data is the most accurate. Tonnages reported for Bothell were removed, as the hauler confirmed that this material was collected outside the King County service area and taken to Snohomish County for disposal.</t>
  </si>
  <si>
    <t>Republic asked that its North King County and South King County operating units be billed separately for the jurisdictions each unit serves.</t>
  </si>
  <si>
    <t>The FAC by Jurisdiction table has been added to more clearly display the FAC for each jurisdiction and billing entity.  The FAC Calculation Table shows the methodology used in those allocations.</t>
  </si>
  <si>
    <r>
      <t xml:space="preserve">The Fixed Annual Charge is calculated by first allocating the charge by the proportion of tonnage each </t>
    </r>
    <r>
      <rPr>
        <i/>
        <sz val="11"/>
        <color theme="1"/>
        <rFont val="Franklin Gothic Book"/>
        <family val="2"/>
        <scheme val="minor"/>
      </rPr>
      <t>billing entity</t>
    </r>
    <r>
      <rPr>
        <sz val="11"/>
        <color theme="1"/>
        <rFont val="Franklin Gothic Book"/>
        <family val="2"/>
        <scheme val="minor"/>
      </rPr>
      <t xml:space="preserve"> brought to King County SWD, and then allocating each billing entity's share by the tonnage the hauler reported for each </t>
    </r>
    <r>
      <rPr>
        <i/>
        <sz val="11"/>
        <color theme="1"/>
        <rFont val="Franklin Gothic Book"/>
        <family val="2"/>
        <scheme val="minor"/>
      </rPr>
      <t>jurisdiction</t>
    </r>
    <r>
      <rPr>
        <sz val="11"/>
        <color theme="1"/>
        <rFont val="Franklin Gothic Book"/>
        <family val="2"/>
        <scheme val="minor"/>
      </rPr>
      <t xml:space="preserve">.  </t>
    </r>
  </si>
  <si>
    <t>*These hauler accounts serve only a single jurisdiction and do not need further allocation.</t>
  </si>
  <si>
    <t>FAC/ton</t>
  </si>
  <si>
    <t>Composite Rate</t>
  </si>
  <si>
    <t>2024 Tip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</si>
</sst>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quot;$&quot;#,##0.00"/>
    <numFmt numFmtId="167" formatCode="&quot;$&quot;#,##0"/>
  </numFmts>
  <fonts count="19" x14ac:knownFonts="1">
    <font>
      <sz val="11"/>
      <color theme="1"/>
      <name val="Franklin Gothic Book"/>
      <family val="2"/>
      <scheme val="minor"/>
    </font>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1"/>
      <name val="Franklin Gothic Book"/>
      <family val="2"/>
      <scheme val="minor"/>
    </font>
    <font>
      <sz val="11"/>
      <color theme="4"/>
      <name val="Franklin Gothic Book"/>
      <family val="2"/>
      <scheme val="minor"/>
    </font>
    <font>
      <sz val="11"/>
      <color theme="3"/>
      <name val="Franklin Gothic Book"/>
      <family val="2"/>
      <scheme val="minor"/>
    </font>
    <font>
      <b/>
      <sz val="18"/>
      <color theme="3"/>
      <name val="Franklin Gothic Book"/>
      <family val="2"/>
      <scheme val="minor"/>
    </font>
    <font>
      <b/>
      <sz val="12"/>
      <color theme="1"/>
      <name val="Franklin Gothic Book"/>
      <family val="2"/>
      <scheme val="minor"/>
    </font>
    <font>
      <b/>
      <sz val="10"/>
      <color theme="1"/>
      <name val="Franklin Gothic Book"/>
      <family val="2"/>
      <scheme val="minor"/>
    </font>
    <font>
      <sz val="10"/>
      <color theme="1"/>
      <name val="Franklin Gothic Book"/>
      <family val="2"/>
      <scheme val="minor"/>
    </font>
    <font>
      <b/>
      <sz val="10"/>
      <color theme="3"/>
      <name val="Franklin Gothic Book"/>
      <family val="2"/>
      <scheme val="minor"/>
    </font>
    <font>
      <b/>
      <sz val="10"/>
      <color theme="0"/>
      <name val="Franklin Gothic Book"/>
      <family val="2"/>
      <scheme val="minor"/>
    </font>
    <font>
      <sz val="10"/>
      <name val="Franklin Gothic Book"/>
      <family val="2"/>
      <scheme val="minor"/>
    </font>
    <font>
      <i/>
      <sz val="10"/>
      <color theme="0" tint="-0.499984740745262"/>
      <name val="Franklin Gothic Book"/>
      <family val="2"/>
      <scheme val="minor"/>
    </font>
    <font>
      <b/>
      <sz val="14"/>
      <color theme="3"/>
      <name val="Franklin Gothic Book"/>
      <family val="2"/>
      <scheme val="minor"/>
    </font>
    <font>
      <b/>
      <u/>
      <sz val="10"/>
      <color theme="1"/>
      <name val="Franklin Gothic Book"/>
      <family val="2"/>
      <scheme val="minor"/>
    </font>
    <font>
      <i/>
      <sz val="11"/>
      <color theme="1"/>
      <name val="Franklin Gothic Book"/>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0"/>
        <bgColor theme="4" tint="0.79998168889431442"/>
      </patternFill>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10">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theme="4"/>
      </left>
      <right style="thin">
        <color theme="4" tint="0.39994506668294322"/>
      </right>
      <top style="double">
        <color theme="4"/>
      </top>
      <bottom style="thin">
        <color theme="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0" fillId="0" borderId="0" xfId="0" applyFill="1"/>
    <xf numFmtId="0" fontId="0" fillId="2" borderId="0" xfId="0" applyFill="1"/>
    <xf numFmtId="0" fontId="3" fillId="2" borderId="0" xfId="0" applyFont="1" applyFill="1"/>
    <xf numFmtId="164" fontId="0" fillId="0" borderId="0" xfId="1" applyNumberFormat="1" applyFont="1" applyFill="1"/>
    <xf numFmtId="0" fontId="2" fillId="0" borderId="1" xfId="0" applyFont="1" applyFill="1" applyBorder="1"/>
    <xf numFmtId="0" fontId="0" fillId="0" borderId="1" xfId="0" applyFont="1" applyFill="1" applyBorder="1"/>
    <xf numFmtId="0" fontId="0" fillId="0" borderId="0" xfId="0" applyFont="1" applyFill="1" applyBorder="1"/>
    <xf numFmtId="164" fontId="0" fillId="0" borderId="0" xfId="0" applyNumberFormat="1" applyFill="1"/>
    <xf numFmtId="0" fontId="0" fillId="2" borderId="0" xfId="0" applyFill="1" applyBorder="1"/>
    <xf numFmtId="10" fontId="0" fillId="0" borderId="0" xfId="2" applyNumberFormat="1" applyFont="1" applyFill="1"/>
    <xf numFmtId="10" fontId="0" fillId="0" borderId="0" xfId="0" applyNumberFormat="1" applyFill="1"/>
    <xf numFmtId="10" fontId="0" fillId="2" borderId="0" xfId="0" applyNumberFormat="1" applyFill="1"/>
    <xf numFmtId="10" fontId="0" fillId="2" borderId="0" xfId="0" applyNumberFormat="1" applyFill="1" applyBorder="1"/>
    <xf numFmtId="0" fontId="2" fillId="0" borderId="2" xfId="0" applyFont="1" applyFill="1" applyBorder="1"/>
    <xf numFmtId="167" fontId="0" fillId="2" borderId="0" xfId="0" applyNumberFormat="1" applyFill="1"/>
    <xf numFmtId="167" fontId="0" fillId="0" borderId="0" xfId="0" applyNumberFormat="1" applyFill="1"/>
    <xf numFmtId="166" fontId="0" fillId="0" borderId="0" xfId="0" applyNumberFormat="1" applyFill="1"/>
    <xf numFmtId="0" fontId="2" fillId="0" borderId="4" xfId="0" applyFont="1" applyFill="1" applyBorder="1"/>
    <xf numFmtId="0" fontId="2" fillId="0" borderId="5" xfId="0" applyFont="1" applyFill="1" applyBorder="1"/>
    <xf numFmtId="0" fontId="6" fillId="2" borderId="0" xfId="0" applyFont="1" applyFill="1"/>
    <xf numFmtId="164" fontId="0" fillId="0" borderId="3" xfId="1" applyNumberFormat="1" applyFont="1" applyFill="1" applyBorder="1"/>
    <xf numFmtId="0" fontId="4" fillId="0" borderId="0" xfId="0" applyFont="1" applyFill="1"/>
    <xf numFmtId="164" fontId="0" fillId="0" borderId="6" xfId="0" applyNumberFormat="1" applyFont="1" applyFill="1" applyBorder="1"/>
    <xf numFmtId="0" fontId="7" fillId="2" borderId="0" xfId="0" applyFont="1" applyFill="1"/>
    <xf numFmtId="0" fontId="8" fillId="0" borderId="0" xfId="0" applyFont="1" applyFill="1"/>
    <xf numFmtId="167" fontId="3" fillId="2" borderId="0" xfId="0" applyNumberFormat="1" applyFont="1" applyFill="1"/>
    <xf numFmtId="164" fontId="3" fillId="2" borderId="0" xfId="1" applyNumberFormat="1" applyFont="1" applyFill="1"/>
    <xf numFmtId="0" fontId="8" fillId="2" borderId="0" xfId="0" applyFont="1" applyFill="1" applyBorder="1"/>
    <xf numFmtId="0" fontId="9" fillId="2" borderId="0" xfId="0" applyFont="1" applyFill="1"/>
    <xf numFmtId="10" fontId="0" fillId="2" borderId="0" xfId="0" applyNumberFormat="1" applyFill="1" applyAlignment="1">
      <alignment horizontal="center"/>
    </xf>
    <xf numFmtId="10" fontId="0" fillId="5" borderId="0" xfId="0" applyNumberFormat="1" applyFont="1" applyFill="1" applyBorder="1" applyAlignment="1">
      <alignment horizontal="center"/>
    </xf>
    <xf numFmtId="164" fontId="5" fillId="0" borderId="0" xfId="0" applyNumberFormat="1" applyFont="1" applyFill="1"/>
    <xf numFmtId="165" fontId="0" fillId="2" borderId="0" xfId="0" applyNumberFormat="1" applyFill="1"/>
    <xf numFmtId="8" fontId="0" fillId="2" borderId="0" xfId="0" applyNumberFormat="1" applyFill="1"/>
    <xf numFmtId="8" fontId="3" fillId="2" borderId="0" xfId="0" applyNumberFormat="1" applyFont="1" applyFill="1"/>
    <xf numFmtId="9" fontId="0" fillId="2" borderId="0" xfId="2" applyFont="1" applyFill="1" applyBorder="1"/>
    <xf numFmtId="164" fontId="0" fillId="2" borderId="0" xfId="0" applyNumberFormat="1" applyFont="1" applyFill="1" applyBorder="1"/>
    <xf numFmtId="164" fontId="1" fillId="2" borderId="0" xfId="0" applyNumberFormat="1" applyFont="1" applyFill="1"/>
    <xf numFmtId="167" fontId="1" fillId="2" borderId="0" xfId="0" applyNumberFormat="1" applyFont="1" applyFill="1" applyBorder="1"/>
    <xf numFmtId="10" fontId="3" fillId="2" borderId="0" xfId="2" applyNumberFormat="1" applyFont="1" applyFill="1" applyBorder="1" applyAlignment="1">
      <alignment horizontal="center"/>
    </xf>
    <xf numFmtId="9" fontId="2" fillId="4" borderId="3" xfId="2" applyFont="1" applyFill="1" applyBorder="1" applyAlignment="1">
      <alignment horizontal="center"/>
    </xf>
    <xf numFmtId="10" fontId="0" fillId="3" borderId="7" xfId="0" applyNumberFormat="1" applyFont="1" applyFill="1" applyBorder="1" applyAlignment="1">
      <alignment horizontal="center"/>
    </xf>
    <xf numFmtId="10" fontId="0" fillId="5" borderId="7" xfId="0" applyNumberFormat="1" applyFont="1" applyFill="1" applyBorder="1" applyAlignment="1">
      <alignment horizontal="center"/>
    </xf>
    <xf numFmtId="10" fontId="0" fillId="0" borderId="7" xfId="0" applyNumberFormat="1" applyFont="1" applyBorder="1" applyAlignment="1">
      <alignment horizontal="center"/>
    </xf>
    <xf numFmtId="9" fontId="2" fillId="4" borderId="8" xfId="2" applyFont="1" applyFill="1" applyBorder="1" applyAlignment="1">
      <alignment horizontal="center"/>
    </xf>
    <xf numFmtId="10" fontId="3" fillId="0" borderId="9" xfId="2" applyNumberFormat="1" applyFont="1" applyBorder="1" applyAlignment="1">
      <alignment horizontal="center"/>
    </xf>
    <xf numFmtId="9" fontId="2" fillId="4" borderId="8" xfId="2" applyFont="1" applyFill="1" applyBorder="1" applyAlignment="1">
      <alignment horizontal="center" wrapText="1"/>
    </xf>
    <xf numFmtId="9" fontId="2" fillId="0" borderId="3" xfId="0" applyNumberFormat="1" applyFont="1" applyFill="1" applyBorder="1" applyAlignment="1">
      <alignment horizontal="center"/>
    </xf>
    <xf numFmtId="9" fontId="0" fillId="0" borderId="0" xfId="0" applyNumberFormat="1" applyFill="1" applyAlignment="1">
      <alignment horizontal="center"/>
    </xf>
    <xf numFmtId="167" fontId="0" fillId="0" borderId="0" xfId="0" applyNumberFormat="1"/>
    <xf numFmtId="0" fontId="11" fillId="2" borderId="0" xfId="0" applyFont="1" applyFill="1"/>
    <xf numFmtId="0" fontId="12" fillId="0" borderId="0" xfId="0" applyFont="1" applyFill="1"/>
    <xf numFmtId="10" fontId="11" fillId="2" borderId="0" xfId="0" applyNumberFormat="1" applyFont="1" applyFill="1"/>
    <xf numFmtId="2" fontId="11" fillId="2" borderId="0" xfId="0" applyNumberFormat="1" applyFont="1" applyFill="1"/>
    <xf numFmtId="0" fontId="11" fillId="0" borderId="0" xfId="0" applyFont="1" applyFill="1" applyBorder="1"/>
    <xf numFmtId="0" fontId="15" fillId="2" borderId="0" xfId="0" applyFont="1" applyFill="1"/>
    <xf numFmtId="10" fontId="15" fillId="2" borderId="0" xfId="0" applyNumberFormat="1" applyFont="1" applyFill="1"/>
    <xf numFmtId="0" fontId="15" fillId="2" borderId="0" xfId="0" applyFont="1" applyFill="1" applyBorder="1"/>
    <xf numFmtId="9" fontId="14" fillId="0" borderId="0" xfId="0" applyNumberFormat="1" applyFont="1" applyFill="1" applyBorder="1"/>
    <xf numFmtId="167" fontId="11" fillId="0" borderId="0" xfId="0" applyNumberFormat="1" applyFont="1" applyFill="1" applyBorder="1"/>
    <xf numFmtId="10" fontId="11" fillId="0" borderId="0" xfId="2" applyNumberFormat="1" applyFont="1" applyFill="1" applyBorder="1" applyAlignment="1">
      <alignment horizontal="center"/>
    </xf>
    <xf numFmtId="166" fontId="11" fillId="2" borderId="0" xfId="0" applyNumberFormat="1" applyFont="1" applyFill="1"/>
    <xf numFmtId="167" fontId="11" fillId="2" borderId="0" xfId="0" applyNumberFormat="1" applyFont="1" applyFill="1"/>
    <xf numFmtId="0" fontId="11" fillId="2" borderId="0" xfId="0" applyFont="1" applyFill="1" applyAlignment="1">
      <alignment horizontal="left" wrapText="1"/>
    </xf>
    <xf numFmtId="0" fontId="16" fillId="2" borderId="0" xfId="0" applyFont="1" applyFill="1" applyBorder="1"/>
    <xf numFmtId="0" fontId="11" fillId="2" borderId="0" xfId="0" applyFont="1" applyFill="1" applyAlignment="1">
      <alignment horizontal="left" wrapText="1"/>
    </xf>
    <xf numFmtId="164" fontId="0" fillId="0" borderId="0" xfId="0" applyNumberFormat="1" applyFont="1" applyFill="1"/>
    <xf numFmtId="9" fontId="0" fillId="0" borderId="0" xfId="0" applyNumberFormat="1" applyFont="1" applyFill="1"/>
    <xf numFmtId="167" fontId="0" fillId="0" borderId="0" xfId="0" applyNumberFormat="1" applyFill="1" applyAlignment="1">
      <alignment horizontal="right"/>
    </xf>
    <xf numFmtId="9" fontId="0" fillId="0" borderId="0" xfId="2" applyFont="1" applyFill="1" applyBorder="1"/>
    <xf numFmtId="167" fontId="0" fillId="0" borderId="0" xfId="0" applyNumberFormat="1" applyFill="1" applyBorder="1"/>
    <xf numFmtId="167" fontId="0" fillId="0" borderId="0" xfId="0" applyNumberFormat="1" applyFont="1" applyFill="1" applyBorder="1"/>
    <xf numFmtId="166" fontId="0" fillId="2" borderId="0" xfId="0" applyNumberFormat="1" applyFill="1"/>
    <xf numFmtId="0" fontId="14" fillId="0" borderId="0" xfId="0" applyFont="1" applyFill="1" applyBorder="1"/>
    <xf numFmtId="164" fontId="14" fillId="0" borderId="0" xfId="1" applyNumberFormat="1" applyFont="1" applyFill="1" applyBorder="1"/>
    <xf numFmtId="9" fontId="11" fillId="0" borderId="0" xfId="0" applyNumberFormat="1" applyFont="1"/>
    <xf numFmtId="167" fontId="11" fillId="0" borderId="0" xfId="0" applyNumberFormat="1" applyFont="1" applyFill="1"/>
    <xf numFmtId="164" fontId="11" fillId="0" borderId="0" xfId="1" applyNumberFormat="1" applyFont="1" applyFill="1" applyBorder="1"/>
    <xf numFmtId="9" fontId="15" fillId="2" borderId="0" xfId="0" applyNumberFormat="1" applyFont="1" applyFill="1" applyBorder="1"/>
    <xf numFmtId="164" fontId="15" fillId="2" borderId="0" xfId="1" applyNumberFormat="1" applyFont="1" applyFill="1"/>
    <xf numFmtId="164" fontId="15" fillId="2" borderId="0" xfId="0" applyNumberFormat="1" applyFont="1" applyFill="1"/>
    <xf numFmtId="9" fontId="11" fillId="0" borderId="0" xfId="0" applyNumberFormat="1" applyFont="1" applyAlignment="1">
      <alignment horizontal="center"/>
    </xf>
    <xf numFmtId="0" fontId="11" fillId="0" borderId="0" xfId="0" applyFont="1" applyFill="1" applyBorder="1" applyAlignment="1">
      <alignment horizontal="left" vertical="center"/>
    </xf>
    <xf numFmtId="9" fontId="13" fillId="0" borderId="0" xfId="0" applyNumberFormat="1" applyFont="1" applyFill="1" applyBorder="1" applyAlignment="1">
      <alignment horizontal="left" vertical="center" wrapText="1"/>
    </xf>
    <xf numFmtId="9" fontId="13" fillId="0" borderId="0" xfId="2" applyNumberFormat="1" applyFont="1" applyFill="1" applyBorder="1" applyAlignment="1">
      <alignment horizontal="left" vertical="center" wrapText="1"/>
    </xf>
    <xf numFmtId="167" fontId="10" fillId="0" borderId="0" xfId="0" applyNumberFormat="1" applyFont="1"/>
    <xf numFmtId="0" fontId="17" fillId="2" borderId="0" xfId="0" applyFont="1" applyFill="1"/>
    <xf numFmtId="0" fontId="5" fillId="0" borderId="1" xfId="0" applyFont="1" applyFill="1" applyBorder="1"/>
    <xf numFmtId="0" fontId="5" fillId="0" borderId="0" xfId="0" applyFont="1" applyFill="1"/>
    <xf numFmtId="0" fontId="0" fillId="2" borderId="0" xfId="0" applyFill="1" applyAlignment="1">
      <alignment vertical="top"/>
    </xf>
    <xf numFmtId="0" fontId="2" fillId="6" borderId="0" xfId="0" applyFont="1" applyFill="1"/>
    <xf numFmtId="0" fontId="0" fillId="7" borderId="0" xfId="0" applyFill="1" applyAlignment="1">
      <alignment vertical="top"/>
    </xf>
    <xf numFmtId="0" fontId="0" fillId="8" borderId="0" xfId="0" applyFill="1" applyAlignment="1">
      <alignment vertical="top"/>
    </xf>
    <xf numFmtId="0" fontId="2" fillId="2" borderId="0" xfId="0" applyFont="1" applyFill="1" applyAlignment="1">
      <alignment vertical="top"/>
    </xf>
    <xf numFmtId="0" fontId="2" fillId="2" borderId="0" xfId="0" applyFont="1" applyFill="1"/>
    <xf numFmtId="0" fontId="0" fillId="7" borderId="0" xfId="0" applyFont="1" applyFill="1" applyAlignment="1">
      <alignment vertical="top"/>
    </xf>
    <xf numFmtId="44" fontId="11" fillId="2" borderId="0" xfId="3" applyFont="1" applyFill="1"/>
    <xf numFmtId="0" fontId="17" fillId="2" borderId="0" xfId="0" applyFont="1" applyFill="1" applyAlignment="1">
      <alignment horizontal="center"/>
    </xf>
    <xf numFmtId="44" fontId="0" fillId="2" borderId="0" xfId="3" applyFont="1" applyFill="1"/>
    <xf numFmtId="8" fontId="11" fillId="2" borderId="0" xfId="0" applyNumberFormat="1" applyFont="1" applyFill="1"/>
    <xf numFmtId="44" fontId="11" fillId="2" borderId="0" xfId="0" applyNumberFormat="1" applyFont="1" applyFill="1"/>
    <xf numFmtId="44" fontId="11" fillId="9" borderId="0" xfId="3" applyFont="1" applyFill="1"/>
    <xf numFmtId="0" fontId="11" fillId="9" borderId="0" xfId="0" applyFont="1" applyFill="1"/>
    <xf numFmtId="8" fontId="11" fillId="9" borderId="0" xfId="0" applyNumberFormat="1" applyFont="1" applyFill="1"/>
    <xf numFmtId="44" fontId="11" fillId="9" borderId="0" xfId="0" applyNumberFormat="1" applyFont="1" applyFill="1"/>
    <xf numFmtId="0" fontId="11" fillId="2" borderId="0" xfId="0" applyFont="1" applyFill="1" applyAlignment="1">
      <alignment horizontal="left" wrapText="1"/>
    </xf>
    <xf numFmtId="0" fontId="0" fillId="2" borderId="0" xfId="0" applyFont="1" applyFill="1" applyAlignment="1">
      <alignment horizontal="left" wrapText="1"/>
    </xf>
    <xf numFmtId="0" fontId="0" fillId="2" borderId="0" xfId="0" applyFill="1" applyAlignment="1">
      <alignment horizontal="left" vertical="top" wrapText="1"/>
    </xf>
    <xf numFmtId="0" fontId="0" fillId="7" borderId="0" xfId="0" applyFill="1" applyAlignment="1">
      <alignment horizontal="left" wrapText="1"/>
    </xf>
    <xf numFmtId="0" fontId="0" fillId="8" borderId="0" xfId="0" applyFill="1" applyAlignment="1">
      <alignment horizontal="left" vertical="top" wrapText="1"/>
    </xf>
    <xf numFmtId="0" fontId="0" fillId="7" borderId="0" xfId="0" applyFill="1" applyAlignment="1">
      <alignment horizontal="left" vertical="top" wrapText="1"/>
    </xf>
    <xf numFmtId="0" fontId="0" fillId="7" borderId="0" xfId="0" applyFont="1" applyFill="1" applyAlignment="1">
      <alignment horizontal="left" vertical="top" wrapText="1"/>
    </xf>
  </cellXfs>
  <cellStyles count="4">
    <cellStyle name="Comma" xfId="1" builtinId="3"/>
    <cellStyle name="Currency" xfId="3" builtinId="4"/>
    <cellStyle name="Normal" xfId="0" builtinId="0"/>
    <cellStyle name="Percent" xfId="2" builtinId="5"/>
  </cellStyles>
  <dxfs count="80">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style="thin">
          <color theme="4" tint="0.39997558519241921"/>
        </right>
        <top/>
        <bottom/>
      </border>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Franklin Gothic Book"/>
        <family val="2"/>
        <scheme val="minor"/>
      </font>
      <fill>
        <patternFill patternType="none">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indexed="64"/>
          <bgColor auto="1"/>
        </patternFill>
      </fill>
    </dxf>
    <dxf>
      <numFmt numFmtId="167" formatCode="&quot;$&quot;#,##0"/>
      <fill>
        <patternFill patternType="none">
          <fgColor indexed="64"/>
          <bgColor indexed="65"/>
        </patternFill>
      </fill>
      <alignment horizontal="right" vertical="bottom" textRotation="0" wrapText="0" indent="0" justifyLastLine="0" shrinkToFit="0" readingOrder="0"/>
    </dxf>
    <dxf>
      <numFmt numFmtId="167" formatCode="&quot;$&quot;#,##0"/>
      <fill>
        <patternFill patternType="none">
          <fgColor indexed="64"/>
          <bgColor indexed="65"/>
        </patternFill>
      </fill>
      <alignment horizontal="right" vertical="bottom" textRotation="0" wrapText="0" indent="0" justifyLastLine="0" shrinkToFit="0" readingOrder="0"/>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font>
        <b val="0"/>
        <i val="0"/>
        <strike val="0"/>
        <condense val="0"/>
        <extend val="0"/>
        <outline val="0"/>
        <shadow val="0"/>
        <u val="none"/>
        <vertAlign val="baseline"/>
        <sz val="11"/>
        <color theme="1"/>
        <name val="Franklin Gothic Book"/>
        <family val="2"/>
        <scheme val="minor"/>
      </font>
      <numFmt numFmtId="13" formatCode="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style="thin">
          <color theme="4" tint="0.39997558519241921"/>
        </right>
        <top/>
        <bottom/>
      </border>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theme="4" tint="0.79998168889431442"/>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indexed="64"/>
          <bgColor auto="1"/>
        </patternFill>
      </fill>
    </dxf>
    <dxf>
      <numFmt numFmtId="167" formatCode="&quot;$&quot;#,##0"/>
      <fill>
        <patternFill patternType="none">
          <fgColor indexed="64"/>
          <bgColor indexed="65"/>
        </patternFill>
      </fill>
      <border diagonalUp="0" diagonalDown="0" outline="0">
        <left/>
        <right/>
        <top/>
        <bottom/>
      </border>
    </dxf>
    <dxf>
      <numFmt numFmtId="167" formatCode="&quot;$&quot;#,##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7" formatCode="&quot;$&quot;#,##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border outline="0">
        <top style="thin">
          <color theme="4" tint="0.39997558519241921"/>
        </top>
        <bottom style="double">
          <color theme="4"/>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Franklin Gothic Book"/>
        <family val="2"/>
        <scheme val="minor"/>
      </font>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numFmt numFmtId="164" formatCode="_(* #,##0_);_(* \(#,##0\);_(* &quot;-&quot;??_);_(@_)"/>
      <fill>
        <patternFill patternType="none">
          <fgColor indexed="64"/>
          <bgColor indexed="65"/>
        </patternFill>
      </fill>
    </dxf>
    <dxf>
      <numFmt numFmtId="164" formatCode="_(* #,##0_);_(* \(#,##0\);_(* &quot;-&quot;??_);_(@_)"/>
      <fill>
        <patternFill patternType="none">
          <fgColor indexed="64"/>
          <bgColor indexed="65"/>
        </patternFill>
      </fill>
    </dxf>
    <dxf>
      <fill>
        <patternFill patternType="none">
          <fgColor indexed="64"/>
          <bgColor indexed="65"/>
        </patternFill>
      </fill>
    </dxf>
    <dxf>
      <fill>
        <patternFill patternType="none">
          <fgColor indexed="64"/>
          <bgColor auto="1"/>
        </patternFill>
      </fill>
    </dxf>
    <dxf>
      <numFmt numFmtId="13" formatCode="0%"/>
      <fill>
        <patternFill patternType="none">
          <fgColor indexed="64"/>
          <bgColor auto="1"/>
        </patternFill>
      </fill>
    </dxf>
    <dxf>
      <font>
        <b/>
        <i val="0"/>
        <strike val="0"/>
        <condense val="0"/>
        <extend val="0"/>
        <outline val="0"/>
        <shadow val="0"/>
        <u val="none"/>
        <vertAlign val="baseline"/>
        <sz val="11"/>
        <color theme="0"/>
        <name val="Franklin Gothic Book"/>
        <family val="2"/>
        <scheme val="minor"/>
      </font>
      <numFmt numFmtId="13" formatCode="0%"/>
      <fill>
        <patternFill patternType="none">
          <fgColor theme="4"/>
          <bgColor auto="1"/>
        </patternFill>
      </fill>
    </dxf>
    <dxf>
      <numFmt numFmtId="166" formatCode="&quot;$&quot;#,##0.00"/>
      <fill>
        <patternFill patternType="none">
          <fgColor indexed="64"/>
          <bgColor indexed="65"/>
        </patternFill>
      </fill>
    </dxf>
    <dxf>
      <numFmt numFmtId="167" formatCode="&quot;$&quot;#,##0"/>
      <fill>
        <patternFill patternType="none">
          <fgColor indexed="64"/>
          <bgColor auto="1"/>
        </patternFill>
      </fill>
    </dxf>
    <dxf>
      <numFmt numFmtId="167" formatCode="&quot;$&quot;#,##0"/>
      <fill>
        <patternFill patternType="none">
          <fgColor indexed="64"/>
          <bgColor indexed="65"/>
        </patternFill>
      </fill>
    </dxf>
    <dxf>
      <numFmt numFmtId="167" formatCode="&quot;$&quot;#,##0"/>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64" formatCode="_(* #,##0_);_(* \(#,##0\);_(* &quot;-&quot;??_);_(@_)"/>
      <fill>
        <patternFill patternType="none">
          <fgColor indexed="64"/>
          <bgColor indexed="65"/>
        </patternFill>
      </fill>
    </dxf>
    <dxf>
      <numFmt numFmtId="164" formatCode="_(* #,##0_);_(* \(#,##0\);_(* &quot;-&quot;??_);_(@_)"/>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numFmt numFmtId="13" formatCode="0%"/>
      <fill>
        <patternFill patternType="none">
          <fgColor indexed="64"/>
          <bgColor auto="1"/>
        </patternFill>
      </fill>
    </dxf>
    <dxf>
      <numFmt numFmtId="13" formatCode="0%"/>
      <fill>
        <patternFill patternType="none">
          <fgColor indexed="64"/>
          <bgColor auto="1"/>
        </patternFill>
      </fill>
    </dxf>
    <dxf>
      <font>
        <b val="0"/>
        <i val="0"/>
        <strike val="0"/>
        <condense val="0"/>
        <extend val="0"/>
        <outline val="0"/>
        <shadow val="0"/>
        <u val="none"/>
        <vertAlign val="baseline"/>
        <sz val="10"/>
        <color theme="1"/>
        <name val="Franklin Gothic Book"/>
        <family val="2"/>
        <scheme val="minor"/>
      </font>
      <numFmt numFmtId="13" formatCode="0%"/>
      <alignment horizontal="center" vertical="bottom" textRotation="0" wrapText="0" indent="0" justifyLastLine="0" shrinkToFit="0" readingOrder="0"/>
    </dxf>
    <dxf>
      <font>
        <strike val="0"/>
        <outline val="0"/>
        <shadow val="0"/>
        <u val="none"/>
        <vertAlign val="baseline"/>
        <sz val="10"/>
        <name val="Franklin Gothic Book"/>
        <family val="2"/>
        <scheme val="minor"/>
      </font>
      <numFmt numFmtId="14" formatCode="0.00%"/>
      <fill>
        <patternFill patternType="none">
          <fgColor indexed="64"/>
          <bgColor indexed="65"/>
        </patternFill>
      </fill>
      <alignment horizontal="center" vertical="bottom" textRotation="0" wrapText="0" indent="0" justifyLastLine="0" shrinkToFit="0" readingOrder="0"/>
    </dxf>
    <dxf>
      <numFmt numFmtId="167" formatCode="&quot;$&quot;#,##0"/>
    </dxf>
    <dxf>
      <font>
        <strike val="0"/>
        <outline val="0"/>
        <shadow val="0"/>
        <u val="none"/>
        <vertAlign val="baseline"/>
        <sz val="10"/>
        <name val="Franklin Gothic Book"/>
        <family val="2"/>
        <scheme val="minor"/>
      </font>
      <numFmt numFmtId="166" formatCode="&quot;$&quot;#,##0.00"/>
      <fill>
        <patternFill patternType="none">
          <fgColor indexed="64"/>
          <bgColor indexed="65"/>
        </patternFill>
      </fill>
    </dxf>
    <dxf>
      <font>
        <b/>
        <i val="0"/>
        <strike val="0"/>
        <condense val="0"/>
        <extend val="0"/>
        <outline val="0"/>
        <shadow val="0"/>
        <u val="none"/>
        <vertAlign val="baseline"/>
        <sz val="10"/>
        <color theme="1"/>
        <name val="Franklin Gothic Book"/>
        <family val="2"/>
        <scheme val="minor"/>
      </font>
      <numFmt numFmtId="167" formatCode="&quot;$&quot;#,##0"/>
    </dxf>
    <dxf>
      <font>
        <strike val="0"/>
        <outline val="0"/>
        <shadow val="0"/>
        <u val="none"/>
        <vertAlign val="baseline"/>
        <sz val="10"/>
        <name val="Franklin Gothic Book"/>
        <family val="2"/>
        <scheme val="minor"/>
      </font>
      <numFmt numFmtId="167" formatCode="&quot;$&quot;#,##0"/>
      <fill>
        <patternFill patternType="none">
          <fgColor indexed="64"/>
          <bgColor indexed="65"/>
        </patternFill>
      </fill>
    </dxf>
    <dxf>
      <font>
        <b val="0"/>
        <i val="0"/>
        <strike val="0"/>
        <condense val="0"/>
        <extend val="0"/>
        <outline val="0"/>
        <shadow val="0"/>
        <u val="none"/>
        <vertAlign val="baseline"/>
        <sz val="10"/>
        <color auto="1"/>
        <name val="Franklin Gothic Book"/>
        <family val="2"/>
        <scheme val="minor"/>
      </font>
      <numFmt numFmtId="164" formatCode="_(* #,##0_);_(* \(#,##0\);_(* &quot;-&quot;??_);_(@_)"/>
      <fill>
        <patternFill patternType="none">
          <fgColor indexed="64"/>
          <bgColor indexed="65"/>
        </patternFill>
      </fill>
    </dxf>
    <dxf>
      <font>
        <b val="0"/>
        <strike val="0"/>
        <outline val="0"/>
        <shadow val="0"/>
        <u val="none"/>
        <vertAlign val="baseline"/>
        <sz val="10"/>
        <color auto="1"/>
        <name val="Franklin Gothic Book"/>
        <family val="2"/>
        <scheme val="minor"/>
      </font>
      <numFmt numFmtId="13" formatCode="0%"/>
      <fill>
        <patternFill patternType="none">
          <fgColor rgb="FF000000"/>
          <bgColor auto="1"/>
        </patternFill>
      </fill>
    </dxf>
    <dxf>
      <font>
        <b val="0"/>
        <i val="0"/>
        <strike val="0"/>
        <condense val="0"/>
        <extend val="0"/>
        <outline val="0"/>
        <shadow val="0"/>
        <u val="none"/>
        <vertAlign val="baseline"/>
        <sz val="10"/>
        <color theme="1"/>
        <name val="Franklin Gothic Book"/>
        <family val="2"/>
        <scheme val="minor"/>
      </font>
      <numFmt numFmtId="13" formatCode="0%"/>
    </dxf>
    <dxf>
      <font>
        <b val="0"/>
        <strike val="0"/>
        <outline val="0"/>
        <shadow val="0"/>
        <u val="none"/>
        <vertAlign val="baseline"/>
        <sz val="10"/>
        <color auto="1"/>
        <name val="Franklin Gothic Book"/>
        <family val="2"/>
        <scheme val="minor"/>
      </font>
      <numFmt numFmtId="164" formatCode="_(* #,##0_);_(* \(#,##0\);_(* &quot;-&quot;??_);_(@_)"/>
      <fill>
        <patternFill patternType="none">
          <fgColor indexed="64"/>
          <bgColor indexed="65"/>
        </patternFill>
      </fill>
    </dxf>
    <dxf>
      <font>
        <strike val="0"/>
        <outline val="0"/>
        <shadow val="0"/>
        <u val="none"/>
        <vertAlign val="baseline"/>
        <sz val="10"/>
        <name val="Franklin Gothic Book"/>
        <family val="2"/>
        <scheme val="minor"/>
      </font>
      <numFmt numFmtId="13" formatCode="0%"/>
    </dxf>
    <dxf>
      <font>
        <strike val="0"/>
        <outline val="0"/>
        <shadow val="0"/>
        <u val="none"/>
        <vertAlign val="baseline"/>
        <sz val="10"/>
        <name val="Franklin Gothic Book"/>
        <family val="2"/>
        <scheme val="minor"/>
      </font>
      <numFmt numFmtId="13" formatCode="0%"/>
      <fill>
        <patternFill patternType="none">
          <fgColor rgb="FF000000"/>
          <bgColor auto="1"/>
        </patternFill>
      </fill>
    </dxf>
    <dxf>
      <font>
        <b/>
        <i val="0"/>
        <strike val="0"/>
        <condense val="0"/>
        <extend val="0"/>
        <outline val="0"/>
        <shadow val="0"/>
        <u val="none"/>
        <vertAlign val="baseline"/>
        <sz val="10"/>
        <color theme="0"/>
        <name val="Franklin Gothic Book"/>
        <family val="2"/>
        <scheme val="minor"/>
      </font>
      <numFmt numFmtId="13" formatCode="0%"/>
      <fill>
        <patternFill patternType="none">
          <fgColor theme="4"/>
          <bgColor auto="1"/>
        </patternFill>
      </fill>
      <alignment horizontal="left" vertical="center" textRotation="0" indent="0" justifyLastLine="0" shrinkToFit="0" readingOrder="0"/>
    </dxf>
    <dxf>
      <border>
        <left style="thin">
          <color auto="1"/>
        </left>
        <right style="thin">
          <color auto="1"/>
        </right>
        <top style="double">
          <color auto="1"/>
        </top>
        <bottom style="thin">
          <color auto="1"/>
        </bottom>
        <horizontal style="thin">
          <color auto="1"/>
        </horizontal>
      </border>
    </dxf>
  </dxfs>
  <tableStyles count="1" defaultTableStyle="TableStyleMedium2" defaultPivotStyle="PivotStyleLight16">
    <tableStyle name="Table Style 1" pivot="0" count="1" xr9:uid="{B9544923-59FD-41F3-9C2E-BD2A892D16D3}">
      <tableStyleElement type="totalRow" dxfId="79"/>
    </tableStyle>
  </tableStyles>
  <colors>
    <mruColors>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FD7F966-E2F4-4464-B0F9-34443128A9F6}" name="FACDetail" displayName="FACDetail" ref="B6:G56" totalsRowCount="1" headerRowDxfId="78" dataDxfId="77" totalsRowDxfId="76">
  <autoFilter ref="B6:G55" xr:uid="{59FA4B9F-193D-4FF3-BC8E-B77526A0300E}"/>
  <sortState xmlns:xlrd2="http://schemas.microsoft.com/office/spreadsheetml/2017/richdata2" ref="B7:G55">
    <sortCondition ref="C7:C55"/>
    <sortCondition ref="B7:B55"/>
  </sortState>
  <tableColumns count="6">
    <tableColumn id="9" xr3:uid="{E7C6DF09-0E20-4DED-90DF-B6194AE2F6FA}" name="Jurisdiction" dataDxfId="75" totalsRowDxfId="74"/>
    <tableColumn id="8" xr3:uid="{4971C40A-7D39-4B4C-B609-E4A9361622A2}" name="Billing Entity" dataDxfId="73">
      <calculatedColumnFormula array="1">Waste Connections</calculatedColumnFormula>
    </tableColumn>
    <tableColumn id="11" xr3:uid="{F4E337AB-22AB-4EED-AF08-E45F3C870D34}" name="2022 - Reported Tons" dataDxfId="72" dataCellStyle="Comma"/>
    <tableColumn id="3" xr3:uid="{83B07921-0932-4F8B-80E5-70EAD917F86E}" name="2024 Annual FAC" totalsRowFunction="sum" dataDxfId="71" totalsRowDxfId="70"/>
    <tableColumn id="5" xr3:uid="{374F0EC9-390B-4201-AF57-BDA8FEE8B20D}" name="2024 Monthly Charge" dataDxfId="69" totalsRowDxfId="68"/>
    <tableColumn id="6" xr3:uid="{7D45DED0-48CF-42E0-B4F7-0343F1866AE6}" name="Overall FAC %" totalsRowFunction="sum" dataDxfId="67" totalsRowDxfId="66" dataCellStyle="Percent">
      <calculatedColumnFormula>FACDetail[[#This Row],[2024 Annual FAC]]/FACDetail[[#Totals],[2024 Annual FAC]]</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7D2676-3078-4132-89E8-1C9F59DCFAE3}" name="FACAccount" displayName="FACAccount" ref="B9:D17" totalsRowCount="1" headerRowDxfId="65" dataDxfId="64">
  <autoFilter ref="B9:D16" xr:uid="{BF7D2676-3078-4132-89E8-1C9F59DCFAE3}"/>
  <tableColumns count="3">
    <tableColumn id="1" xr3:uid="{7754EC24-CD4B-49CC-868E-08B062746F4C}" name="Commercial Hauler" totalsRowLabel="Total" dataDxfId="63" totalsRowDxfId="62"/>
    <tableColumn id="4" xr3:uid="{1186EECC-8889-4222-80E3-38762DD841D2}" name="2022 - Tons" totalsRowFunction="sum" dataDxfId="61" totalsRowDxfId="60"/>
    <tableColumn id="7" xr3:uid="{97106A09-8D38-461D-8F2C-7B7269C2D35D}" name="2022 - %" totalsRowFunction="sum" dataDxfId="59" totalsRowDxfId="58" dataCellStyle="Percent">
      <calculatedColumnFormula>FACAccount[[#This Row],[2022 - Tons]]/FACAccount[[#Totals],[2022 - Tons]]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4D5EF53-96BD-4F09-B2C3-0124D34D0215}" name="AccountAll" displayName="AccountAll" ref="F9:H17" totalsRowCount="1" headerRowDxfId="57" dataDxfId="56">
  <autoFilter ref="F9:H16" xr:uid="{34D5EF53-96BD-4F09-B2C3-0124D34D0215}"/>
  <tableColumns count="3">
    <tableColumn id="1" xr3:uid="{74705873-5D88-482A-867E-D7D63F6B212E}" name="FAC Allocation" totalsRowFunction="sum" dataDxfId="55" totalsRowDxfId="54">
      <calculatedColumnFormula>FACAccount[[#This Row],[2022 - %]]</calculatedColumnFormula>
    </tableColumn>
    <tableColumn id="2" xr3:uid="{443A6D5A-545A-4A34-ADFC-E902E9D5E2F6}" name="2024 Annual FAC" totalsRowFunction="sum" dataDxfId="53" totalsRowDxfId="52">
      <calculatedColumnFormula>FACAccount[[#This Row],[2022 - %]]*$C$6</calculatedColumnFormula>
    </tableColumn>
    <tableColumn id="3" xr3:uid="{7919EF18-5908-4236-B9AE-C242CDF31EE0}" name="2024 Monthly Charge" dataDxfId="51" totalsRowDxfId="50">
      <calculatedColumnFormula>ROUND(G10/12, 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9FA4B9F-193D-4FF3-BC8E-B77526A0300E}" name="FACRep" displayName="FACRep" ref="B25:D46" totalsRowCount="1" headerRowDxfId="49" dataDxfId="48">
  <autoFilter ref="B25:D45" xr:uid="{59FA4B9F-193D-4FF3-BC8E-B77526A0300E}"/>
  <tableColumns count="3">
    <tableColumn id="1" xr3:uid="{4CEE2C48-65BD-4584-9C37-136B183973FF}" name="Jurisdiction" totalsRowLabel="Total" dataDxfId="47" totalsRowDxfId="46"/>
    <tableColumn id="4" xr3:uid="{974B5EF7-D9CF-4FA8-A331-FC13F70591ED}" name="2022 - Tons" totalsRowFunction="sum" dataDxfId="45" totalsRowDxfId="44" dataCellStyle="Comma"/>
    <tableColumn id="7" xr3:uid="{48CC6723-4F4B-4D84-B68C-EF131E0269BE}" name="2022 - %" totalsRowFunction="sum" dataDxfId="43" totalsRowDxfId="42" dataCellStyle="Percent">
      <calculatedColumnFormula>FACRep[[#This Row],[2022 - Tons]]/FACRep[[#Totals],[2022 - Tons]]</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FB6084A-1358-44D8-A108-A248261B72C5}" name="RepAllo" displayName="RepAllo" ref="F25:H46" totalsRowCount="1" headerRowDxfId="41" dataDxfId="39" headerRowBorderDxfId="40" tableBorderDxfId="38">
  <autoFilter ref="F25:H45" xr:uid="{1FB6084A-1358-44D8-A108-A248261B72C5}"/>
  <tableColumns count="3">
    <tableColumn id="1" xr3:uid="{D89CCB13-8863-42D7-916F-2AA9BF01E97A}" name="FAC Allocation" totalsRowFunction="sum" totalsRowDxfId="37" totalsRowCellStyle="Percent">
      <calculatedColumnFormula>FACRep[[#This Row],[2022 - %]]</calculatedColumnFormula>
    </tableColumn>
    <tableColumn id="2" xr3:uid="{AEF8C8D9-3C71-4BAF-A504-ECF09DB2169A}" name="2024 Annual FAC" totalsRowFunction="sum" totalsRowDxfId="36">
      <calculatedColumnFormula>F26*$C$23</calculatedColumnFormula>
    </tableColumn>
    <tableColumn id="3" xr3:uid="{E5C1F24C-F7A3-44F1-AA20-217880807068}" name="2024 Monthly Charge" totalsRowFunction="sum" dataDxfId="35" totalsRowDxfId="34">
      <calculatedColumnFormula>ROUND(G26/12, 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03190DD-8BBB-445B-BD88-910F1A19F5BB}" name="FACWM" displayName="FACWM" ref="B50:D67" totalsRowCount="1" headerRowDxfId="33" dataDxfId="32">
  <autoFilter ref="B50:D66" xr:uid="{703190DD-8BBB-445B-BD88-910F1A19F5BB}"/>
  <tableColumns count="3">
    <tableColumn id="1" xr3:uid="{CFAF96D9-42D5-42C2-95A8-D017EB3E4F6D}" name="Jurisdiction" totalsRowLabel="Total" dataDxfId="31" totalsRowDxfId="30"/>
    <tableColumn id="4" xr3:uid="{3865901E-862D-42B8-966B-2077BF0705B7}" name="2022 - Tons" totalsRowFunction="sum" dataDxfId="29" totalsRowDxfId="28" dataCellStyle="Comma"/>
    <tableColumn id="7" xr3:uid="{60B13275-EBD7-427F-B6E3-0921FC0FA7BE}" name="2022 - %" totalsRowFunction="sum" dataDxfId="27" totalsRowDxfId="26" dataCellStyle="Percent">
      <calculatedColumnFormula>FACWM[[#This Row],[2022 - Tons]]/FACWM[[#Totals],[2022 - Tons]]</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73A4092-96D2-43E6-B304-CC11F50CA508}" name="WMAll" displayName="WMAll" ref="F50:H67" totalsRowCount="1" headerRowDxfId="25" dataDxfId="23" headerRowBorderDxfId="24">
  <autoFilter ref="F50:H66" xr:uid="{373A4092-96D2-43E6-B304-CC11F50CA508}"/>
  <tableColumns count="3">
    <tableColumn id="1" xr3:uid="{25B62DD0-8CCB-4E3E-882A-9C5997998794}" name="FAC Allocation" totalsRowFunction="sum" dataDxfId="22" totalsRowDxfId="21">
      <calculatedColumnFormula>FACWM[[#This Row],[2022 - %]]</calculatedColumnFormula>
    </tableColumn>
    <tableColumn id="2" xr3:uid="{A9DBAE81-7F00-416D-B077-9B32DE92CCA7}" name="2024 Annual FAC" totalsRowFunction="sum" dataDxfId="20" totalsRowDxfId="19">
      <calculatedColumnFormula>F51*$C$48</calculatedColumnFormula>
    </tableColumn>
    <tableColumn id="3" xr3:uid="{D8CC09E1-4F10-4E08-9C4E-EE8E1020E4DC}" name="2024 Monthly Charge" totalsRowFunction="sum" dataDxfId="18" totalsRowDxfId="17">
      <calculatedColumnFormula>ROUND(G51/12, 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5AEB3BD-2F5F-4A75-BA9E-2BD33E8A6BEF}" name="FACREc" displayName="FACREc" ref="B71:D81" totalsRowCount="1" headerRowDxfId="16" dataDxfId="15">
  <autoFilter ref="B71:D80" xr:uid="{05AEB3BD-2F5F-4A75-BA9E-2BD33E8A6BEF}"/>
  <tableColumns count="3">
    <tableColumn id="1" xr3:uid="{0D5B7389-6E0A-470D-92A8-AFE414A3DA47}" name="Jurisdiction" totalsRowLabel="Total" dataDxfId="14" totalsRowDxfId="13"/>
    <tableColumn id="4" xr3:uid="{60414755-8B49-4EB2-BB12-326056629231}" name="2022 - Tons" totalsRowFunction="sum" dataDxfId="12" totalsRowDxfId="11" dataCellStyle="Comma"/>
    <tableColumn id="7" xr3:uid="{B1825B8F-44E8-4B96-BA7C-D914EB220580}" name="2022 - %" totalsRowFunction="sum" dataDxfId="10" totalsRowDxfId="9" dataCellStyle="Percent">
      <calculatedColumnFormula>FACREc[[#This Row],[2022 - Tons]]/FACREc[[#Totals],[2022 - Tons]]</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CB1138-AB6B-499E-BF1D-35759348DB86}" name="RecAll" displayName="RecAll" ref="F71:H81" totalsRowCount="1" headerRowDxfId="8" dataDxfId="6" headerRowBorderDxfId="7">
  <autoFilter ref="F71:H80" xr:uid="{5CCB1138-AB6B-499E-BF1D-35759348DB86}"/>
  <tableColumns count="3">
    <tableColumn id="1" xr3:uid="{AF5CD76B-76C4-4128-813C-C66639233D8E}" name="FAC Allocation" totalsRowFunction="sum" dataDxfId="5" totalsRowDxfId="4">
      <calculatedColumnFormula>FACREc[[#This Row],[2022 - %]]</calculatedColumnFormula>
    </tableColumn>
    <tableColumn id="2" xr3:uid="{71AEC63C-4458-438A-943C-025C2E6025E2}" name="2024 Annual FAC" totalsRowFunction="sum" dataDxfId="3" totalsRowDxfId="2">
      <calculatedColumnFormula>F72*$C$69</calculatedColumnFormula>
    </tableColumn>
    <tableColumn id="3" xr3:uid="{2F3E27CB-1234-440B-BF5D-44EB99F47CAB}" name="2024 Monthly Charge" totalsRowFunction="sum" dataDxfId="1" totalsRowDxfId="0">
      <calculatedColumnFormula>ROUND(G72/12, 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swd lindy">
  <a:themeElements>
    <a:clrScheme name="Custom 3">
      <a:dk1>
        <a:sysClr val="windowText" lastClr="000000"/>
      </a:dk1>
      <a:lt1>
        <a:sysClr val="window" lastClr="FFFFFF"/>
      </a:lt1>
      <a:dk2>
        <a:srgbClr val="2B3772"/>
      </a:dk2>
      <a:lt2>
        <a:srgbClr val="D8D8D8"/>
      </a:lt2>
      <a:accent1>
        <a:srgbClr val="2B3772"/>
      </a:accent1>
      <a:accent2>
        <a:srgbClr val="81B530"/>
      </a:accent2>
      <a:accent3>
        <a:srgbClr val="91BED9"/>
      </a:accent3>
      <a:accent4>
        <a:srgbClr val="DE7D2D"/>
      </a:accent4>
      <a:accent5>
        <a:srgbClr val="EEB91E"/>
      </a:accent5>
      <a:accent6>
        <a:srgbClr val="DE7D2D"/>
      </a:accent6>
      <a:hlink>
        <a:srgbClr val="2A639A"/>
      </a:hlink>
      <a:folHlink>
        <a:srgbClr val="2B3978"/>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SWD template" id="{25159D02-50AE-412D-A491-9A1284C0309B}" vid="{07D36638-D1E6-45C7-8630-C2D6F162AA66}"/>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6F46-723D-41B1-9CA1-1E82FD02DCC0}">
  <sheetPr>
    <tabColor theme="3" tint="0.39997558519241921"/>
  </sheetPr>
  <dimension ref="A2:K77"/>
  <sheetViews>
    <sheetView tabSelected="1" topLeftCell="A13" zoomScaleNormal="100" workbookViewId="0">
      <selection activeCell="E41" sqref="E41"/>
    </sheetView>
  </sheetViews>
  <sheetFormatPr defaultColWidth="8.77734375" defaultRowHeight="13.5" x14ac:dyDescent="0.25"/>
  <cols>
    <col min="1" max="1" width="2.21875" style="51" customWidth="1"/>
    <col min="2" max="2" width="24.33203125" style="51" customWidth="1"/>
    <col min="3" max="3" width="15.5546875" style="51" customWidth="1"/>
    <col min="4" max="4" width="14.33203125" style="51" customWidth="1"/>
    <col min="5" max="5" width="13.5546875" style="51" customWidth="1"/>
    <col min="6" max="6" width="13.6640625" style="51" customWidth="1"/>
    <col min="7" max="7" width="10.33203125" style="51" customWidth="1"/>
    <col min="8" max="8" width="11.6640625" style="51" customWidth="1"/>
    <col min="9" max="9" width="1.88671875" style="51" customWidth="1"/>
    <col min="10" max="10" width="10.6640625" style="53" bestFit="1" customWidth="1"/>
    <col min="11" max="11" width="12.44140625" style="51" bestFit="1" customWidth="1"/>
    <col min="12" max="12" width="15.21875" style="51" customWidth="1"/>
    <col min="13" max="16384" width="8.77734375" style="51"/>
  </cols>
  <sheetData>
    <row r="2" spans="1:11" ht="19.5" x14ac:dyDescent="0.35">
      <c r="A2" s="52"/>
      <c r="B2" s="65" t="s">
        <v>49</v>
      </c>
    </row>
    <row r="4" spans="1:11" ht="28.15" customHeight="1" x14ac:dyDescent="0.3">
      <c r="B4" s="107" t="s">
        <v>82</v>
      </c>
      <c r="C4" s="107"/>
      <c r="D4" s="107"/>
      <c r="E4" s="107"/>
      <c r="F4" s="107"/>
      <c r="G4" s="107"/>
      <c r="H4" s="54"/>
    </row>
    <row r="6" spans="1:11" ht="32.450000000000003" customHeight="1" x14ac:dyDescent="0.25">
      <c r="B6" s="83" t="s">
        <v>0</v>
      </c>
      <c r="C6" s="84" t="s">
        <v>73</v>
      </c>
      <c r="D6" s="84" t="s">
        <v>74</v>
      </c>
      <c r="E6" s="84" t="s">
        <v>53</v>
      </c>
      <c r="F6" s="84" t="s">
        <v>54</v>
      </c>
      <c r="G6" s="85" t="s">
        <v>62</v>
      </c>
      <c r="H6" s="98" t="s">
        <v>92</v>
      </c>
      <c r="J6" s="98" t="s">
        <v>94</v>
      </c>
      <c r="K6" s="87" t="s">
        <v>93</v>
      </c>
    </row>
    <row r="7" spans="1:11" x14ac:dyDescent="0.25">
      <c r="B7" s="74" t="s">
        <v>43</v>
      </c>
      <c r="C7" s="59" t="s">
        <v>44</v>
      </c>
      <c r="D7" s="75">
        <f>'FAC Allocation'!C14</f>
        <v>5845.16</v>
      </c>
      <c r="E7" s="60">
        <f>'FAC Allocation'!G14</f>
        <v>194498.11277822085</v>
      </c>
      <c r="F7" s="60">
        <f>'FAC Allocation'!H14</f>
        <v>16208</v>
      </c>
      <c r="G7" s="61">
        <f>FACDetail[[#This Row],[2024 Annual FAC]]/FACDetail[[#Totals],[2024 Annual FAC]]</f>
        <v>8.6007144268554717E-3</v>
      </c>
      <c r="H7" s="97">
        <f>+FACDetail[[#This Row],[2024 Annual FAC]]/FACDetail[[#This Row],[2022 - Reported Tons]]</f>
        <v>33.275070789887849</v>
      </c>
      <c r="J7" s="100">
        <f>+'FAC Allocation'!$H$7</f>
        <v>150.83000000000001</v>
      </c>
      <c r="K7" s="101">
        <f>+J7+H7</f>
        <v>184.10507078988786</v>
      </c>
    </row>
    <row r="8" spans="1:11" x14ac:dyDescent="0.25">
      <c r="B8" s="74" t="s">
        <v>8</v>
      </c>
      <c r="C8" s="59" t="s">
        <v>18</v>
      </c>
      <c r="D8" s="75">
        <f>'FAC Allocation'!C72</f>
        <v>16697.920000000002</v>
      </c>
      <c r="E8" s="60">
        <f>'FAC Allocation'!G72</f>
        <v>568264.17190234677</v>
      </c>
      <c r="F8" s="60">
        <f>'FAC Allocation'!H72</f>
        <v>47355</v>
      </c>
      <c r="G8" s="61">
        <f>FACDetail[[#This Row],[2024 Annual FAC]]/FACDetail[[#Totals],[2024 Annual FAC]]</f>
        <v>2.512866470390181E-2</v>
      </c>
      <c r="H8" s="97">
        <f>+FACDetail[[#This Row],[2024 Annual FAC]]/FACDetail[[#This Row],[2022 - Reported Tons]]</f>
        <v>34.032033445024695</v>
      </c>
      <c r="J8" s="100">
        <f>+'FAC Allocation'!$H$7</f>
        <v>150.83000000000001</v>
      </c>
      <c r="K8" s="101">
        <f t="shared" ref="K8:K55" si="0">+J8+H8</f>
        <v>184.86203344502471</v>
      </c>
    </row>
    <row r="9" spans="1:11" x14ac:dyDescent="0.25">
      <c r="B9" s="74" t="s">
        <v>19</v>
      </c>
      <c r="C9" s="59" t="s">
        <v>18</v>
      </c>
      <c r="D9" s="75">
        <f>'FAC Allocation'!C73</f>
        <v>20163.750000000004</v>
      </c>
      <c r="E9" s="60">
        <f>'FAC Allocation'!G73</f>
        <v>686213.41437711671</v>
      </c>
      <c r="F9" s="60">
        <f>'FAC Allocation'!H73</f>
        <v>57184</v>
      </c>
      <c r="G9" s="61">
        <f>FACDetail[[#This Row],[2024 Annual FAC]]/FACDetail[[#Totals],[2024 Annual FAC]]</f>
        <v>3.0344384984674747E-2</v>
      </c>
      <c r="H9" s="97">
        <f>+FACDetail[[#This Row],[2024 Annual FAC]]/FACDetail[[#This Row],[2022 - Reported Tons]]</f>
        <v>34.032033445024688</v>
      </c>
      <c r="J9" s="100">
        <f>+'FAC Allocation'!$H$7</f>
        <v>150.83000000000001</v>
      </c>
      <c r="K9" s="101">
        <f t="shared" si="0"/>
        <v>184.86203344502471</v>
      </c>
    </row>
    <row r="10" spans="1:11" x14ac:dyDescent="0.25">
      <c r="B10" s="74" t="s">
        <v>20</v>
      </c>
      <c r="C10" s="59" t="s">
        <v>18</v>
      </c>
      <c r="D10" s="75">
        <f>'FAC Allocation'!C74</f>
        <v>844.30999999999983</v>
      </c>
      <c r="E10" s="60">
        <f>'FAC Allocation'!G74</f>
        <v>28733.586157968795</v>
      </c>
      <c r="F10" s="60">
        <f>'FAC Allocation'!H74</f>
        <v>2394</v>
      </c>
      <c r="G10" s="61">
        <f>FACDetail[[#This Row],[2024 Annual FAC]]/FACDetail[[#Totals],[2024 Annual FAC]]</f>
        <v>1.2706003440040037E-3</v>
      </c>
      <c r="H10" s="97">
        <f>+FACDetail[[#This Row],[2024 Annual FAC]]/FACDetail[[#This Row],[2022 - Reported Tons]]</f>
        <v>34.032033445024695</v>
      </c>
      <c r="J10" s="100">
        <f>+'FAC Allocation'!$H$7</f>
        <v>150.83000000000001</v>
      </c>
      <c r="K10" s="101">
        <f t="shared" si="0"/>
        <v>184.86203344502471</v>
      </c>
    </row>
    <row r="11" spans="1:11" x14ac:dyDescent="0.25">
      <c r="B11" s="74" t="s">
        <v>21</v>
      </c>
      <c r="C11" s="59" t="s">
        <v>18</v>
      </c>
      <c r="D11" s="75">
        <f>'FAC Allocation'!C75</f>
        <v>12920.869999999995</v>
      </c>
      <c r="E11" s="60">
        <f>'FAC Allocation'!G75</f>
        <v>439723.47997881606</v>
      </c>
      <c r="F11" s="60">
        <f>'FAC Allocation'!H75</f>
        <v>36644</v>
      </c>
      <c r="G11" s="61">
        <f>FACDetail[[#This Row],[2024 Annual FAC]]/FACDetail[[#Totals],[2024 Annual FAC]]</f>
        <v>1.944459009940781E-2</v>
      </c>
      <c r="H11" s="97">
        <f>+FACDetail[[#This Row],[2024 Annual FAC]]/FACDetail[[#This Row],[2022 - Reported Tons]]</f>
        <v>34.032033445024695</v>
      </c>
      <c r="I11" s="53"/>
      <c r="J11" s="100">
        <f>+'FAC Allocation'!$H$7</f>
        <v>150.83000000000001</v>
      </c>
      <c r="K11" s="101">
        <f t="shared" si="0"/>
        <v>184.86203344502471</v>
      </c>
    </row>
    <row r="12" spans="1:11" x14ac:dyDescent="0.25">
      <c r="B12" s="74" t="s">
        <v>22</v>
      </c>
      <c r="C12" s="59" t="s">
        <v>18</v>
      </c>
      <c r="D12" s="75">
        <f>'FAC Allocation'!C76</f>
        <v>18382.064000000002</v>
      </c>
      <c r="E12" s="60">
        <f>'FAC Allocation'!G76</f>
        <v>625579.01683658443</v>
      </c>
      <c r="F12" s="60">
        <f>'FAC Allocation'!H76</f>
        <v>52132</v>
      </c>
      <c r="G12" s="61">
        <f>FACDetail[[#This Row],[2024 Annual FAC]]/FACDetail[[#Totals],[2024 Annual FAC]]</f>
        <v>2.7663129468919731E-2</v>
      </c>
      <c r="H12" s="97">
        <f>+FACDetail[[#This Row],[2024 Annual FAC]]/FACDetail[[#This Row],[2022 - Reported Tons]]</f>
        <v>34.032033445024695</v>
      </c>
      <c r="I12" s="53"/>
      <c r="J12" s="100">
        <f>+'FAC Allocation'!$H$7</f>
        <v>150.83000000000001</v>
      </c>
      <c r="K12" s="101">
        <f t="shared" si="0"/>
        <v>184.86203344502471</v>
      </c>
    </row>
    <row r="13" spans="1:11" x14ac:dyDescent="0.25">
      <c r="B13" s="74" t="s">
        <v>23</v>
      </c>
      <c r="C13" s="59" t="s">
        <v>18</v>
      </c>
      <c r="D13" s="75">
        <f>'FAC Allocation'!C77</f>
        <v>9147.18</v>
      </c>
      <c r="E13" s="60">
        <f>'FAC Allocation'!G77</f>
        <v>311297.13568766101</v>
      </c>
      <c r="F13" s="60">
        <f>'FAC Allocation'!H77</f>
        <v>25941</v>
      </c>
      <c r="G13" s="61">
        <f>FACDetail[[#This Row],[2024 Annual FAC]]/FACDetail[[#Totals],[2024 Annual FAC]]</f>
        <v>1.3765571951850086E-2</v>
      </c>
      <c r="H13" s="97">
        <f>+FACDetail[[#This Row],[2024 Annual FAC]]/FACDetail[[#This Row],[2022 - Reported Tons]]</f>
        <v>34.032033445024695</v>
      </c>
      <c r="I13" s="53"/>
      <c r="J13" s="100">
        <f>+'FAC Allocation'!$H$7</f>
        <v>150.83000000000001</v>
      </c>
      <c r="K13" s="101">
        <f t="shared" si="0"/>
        <v>184.86203344502471</v>
      </c>
    </row>
    <row r="14" spans="1:11" x14ac:dyDescent="0.25">
      <c r="B14" s="74" t="s">
        <v>24</v>
      </c>
      <c r="C14" s="59" t="s">
        <v>18</v>
      </c>
      <c r="D14" s="75">
        <f>'FAC Allocation'!C78</f>
        <v>6564.6060000000007</v>
      </c>
      <c r="E14" s="60">
        <f>'FAC Allocation'!G78</f>
        <v>223406.8909454098</v>
      </c>
      <c r="F14" s="60">
        <f>'FAC Allocation'!H78</f>
        <v>18617</v>
      </c>
      <c r="G14" s="61">
        <f>FACDetail[[#This Row],[2024 Annual FAC]]/FACDetail[[#Totals],[2024 Annual FAC]]</f>
        <v>9.8790617686048358E-3</v>
      </c>
      <c r="H14" s="97">
        <f>+FACDetail[[#This Row],[2024 Annual FAC]]/FACDetail[[#This Row],[2022 - Reported Tons]]</f>
        <v>34.032033445024695</v>
      </c>
      <c r="I14" s="53"/>
      <c r="J14" s="100">
        <f>+'FAC Allocation'!$H$7</f>
        <v>150.83000000000001</v>
      </c>
      <c r="K14" s="101">
        <f t="shared" si="0"/>
        <v>184.86203344502471</v>
      </c>
    </row>
    <row r="15" spans="1:11" x14ac:dyDescent="0.25">
      <c r="B15" s="74" t="s">
        <v>77</v>
      </c>
      <c r="C15" s="59" t="s">
        <v>18</v>
      </c>
      <c r="D15" s="78">
        <f>'FAC Allocation'!C39</f>
        <v>4363.1049002420195</v>
      </c>
      <c r="E15" s="77">
        <f>'FAC Allocation'!G39/12*9</f>
        <v>107591.96572854582</v>
      </c>
      <c r="F15" s="60">
        <f>'FAC Allocation'!H39</f>
        <v>11955</v>
      </c>
      <c r="G15" s="61">
        <f>FACDetail[[#This Row],[2024 Annual FAC]]/FACDetail[[#Totals],[2024 Annual FAC]]</f>
        <v>4.7577210834451999E-3</v>
      </c>
      <c r="H15" s="97">
        <f>+FACDetail[[#This Row],[2024 Annual FAC]]/FACDetail[[#This Row],[2022 - Reported Tons]]</f>
        <v>24.659495517189548</v>
      </c>
      <c r="J15" s="100">
        <f>+'FAC Allocation'!$H$7</f>
        <v>150.83000000000001</v>
      </c>
      <c r="K15" s="101">
        <f t="shared" si="0"/>
        <v>175.48949551718957</v>
      </c>
    </row>
    <row r="16" spans="1:11" x14ac:dyDescent="0.25">
      <c r="B16" s="74" t="s">
        <v>25</v>
      </c>
      <c r="C16" s="59" t="s">
        <v>18</v>
      </c>
      <c r="D16" s="75">
        <f>'FAC Allocation'!C79</f>
        <v>29916.909999999996</v>
      </c>
      <c r="E16" s="60">
        <f>'FAC Allocation'!G79</f>
        <v>1018133.2816917936</v>
      </c>
      <c r="F16" s="60">
        <f>'FAC Allocation'!H79</f>
        <v>84844</v>
      </c>
      <c r="G16" s="61">
        <f>FACDetail[[#This Row],[2024 Annual FAC]]/FACDetail[[#Totals],[2024 Annual FAC]]</f>
        <v>4.5021894964570854E-2</v>
      </c>
      <c r="H16" s="97">
        <f>+FACDetail[[#This Row],[2024 Annual FAC]]/FACDetail[[#This Row],[2022 - Reported Tons]]</f>
        <v>34.032033445024695</v>
      </c>
      <c r="J16" s="100">
        <f>+'FAC Allocation'!$H$7</f>
        <v>150.83000000000001</v>
      </c>
      <c r="K16" s="101">
        <f t="shared" si="0"/>
        <v>184.86203344502471</v>
      </c>
    </row>
    <row r="17" spans="2:11" x14ac:dyDescent="0.25">
      <c r="B17" s="55" t="s">
        <v>26</v>
      </c>
      <c r="C17" s="59" t="s">
        <v>18</v>
      </c>
      <c r="D17" s="75">
        <f>'FAC Allocation'!C80</f>
        <v>18947.510000000006</v>
      </c>
      <c r="E17" s="60">
        <f>'FAC Allocation'!G80</f>
        <v>644822.29401993996</v>
      </c>
      <c r="F17" s="60">
        <f>'FAC Allocation'!H80</f>
        <v>53735</v>
      </c>
      <c r="G17" s="61">
        <f>FACDetail[[#This Row],[2024 Annual FAC]]/FACDetail[[#Totals],[2024 Annual FAC]]</f>
        <v>2.8514067965580543E-2</v>
      </c>
      <c r="H17" s="97">
        <f>+FACDetail[[#This Row],[2024 Annual FAC]]/FACDetail[[#This Row],[2022 - Reported Tons]]</f>
        <v>34.032033445024688</v>
      </c>
      <c r="J17" s="100">
        <f>+'FAC Allocation'!$H$7</f>
        <v>150.83000000000001</v>
      </c>
      <c r="K17" s="101">
        <f t="shared" si="0"/>
        <v>184.86203344502471</v>
      </c>
    </row>
    <row r="18" spans="2:11" x14ac:dyDescent="0.25">
      <c r="B18" s="74" t="s">
        <v>3</v>
      </c>
      <c r="C18" s="59" t="s">
        <v>27</v>
      </c>
      <c r="D18" s="75">
        <f>'FAC Allocation'!C26</f>
        <v>70.726845556564811</v>
      </c>
      <c r="E18" s="60">
        <f>'FAC Allocation'!G26</f>
        <v>2325.451107929423</v>
      </c>
      <c r="F18" s="60">
        <f>'FAC Allocation'!H26</f>
        <v>194</v>
      </c>
      <c r="G18" s="61">
        <f>FACDetail[[#This Row],[2024 Annual FAC]]/FACDetail[[#Totals],[2024 Annual FAC]]</f>
        <v>1.0283154220484146E-4</v>
      </c>
      <c r="H18" s="97">
        <f>+FACDetail[[#This Row],[2024 Annual FAC]]/FACDetail[[#This Row],[2022 - Reported Tons]]</f>
        <v>32.879327356252723</v>
      </c>
      <c r="J18" s="100">
        <f>+'FAC Allocation'!$H$7</f>
        <v>150.83000000000001</v>
      </c>
      <c r="K18" s="101">
        <f t="shared" si="0"/>
        <v>183.70932735625274</v>
      </c>
    </row>
    <row r="19" spans="2:11" x14ac:dyDescent="0.25">
      <c r="B19" s="74" t="s">
        <v>22</v>
      </c>
      <c r="C19" s="59" t="s">
        <v>27</v>
      </c>
      <c r="D19" s="75">
        <f>'FAC Allocation'!C33</f>
        <v>41.339999999999996</v>
      </c>
      <c r="E19" s="60">
        <f>'FAC Allocation'!G33</f>
        <v>1359.2313929074876</v>
      </c>
      <c r="F19" s="60">
        <f>'FAC Allocation'!H33</f>
        <v>113</v>
      </c>
      <c r="G19" s="61">
        <f>FACDetail[[#This Row],[2024 Annual FAC]]/FACDetail[[#Totals],[2024 Annual FAC]]</f>
        <v>6.010526726161288E-5</v>
      </c>
      <c r="H19" s="97">
        <f>+FACDetail[[#This Row],[2024 Annual FAC]]/FACDetail[[#This Row],[2022 - Reported Tons]]</f>
        <v>32.879327356252723</v>
      </c>
      <c r="J19" s="100">
        <f>+'FAC Allocation'!$H$7</f>
        <v>150.83000000000001</v>
      </c>
      <c r="K19" s="101">
        <f t="shared" si="0"/>
        <v>183.70932735625274</v>
      </c>
    </row>
    <row r="20" spans="2:11" x14ac:dyDescent="0.25">
      <c r="B20" s="74" t="s">
        <v>24</v>
      </c>
      <c r="C20" s="59" t="s">
        <v>27</v>
      </c>
      <c r="D20" s="75">
        <f>'FAC Allocation'!C38</f>
        <v>28.78</v>
      </c>
      <c r="E20" s="60">
        <f>'FAC Allocation'!G38</f>
        <v>946.26704131295355</v>
      </c>
      <c r="F20" s="60">
        <f>'FAC Allocation'!H38</f>
        <v>79</v>
      </c>
      <c r="G20" s="61">
        <f>FACDetail[[#This Row],[2024 Annual FAC]]/FACDetail[[#Totals],[2024 Annual FAC]]</f>
        <v>4.1843966903464418E-5</v>
      </c>
      <c r="H20" s="97">
        <f>+FACDetail[[#This Row],[2024 Annual FAC]]/FACDetail[[#This Row],[2022 - Reported Tons]]</f>
        <v>32.87932735625273</v>
      </c>
      <c r="J20" s="100">
        <f>+'FAC Allocation'!$H$7</f>
        <v>150.83000000000001</v>
      </c>
      <c r="K20" s="101">
        <f t="shared" si="0"/>
        <v>183.70932735625274</v>
      </c>
    </row>
    <row r="21" spans="2:11" x14ac:dyDescent="0.25">
      <c r="B21" s="74" t="s">
        <v>37</v>
      </c>
      <c r="C21" s="59" t="s">
        <v>27</v>
      </c>
      <c r="D21" s="75">
        <f>'FAC Allocation'!C40</f>
        <v>80.42</v>
      </c>
      <c r="E21" s="60">
        <f>'FAC Allocation'!G40</f>
        <v>2644.1555059898442</v>
      </c>
      <c r="F21" s="60">
        <f>'FAC Allocation'!H40</f>
        <v>220</v>
      </c>
      <c r="G21" s="61">
        <f>FACDetail[[#This Row],[2024 Annual FAC]]/FACDetail[[#Totals],[2024 Annual FAC]]</f>
        <v>1.1692466359890924E-4</v>
      </c>
      <c r="H21" s="97">
        <f>+FACDetail[[#This Row],[2024 Annual FAC]]/FACDetail[[#This Row],[2022 - Reported Tons]]</f>
        <v>32.879327356252723</v>
      </c>
      <c r="J21" s="100">
        <f>+'FAC Allocation'!$H$7</f>
        <v>150.83000000000001</v>
      </c>
      <c r="K21" s="101">
        <f t="shared" si="0"/>
        <v>183.70932735625274</v>
      </c>
    </row>
    <row r="22" spans="2:11" x14ac:dyDescent="0.25">
      <c r="B22" s="55" t="s">
        <v>29</v>
      </c>
      <c r="C22" s="59" t="s">
        <v>75</v>
      </c>
      <c r="D22" s="75">
        <f>'FAC Allocation'!C27</f>
        <v>76.010888385396584</v>
      </c>
      <c r="E22" s="60">
        <f>'FAC Allocation'!G27</f>
        <v>2499.1868818630428</v>
      </c>
      <c r="F22" s="60">
        <f>'FAC Allocation'!H27</f>
        <v>208</v>
      </c>
      <c r="G22" s="61">
        <f>FACDetail[[#This Row],[2024 Annual FAC]]/FACDetail[[#Totals],[2024 Annual FAC]]</f>
        <v>1.1051414516683331E-4</v>
      </c>
      <c r="H22" s="97">
        <f>+FACDetail[[#This Row],[2024 Annual FAC]]/FACDetail[[#This Row],[2022 - Reported Tons]]</f>
        <v>32.87932735625273</v>
      </c>
      <c r="J22" s="100">
        <f>+'FAC Allocation'!$H$7</f>
        <v>150.83000000000001</v>
      </c>
      <c r="K22" s="101">
        <f t="shared" si="0"/>
        <v>183.70932735625274</v>
      </c>
    </row>
    <row r="23" spans="2:11" x14ac:dyDescent="0.25">
      <c r="B23" s="55" t="s">
        <v>31</v>
      </c>
      <c r="C23" s="59" t="s">
        <v>75</v>
      </c>
      <c r="D23" s="75">
        <f>'FAC Allocation'!C28</f>
        <v>64855.155153157277</v>
      </c>
      <c r="E23" s="60">
        <f>'FAC Allocation'!G28</f>
        <v>2132393.8770212191</v>
      </c>
      <c r="F23" s="60">
        <f>'FAC Allocation'!H28</f>
        <v>177699</v>
      </c>
      <c r="G23" s="61">
        <f>FACDetail[[#This Row],[2024 Annual FAC]]/FACDetail[[#Totals],[2024 Annual FAC]]</f>
        <v>9.4294543632653327E-2</v>
      </c>
      <c r="H23" s="97">
        <f>+FACDetail[[#This Row],[2024 Annual FAC]]/FACDetail[[#This Row],[2022 - Reported Tons]]</f>
        <v>32.87932735625273</v>
      </c>
      <c r="J23" s="100">
        <f>+'FAC Allocation'!$H$7</f>
        <v>150.83000000000001</v>
      </c>
      <c r="K23" s="101">
        <f t="shared" si="0"/>
        <v>183.70932735625274</v>
      </c>
    </row>
    <row r="24" spans="2:11" x14ac:dyDescent="0.25">
      <c r="B24" s="55" t="s">
        <v>32</v>
      </c>
      <c r="C24" s="59" t="s">
        <v>75</v>
      </c>
      <c r="D24" s="75">
        <f>'FAC Allocation'!C30</f>
        <v>910.63742150233088</v>
      </c>
      <c r="E24" s="60">
        <f>'FAC Allocation'!G30</f>
        <v>29941.145884429036</v>
      </c>
      <c r="F24" s="60">
        <f>'FAC Allocation'!H30</f>
        <v>2495</v>
      </c>
      <c r="G24" s="61">
        <f>FACDetail[[#This Row],[2024 Annual FAC]]/FACDetail[[#Totals],[2024 Annual FAC]]</f>
        <v>1.3239986840305666E-3</v>
      </c>
      <c r="H24" s="97">
        <f>+FACDetail[[#This Row],[2024 Annual FAC]]/FACDetail[[#This Row],[2022 - Reported Tons]]</f>
        <v>32.87932735625273</v>
      </c>
      <c r="J24" s="100">
        <f>+'FAC Allocation'!$H$7</f>
        <v>150.83000000000001</v>
      </c>
      <c r="K24" s="101">
        <f t="shared" si="0"/>
        <v>183.70932735625274</v>
      </c>
    </row>
    <row r="25" spans="2:11" x14ac:dyDescent="0.25">
      <c r="B25" s="55" t="s">
        <v>28</v>
      </c>
      <c r="C25" s="59" t="s">
        <v>75</v>
      </c>
      <c r="D25" s="75">
        <f>'FAC Allocation'!C32</f>
        <v>147.32009956444631</v>
      </c>
      <c r="E25" s="60">
        <f>'FAC Allocation'!G32</f>
        <v>4843.7857797351753</v>
      </c>
      <c r="F25" s="60">
        <f>'FAC Allocation'!H32</f>
        <v>404</v>
      </c>
      <c r="G25" s="61">
        <f>FACDetail[[#This Row],[2024 Annual FAC]]/FACDetail[[#Totals],[2024 Annual FAC]]</f>
        <v>2.1419240341868568E-4</v>
      </c>
      <c r="H25" s="97">
        <f>+FACDetail[[#This Row],[2024 Annual FAC]]/FACDetail[[#This Row],[2022 - Reported Tons]]</f>
        <v>32.87932735625273</v>
      </c>
      <c r="J25" s="100">
        <f>+'FAC Allocation'!$H$7</f>
        <v>150.83000000000001</v>
      </c>
      <c r="K25" s="101">
        <f t="shared" si="0"/>
        <v>183.70932735625274</v>
      </c>
    </row>
    <row r="26" spans="2:11" x14ac:dyDescent="0.25">
      <c r="B26" s="74" t="s">
        <v>35</v>
      </c>
      <c r="C26" s="59" t="s">
        <v>75</v>
      </c>
      <c r="D26" s="75">
        <f>'FAC Allocation'!C34</f>
        <v>6732.7552031420555</v>
      </c>
      <c r="E26" s="60">
        <f>'FAC Allocation'!G34</f>
        <v>221368.46233362149</v>
      </c>
      <c r="F26" s="60">
        <f>'FAC Allocation'!H34</f>
        <v>18447</v>
      </c>
      <c r="G26" s="61">
        <f>FACDetail[[#This Row],[2024 Annual FAC]]/FACDetail[[#Totals],[2024 Annual FAC]]</f>
        <v>9.7889223728076444E-3</v>
      </c>
      <c r="H26" s="97">
        <f>+FACDetail[[#This Row],[2024 Annual FAC]]/FACDetail[[#This Row],[2022 - Reported Tons]]</f>
        <v>32.87932735625273</v>
      </c>
      <c r="I26" s="62"/>
      <c r="J26" s="100">
        <f>+'FAC Allocation'!$H$7</f>
        <v>150.83000000000001</v>
      </c>
      <c r="K26" s="101">
        <f t="shared" si="0"/>
        <v>183.70932735625274</v>
      </c>
    </row>
    <row r="27" spans="2:11" x14ac:dyDescent="0.25">
      <c r="B27" s="74" t="s">
        <v>33</v>
      </c>
      <c r="C27" s="59" t="s">
        <v>75</v>
      </c>
      <c r="D27" s="75">
        <f>'FAC Allocation'!C37</f>
        <v>976.47364982006684</v>
      </c>
      <c r="E27" s="60">
        <f>'FAC Allocation'!G37</f>
        <v>32105.796787188869</v>
      </c>
      <c r="F27" s="60">
        <f>'FAC Allocation'!H37</f>
        <v>2675</v>
      </c>
      <c r="G27" s="61">
        <f>FACDetail[[#This Row],[2024 Annual FAC]]/FACDetail[[#Totals],[2024 Annual FAC]]</f>
        <v>1.419719634648227E-3</v>
      </c>
      <c r="H27" s="97">
        <f>+FACDetail[[#This Row],[2024 Annual FAC]]/FACDetail[[#This Row],[2022 - Reported Tons]]</f>
        <v>32.879327356252723</v>
      </c>
      <c r="J27" s="100">
        <f>+'FAC Allocation'!$H$7</f>
        <v>150.83000000000001</v>
      </c>
      <c r="K27" s="101">
        <f t="shared" si="0"/>
        <v>183.70932735625274</v>
      </c>
    </row>
    <row r="28" spans="2:11" x14ac:dyDescent="0.25">
      <c r="B28" s="74" t="s">
        <v>77</v>
      </c>
      <c r="C28" s="59" t="s">
        <v>75</v>
      </c>
      <c r="D28" s="75">
        <f>'FAC Allocation'!C39</f>
        <v>4363.1049002420195</v>
      </c>
      <c r="E28" s="60">
        <f>'FAC Allocation'!G39/12*3</f>
        <v>35863.988576181939</v>
      </c>
      <c r="F28" s="60">
        <f>'FAC Allocation'!H39</f>
        <v>11955</v>
      </c>
      <c r="G28" s="61">
        <f>FACDetail[[#This Row],[2024 Annual FAC]]/FACDetail[[#Totals],[2024 Annual FAC]]</f>
        <v>1.5859070278150666E-3</v>
      </c>
      <c r="H28" s="97">
        <f>+FACDetail[[#This Row],[2024 Annual FAC]]/FACDetail[[#This Row],[2022 - Reported Tons]]</f>
        <v>8.2198318390631808</v>
      </c>
      <c r="J28" s="100">
        <f>+'FAC Allocation'!$H$7</f>
        <v>150.83000000000001</v>
      </c>
      <c r="K28" s="101">
        <f t="shared" si="0"/>
        <v>159.04983183906319</v>
      </c>
    </row>
    <row r="29" spans="2:11" x14ac:dyDescent="0.25">
      <c r="B29" s="74" t="s">
        <v>12</v>
      </c>
      <c r="C29" s="59" t="s">
        <v>75</v>
      </c>
      <c r="D29" s="75">
        <f>'FAC Allocation'!C41</f>
        <v>12071.418627116267</v>
      </c>
      <c r="E29" s="60">
        <f>'FAC Allocation'!G41</f>
        <v>396900.12469532259</v>
      </c>
      <c r="F29" s="60">
        <f>'FAC Allocation'!H41</f>
        <v>33075</v>
      </c>
      <c r="G29" s="61">
        <f>FACDetail[[#This Row],[2024 Annual FAC]]/FACDetail[[#Totals],[2024 Annual FAC]]</f>
        <v>1.7550939593847008E-2</v>
      </c>
      <c r="H29" s="97">
        <f>+FACDetail[[#This Row],[2024 Annual FAC]]/FACDetail[[#This Row],[2022 - Reported Tons]]</f>
        <v>32.879327356252723</v>
      </c>
      <c r="J29" s="100">
        <f>+'FAC Allocation'!$H$7</f>
        <v>150.83000000000001</v>
      </c>
      <c r="K29" s="101">
        <f t="shared" si="0"/>
        <v>183.70932735625274</v>
      </c>
    </row>
    <row r="30" spans="2:11" x14ac:dyDescent="0.25">
      <c r="B30" s="74" t="s">
        <v>36</v>
      </c>
      <c r="C30" s="59" t="s">
        <v>75</v>
      </c>
      <c r="D30" s="75">
        <f>'FAC Allocation'!C42</f>
        <v>2712.7631324930385</v>
      </c>
      <c r="E30" s="60">
        <f>'FAC Allocation'!G42</f>
        <v>89193.827073212204</v>
      </c>
      <c r="F30" s="60">
        <f>'FAC Allocation'!H42</f>
        <v>7433</v>
      </c>
      <c r="G30" s="61">
        <f>FACDetail[[#This Row],[2024 Annual FAC]]/FACDetail[[#Totals],[2024 Annual FAC]]</f>
        <v>3.9441546467330491E-3</v>
      </c>
      <c r="H30" s="97">
        <f>+FACDetail[[#This Row],[2024 Annual FAC]]/FACDetail[[#This Row],[2022 - Reported Tons]]</f>
        <v>32.87932735625273</v>
      </c>
      <c r="J30" s="100">
        <f>+'FAC Allocation'!$H$7</f>
        <v>150.83000000000001</v>
      </c>
      <c r="K30" s="101">
        <f t="shared" si="0"/>
        <v>183.70932735625274</v>
      </c>
    </row>
    <row r="31" spans="2:11" x14ac:dyDescent="0.25">
      <c r="B31" s="74" t="s">
        <v>17</v>
      </c>
      <c r="C31" s="59" t="s">
        <v>75</v>
      </c>
      <c r="D31" s="75">
        <f>'FAC Allocation'!C43</f>
        <v>3290.3242120573714</v>
      </c>
      <c r="E31" s="60">
        <f>'FAC Allocation'!G43</f>
        <v>108183.64687643864</v>
      </c>
      <c r="F31" s="60">
        <f>'FAC Allocation'!H43</f>
        <v>9015</v>
      </c>
      <c r="G31" s="61">
        <f>FACDetail[[#This Row],[2024 Annual FAC]]/FACDetail[[#Totals],[2024 Annual FAC]]</f>
        <v>4.7838852477761042E-3</v>
      </c>
      <c r="H31" s="97">
        <f>+FACDetail[[#This Row],[2024 Annual FAC]]/FACDetail[[#This Row],[2022 - Reported Tons]]</f>
        <v>32.87932735625273</v>
      </c>
      <c r="J31" s="100">
        <f>+'FAC Allocation'!$H$7</f>
        <v>150.83000000000001</v>
      </c>
      <c r="K31" s="101">
        <f t="shared" si="0"/>
        <v>183.70932735625274</v>
      </c>
    </row>
    <row r="32" spans="2:11" x14ac:dyDescent="0.25">
      <c r="B32" s="74" t="s">
        <v>34</v>
      </c>
      <c r="C32" s="59" t="s">
        <v>75</v>
      </c>
      <c r="D32" s="75">
        <f>'FAC Allocation'!C45</f>
        <v>249.91560311013515</v>
      </c>
      <c r="E32" s="60">
        <f>'FAC Allocation'!G45</f>
        <v>8217.0569260934662</v>
      </c>
      <c r="F32" s="60">
        <f>'FAC Allocation'!H45</f>
        <v>685</v>
      </c>
      <c r="G32" s="61">
        <f>FACDetail[[#This Row],[2024 Annual FAC]]/FACDetail[[#Totals],[2024 Annual FAC]]</f>
        <v>3.6335859017372634E-4</v>
      </c>
      <c r="H32" s="97">
        <f>+FACDetail[[#This Row],[2024 Annual FAC]]/FACDetail[[#This Row],[2022 - Reported Tons]]</f>
        <v>32.87932735625273</v>
      </c>
      <c r="J32" s="100">
        <f>+'FAC Allocation'!$H$7</f>
        <v>150.83000000000001</v>
      </c>
      <c r="K32" s="101">
        <f t="shared" si="0"/>
        <v>183.70932735625274</v>
      </c>
    </row>
    <row r="33" spans="2:11" x14ac:dyDescent="0.25">
      <c r="B33" s="74" t="s">
        <v>42</v>
      </c>
      <c r="C33" s="59" t="s">
        <v>41</v>
      </c>
      <c r="D33" s="75">
        <f>'FAC Allocation'!C13</f>
        <v>45803.729999999996</v>
      </c>
      <c r="E33" s="60">
        <f>'FAC Allocation'!G13</f>
        <v>1524122.35819091</v>
      </c>
      <c r="F33" s="60">
        <f>'FAC Allocation'!H13</f>
        <v>127010</v>
      </c>
      <c r="G33" s="61">
        <f>FACDetail[[#This Row],[2024 Annual FAC]]/FACDetail[[#Totals],[2024 Annual FAC]]</f>
        <v>6.7396752426758702E-2</v>
      </c>
      <c r="H33" s="97">
        <f>+FACDetail[[#This Row],[2024 Annual FAC]]/FACDetail[[#This Row],[2022 - Reported Tons]]</f>
        <v>33.275070789887856</v>
      </c>
      <c r="J33" s="100">
        <f>+'FAC Allocation'!$H$7</f>
        <v>150.83000000000001</v>
      </c>
      <c r="K33" s="101">
        <f t="shared" si="0"/>
        <v>184.10507078988786</v>
      </c>
    </row>
    <row r="34" spans="2:11" x14ac:dyDescent="0.25">
      <c r="B34" s="55" t="s">
        <v>38</v>
      </c>
      <c r="C34" s="59" t="s">
        <v>76</v>
      </c>
      <c r="D34" s="75">
        <f>'FAC Allocation'!C29</f>
        <v>2059.2488987084212</v>
      </c>
      <c r="E34" s="60">
        <f>'FAC Allocation'!G29</f>
        <v>67706.718648637092</v>
      </c>
      <c r="F34" s="60">
        <f>'FAC Allocation'!H29</f>
        <v>5642</v>
      </c>
      <c r="G34" s="61">
        <f>FACDetail[[#This Row],[2024 Annual FAC]]/FACDetail[[#Totals],[2024 Annual FAC]]</f>
        <v>2.9939938416800112E-3</v>
      </c>
      <c r="H34" s="97">
        <f>+FACDetail[[#This Row],[2024 Annual FAC]]/FACDetail[[#This Row],[2022 - Reported Tons]]</f>
        <v>32.879327356252723</v>
      </c>
      <c r="J34" s="100">
        <f>+'FAC Allocation'!$H$7</f>
        <v>150.83000000000001</v>
      </c>
      <c r="K34" s="101">
        <f t="shared" si="0"/>
        <v>183.70932735625274</v>
      </c>
    </row>
    <row r="35" spans="2:11" x14ac:dyDescent="0.25">
      <c r="B35" s="55" t="s">
        <v>39</v>
      </c>
      <c r="C35" s="59" t="s">
        <v>76</v>
      </c>
      <c r="D35" s="75">
        <f>'FAC Allocation'!C31</f>
        <v>8945.1508917587162</v>
      </c>
      <c r="E35" s="60">
        <f>'FAC Allocation'!G31</f>
        <v>294110.54442121083</v>
      </c>
      <c r="F35" s="60">
        <f>'FAC Allocation'!H31</f>
        <v>24509</v>
      </c>
      <c r="G35" s="61">
        <f>FACDetail[[#This Row],[2024 Annual FAC]]/FACDetail[[#Totals],[2024 Annual FAC]]</f>
        <v>1.3005580189758406E-2</v>
      </c>
      <c r="H35" s="97">
        <f>+FACDetail[[#This Row],[2024 Annual FAC]]/FACDetail[[#This Row],[2022 - Reported Tons]]</f>
        <v>32.879327356252723</v>
      </c>
      <c r="J35" s="100">
        <f>+'FAC Allocation'!$H$7</f>
        <v>150.83000000000001</v>
      </c>
      <c r="K35" s="101">
        <f t="shared" si="0"/>
        <v>183.70932735625274</v>
      </c>
    </row>
    <row r="36" spans="2:11" x14ac:dyDescent="0.25">
      <c r="B36" s="74" t="s">
        <v>40</v>
      </c>
      <c r="C36" s="59" t="s">
        <v>76</v>
      </c>
      <c r="D36" s="75">
        <f>'FAC Allocation'!C35</f>
        <v>82919.89375051629</v>
      </c>
      <c r="E36" s="60">
        <f>'FAC Allocation'!G35</f>
        <v>2726350.3309689201</v>
      </c>
      <c r="F36" s="60">
        <f>'FAC Allocation'!H35</f>
        <v>227196</v>
      </c>
      <c r="G36" s="61">
        <f>FACDetail[[#This Row],[2024 Annual FAC]]/FACDetail[[#Totals],[2024 Annual FAC]]</f>
        <v>0.1205593220894854</v>
      </c>
      <c r="H36" s="97">
        <f>+FACDetail[[#This Row],[2024 Annual FAC]]/FACDetail[[#This Row],[2022 - Reported Tons]]</f>
        <v>32.87932735625273</v>
      </c>
      <c r="J36" s="100">
        <f>+'FAC Allocation'!$H$7</f>
        <v>150.83000000000001</v>
      </c>
      <c r="K36" s="101">
        <f t="shared" si="0"/>
        <v>183.70932735625274</v>
      </c>
    </row>
    <row r="37" spans="2:11" x14ac:dyDescent="0.25">
      <c r="B37" s="74" t="s">
        <v>30</v>
      </c>
      <c r="C37" s="59" t="s">
        <v>76</v>
      </c>
      <c r="D37" s="75">
        <f>'FAC Allocation'!C36</f>
        <v>3403.0668120778932</v>
      </c>
      <c r="E37" s="60">
        <f>'FAC Allocation'!G36</f>
        <v>111890.54772950844</v>
      </c>
      <c r="F37" s="60">
        <f>'FAC Allocation'!H36</f>
        <v>9324</v>
      </c>
      <c r="G37" s="61">
        <f>FACDetail[[#This Row],[2024 Annual FAC]]/FACDetail[[#Totals],[2024 Annual FAC]]</f>
        <v>4.9478045536784409E-3</v>
      </c>
      <c r="H37" s="97">
        <f>+FACDetail[[#This Row],[2024 Annual FAC]]/FACDetail[[#This Row],[2022 - Reported Tons]]</f>
        <v>32.87932735625273</v>
      </c>
      <c r="J37" s="100">
        <f>+'FAC Allocation'!$H$7</f>
        <v>150.83000000000001</v>
      </c>
      <c r="K37" s="101">
        <f t="shared" si="0"/>
        <v>183.70932735625274</v>
      </c>
    </row>
    <row r="38" spans="2:11" x14ac:dyDescent="0.25">
      <c r="B38" s="74" t="s">
        <v>16</v>
      </c>
      <c r="C38" s="59" t="s">
        <v>76</v>
      </c>
      <c r="D38" s="75">
        <f>'FAC Allocation'!C44</f>
        <v>29019.840163908571</v>
      </c>
      <c r="E38" s="60">
        <f>'FAC Allocation'!G44</f>
        <v>954152.82457528065</v>
      </c>
      <c r="F38" s="60">
        <f>'FAC Allocation'!H44</f>
        <v>79513</v>
      </c>
      <c r="G38" s="61">
        <f>FACDetail[[#This Row],[2024 Annual FAC]]/FACDetail[[#Totals],[2024 Annual FAC]]</f>
        <v>4.2192676558805334E-2</v>
      </c>
      <c r="H38" s="97">
        <f>+FACDetail[[#This Row],[2024 Annual FAC]]/FACDetail[[#This Row],[2022 - Reported Tons]]</f>
        <v>32.879327356252723</v>
      </c>
      <c r="J38" s="100">
        <f>+'FAC Allocation'!$H$7</f>
        <v>150.83000000000001</v>
      </c>
      <c r="K38" s="101">
        <f t="shared" si="0"/>
        <v>183.70932735625274</v>
      </c>
    </row>
    <row r="39" spans="2:11" x14ac:dyDescent="0.25">
      <c r="B39" s="74" t="s">
        <v>65</v>
      </c>
      <c r="C39" s="59" t="s">
        <v>72</v>
      </c>
      <c r="D39" s="75">
        <f>'FAC Allocation'!C15</f>
        <v>91.16</v>
      </c>
      <c r="E39" s="60">
        <f>'FAC Allocation'!G15</f>
        <v>3033.3554532061767</v>
      </c>
      <c r="F39" s="60">
        <f>'FAC Allocation'!H15</f>
        <v>253</v>
      </c>
      <c r="G39" s="61">
        <f>FACDetail[[#This Row],[2024 Annual FAC]]/FACDetail[[#Totals],[2024 Annual FAC]]</f>
        <v>1.3413510103267405E-4</v>
      </c>
      <c r="H39" s="97">
        <f>+FACDetail[[#This Row],[2024 Annual FAC]]/FACDetail[[#This Row],[2022 - Reported Tons]]</f>
        <v>33.275070789887856</v>
      </c>
      <c r="J39" s="100">
        <f>+'FAC Allocation'!$H$7</f>
        <v>150.83000000000001</v>
      </c>
      <c r="K39" s="101">
        <f t="shared" si="0"/>
        <v>184.10507078988786</v>
      </c>
    </row>
    <row r="40" spans="2:11" x14ac:dyDescent="0.25">
      <c r="B40" s="74" t="s">
        <v>71</v>
      </c>
      <c r="C40" s="59" t="s">
        <v>45</v>
      </c>
      <c r="D40" s="75">
        <f>'FAC Allocation'!C16</f>
        <v>2820.31</v>
      </c>
      <c r="E40" s="60">
        <f>'FAC Allocation'!G16</f>
        <v>93846.014899428614</v>
      </c>
      <c r="F40" s="60">
        <f>'FAC Allocation'!H16</f>
        <v>7821</v>
      </c>
      <c r="G40" s="61">
        <f>FACDetail[[#This Row],[2024 Annual FAC]]/FACDetail[[#Totals],[2024 Annual FAC]]</f>
        <v>4.1498745808848285E-3</v>
      </c>
      <c r="H40" s="97">
        <f>+FACDetail[[#This Row],[2024 Annual FAC]]/FACDetail[[#This Row],[2022 - Reported Tons]]</f>
        <v>33.275070789887856</v>
      </c>
      <c r="J40" s="100">
        <f>+'FAC Allocation'!$H$7</f>
        <v>150.83000000000001</v>
      </c>
      <c r="K40" s="101">
        <f t="shared" si="0"/>
        <v>184.10507078988786</v>
      </c>
    </row>
    <row r="41" spans="2:11" x14ac:dyDescent="0.25">
      <c r="B41" s="55" t="s">
        <v>2</v>
      </c>
      <c r="C41" s="59" t="s">
        <v>1</v>
      </c>
      <c r="D41" s="75">
        <f>'FAC Allocation'!C51</f>
        <v>2240.9851446563166</v>
      </c>
      <c r="E41" s="60">
        <f>'FAC Allocation'!G51</f>
        <v>77210.548527692052</v>
      </c>
      <c r="F41" s="60">
        <f>'FAC Allocation'!H51</f>
        <v>6434</v>
      </c>
      <c r="G41" s="61">
        <f>FACDetail[[#This Row],[2024 Annual FAC]]/FACDetail[[#Totals],[2024 Annual FAC]]</f>
        <v>3.414253583965392E-3</v>
      </c>
      <c r="H41" s="102">
        <f>+FACDetail[[#This Row],[2024 Annual FAC]]/FACDetail[[#This Row],[2022 - Reported Tons]]</f>
        <v>34.453842191592599</v>
      </c>
      <c r="I41" s="103"/>
      <c r="J41" s="104">
        <f>+'FAC Allocation'!$H$7</f>
        <v>150.83000000000001</v>
      </c>
      <c r="K41" s="105">
        <f t="shared" si="0"/>
        <v>185.28384219159261</v>
      </c>
    </row>
    <row r="42" spans="2:11" x14ac:dyDescent="0.25">
      <c r="B42" s="74" t="s">
        <v>3</v>
      </c>
      <c r="C42" s="59" t="s">
        <v>1</v>
      </c>
      <c r="D42" s="75">
        <f>'FAC Allocation'!C52</f>
        <v>50019.321017301889</v>
      </c>
      <c r="E42" s="60">
        <f>'FAC Allocation'!G52</f>
        <v>1723357.7928607306</v>
      </c>
      <c r="F42" s="60">
        <f>'FAC Allocation'!H52</f>
        <v>143613</v>
      </c>
      <c r="G42" s="61">
        <f>FACDetail[[#This Row],[2024 Annual FAC]]/FACDetail[[#Totals],[2024 Annual FAC]]</f>
        <v>7.6206951419586277E-2</v>
      </c>
      <c r="H42" s="102">
        <f>+FACDetail[[#This Row],[2024 Annual FAC]]/FACDetail[[#This Row],[2022 - Reported Tons]]</f>
        <v>34.453842191592607</v>
      </c>
      <c r="I42" s="103"/>
      <c r="J42" s="104">
        <f>+'FAC Allocation'!$H$7</f>
        <v>150.83000000000001</v>
      </c>
      <c r="K42" s="105">
        <f t="shared" si="0"/>
        <v>185.28384219159261</v>
      </c>
    </row>
    <row r="43" spans="2:11" x14ac:dyDescent="0.25">
      <c r="B43" s="55" t="s">
        <v>9</v>
      </c>
      <c r="C43" s="59" t="s">
        <v>1</v>
      </c>
      <c r="D43" s="75">
        <f>'FAC Allocation'!C54</f>
        <v>2158.7534868494108</v>
      </c>
      <c r="E43" s="60">
        <f>'FAC Allocation'!G54</f>
        <v>74377.351966459872</v>
      </c>
      <c r="F43" s="60">
        <f>'FAC Allocation'!H54</f>
        <v>6198</v>
      </c>
      <c r="G43" s="61">
        <f>FACDetail[[#This Row],[2024 Annual FAC]]/FACDetail[[#Totals],[2024 Annual FAC]]</f>
        <v>3.2889695172449488E-3</v>
      </c>
      <c r="H43" s="102">
        <f>+FACDetail[[#This Row],[2024 Annual FAC]]/FACDetail[[#This Row],[2022 - Reported Tons]]</f>
        <v>34.453842191592599</v>
      </c>
      <c r="I43" s="103"/>
      <c r="J43" s="104">
        <f>+'FAC Allocation'!$H$7</f>
        <v>150.83000000000001</v>
      </c>
      <c r="K43" s="105">
        <f t="shared" si="0"/>
        <v>185.28384219159261</v>
      </c>
    </row>
    <row r="44" spans="2:11" x14ac:dyDescent="0.25">
      <c r="B44" s="55" t="s">
        <v>4</v>
      </c>
      <c r="C44" s="59" t="s">
        <v>1</v>
      </c>
      <c r="D44" s="75">
        <f>'FAC Allocation'!C55</f>
        <v>45616.058018735625</v>
      </c>
      <c r="E44" s="60">
        <f>'FAC Allocation'!G55</f>
        <v>1571648.4643800494</v>
      </c>
      <c r="F44" s="60">
        <f>'FAC Allocation'!H55</f>
        <v>130971</v>
      </c>
      <c r="G44" s="61">
        <f>FACDetail[[#This Row],[2024 Annual FAC]]/FACDetail[[#Totals],[2024 Annual FAC]]</f>
        <v>6.9498358767892149E-2</v>
      </c>
      <c r="H44" s="102">
        <f>+FACDetail[[#This Row],[2024 Annual FAC]]/FACDetail[[#This Row],[2022 - Reported Tons]]</f>
        <v>34.453842191592599</v>
      </c>
      <c r="I44" s="103"/>
      <c r="J44" s="104">
        <f>+'FAC Allocation'!$H$7</f>
        <v>150.83000000000001</v>
      </c>
      <c r="K44" s="105">
        <f t="shared" si="0"/>
        <v>185.28384219159261</v>
      </c>
    </row>
    <row r="45" spans="2:11" x14ac:dyDescent="0.25">
      <c r="B45" s="55" t="s">
        <v>10</v>
      </c>
      <c r="C45" s="59" t="s">
        <v>1</v>
      </c>
      <c r="D45" s="75">
        <f>'FAC Allocation'!C56</f>
        <v>35211.252187477585</v>
      </c>
      <c r="E45" s="60">
        <f>'FAC Allocation'!G56</f>
        <v>1213162.9262357226</v>
      </c>
      <c r="F45" s="60">
        <f>'FAC Allocation'!H56</f>
        <v>101097</v>
      </c>
      <c r="G45" s="61">
        <f>FACDetail[[#This Row],[2024 Annual FAC]]/FACDetail[[#Totals],[2024 Annual FAC]]</f>
        <v>5.3646113747640167E-2</v>
      </c>
      <c r="H45" s="102">
        <f>+FACDetail[[#This Row],[2024 Annual FAC]]/FACDetail[[#This Row],[2022 - Reported Tons]]</f>
        <v>34.453842191592607</v>
      </c>
      <c r="I45" s="103"/>
      <c r="J45" s="104">
        <f>+'FAC Allocation'!$H$7</f>
        <v>150.83000000000001</v>
      </c>
      <c r="K45" s="105">
        <f t="shared" si="0"/>
        <v>185.28384219159261</v>
      </c>
    </row>
    <row r="46" spans="2:11" x14ac:dyDescent="0.25">
      <c r="B46" s="55" t="s">
        <v>6</v>
      </c>
      <c r="C46" s="59" t="s">
        <v>1</v>
      </c>
      <c r="D46" s="75">
        <f>'FAC Allocation'!C57</f>
        <v>4009.0239204139211</v>
      </c>
      <c r="E46" s="60">
        <f>'FAC Allocation'!G57</f>
        <v>138126.27749626114</v>
      </c>
      <c r="F46" s="60">
        <f>'FAC Allocation'!H57</f>
        <v>11511</v>
      </c>
      <c r="G46" s="61">
        <f>FACDetail[[#This Row],[2024 Annual FAC]]/FACDetail[[#Totals],[2024 Annual FAC]]</f>
        <v>6.1079495868659227E-3</v>
      </c>
      <c r="H46" s="102">
        <f>+FACDetail[[#This Row],[2024 Annual FAC]]/FACDetail[[#This Row],[2022 - Reported Tons]]</f>
        <v>34.453842191592607</v>
      </c>
      <c r="I46" s="103"/>
      <c r="J46" s="104">
        <f>+'FAC Allocation'!$H$7</f>
        <v>150.83000000000001</v>
      </c>
      <c r="K46" s="105">
        <f t="shared" si="0"/>
        <v>185.28384219159261</v>
      </c>
    </row>
    <row r="47" spans="2:11" x14ac:dyDescent="0.25">
      <c r="B47" s="55" t="s">
        <v>15</v>
      </c>
      <c r="C47" s="59" t="s">
        <v>1</v>
      </c>
      <c r="D47" s="75">
        <f>'FAC Allocation'!C58</f>
        <v>2139.7851193209381</v>
      </c>
      <c r="E47" s="60">
        <f>'FAC Allocation'!G58</f>
        <v>73723.818825001741</v>
      </c>
      <c r="F47" s="60">
        <f>'FAC Allocation'!H58</f>
        <v>6144</v>
      </c>
      <c r="G47" s="61">
        <f>FACDetail[[#This Row],[2024 Annual FAC]]/FACDetail[[#Totals],[2024 Annual FAC]]</f>
        <v>3.2600702552527446E-3</v>
      </c>
      <c r="H47" s="102">
        <f>+FACDetail[[#This Row],[2024 Annual FAC]]/FACDetail[[#This Row],[2022 - Reported Tons]]</f>
        <v>34.453842191592599</v>
      </c>
      <c r="I47" s="103"/>
      <c r="J47" s="104">
        <f>+'FAC Allocation'!$H$7</f>
        <v>150.83000000000001</v>
      </c>
      <c r="K47" s="105">
        <f t="shared" si="0"/>
        <v>185.28384219159261</v>
      </c>
    </row>
    <row r="48" spans="2:11" x14ac:dyDescent="0.25">
      <c r="B48" s="55" t="s">
        <v>5</v>
      </c>
      <c r="C48" s="59" t="s">
        <v>1</v>
      </c>
      <c r="D48" s="75">
        <f>'FAC Allocation'!C59</f>
        <v>3996.1364261121439</v>
      </c>
      <c r="E48" s="60">
        <f>'FAC Allocation'!G59</f>
        <v>137682.25380134265</v>
      </c>
      <c r="F48" s="60">
        <f>'FAC Allocation'!H59</f>
        <v>11474</v>
      </c>
      <c r="G48" s="61">
        <f>FACDetail[[#This Row],[2024 Annual FAC]]/FACDetail[[#Totals],[2024 Annual FAC]]</f>
        <v>6.0883148410876648E-3</v>
      </c>
      <c r="H48" s="102">
        <f>+FACDetail[[#This Row],[2024 Annual FAC]]/FACDetail[[#This Row],[2022 - Reported Tons]]</f>
        <v>34.453842191592599</v>
      </c>
      <c r="I48" s="103"/>
      <c r="J48" s="104">
        <f>+'FAC Allocation'!$H$7</f>
        <v>150.83000000000001</v>
      </c>
      <c r="K48" s="105">
        <f t="shared" si="0"/>
        <v>185.28384219159261</v>
      </c>
    </row>
    <row r="49" spans="2:11" x14ac:dyDescent="0.25">
      <c r="B49" s="55" t="s">
        <v>11</v>
      </c>
      <c r="C49" s="59" t="s">
        <v>1</v>
      </c>
      <c r="D49" s="75">
        <f>'FAC Allocation'!C60</f>
        <v>30293.759907186799</v>
      </c>
      <c r="E49" s="60">
        <f>'FAC Allocation'!G60</f>
        <v>1043736.4232322091</v>
      </c>
      <c r="F49" s="60">
        <f>'FAC Allocation'!H60</f>
        <v>86978</v>
      </c>
      <c r="G49" s="61">
        <f>FACDetail[[#This Row],[2024 Annual FAC]]/FACDetail[[#Totals],[2024 Annual FAC]]</f>
        <v>4.6154066920761329E-2</v>
      </c>
      <c r="H49" s="102">
        <f>+FACDetail[[#This Row],[2024 Annual FAC]]/FACDetail[[#This Row],[2022 - Reported Tons]]</f>
        <v>34.453842191592607</v>
      </c>
      <c r="I49" s="103"/>
      <c r="J49" s="104">
        <f>+'FAC Allocation'!$H$7</f>
        <v>150.83000000000001</v>
      </c>
      <c r="K49" s="105">
        <f t="shared" si="0"/>
        <v>185.28384219159261</v>
      </c>
    </row>
    <row r="50" spans="2:11" x14ac:dyDescent="0.25">
      <c r="B50" s="74" t="s">
        <v>78</v>
      </c>
      <c r="C50" s="59" t="s">
        <v>1</v>
      </c>
      <c r="D50" s="75">
        <f>'FAC Allocation'!C61</f>
        <v>18.698380554984773</v>
      </c>
      <c r="E50" s="60">
        <f>'FAC Allocation'!G61</f>
        <v>644.2310528797891</v>
      </c>
      <c r="F50" s="60">
        <f>'FAC Allocation'!H61</f>
        <v>54</v>
      </c>
      <c r="G50" s="61">
        <f>FACDetail[[#This Row],[2024 Annual FAC]]/FACDetail[[#Totals],[2024 Annual FAC]]</f>
        <v>2.8487923258409815E-5</v>
      </c>
      <c r="H50" s="102">
        <f>+FACDetail[[#This Row],[2024 Annual FAC]]/FACDetail[[#This Row],[2022 - Reported Tons]]</f>
        <v>34.453842191592607</v>
      </c>
      <c r="I50" s="103"/>
      <c r="J50" s="104">
        <f>+'FAC Allocation'!$H$7</f>
        <v>150.83000000000001</v>
      </c>
      <c r="K50" s="105">
        <f t="shared" si="0"/>
        <v>185.28384219159261</v>
      </c>
    </row>
    <row r="51" spans="2:11" x14ac:dyDescent="0.25">
      <c r="B51" s="55" t="s">
        <v>13</v>
      </c>
      <c r="C51" s="59" t="s">
        <v>1</v>
      </c>
      <c r="D51" s="75">
        <f>'FAC Allocation'!C62</f>
        <v>4653.4631231076628</v>
      </c>
      <c r="E51" s="60">
        <f>'FAC Allocation'!G62</f>
        <v>160329.68408794707</v>
      </c>
      <c r="F51" s="60">
        <f>'FAC Allocation'!H62</f>
        <v>13361</v>
      </c>
      <c r="G51" s="61">
        <f>FACDetail[[#This Row],[2024 Annual FAC]]/FACDetail[[#Totals],[2024 Annual FAC]]</f>
        <v>7.0897851258883583E-3</v>
      </c>
      <c r="H51" s="102">
        <f>+FACDetail[[#This Row],[2024 Annual FAC]]/FACDetail[[#This Row],[2022 - Reported Tons]]</f>
        <v>34.453842191592599</v>
      </c>
      <c r="I51" s="103"/>
      <c r="J51" s="104">
        <f>+'FAC Allocation'!$H$7</f>
        <v>150.83000000000001</v>
      </c>
      <c r="K51" s="105">
        <f t="shared" si="0"/>
        <v>185.28384219159261</v>
      </c>
    </row>
    <row r="52" spans="2:11" x14ac:dyDescent="0.25">
      <c r="B52" s="55" t="s">
        <v>7</v>
      </c>
      <c r="C52" s="59" t="s">
        <v>1</v>
      </c>
      <c r="D52" s="75">
        <f>'FAC Allocation'!C63</f>
        <v>28255.355052591021</v>
      </c>
      <c r="E52" s="60">
        <f>'FAC Allocation'!G63</f>
        <v>973505.54404938978</v>
      </c>
      <c r="F52" s="60">
        <f>'FAC Allocation'!H63</f>
        <v>81125</v>
      </c>
      <c r="G52" s="61">
        <f>FACDetail[[#This Row],[2024 Annual FAC]]/FACDetail[[#Totals],[2024 Annual FAC]]</f>
        <v>4.3048454597997166E-2</v>
      </c>
      <c r="H52" s="102">
        <f>+FACDetail[[#This Row],[2024 Annual FAC]]/FACDetail[[#This Row],[2022 - Reported Tons]]</f>
        <v>34.453842191592607</v>
      </c>
      <c r="I52" s="103"/>
      <c r="J52" s="104">
        <f>+'FAC Allocation'!$H$7</f>
        <v>150.83000000000001</v>
      </c>
      <c r="K52" s="105">
        <f t="shared" si="0"/>
        <v>185.28384219159261</v>
      </c>
    </row>
    <row r="53" spans="2:11" x14ac:dyDescent="0.25">
      <c r="B53" s="55" t="s">
        <v>17</v>
      </c>
      <c r="C53" s="59" t="s">
        <v>1</v>
      </c>
      <c r="D53" s="75">
        <f>'FAC Allocation'!C64</f>
        <v>15779.171422067115</v>
      </c>
      <c r="E53" s="60">
        <f>'FAC Allocation'!G64</f>
        <v>543653.08208998817</v>
      </c>
      <c r="F53" s="60">
        <f>'FAC Allocation'!H64</f>
        <v>45304</v>
      </c>
      <c r="G53" s="61">
        <f>FACDetail[[#This Row],[2024 Annual FAC]]/FACDetail[[#Totals],[2024 Annual FAC]]</f>
        <v>2.4040361315317515E-2</v>
      </c>
      <c r="H53" s="102">
        <f>+FACDetail[[#This Row],[2024 Annual FAC]]/FACDetail[[#This Row],[2022 - Reported Tons]]</f>
        <v>34.453842191592599</v>
      </c>
      <c r="I53" s="103"/>
      <c r="J53" s="104">
        <f>+'FAC Allocation'!$H$7</f>
        <v>150.83000000000001</v>
      </c>
      <c r="K53" s="105">
        <f t="shared" si="0"/>
        <v>185.28384219159261</v>
      </c>
    </row>
    <row r="54" spans="2:11" x14ac:dyDescent="0.25">
      <c r="B54" s="55" t="s">
        <v>16</v>
      </c>
      <c r="C54" s="59" t="s">
        <v>1</v>
      </c>
      <c r="D54" s="75">
        <f>'FAC Allocation'!C65</f>
        <v>25718.7777006779</v>
      </c>
      <c r="E54" s="60">
        <f>'FAC Allocation'!G65</f>
        <v>886110.7082598072</v>
      </c>
      <c r="F54" s="60">
        <f>'FAC Allocation'!H65</f>
        <v>73843</v>
      </c>
      <c r="G54" s="61">
        <f>FACDetail[[#This Row],[2024 Annual FAC]]/FACDetail[[#Totals],[2024 Annual FAC]]</f>
        <v>3.9183851418709677E-2</v>
      </c>
      <c r="H54" s="102">
        <f>+FACDetail[[#This Row],[2024 Annual FAC]]/FACDetail[[#This Row],[2022 - Reported Tons]]</f>
        <v>34.453842191592599</v>
      </c>
      <c r="I54" s="103"/>
      <c r="J54" s="104">
        <f>+'FAC Allocation'!$H$7</f>
        <v>150.83000000000001</v>
      </c>
      <c r="K54" s="105">
        <f t="shared" si="0"/>
        <v>185.28384219159261</v>
      </c>
    </row>
    <row r="55" spans="2:11" x14ac:dyDescent="0.25">
      <c r="B55" s="55" t="s">
        <v>14</v>
      </c>
      <c r="C55" s="59" t="s">
        <v>1</v>
      </c>
      <c r="D55" s="75">
        <f>'FAC Allocation'!C66</f>
        <v>8842.2603948044925</v>
      </c>
      <c r="E55" s="60">
        <f>'FAC Allocation'!G66</f>
        <v>304649.84425956331</v>
      </c>
      <c r="F55" s="60">
        <f>'FAC Allocation'!H66</f>
        <v>25387</v>
      </c>
      <c r="G55" s="61">
        <f>FACDetail[[#This Row],[2024 Annual FAC]]/FACDetail[[#Totals],[2024 Annual FAC]]</f>
        <v>1.3471628455594452E-2</v>
      </c>
      <c r="H55" s="102">
        <f>+FACDetail[[#This Row],[2024 Annual FAC]]/FACDetail[[#This Row],[2022 - Reported Tons]]</f>
        <v>34.453842191592607</v>
      </c>
      <c r="I55" s="103"/>
      <c r="J55" s="104">
        <f>+'FAC Allocation'!$H$7</f>
        <v>150.83000000000001</v>
      </c>
      <c r="K55" s="105">
        <f t="shared" si="0"/>
        <v>185.28384219159261</v>
      </c>
    </row>
    <row r="56" spans="2:11" ht="15.75" x14ac:dyDescent="0.3">
      <c r="B56" s="76"/>
      <c r="C56"/>
      <c r="D56"/>
      <c r="E56" s="86">
        <f>SUBTOTAL(109,FACDetail[2024 Annual FAC])</f>
        <v>22614180.999999993</v>
      </c>
      <c r="F56" s="50"/>
      <c r="G56" s="82">
        <f>SUBTOTAL(109,FACDetail[Overall FAC %])</f>
        <v>1</v>
      </c>
    </row>
    <row r="57" spans="2:11" ht="13.15" customHeight="1" x14ac:dyDescent="0.25">
      <c r="H57" s="66"/>
    </row>
    <row r="58" spans="2:11" ht="13.15" customHeight="1" x14ac:dyDescent="0.25">
      <c r="B58" s="87" t="s">
        <v>81</v>
      </c>
      <c r="H58" s="66"/>
    </row>
    <row r="59" spans="2:11" ht="28.15" customHeight="1" x14ac:dyDescent="0.25">
      <c r="B59" s="106" t="s">
        <v>79</v>
      </c>
      <c r="C59" s="106"/>
      <c r="D59" s="106"/>
      <c r="E59" s="106"/>
      <c r="F59" s="106"/>
      <c r="G59" s="106"/>
      <c r="H59" s="66"/>
    </row>
    <row r="60" spans="2:11" ht="15.6" customHeight="1" x14ac:dyDescent="0.25">
      <c r="B60" s="51" t="s">
        <v>80</v>
      </c>
      <c r="H60" s="66"/>
    </row>
    <row r="61" spans="2:11" ht="13.15" customHeight="1" x14ac:dyDescent="0.25">
      <c r="B61" s="66"/>
      <c r="C61" s="66"/>
      <c r="D61" s="66"/>
      <c r="E61" s="66"/>
      <c r="F61" s="66"/>
      <c r="G61" s="66"/>
      <c r="H61" s="64"/>
    </row>
    <row r="62" spans="2:11" s="56" customFormat="1" ht="13.15" customHeight="1" x14ac:dyDescent="0.25">
      <c r="B62" s="64"/>
      <c r="C62" s="64"/>
      <c r="D62" s="66"/>
      <c r="E62" s="64"/>
      <c r="F62" s="64"/>
      <c r="G62" s="64"/>
      <c r="J62" s="57"/>
    </row>
    <row r="63" spans="2:11" s="56" customFormat="1" ht="13.15" customHeight="1" x14ac:dyDescent="0.25">
      <c r="J63" s="57"/>
    </row>
    <row r="64" spans="2:11" s="56" customFormat="1" ht="13.15" customHeight="1" x14ac:dyDescent="0.25">
      <c r="J64" s="57"/>
    </row>
    <row r="65" spans="2:10" s="56" customFormat="1" ht="13.15" customHeight="1" x14ac:dyDescent="0.25">
      <c r="B65" s="58"/>
      <c r="E65" s="80"/>
      <c r="J65" s="57"/>
    </row>
    <row r="66" spans="2:10" s="56" customFormat="1" ht="13.15" customHeight="1" x14ac:dyDescent="0.25">
      <c r="B66" s="79"/>
      <c r="E66" s="80"/>
      <c r="J66" s="57"/>
    </row>
    <row r="67" spans="2:10" s="56" customFormat="1" ht="13.15" customHeight="1" x14ac:dyDescent="0.25">
      <c r="B67" s="79"/>
      <c r="E67" s="80"/>
      <c r="F67" s="81"/>
      <c r="J67" s="57"/>
    </row>
    <row r="68" spans="2:10" s="56" customFormat="1" ht="13.15" customHeight="1" x14ac:dyDescent="0.25">
      <c r="B68" s="58"/>
      <c r="E68" s="80"/>
      <c r="J68" s="57"/>
    </row>
    <row r="69" spans="2:10" s="56" customFormat="1" ht="13.15" customHeight="1" x14ac:dyDescent="0.25">
      <c r="B69" s="58"/>
      <c r="E69" s="80"/>
      <c r="F69" s="81"/>
      <c r="J69" s="57"/>
    </row>
    <row r="70" spans="2:10" s="56" customFormat="1" ht="13.15" customHeight="1" x14ac:dyDescent="0.25">
      <c r="B70" s="58"/>
      <c r="E70" s="80"/>
      <c r="J70" s="57"/>
    </row>
    <row r="71" spans="2:10" s="56" customFormat="1" ht="13.15" customHeight="1" x14ac:dyDescent="0.25">
      <c r="B71" s="58"/>
      <c r="E71" s="80"/>
      <c r="J71" s="57"/>
    </row>
    <row r="72" spans="2:10" s="56" customFormat="1" ht="13.15" customHeight="1" x14ac:dyDescent="0.25">
      <c r="B72" s="58"/>
      <c r="E72" s="80"/>
      <c r="J72" s="57"/>
    </row>
    <row r="73" spans="2:10" ht="13.15" customHeight="1" x14ac:dyDescent="0.25">
      <c r="B73" s="58"/>
      <c r="C73" s="56"/>
      <c r="D73" s="56"/>
      <c r="E73" s="80"/>
      <c r="F73" s="56"/>
      <c r="G73" s="56"/>
    </row>
    <row r="74" spans="2:10" x14ac:dyDescent="0.25">
      <c r="B74" s="55"/>
    </row>
    <row r="76" spans="2:10" x14ac:dyDescent="0.25">
      <c r="F76" s="63"/>
    </row>
    <row r="77" spans="2:10" x14ac:dyDescent="0.25">
      <c r="F77" s="63"/>
    </row>
  </sheetData>
  <mergeCells count="2">
    <mergeCell ref="B59:G59"/>
    <mergeCell ref="B4:G4"/>
  </mergeCells>
  <pageMargins left="0.7" right="0.7" top="0.75" bottom="0.75" header="0.3" footer="0.3"/>
  <pageSetup orientation="portrait" horizontalDpi="1200" verticalDpi="1200" r:id="rId1"/>
  <ignoredErrors>
    <ignoredError sqref="C7:C5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6F39-1671-414A-B96D-B92339DFCFA8}">
  <sheetPr>
    <tabColor theme="3" tint="0.39997558519241921"/>
  </sheetPr>
  <dimension ref="A2:N89"/>
  <sheetViews>
    <sheetView topLeftCell="A2" zoomScale="130" zoomScaleNormal="130" workbookViewId="0">
      <selection activeCell="C26" sqref="C25:C26"/>
    </sheetView>
  </sheetViews>
  <sheetFormatPr defaultColWidth="8.77734375" defaultRowHeight="15.75" x14ac:dyDescent="0.3"/>
  <cols>
    <col min="1" max="1" width="2.21875" style="2" customWidth="1"/>
    <col min="2" max="2" width="22.33203125" style="2" bestFit="1" customWidth="1"/>
    <col min="3" max="3" width="13.109375" style="2" customWidth="1"/>
    <col min="4" max="4" width="11.33203125" style="2" customWidth="1"/>
    <col min="5" max="5" width="2.88671875" style="2" customWidth="1"/>
    <col min="6" max="6" width="13.33203125" style="2" customWidth="1"/>
    <col min="7" max="7" width="18.44140625" style="2" customWidth="1"/>
    <col min="8" max="8" width="18.6640625" style="2" customWidth="1"/>
    <col min="9" max="9" width="2.5546875" style="2" customWidth="1"/>
    <col min="10" max="10" width="11.6640625" style="2" customWidth="1"/>
    <col min="11" max="11" width="18.88671875" style="2" customWidth="1"/>
    <col min="12" max="12" width="21" style="2" customWidth="1"/>
    <col min="13" max="13" width="2.5546875" style="2" customWidth="1"/>
    <col min="14" max="14" width="14.5546875" style="12" customWidth="1"/>
    <col min="15" max="16384" width="8.77734375" style="2"/>
  </cols>
  <sheetData>
    <row r="2" spans="1:14" ht="24" x14ac:dyDescent="0.4">
      <c r="A2" s="25"/>
      <c r="B2" s="28" t="s">
        <v>70</v>
      </c>
    </row>
    <row r="4" spans="1:14" ht="33.6" customHeight="1" x14ac:dyDescent="0.3">
      <c r="B4" s="108" t="s">
        <v>90</v>
      </c>
      <c r="C4" s="108"/>
      <c r="D4" s="108"/>
      <c r="E4" s="108"/>
      <c r="F4" s="108"/>
      <c r="G4" s="108"/>
      <c r="H4" s="108"/>
      <c r="I4" s="108"/>
      <c r="J4" s="108"/>
    </row>
    <row r="6" spans="1:14" x14ac:dyDescent="0.3">
      <c r="B6" s="3" t="s">
        <v>50</v>
      </c>
      <c r="C6" s="26">
        <v>22614181</v>
      </c>
      <c r="E6" s="26" t="s">
        <v>63</v>
      </c>
      <c r="H6" s="27">
        <v>656580.0836356947</v>
      </c>
      <c r="J6" s="99">
        <f>+C6/H6</f>
        <v>34.442380394449401</v>
      </c>
    </row>
    <row r="7" spans="1:14" x14ac:dyDescent="0.3">
      <c r="C7" s="34"/>
      <c r="E7" s="3" t="s">
        <v>64</v>
      </c>
      <c r="F7" s="3"/>
      <c r="G7" s="3"/>
      <c r="H7" s="35">
        <v>150.83000000000001</v>
      </c>
      <c r="J7" s="34"/>
      <c r="K7" s="34"/>
    </row>
    <row r="9" spans="1:14" x14ac:dyDescent="0.3">
      <c r="B9" s="6" t="s">
        <v>51</v>
      </c>
      <c r="C9" s="1" t="s">
        <v>47</v>
      </c>
      <c r="D9" s="49" t="s">
        <v>48</v>
      </c>
      <c r="F9" s="1" t="s">
        <v>52</v>
      </c>
      <c r="G9" s="1" t="s">
        <v>53</v>
      </c>
      <c r="H9" s="1" t="s">
        <v>54</v>
      </c>
      <c r="J9" s="12"/>
      <c r="K9" s="73"/>
      <c r="N9" s="2"/>
    </row>
    <row r="10" spans="1:14" x14ac:dyDescent="0.3">
      <c r="B10" s="6" t="s">
        <v>27</v>
      </c>
      <c r="C10" s="8">
        <v>220302.72999999998</v>
      </c>
      <c r="D10" s="10">
        <f>FACAccount[[#This Row],[2022 - Tons]]/FACAccount[[#Totals],[2022 - Tons]]</f>
        <v>0.32415893973589183</v>
      </c>
      <c r="F10" s="11">
        <f>FACAccount[[#This Row],[2022 - %]]</f>
        <v>0.32415893973589183</v>
      </c>
      <c r="G10" s="16">
        <f>FACAccount[[#This Row],[2022 - %]]*$C$6</f>
        <v>7330588.9359555496</v>
      </c>
      <c r="H10" s="16">
        <f t="shared" ref="H10:H16" si="0">ROUND(G10/12, 0)</f>
        <v>610882</v>
      </c>
      <c r="J10" s="12"/>
      <c r="L10" s="15"/>
      <c r="N10" s="2"/>
    </row>
    <row r="11" spans="1:14" x14ac:dyDescent="0.3">
      <c r="B11" s="6" t="s">
        <v>1</v>
      </c>
      <c r="C11" s="8">
        <v>268126.22000000003</v>
      </c>
      <c r="D11" s="10">
        <f>FACAccount[[#This Row],[2022 - Tons]]/FACAccount[[#Totals],[2022 - Tons]]</f>
        <v>0.39452761747706205</v>
      </c>
      <c r="F11" s="11">
        <f>FACAccount[[#This Row],[2022 - %]]</f>
        <v>0.39452761747706205</v>
      </c>
      <c r="G11" s="16">
        <f>FACAccount[[#This Row],[2022 - %]]*$C$6</f>
        <v>8921918.9511250444</v>
      </c>
      <c r="H11" s="16">
        <f t="shared" si="0"/>
        <v>743493</v>
      </c>
      <c r="J11" s="12"/>
      <c r="L11" s="15"/>
      <c r="N11" s="2"/>
    </row>
    <row r="12" spans="1:14" x14ac:dyDescent="0.3">
      <c r="B12" s="6" t="s">
        <v>18</v>
      </c>
      <c r="C12" s="8">
        <v>136624</v>
      </c>
      <c r="D12" s="10">
        <f>FACAccount[[#This Row],[2022 - Tons]]/FACAccount[[#Totals],[2022 - Tons]]</f>
        <v>0.2010319662515144</v>
      </c>
      <c r="F12" s="11">
        <f>FACAccount[[#This Row],[2022 - %]]</f>
        <v>0.2010319662515144</v>
      </c>
      <c r="G12" s="16">
        <f>FACAccount[[#This Row],[2022 - %]]*$C$6</f>
        <v>4546173.2715976378</v>
      </c>
      <c r="H12" s="16">
        <f t="shared" si="0"/>
        <v>378848</v>
      </c>
      <c r="J12" s="41" t="s">
        <v>62</v>
      </c>
      <c r="L12" s="15"/>
      <c r="N12" s="2"/>
    </row>
    <row r="13" spans="1:14" x14ac:dyDescent="0.3">
      <c r="B13" s="6" t="s">
        <v>58</v>
      </c>
      <c r="C13" s="8">
        <v>45803.729999999996</v>
      </c>
      <c r="D13" s="10">
        <f>FACAccount[[#This Row],[2022 - Tons]]/FACAccount[[#Totals],[2022 - Tons]]</f>
        <v>6.7396752426758674E-2</v>
      </c>
      <c r="F13" s="11">
        <f>FACAccount[[#This Row],[2022 - %]]</f>
        <v>6.7396752426758674E-2</v>
      </c>
      <c r="G13" s="16">
        <f>FACAccount[[#This Row],[2022 - %]]*$C$6</f>
        <v>1524122.35819091</v>
      </c>
      <c r="H13" s="16">
        <f t="shared" si="0"/>
        <v>127010</v>
      </c>
      <c r="J13" s="42">
        <f>AccountAll[[#This Row],[FAC Allocation]]</f>
        <v>6.7396752426758674E-2</v>
      </c>
      <c r="L13" s="15"/>
      <c r="N13" s="2"/>
    </row>
    <row r="14" spans="1:14" x14ac:dyDescent="0.3">
      <c r="B14" s="6" t="s">
        <v>59</v>
      </c>
      <c r="C14" s="8">
        <v>5845.16</v>
      </c>
      <c r="D14" s="10">
        <f>FACAccount[[#This Row],[2022 - Tons]]/FACAccount[[#Totals],[2022 - Tons]]</f>
        <v>8.60071442685547E-3</v>
      </c>
      <c r="F14" s="11">
        <f>FACAccount[[#This Row],[2022 - %]]</f>
        <v>8.60071442685547E-3</v>
      </c>
      <c r="G14" s="16">
        <f>FACAccount[[#This Row],[2022 - %]]*$C$6</f>
        <v>194498.11277822085</v>
      </c>
      <c r="H14" s="16">
        <f t="shared" si="0"/>
        <v>16208</v>
      </c>
      <c r="J14" s="43">
        <f>AccountAll[[#This Row],[FAC Allocation]]</f>
        <v>8.60071442685547E-3</v>
      </c>
      <c r="L14" s="15"/>
      <c r="N14" s="2"/>
    </row>
    <row r="15" spans="1:14" x14ac:dyDescent="0.3">
      <c r="B15" s="6" t="s">
        <v>60</v>
      </c>
      <c r="C15" s="32">
        <v>91.16</v>
      </c>
      <c r="D15" s="10">
        <f>FACAccount[[#This Row],[2022 - Tons]]/FACAccount[[#Totals],[2022 - Tons]]</f>
        <v>1.34135101032674E-4</v>
      </c>
      <c r="F15" s="11">
        <f>FACAccount[[#This Row],[2022 - %]]</f>
        <v>1.34135101032674E-4</v>
      </c>
      <c r="G15" s="16">
        <f>FACAccount[[#This Row],[2022 - %]]*$C$6</f>
        <v>3033.3554532061767</v>
      </c>
      <c r="H15" s="16">
        <f t="shared" si="0"/>
        <v>253</v>
      </c>
      <c r="J15" s="42">
        <f>AccountAll[[#This Row],[FAC Allocation]]</f>
        <v>1.34135101032674E-4</v>
      </c>
      <c r="L15" s="15"/>
      <c r="N15" s="2"/>
    </row>
    <row r="16" spans="1:14" x14ac:dyDescent="0.3">
      <c r="B16" s="6" t="s">
        <v>61</v>
      </c>
      <c r="C16" s="8">
        <v>2820.31</v>
      </c>
      <c r="D16" s="10">
        <f>FACAccount[[#This Row],[2022 - Tons]]/FACAccount[[#Totals],[2022 - Tons]]</f>
        <v>4.1498745808848268E-3</v>
      </c>
      <c r="F16" s="11">
        <f>FACAccount[[#This Row],[2022 - %]]</f>
        <v>4.1498745808848268E-3</v>
      </c>
      <c r="G16" s="16">
        <f>FACAccount[[#This Row],[2022 - %]]*$C$6</f>
        <v>93846.014899428614</v>
      </c>
      <c r="H16" s="16">
        <f t="shared" si="0"/>
        <v>7821</v>
      </c>
      <c r="J16" s="44">
        <f>AccountAll[[#This Row],[FAC Allocation]]</f>
        <v>4.1498745808848268E-3</v>
      </c>
      <c r="L16" s="15"/>
      <c r="N16" s="2"/>
    </row>
    <row r="17" spans="2:14" x14ac:dyDescent="0.3">
      <c r="B17" s="7" t="s">
        <v>46</v>
      </c>
      <c r="C17" s="8">
        <f>SUBTOTAL(109,FACAccount[2022 - Tons])</f>
        <v>679613.31</v>
      </c>
      <c r="D17" s="11">
        <f>SUBTOTAL(109,FACAccount[2022 - %])</f>
        <v>1</v>
      </c>
      <c r="F17" s="11">
        <f>SUBTOTAL(109,AccountAll[FAC Allocation])</f>
        <v>1</v>
      </c>
      <c r="G17" s="16">
        <f>SUBTOTAL(109,AccountAll[2024 Annual FAC])</f>
        <v>22614180.999999996</v>
      </c>
      <c r="H17" s="17"/>
      <c r="J17" s="31"/>
      <c r="N17" s="2"/>
    </row>
    <row r="19" spans="2:14" x14ac:dyDescent="0.3">
      <c r="B19" s="2" t="s">
        <v>91</v>
      </c>
    </row>
    <row r="21" spans="2:14" ht="16.5" x14ac:dyDescent="0.3">
      <c r="B21" s="29" t="s">
        <v>57</v>
      </c>
    </row>
    <row r="23" spans="2:14" x14ac:dyDescent="0.3">
      <c r="B23" s="3" t="s">
        <v>27</v>
      </c>
      <c r="C23" s="15">
        <f>G10</f>
        <v>7330588.9359555496</v>
      </c>
      <c r="D23" s="2" t="s">
        <v>55</v>
      </c>
    </row>
    <row r="25" spans="2:14" x14ac:dyDescent="0.3">
      <c r="B25" s="1" t="s">
        <v>0</v>
      </c>
      <c r="C25" s="5" t="s">
        <v>47</v>
      </c>
      <c r="D25" s="48" t="s">
        <v>48</v>
      </c>
      <c r="F25" s="18" t="s">
        <v>52</v>
      </c>
      <c r="G25" s="14" t="s">
        <v>53</v>
      </c>
      <c r="H25" s="19" t="s">
        <v>54</v>
      </c>
      <c r="J25" s="45" t="s">
        <v>62</v>
      </c>
      <c r="N25" s="2"/>
    </row>
    <row r="26" spans="2:14" x14ac:dyDescent="0.3">
      <c r="B26" s="89" t="s">
        <v>3</v>
      </c>
      <c r="C26" s="4">
        <v>70.726845556564811</v>
      </c>
      <c r="D26" s="10">
        <f>FACRep[[#This Row],[2022 - Tons]]/FACRep[[#Totals],[2022 - Tons]]</f>
        <v>3.1722568653705287E-4</v>
      </c>
      <c r="F26" s="11">
        <f>FACRep[[#This Row],[2022 - %]]</f>
        <v>3.1722568653705287E-4</v>
      </c>
      <c r="G26" s="16">
        <f>F26*$C$23</f>
        <v>2325.451107929423</v>
      </c>
      <c r="H26" s="16">
        <f t="shared" ref="H26:H45" si="1">ROUND(G26/12, 0)</f>
        <v>194</v>
      </c>
      <c r="J26" s="42">
        <f>RepAllo[[#This Row],[2024 Annual FAC]]/$C$6</f>
        <v>1.0283154220484141E-4</v>
      </c>
      <c r="L26" s="73"/>
      <c r="N26" s="2"/>
    </row>
    <row r="27" spans="2:14" x14ac:dyDescent="0.3">
      <c r="B27" s="1" t="s">
        <v>29</v>
      </c>
      <c r="C27" s="4">
        <v>76.010888385396584</v>
      </c>
      <c r="D27" s="10">
        <f>FACRep[[#This Row],[2022 - Tons]]/FACRep[[#Totals],[2022 - Tons]]</f>
        <v>3.4092579787210113E-4</v>
      </c>
      <c r="F27" s="11">
        <f>FACRep[[#This Row],[2022 - %]]</f>
        <v>3.4092579787210113E-4</v>
      </c>
      <c r="G27" s="16">
        <f t="shared" ref="G27:G45" si="2">F27*$C$23</f>
        <v>2499.1868818630428</v>
      </c>
      <c r="H27" s="16">
        <f t="shared" si="1"/>
        <v>208</v>
      </c>
      <c r="J27" s="44">
        <f>RepAllo[[#This Row],[2024 Annual FAC]]/$C$6</f>
        <v>1.1051414516683327E-4</v>
      </c>
      <c r="L27" s="73"/>
      <c r="N27" s="2"/>
    </row>
    <row r="28" spans="2:14" x14ac:dyDescent="0.3">
      <c r="B28" s="1" t="s">
        <v>31</v>
      </c>
      <c r="C28" s="4">
        <v>64855.155153157277</v>
      </c>
      <c r="D28" s="10">
        <f>FACRep[[#This Row],[2022 - Tons]]/FACRep[[#Totals],[2022 - Tons]]</f>
        <v>0.29088984468384455</v>
      </c>
      <c r="F28" s="11">
        <f>FACRep[[#This Row],[2022 - %]]</f>
        <v>0.29088984468384455</v>
      </c>
      <c r="G28" s="16">
        <f t="shared" si="2"/>
        <v>2132393.8770212191</v>
      </c>
      <c r="H28" s="16">
        <f t="shared" si="1"/>
        <v>177699</v>
      </c>
      <c r="J28" s="42">
        <f>RepAllo[[#This Row],[2024 Annual FAC]]/$C$6</f>
        <v>9.4294543632653299E-2</v>
      </c>
      <c r="L28" s="73"/>
      <c r="N28" s="2"/>
    </row>
    <row r="29" spans="2:14" x14ac:dyDescent="0.3">
      <c r="B29" s="1" t="s">
        <v>38</v>
      </c>
      <c r="C29" s="4">
        <v>2059.2488987084212</v>
      </c>
      <c r="D29" s="10">
        <f>FACRep[[#This Row],[2022 - Tons]]/FACRep[[#Totals],[2022 - Tons]]</f>
        <v>9.2361908763625763E-3</v>
      </c>
      <c r="F29" s="11">
        <f>FACRep[[#This Row],[2022 - %]]</f>
        <v>9.2361908763625763E-3</v>
      </c>
      <c r="G29" s="16">
        <f t="shared" si="2"/>
        <v>67706.718648637092</v>
      </c>
      <c r="H29" s="16">
        <f t="shared" si="1"/>
        <v>5642</v>
      </c>
      <c r="J29" s="44">
        <f>RepAllo[[#This Row],[2024 Annual FAC]]/$C$6</f>
        <v>2.9939938416800099E-3</v>
      </c>
      <c r="L29" s="73"/>
      <c r="N29" s="2"/>
    </row>
    <row r="30" spans="2:14" x14ac:dyDescent="0.3">
      <c r="B30" s="1" t="s">
        <v>32</v>
      </c>
      <c r="C30" s="4">
        <v>910.63742150233088</v>
      </c>
      <c r="D30" s="10">
        <f>FACRep[[#This Row],[2022 - Tons]]/FACRep[[#Totals],[2022 - Tons]]</f>
        <v>4.0844120637527166E-3</v>
      </c>
      <c r="F30" s="11">
        <f>FACRep[[#This Row],[2022 - %]]</f>
        <v>4.0844120637527166E-3</v>
      </c>
      <c r="G30" s="16">
        <f t="shared" si="2"/>
        <v>29941.145884429036</v>
      </c>
      <c r="H30" s="16">
        <f t="shared" si="1"/>
        <v>2495</v>
      </c>
      <c r="J30" s="42">
        <f>RepAllo[[#This Row],[2024 Annual FAC]]/$C$6</f>
        <v>1.3239986840305662E-3</v>
      </c>
      <c r="L30" s="73"/>
      <c r="N30" s="2"/>
    </row>
    <row r="31" spans="2:14" x14ac:dyDescent="0.3">
      <c r="B31" s="1" t="s">
        <v>39</v>
      </c>
      <c r="C31" s="4">
        <v>8945.1508917587162</v>
      </c>
      <c r="D31" s="10">
        <f>FACRep[[#This Row],[2022 - Tons]]/FACRep[[#Totals],[2022 - Tons]]</f>
        <v>4.0120998052235381E-2</v>
      </c>
      <c r="F31" s="11">
        <f>FACRep[[#This Row],[2022 - %]]</f>
        <v>4.0120998052235381E-2</v>
      </c>
      <c r="G31" s="16">
        <f t="shared" si="2"/>
        <v>294110.54442121083</v>
      </c>
      <c r="H31" s="16">
        <f t="shared" si="1"/>
        <v>24509</v>
      </c>
      <c r="J31" s="44">
        <f>RepAllo[[#This Row],[2024 Annual FAC]]/$C$6</f>
        <v>1.3005580189758401E-2</v>
      </c>
      <c r="L31" s="73"/>
      <c r="N31" s="2"/>
    </row>
    <row r="32" spans="2:14" x14ac:dyDescent="0.3">
      <c r="B32" s="1" t="s">
        <v>28</v>
      </c>
      <c r="C32" s="4">
        <v>147.32009956444631</v>
      </c>
      <c r="D32" s="10">
        <f>FACRep[[#This Row],[2022 - Tons]]/FACRep[[#Totals],[2022 - Tons]]</f>
        <v>6.6076352419340545E-4</v>
      </c>
      <c r="F32" s="11">
        <f>FACRep[[#This Row],[2022 - %]]</f>
        <v>6.6076352419340545E-4</v>
      </c>
      <c r="G32" s="16">
        <f t="shared" si="2"/>
        <v>4843.7857797351753</v>
      </c>
      <c r="H32" s="16">
        <f t="shared" si="1"/>
        <v>404</v>
      </c>
      <c r="J32" s="42">
        <f>RepAllo[[#This Row],[2024 Annual FAC]]/$C$6</f>
        <v>2.1419240341868562E-4</v>
      </c>
      <c r="L32" s="73"/>
      <c r="N32" s="2"/>
    </row>
    <row r="33" spans="2:14" x14ac:dyDescent="0.3">
      <c r="B33" s="89" t="s">
        <v>22</v>
      </c>
      <c r="C33" s="4">
        <v>41.339999999999996</v>
      </c>
      <c r="D33" s="10">
        <f>FACRep[[#This Row],[2022 - Tons]]/FACRep[[#Totals],[2022 - Tons]]</f>
        <v>1.8541912590960339E-4</v>
      </c>
      <c r="F33" s="11">
        <f>FACRep[[#This Row],[2022 - %]]</f>
        <v>1.8541912590960339E-4</v>
      </c>
      <c r="G33" s="16">
        <f t="shared" si="2"/>
        <v>1359.2313929074876</v>
      </c>
      <c r="H33" s="16">
        <f t="shared" si="1"/>
        <v>113</v>
      </c>
      <c r="J33" s="44">
        <f>RepAllo[[#This Row],[2024 Annual FAC]]/$C$6</f>
        <v>6.010526726161286E-5</v>
      </c>
      <c r="L33" s="73"/>
      <c r="N33" s="2"/>
    </row>
    <row r="34" spans="2:14" x14ac:dyDescent="0.3">
      <c r="B34" s="89" t="s">
        <v>35</v>
      </c>
      <c r="C34" s="4">
        <v>6732.7552031420555</v>
      </c>
      <c r="D34" s="10">
        <f>FACRep[[#This Row],[2022 - Tons]]/FACRep[[#Totals],[2022 - Tons]]</f>
        <v>3.0197909645136294E-2</v>
      </c>
      <c r="F34" s="11">
        <f>FACRep[[#This Row],[2022 - %]]</f>
        <v>3.0197909645136294E-2</v>
      </c>
      <c r="G34" s="16">
        <f t="shared" si="2"/>
        <v>221368.46233362149</v>
      </c>
      <c r="H34" s="16">
        <f t="shared" si="1"/>
        <v>18447</v>
      </c>
      <c r="J34" s="42">
        <f>RepAllo[[#This Row],[2024 Annual FAC]]/$C$6</f>
        <v>9.7889223728076409E-3</v>
      </c>
      <c r="L34" s="73"/>
      <c r="N34" s="2"/>
    </row>
    <row r="35" spans="2:14" x14ac:dyDescent="0.3">
      <c r="B35" s="89" t="s">
        <v>40</v>
      </c>
      <c r="C35" s="4">
        <v>82919.89375051629</v>
      </c>
      <c r="D35" s="10">
        <f>FACRep[[#This Row],[2022 - Tons]]/FACRep[[#Totals],[2022 - Tons]]</f>
        <v>0.37191422882771935</v>
      </c>
      <c r="F35" s="11">
        <f>FACRep[[#This Row],[2022 - %]]</f>
        <v>0.37191422882771935</v>
      </c>
      <c r="G35" s="16">
        <f t="shared" si="2"/>
        <v>2726350.3309689201</v>
      </c>
      <c r="H35" s="16">
        <f t="shared" si="1"/>
        <v>227196</v>
      </c>
      <c r="J35" s="44">
        <f>RepAllo[[#This Row],[2024 Annual FAC]]/$C$6</f>
        <v>0.12055932208948536</v>
      </c>
      <c r="L35" s="73"/>
      <c r="N35" s="2"/>
    </row>
    <row r="36" spans="2:14" x14ac:dyDescent="0.3">
      <c r="B36" s="89" t="s">
        <v>30</v>
      </c>
      <c r="C36" s="4">
        <v>3403.0668120778932</v>
      </c>
      <c r="D36" s="10">
        <f>FACRep[[#This Row],[2022 - Tons]]/FACRep[[#Totals],[2022 - Tons]]</f>
        <v>1.5263514119677397E-2</v>
      </c>
      <c r="F36" s="11">
        <f>FACRep[[#This Row],[2022 - %]]</f>
        <v>1.5263514119677397E-2</v>
      </c>
      <c r="G36" s="16">
        <f t="shared" si="2"/>
        <v>111890.54772950844</v>
      </c>
      <c r="H36" s="16">
        <f>ROUND(G36/12, 0)</f>
        <v>9324</v>
      </c>
      <c r="J36" s="42">
        <f>RepAllo[[#This Row],[2024 Annual FAC]]/$C$6</f>
        <v>4.9478045536784391E-3</v>
      </c>
      <c r="L36" s="73"/>
      <c r="N36" s="2"/>
    </row>
    <row r="37" spans="2:14" x14ac:dyDescent="0.3">
      <c r="B37" s="89" t="s">
        <v>33</v>
      </c>
      <c r="C37" s="4">
        <v>976.47364982006684</v>
      </c>
      <c r="D37" s="10">
        <f>FACRep[[#This Row],[2022 - Tons]]/FACRep[[#Totals],[2022 - Tons]]</f>
        <v>4.3797022405272605E-3</v>
      </c>
      <c r="F37" s="11">
        <f>FACRep[[#This Row],[2022 - %]]</f>
        <v>4.3797022405272605E-3</v>
      </c>
      <c r="G37" s="16">
        <f t="shared" si="2"/>
        <v>32105.796787188869</v>
      </c>
      <c r="H37" s="16">
        <f t="shared" si="1"/>
        <v>2675</v>
      </c>
      <c r="J37" s="44">
        <f>RepAllo[[#This Row],[2024 Annual FAC]]/$C$6</f>
        <v>1.4197196346482266E-3</v>
      </c>
      <c r="L37" s="73"/>
      <c r="N37" s="2"/>
    </row>
    <row r="38" spans="2:14" x14ac:dyDescent="0.3">
      <c r="B38" s="89" t="s">
        <v>24</v>
      </c>
      <c r="C38" s="4">
        <v>28.78</v>
      </c>
      <c r="D38" s="10">
        <f>FACRep[[#This Row],[2022 - Tons]]/FACRep[[#Totals],[2022 - Tons]]</f>
        <v>1.2908472287562618E-4</v>
      </c>
      <c r="F38" s="11">
        <f>FACRep[[#This Row],[2022 - %]]</f>
        <v>1.2908472287562618E-4</v>
      </c>
      <c r="G38" s="16">
        <f t="shared" si="2"/>
        <v>946.26704131295355</v>
      </c>
      <c r="H38" s="16">
        <f t="shared" si="1"/>
        <v>79</v>
      </c>
      <c r="J38" s="42">
        <f>RepAllo[[#This Row],[2024 Annual FAC]]/$C$6</f>
        <v>4.1843966903464405E-5</v>
      </c>
      <c r="L38" s="73"/>
      <c r="N38" s="2"/>
    </row>
    <row r="39" spans="2:14" x14ac:dyDescent="0.3">
      <c r="B39" s="1" t="s">
        <v>77</v>
      </c>
      <c r="C39" s="4">
        <v>4363.1049002420195</v>
      </c>
      <c r="D39" s="10">
        <f>FACRep[[#This Row],[2022 - Tons]]/FACRep[[#Totals],[2022 - Tons]]</f>
        <v>1.9569499198228899E-2</v>
      </c>
      <c r="F39" s="11">
        <f>FACRep[[#This Row],[2022 - %]]</f>
        <v>1.9569499198228899E-2</v>
      </c>
      <c r="G39" s="16">
        <f t="shared" si="2"/>
        <v>143455.95430472775</v>
      </c>
      <c r="H39" s="16">
        <f t="shared" si="1"/>
        <v>11955</v>
      </c>
      <c r="J39" s="44">
        <f>RepAllo[[#This Row],[2024 Annual FAC]]/$C$6</f>
        <v>6.3436281112602645E-3</v>
      </c>
      <c r="L39" s="73"/>
      <c r="N39" s="2"/>
    </row>
    <row r="40" spans="2:14" x14ac:dyDescent="0.3">
      <c r="B40" s="89" t="s">
        <v>37</v>
      </c>
      <c r="C40" s="4">
        <v>80.42</v>
      </c>
      <c r="D40" s="10">
        <f>FACRep[[#This Row],[2022 - Tons]]/FACRep[[#Totals],[2022 - Tons]]</f>
        <v>3.6070164745162812E-4</v>
      </c>
      <c r="F40" s="11">
        <f>FACRep[[#This Row],[2022 - %]]</f>
        <v>3.6070164745162812E-4</v>
      </c>
      <c r="G40" s="16">
        <f t="shared" si="2"/>
        <v>2644.1555059898442</v>
      </c>
      <c r="H40" s="16">
        <f t="shared" si="1"/>
        <v>220</v>
      </c>
      <c r="J40" s="42">
        <f>RepAllo[[#This Row],[2024 Annual FAC]]/$C$6</f>
        <v>1.169246635989092E-4</v>
      </c>
      <c r="L40" s="73"/>
      <c r="N40" s="2"/>
    </row>
    <row r="41" spans="2:14" x14ac:dyDescent="0.3">
      <c r="B41" s="89" t="s">
        <v>12</v>
      </c>
      <c r="C41" s="4">
        <v>12071.418627116267</v>
      </c>
      <c r="D41" s="10">
        <f>FACRep[[#This Row],[2022 - Tons]]/FACRep[[#Totals],[2022 - Tons]]</f>
        <v>5.4143006539158274E-2</v>
      </c>
      <c r="F41" s="11">
        <f>FACRep[[#This Row],[2022 - %]]</f>
        <v>5.4143006539158274E-2</v>
      </c>
      <c r="G41" s="16">
        <f t="shared" si="2"/>
        <v>396900.12469532259</v>
      </c>
      <c r="H41" s="16">
        <f t="shared" si="1"/>
        <v>33075</v>
      </c>
      <c r="J41" s="44">
        <f>RepAllo[[#This Row],[2024 Annual FAC]]/$C$6</f>
        <v>1.7550939593847001E-2</v>
      </c>
      <c r="L41" s="73"/>
      <c r="N41" s="2"/>
    </row>
    <row r="42" spans="2:14" x14ac:dyDescent="0.3">
      <c r="B42" s="1" t="s">
        <v>36</v>
      </c>
      <c r="C42" s="4">
        <v>2712.7631324930385</v>
      </c>
      <c r="D42" s="10">
        <f>FACRep[[#This Row],[2022 - Tons]]/FACRep[[#Totals],[2022 - Tons]]</f>
        <v>1.2167348060635144E-2</v>
      </c>
      <c r="F42" s="11">
        <f>FACRep[[#This Row],[2022 - %]]</f>
        <v>1.2167348060635144E-2</v>
      </c>
      <c r="G42" s="16">
        <f t="shared" si="2"/>
        <v>89193.827073212204</v>
      </c>
      <c r="H42" s="16">
        <f t="shared" si="1"/>
        <v>7433</v>
      </c>
      <c r="J42" s="42">
        <f>RepAllo[[#This Row],[2024 Annual FAC]]/$C$6</f>
        <v>3.9441546467330483E-3</v>
      </c>
      <c r="L42" s="73"/>
      <c r="N42" s="2"/>
    </row>
    <row r="43" spans="2:14" x14ac:dyDescent="0.3">
      <c r="B43" s="1" t="s">
        <v>17</v>
      </c>
      <c r="C43" s="4">
        <v>3290.3242120573714</v>
      </c>
      <c r="D43" s="10">
        <f>FACRep[[#This Row],[2022 - Tons]]/FACRep[[#Totals],[2022 - Tons]]</f>
        <v>1.475783839765076E-2</v>
      </c>
      <c r="F43" s="11">
        <f>FACRep[[#This Row],[2022 - %]]</f>
        <v>1.475783839765076E-2</v>
      </c>
      <c r="G43" s="16">
        <f t="shared" si="2"/>
        <v>108183.64687643864</v>
      </c>
      <c r="H43" s="16">
        <f t="shared" si="1"/>
        <v>9015</v>
      </c>
      <c r="J43" s="44">
        <f>RepAllo[[#This Row],[2024 Annual FAC]]/$C$6</f>
        <v>4.7838852477761025E-3</v>
      </c>
      <c r="L43" s="73"/>
      <c r="N43" s="2"/>
    </row>
    <row r="44" spans="2:14" x14ac:dyDescent="0.3">
      <c r="B44" s="1" t="s">
        <v>16</v>
      </c>
      <c r="C44" s="4">
        <v>29019.840163908571</v>
      </c>
      <c r="D44" s="10">
        <f>FACRep[[#This Row],[2022 - Tons]]/FACRep[[#Totals],[2022 - Tons]]</f>
        <v>0.13016045953624406</v>
      </c>
      <c r="F44" s="11">
        <f>FACRep[[#This Row],[2022 - %]]</f>
        <v>0.13016045953624406</v>
      </c>
      <c r="G44" s="16">
        <f t="shared" si="2"/>
        <v>954152.82457528065</v>
      </c>
      <c r="H44" s="16">
        <f t="shared" si="1"/>
        <v>79513</v>
      </c>
      <c r="J44" s="42">
        <f>RepAllo[[#This Row],[2024 Annual FAC]]/$C$6</f>
        <v>4.219267655880532E-2</v>
      </c>
      <c r="L44" s="73"/>
      <c r="N44" s="2"/>
    </row>
    <row r="45" spans="2:14" ht="16.5" thickBot="1" x14ac:dyDescent="0.35">
      <c r="B45" s="1" t="s">
        <v>34</v>
      </c>
      <c r="C45" s="4">
        <v>249.91560311013515</v>
      </c>
      <c r="D45" s="10">
        <f>FACRep[[#This Row],[2022 - Tons]]/FACRep[[#Totals],[2022 - Tons]]</f>
        <v>1.1209272539877268E-3</v>
      </c>
      <c r="F45" s="11">
        <f>FACRep[[#This Row],[2022 - %]]</f>
        <v>1.1209272539877268E-3</v>
      </c>
      <c r="G45" s="16">
        <f t="shared" si="2"/>
        <v>8217.0569260934662</v>
      </c>
      <c r="H45" s="16">
        <f t="shared" si="1"/>
        <v>685</v>
      </c>
      <c r="J45" s="44">
        <f>RepAllo[[#This Row],[2024 Annual FAC]]/$C$6</f>
        <v>3.6335859017372623E-4</v>
      </c>
      <c r="L45" s="73"/>
      <c r="N45" s="2"/>
    </row>
    <row r="46" spans="2:14" ht="16.5" thickTop="1" x14ac:dyDescent="0.3">
      <c r="B46" s="1" t="s">
        <v>46</v>
      </c>
      <c r="C46" s="67">
        <f>SUBTOTAL(109,FACRep[2022 - Tons])</f>
        <v>222954.34625311691</v>
      </c>
      <c r="D46" s="11">
        <f>SUBTOTAL(109,FACRep[2022 - %])</f>
        <v>0.99999999999999989</v>
      </c>
      <c r="E46" s="9"/>
      <c r="F46" s="70">
        <f>SUBTOTAL(109,RepAllo[FAC Allocation])</f>
        <v>0.99999999999999989</v>
      </c>
      <c r="G46" s="72">
        <f>SUBTOTAL(109,RepAllo[2024 Annual FAC])</f>
        <v>7330588.9359555468</v>
      </c>
      <c r="H46" s="71">
        <f>SUBTOTAL(109,RepAllo[2024 Monthly Charge])</f>
        <v>610881</v>
      </c>
      <c r="J46" s="46">
        <f>SUM(J26:J45)</f>
        <v>0.32415893973589177</v>
      </c>
      <c r="N46" s="2"/>
    </row>
    <row r="47" spans="2:14" x14ac:dyDescent="0.3">
      <c r="C47" s="38"/>
      <c r="D47" s="38"/>
      <c r="E47" s="38"/>
      <c r="F47" s="13"/>
      <c r="G47" s="13"/>
      <c r="H47" s="13"/>
      <c r="J47" s="36"/>
      <c r="K47" s="39"/>
      <c r="L47" s="37"/>
      <c r="N47" s="40"/>
    </row>
    <row r="48" spans="2:14" x14ac:dyDescent="0.3">
      <c r="B48" s="3" t="s">
        <v>56</v>
      </c>
      <c r="C48" s="15">
        <f>G11</f>
        <v>8921918.9511250444</v>
      </c>
      <c r="D48" s="2" t="str">
        <f>D23</f>
        <v>Allocated FAC</v>
      </c>
    </row>
    <row r="50" spans="2:14" x14ac:dyDescent="0.3">
      <c r="B50" s="22" t="s">
        <v>0</v>
      </c>
      <c r="C50" s="5" t="s">
        <v>47</v>
      </c>
      <c r="D50" s="48" t="s">
        <v>48</v>
      </c>
      <c r="F50" s="18" t="s">
        <v>52</v>
      </c>
      <c r="G50" s="14" t="s">
        <v>53</v>
      </c>
      <c r="H50" s="19" t="s">
        <v>54</v>
      </c>
      <c r="J50" s="45" t="s">
        <v>62</v>
      </c>
      <c r="N50" s="2"/>
    </row>
    <row r="51" spans="2:14" x14ac:dyDescent="0.3">
      <c r="B51" s="6" t="s">
        <v>2</v>
      </c>
      <c r="C51" s="4">
        <v>2240.9851446563166</v>
      </c>
      <c r="D51" s="10">
        <f>FACWM[[#This Row],[2022 - Tons]]/FACWM[[#Totals],[2022 - Tons]]</f>
        <v>8.6540293574350266E-3</v>
      </c>
      <c r="E51" s="20"/>
      <c r="F51" s="11">
        <f>FACWM[[#This Row],[2022 - %]]</f>
        <v>8.6540293574350266E-3</v>
      </c>
      <c r="G51" s="16">
        <f>F51*$C$48</f>
        <v>77210.548527692052</v>
      </c>
      <c r="H51" s="69">
        <f t="shared" ref="H51:H66" si="3">ROUND(G51/12, 0)</f>
        <v>6434</v>
      </c>
      <c r="J51" s="42">
        <f>WMAll[[#This Row],[2024 Annual FAC]]/$C$6</f>
        <v>3.4142535839653911E-3</v>
      </c>
      <c r="N51" s="2"/>
    </row>
    <row r="52" spans="2:14" x14ac:dyDescent="0.3">
      <c r="B52" s="88" t="s">
        <v>3</v>
      </c>
      <c r="C52" s="4">
        <v>50019.321017301889</v>
      </c>
      <c r="D52" s="10">
        <f>FACWM[[#This Row],[2022 - Tons]]/FACWM[[#Totals],[2022 - Tons]]</f>
        <v>0.19315999195928774</v>
      </c>
      <c r="F52" s="11">
        <f>FACWM[[#This Row],[2022 - %]]</f>
        <v>0.19315999195928774</v>
      </c>
      <c r="G52" s="16">
        <f t="shared" ref="G52:G66" si="4">F52*$C$48</f>
        <v>1723357.7928607306</v>
      </c>
      <c r="H52" s="69">
        <f t="shared" si="3"/>
        <v>143613</v>
      </c>
      <c r="J52" s="44">
        <f>WMAll[[#This Row],[2024 Annual FAC]]/$C$6</f>
        <v>7.620695141958625E-2</v>
      </c>
      <c r="N52" s="2"/>
    </row>
    <row r="53" spans="2:14" x14ac:dyDescent="0.3">
      <c r="B53" s="88" t="s">
        <v>8</v>
      </c>
      <c r="C53" s="4">
        <v>0</v>
      </c>
      <c r="D53" s="10">
        <f>FACWM[[#This Row],[2022 - Tons]]/FACWM[[#Totals],[2022 - Tons]]</f>
        <v>0</v>
      </c>
      <c r="F53" s="11">
        <f>FACWM[[#This Row],[2022 - %]]</f>
        <v>0</v>
      </c>
      <c r="G53" s="16">
        <f t="shared" si="4"/>
        <v>0</v>
      </c>
      <c r="H53" s="69">
        <f t="shared" si="3"/>
        <v>0</v>
      </c>
      <c r="J53" s="42">
        <f>WMAll[[#This Row],[2024 Annual FAC]]/$C$6</f>
        <v>0</v>
      </c>
      <c r="N53" s="2"/>
    </row>
    <row r="54" spans="2:14" x14ac:dyDescent="0.3">
      <c r="B54" s="6" t="s">
        <v>9</v>
      </c>
      <c r="C54" s="4">
        <v>2158.7534868494108</v>
      </c>
      <c r="D54" s="10">
        <f>FACWM[[#This Row],[2022 - Tons]]/FACWM[[#Totals],[2022 - Tons]]</f>
        <v>8.3364747397846484E-3</v>
      </c>
      <c r="F54" s="11">
        <f>FACWM[[#This Row],[2022 - %]]</f>
        <v>8.3364747397846484E-3</v>
      </c>
      <c r="G54" s="16">
        <f t="shared" si="4"/>
        <v>74377.351966459872</v>
      </c>
      <c r="H54" s="69">
        <f t="shared" si="3"/>
        <v>6198</v>
      </c>
      <c r="J54" s="44">
        <f>WMAll[[#This Row],[2024 Annual FAC]]/$C$6</f>
        <v>3.2889695172449479E-3</v>
      </c>
      <c r="N54" s="2"/>
    </row>
    <row r="55" spans="2:14" x14ac:dyDescent="0.3">
      <c r="B55" s="6" t="s">
        <v>4</v>
      </c>
      <c r="C55" s="4">
        <v>45616.058018735625</v>
      </c>
      <c r="D55" s="10">
        <f>FACWM[[#This Row],[2022 - Tons]]/FACWM[[#Totals],[2022 - Tons]]</f>
        <v>0.17615587778701647</v>
      </c>
      <c r="F55" s="11">
        <f>FACWM[[#This Row],[2022 - %]]</f>
        <v>0.17615587778701647</v>
      </c>
      <c r="G55" s="16">
        <f t="shared" si="4"/>
        <v>1571648.4643800494</v>
      </c>
      <c r="H55" s="69">
        <f t="shared" si="3"/>
        <v>130971</v>
      </c>
      <c r="J55" s="42">
        <f>WMAll[[#This Row],[2024 Annual FAC]]/$C$6</f>
        <v>6.9498358767892121E-2</v>
      </c>
      <c r="N55" s="2"/>
    </row>
    <row r="56" spans="2:14" x14ac:dyDescent="0.3">
      <c r="B56" s="6" t="s">
        <v>10</v>
      </c>
      <c r="C56" s="4">
        <v>35211.252187477585</v>
      </c>
      <c r="D56" s="10">
        <f>FACWM[[#This Row],[2022 - Tons]]/FACWM[[#Totals],[2022 - Tons]]</f>
        <v>0.13597556006521938</v>
      </c>
      <c r="F56" s="11">
        <f>FACWM[[#This Row],[2022 - %]]</f>
        <v>0.13597556006521938</v>
      </c>
      <c r="G56" s="16">
        <f t="shared" si="4"/>
        <v>1213162.9262357226</v>
      </c>
      <c r="H56" s="69">
        <f t="shared" si="3"/>
        <v>101097</v>
      </c>
      <c r="J56" s="44">
        <f>WMAll[[#This Row],[2024 Annual FAC]]/$C$6</f>
        <v>5.3646113747640146E-2</v>
      </c>
      <c r="N56" s="2"/>
    </row>
    <row r="57" spans="2:14" x14ac:dyDescent="0.3">
      <c r="B57" s="6" t="s">
        <v>6</v>
      </c>
      <c r="C57" s="4">
        <v>4009.0239204139211</v>
      </c>
      <c r="D57" s="10">
        <f>FACWM[[#This Row],[2022 - Tons]]/FACWM[[#Totals],[2022 - Tons]]</f>
        <v>1.5481678129214967E-2</v>
      </c>
      <c r="F57" s="11">
        <f>FACWM[[#This Row],[2022 - %]]</f>
        <v>1.5481678129214967E-2</v>
      </c>
      <c r="G57" s="16">
        <f t="shared" si="4"/>
        <v>138126.27749626114</v>
      </c>
      <c r="H57" s="69">
        <f t="shared" si="3"/>
        <v>11511</v>
      </c>
      <c r="J57" s="42">
        <f>WMAll[[#This Row],[2024 Annual FAC]]/$C$6</f>
        <v>6.1079495868659201E-3</v>
      </c>
      <c r="N57" s="2"/>
    </row>
    <row r="58" spans="2:14" x14ac:dyDescent="0.3">
      <c r="B58" s="6" t="s">
        <v>15</v>
      </c>
      <c r="C58" s="4">
        <v>2139.7851193209381</v>
      </c>
      <c r="D58" s="10">
        <f>FACWM[[#This Row],[2022 - Tons]]/FACWM[[#Totals],[2022 - Tons]]</f>
        <v>8.2632244508010523E-3</v>
      </c>
      <c r="F58" s="11">
        <f>FACWM[[#This Row],[2022 - %]]</f>
        <v>8.2632244508010523E-3</v>
      </c>
      <c r="G58" s="16">
        <f t="shared" si="4"/>
        <v>73723.818825001741</v>
      </c>
      <c r="H58" s="69">
        <f t="shared" si="3"/>
        <v>6144</v>
      </c>
      <c r="J58" s="44">
        <f>WMAll[[#This Row],[2024 Annual FAC]]/$C$6</f>
        <v>3.2600702552527433E-3</v>
      </c>
      <c r="N58" s="2"/>
    </row>
    <row r="59" spans="2:14" x14ac:dyDescent="0.3">
      <c r="B59" s="6" t="s">
        <v>5</v>
      </c>
      <c r="C59" s="4">
        <v>3996.1364261121439</v>
      </c>
      <c r="D59" s="10">
        <f>FACWM[[#This Row],[2022 - Tons]]/FACWM[[#Totals],[2022 - Tons]]</f>
        <v>1.543191039456608E-2</v>
      </c>
      <c r="F59" s="11">
        <f>FACWM[[#This Row],[2022 - %]]</f>
        <v>1.543191039456608E-2</v>
      </c>
      <c r="G59" s="16">
        <f t="shared" si="4"/>
        <v>137682.25380134265</v>
      </c>
      <c r="H59" s="69">
        <f t="shared" si="3"/>
        <v>11474</v>
      </c>
      <c r="J59" s="42">
        <f>WMAll[[#This Row],[2024 Annual FAC]]/$C$6</f>
        <v>6.0883148410876631E-3</v>
      </c>
      <c r="N59" s="2"/>
    </row>
    <row r="60" spans="2:14" x14ac:dyDescent="0.3">
      <c r="B60" s="6" t="s">
        <v>11</v>
      </c>
      <c r="C60" s="4">
        <v>30293.759907186799</v>
      </c>
      <c r="D60" s="10">
        <f>FACWM[[#This Row],[2022 - Tons]]/FACWM[[#Totals],[2022 - Tons]]</f>
        <v>0.11698564276921558</v>
      </c>
      <c r="F60" s="11">
        <f>FACWM[[#This Row],[2022 - %]]</f>
        <v>0.11698564276921558</v>
      </c>
      <c r="G60" s="16">
        <f t="shared" si="4"/>
        <v>1043736.4232322091</v>
      </c>
      <c r="H60" s="69">
        <f t="shared" si="3"/>
        <v>86978</v>
      </c>
      <c r="J60" s="44">
        <f>WMAll[[#This Row],[2024 Annual FAC]]/$C$6</f>
        <v>4.6154066920761315E-2</v>
      </c>
      <c r="N60" s="2"/>
    </row>
    <row r="61" spans="2:14" x14ac:dyDescent="0.3">
      <c r="B61" s="88" t="s">
        <v>12</v>
      </c>
      <c r="C61" s="4">
        <v>18.698380554984773</v>
      </c>
      <c r="D61" s="10">
        <f>FACWM[[#This Row],[2022 - Tons]]/FACWM[[#Totals],[2022 - Tons]]</f>
        <v>7.2207678237040283E-5</v>
      </c>
      <c r="F61" s="11">
        <f>FACWM[[#This Row],[2022 - %]]</f>
        <v>7.2207678237040283E-5</v>
      </c>
      <c r="G61" s="16">
        <f t="shared" si="4"/>
        <v>644.2310528797891</v>
      </c>
      <c r="H61" s="69">
        <f t="shared" si="3"/>
        <v>54</v>
      </c>
      <c r="J61" s="42">
        <f>WMAll[[#This Row],[2024 Annual FAC]]/$C$6</f>
        <v>2.8487923258409805E-5</v>
      </c>
      <c r="N61" s="2"/>
    </row>
    <row r="62" spans="2:14" x14ac:dyDescent="0.3">
      <c r="B62" s="6" t="s">
        <v>13</v>
      </c>
      <c r="C62" s="4">
        <v>4653.4631231076628</v>
      </c>
      <c r="D62" s="10">
        <f>FACWM[[#This Row],[2022 - Tons]]/FACWM[[#Totals],[2022 - Tons]]</f>
        <v>1.7970313893933061E-2</v>
      </c>
      <c r="F62" s="11">
        <f>FACWM[[#This Row],[2022 - %]]</f>
        <v>1.7970313893933061E-2</v>
      </c>
      <c r="G62" s="16">
        <f t="shared" si="4"/>
        <v>160329.68408794707</v>
      </c>
      <c r="H62" s="69">
        <f t="shared" si="3"/>
        <v>13361</v>
      </c>
      <c r="J62" s="44">
        <f>WMAll[[#This Row],[2024 Annual FAC]]/$C$6</f>
        <v>7.0897851258883557E-3</v>
      </c>
      <c r="N62" s="2"/>
    </row>
    <row r="63" spans="2:14" x14ac:dyDescent="0.3">
      <c r="B63" s="6" t="s">
        <v>7</v>
      </c>
      <c r="C63" s="4">
        <v>28255.355052591021</v>
      </c>
      <c r="D63" s="10">
        <f>FACWM[[#This Row],[2022 - Tons]]/FACWM[[#Totals],[2022 - Tons]]</f>
        <v>0.10911391925686927</v>
      </c>
      <c r="F63" s="11">
        <f>FACWM[[#This Row],[2022 - %]]</f>
        <v>0.10911391925686927</v>
      </c>
      <c r="G63" s="16">
        <f t="shared" si="4"/>
        <v>973505.54404938978</v>
      </c>
      <c r="H63" s="69">
        <f t="shared" si="3"/>
        <v>81125</v>
      </c>
      <c r="J63" s="42">
        <f>WMAll[[#This Row],[2024 Annual FAC]]/$C$6</f>
        <v>4.3048454597997152E-2</v>
      </c>
      <c r="N63" s="2"/>
    </row>
    <row r="64" spans="2:14" x14ac:dyDescent="0.3">
      <c r="B64" s="6" t="s">
        <v>17</v>
      </c>
      <c r="C64" s="4">
        <v>15779.171422067115</v>
      </c>
      <c r="D64" s="10">
        <f>FACWM[[#This Row],[2022 - Tons]]/FACWM[[#Totals],[2022 - Tons]]</f>
        <v>6.0934546151804499E-2</v>
      </c>
      <c r="F64" s="11">
        <f>FACWM[[#This Row],[2022 - %]]</f>
        <v>6.0934546151804499E-2</v>
      </c>
      <c r="G64" s="16">
        <f t="shared" si="4"/>
        <v>543653.08208998817</v>
      </c>
      <c r="H64" s="69">
        <f t="shared" si="3"/>
        <v>45304</v>
      </c>
      <c r="J64" s="44">
        <f>WMAll[[#This Row],[2024 Annual FAC]]/$C$6</f>
        <v>2.4040361315317508E-2</v>
      </c>
      <c r="N64" s="2"/>
    </row>
    <row r="65" spans="2:14" x14ac:dyDescent="0.3">
      <c r="B65" s="6" t="s">
        <v>16</v>
      </c>
      <c r="C65" s="4">
        <v>25718.7777006779</v>
      </c>
      <c r="D65" s="10">
        <f>FACWM[[#This Row],[2022 - Tons]]/FACWM[[#Totals],[2022 - Tons]]</f>
        <v>9.9318399227115772E-2</v>
      </c>
      <c r="F65" s="11">
        <f>FACWM[[#This Row],[2022 - %]]</f>
        <v>9.9318399227115772E-2</v>
      </c>
      <c r="G65" s="16">
        <f t="shared" si="4"/>
        <v>886110.7082598072</v>
      </c>
      <c r="H65" s="69">
        <f t="shared" si="3"/>
        <v>73843</v>
      </c>
      <c r="J65" s="42">
        <f>WMAll[[#This Row],[2024 Annual FAC]]/$C$6</f>
        <v>3.918385141870967E-2</v>
      </c>
      <c r="N65" s="2"/>
    </row>
    <row r="66" spans="2:14" ht="16.5" thickBot="1" x14ac:dyDescent="0.35">
      <c r="B66" s="6" t="s">
        <v>14</v>
      </c>
      <c r="C66" s="4">
        <v>8842.2603948044925</v>
      </c>
      <c r="D66" s="10">
        <f>FACWM[[#This Row],[2022 - Tons]]/FACWM[[#Totals],[2022 - Tons]]</f>
        <v>3.4146224139499415E-2</v>
      </c>
      <c r="F66" s="11">
        <f>FACWM[[#This Row],[2022 - %]]</f>
        <v>3.4146224139499415E-2</v>
      </c>
      <c r="G66" s="16">
        <f t="shared" si="4"/>
        <v>304649.84425956331</v>
      </c>
      <c r="H66" s="69">
        <f t="shared" si="3"/>
        <v>25387</v>
      </c>
      <c r="J66" s="44">
        <f>WMAll[[#This Row],[2024 Annual FAC]]/$C$6</f>
        <v>1.3471628455594449E-2</v>
      </c>
      <c r="N66" s="2"/>
    </row>
    <row r="67" spans="2:14" ht="16.5" thickTop="1" x14ac:dyDescent="0.3">
      <c r="B67" s="7" t="s">
        <v>46</v>
      </c>
      <c r="C67" s="23">
        <f>SUBTOTAL(109,FACWM[2022 - Tons])</f>
        <v>258952.80130185781</v>
      </c>
      <c r="D67" s="68">
        <f>SUBTOTAL(109,FACWM[2022 - %])</f>
        <v>1</v>
      </c>
      <c r="F67" s="11">
        <f>SUBTOTAL(109,WMAll[FAC Allocation])</f>
        <v>1</v>
      </c>
      <c r="G67" s="16">
        <f>SUBTOTAL(109,WMAll[2024 Annual FAC])</f>
        <v>8921918.9511250462</v>
      </c>
      <c r="H67" s="69">
        <f>SUBTOTAL(109,WMAll[2024 Monthly Charge])</f>
        <v>743494</v>
      </c>
      <c r="J67" s="46">
        <f>SUM(J51:J66)</f>
        <v>0.39452761747706205</v>
      </c>
      <c r="N67" s="2"/>
    </row>
    <row r="68" spans="2:14" x14ac:dyDescent="0.3">
      <c r="N68" s="30"/>
    </row>
    <row r="69" spans="2:14" x14ac:dyDescent="0.3">
      <c r="B69" s="3" t="s">
        <v>18</v>
      </c>
      <c r="C69" s="15">
        <f>'FAC Allocation'!G12</f>
        <v>4546173.2715976378</v>
      </c>
      <c r="D69" s="2" t="s">
        <v>55</v>
      </c>
      <c r="K69" s="33"/>
    </row>
    <row r="71" spans="2:14" ht="31.5" x14ac:dyDescent="0.3">
      <c r="B71" s="22" t="s">
        <v>0</v>
      </c>
      <c r="C71" s="5" t="s">
        <v>47</v>
      </c>
      <c r="D71" s="48" t="s">
        <v>48</v>
      </c>
      <c r="F71" s="18" t="s">
        <v>52</v>
      </c>
      <c r="G71" s="14" t="s">
        <v>53</v>
      </c>
      <c r="H71" s="19" t="s">
        <v>54</v>
      </c>
      <c r="J71" s="47" t="s">
        <v>62</v>
      </c>
      <c r="N71" s="2"/>
    </row>
    <row r="72" spans="2:14" x14ac:dyDescent="0.3">
      <c r="B72" s="88" t="s">
        <v>8</v>
      </c>
      <c r="C72" s="21">
        <v>16697.920000000002</v>
      </c>
      <c r="D72" s="10">
        <f>FACREc[[#This Row],[2022 - Tons]]/FACREc[[#Totals],[2022 - Tons]]</f>
        <v>0.1249983531099871</v>
      </c>
      <c r="E72" s="24"/>
      <c r="F72" s="11">
        <f>FACREc[[#This Row],[2022 - %]]</f>
        <v>0.1249983531099871</v>
      </c>
      <c r="G72" s="16">
        <f>F72*$C$69</f>
        <v>568264.17190234677</v>
      </c>
      <c r="H72" s="16">
        <f t="shared" ref="H72:H80" si="5">ROUND(G72/12, 0)</f>
        <v>47355</v>
      </c>
      <c r="J72" s="42">
        <f>RecAll[[#This Row],[2024 Annual FAC]]/$C$6</f>
        <v>2.5128664703901803E-2</v>
      </c>
      <c r="N72" s="2"/>
    </row>
    <row r="73" spans="2:14" x14ac:dyDescent="0.3">
      <c r="B73" s="88" t="s">
        <v>19</v>
      </c>
      <c r="C73" s="21">
        <v>20163.750000000004</v>
      </c>
      <c r="D73" s="10">
        <f>FACREc[[#This Row],[2022 - Tons]]/FACREc[[#Totals],[2022 - Tons]]</f>
        <v>0.15094308408002327</v>
      </c>
      <c r="F73" s="11">
        <f>FACREc[[#This Row],[2022 - %]]</f>
        <v>0.15094308408002327</v>
      </c>
      <c r="G73" s="16">
        <f t="shared" ref="G73:G80" si="6">F73*$C$69</f>
        <v>686213.41437711671</v>
      </c>
      <c r="H73" s="16">
        <f t="shared" si="5"/>
        <v>57184</v>
      </c>
      <c r="J73" s="44">
        <f>RecAll[[#This Row],[2024 Annual FAC]]/$C$6</f>
        <v>3.0344384984674736E-2</v>
      </c>
      <c r="N73" s="2"/>
    </row>
    <row r="74" spans="2:14" x14ac:dyDescent="0.3">
      <c r="B74" s="88" t="s">
        <v>20</v>
      </c>
      <c r="C74" s="21">
        <v>844.30999999999983</v>
      </c>
      <c r="D74" s="10">
        <f>FACREc[[#This Row],[2022 - Tons]]/FACREc[[#Totals],[2022 - Tons]]</f>
        <v>6.3203895763240675E-3</v>
      </c>
      <c r="F74" s="11">
        <f>FACREc[[#This Row],[2022 - %]]</f>
        <v>6.3203895763240675E-3</v>
      </c>
      <c r="G74" s="16">
        <f t="shared" si="6"/>
        <v>28733.586157968795</v>
      </c>
      <c r="H74" s="16">
        <f t="shared" si="5"/>
        <v>2394</v>
      </c>
      <c r="J74" s="42">
        <f>RecAll[[#This Row],[2024 Annual FAC]]/$C$6</f>
        <v>1.2706003440040032E-3</v>
      </c>
      <c r="N74" s="2"/>
    </row>
    <row r="75" spans="2:14" x14ac:dyDescent="0.3">
      <c r="B75" s="88" t="s">
        <v>21</v>
      </c>
      <c r="C75" s="21">
        <v>12920.869999999995</v>
      </c>
      <c r="D75" s="10">
        <f>FACREc[[#This Row],[2022 - Tons]]/FACREc[[#Totals],[2022 - Tons]]</f>
        <v>9.6723871640793477E-2</v>
      </c>
      <c r="F75" s="11">
        <f>FACREc[[#This Row],[2022 - %]]</f>
        <v>9.6723871640793477E-2</v>
      </c>
      <c r="G75" s="16">
        <f t="shared" si="6"/>
        <v>439723.47997881606</v>
      </c>
      <c r="H75" s="16">
        <f t="shared" si="5"/>
        <v>36644</v>
      </c>
      <c r="J75" s="44">
        <f>RecAll[[#This Row],[2024 Annual FAC]]/$C$6</f>
        <v>1.9444590099407803E-2</v>
      </c>
      <c r="N75" s="2"/>
    </row>
    <row r="76" spans="2:14" x14ac:dyDescent="0.3">
      <c r="B76" s="88" t="s">
        <v>22</v>
      </c>
      <c r="C76" s="21">
        <v>18382.064000000002</v>
      </c>
      <c r="D76" s="10">
        <f>FACREc[[#This Row],[2022 - Tons]]/FACREc[[#Totals],[2022 - Tons]]</f>
        <v>0.13760562553673641</v>
      </c>
      <c r="F76" s="11">
        <f>FACREc[[#This Row],[2022 - %]]</f>
        <v>0.13760562553673641</v>
      </c>
      <c r="G76" s="16">
        <f t="shared" si="6"/>
        <v>625579.01683658443</v>
      </c>
      <c r="H76" s="16">
        <f t="shared" si="5"/>
        <v>52132</v>
      </c>
      <c r="J76" s="42">
        <f>RecAll[[#This Row],[2024 Annual FAC]]/$C$6</f>
        <v>2.7663129468919721E-2</v>
      </c>
      <c r="N76" s="2"/>
    </row>
    <row r="77" spans="2:14" x14ac:dyDescent="0.3">
      <c r="B77" s="88" t="s">
        <v>23</v>
      </c>
      <c r="C77" s="21">
        <v>9147.18</v>
      </c>
      <c r="D77" s="10">
        <f>FACREc[[#This Row],[2022 - Tons]]/FACREc[[#Totals],[2022 - Tons]]</f>
        <v>6.8474542673615135E-2</v>
      </c>
      <c r="F77" s="11">
        <f>FACREc[[#This Row],[2022 - %]]</f>
        <v>6.8474542673615135E-2</v>
      </c>
      <c r="G77" s="16">
        <f t="shared" si="6"/>
        <v>311297.13568766101</v>
      </c>
      <c r="H77" s="16">
        <f t="shared" si="5"/>
        <v>25941</v>
      </c>
      <c r="J77" s="44">
        <f>RecAll[[#This Row],[2024 Annual FAC]]/$C$6</f>
        <v>1.376557195185008E-2</v>
      </c>
      <c r="N77" s="2"/>
    </row>
    <row r="78" spans="2:14" x14ac:dyDescent="0.3">
      <c r="B78" s="88" t="s">
        <v>24</v>
      </c>
      <c r="C78" s="21">
        <v>6564.6060000000007</v>
      </c>
      <c r="D78" s="10">
        <f>FACREc[[#This Row],[2022 - Tons]]/FACREc[[#Totals],[2022 - Tons]]</f>
        <v>4.9141745727368437E-2</v>
      </c>
      <c r="F78" s="11">
        <f>FACREc[[#This Row],[2022 - %]]</f>
        <v>4.9141745727368437E-2</v>
      </c>
      <c r="G78" s="16">
        <f t="shared" si="6"/>
        <v>223406.8909454098</v>
      </c>
      <c r="H78" s="16">
        <f t="shared" si="5"/>
        <v>18617</v>
      </c>
      <c r="J78" s="42">
        <f>RecAll[[#This Row],[2024 Annual FAC]]/$C$6</f>
        <v>9.8790617686048323E-3</v>
      </c>
      <c r="N78" s="2"/>
    </row>
    <row r="79" spans="2:14" x14ac:dyDescent="0.3">
      <c r="B79" s="88" t="s">
        <v>25</v>
      </c>
      <c r="C79" s="21">
        <v>29916.909999999996</v>
      </c>
      <c r="D79" s="10">
        <f>FACREc[[#This Row],[2022 - Tons]]/FACREc[[#Totals],[2022 - Tons]]</f>
        <v>0.22395391043553348</v>
      </c>
      <c r="F79" s="11">
        <f>FACREc[[#This Row],[2022 - %]]</f>
        <v>0.22395391043553348</v>
      </c>
      <c r="G79" s="16">
        <f t="shared" si="6"/>
        <v>1018133.2816917936</v>
      </c>
      <c r="H79" s="16">
        <f t="shared" si="5"/>
        <v>84844</v>
      </c>
      <c r="J79" s="44">
        <f>RecAll[[#This Row],[2024 Annual FAC]]/$C$6</f>
        <v>4.502189496457084E-2</v>
      </c>
      <c r="N79" s="2"/>
    </row>
    <row r="80" spans="2:14" ht="16.5" thickBot="1" x14ac:dyDescent="0.35">
      <c r="B80" s="88" t="s">
        <v>26</v>
      </c>
      <c r="C80" s="21">
        <v>18947.510000000006</v>
      </c>
      <c r="D80" s="10">
        <f>FACREc[[#This Row],[2022 - Tons]]/FACREc[[#Totals],[2022 - Tons]]</f>
        <v>0.14183847721961848</v>
      </c>
      <c r="F80" s="11">
        <f>FACREc[[#This Row],[2022 - %]]</f>
        <v>0.14183847721961848</v>
      </c>
      <c r="G80" s="16">
        <f t="shared" si="6"/>
        <v>644822.29401993996</v>
      </c>
      <c r="H80" s="16">
        <f t="shared" si="5"/>
        <v>53735</v>
      </c>
      <c r="J80" s="42">
        <f>RecAll[[#This Row],[2024 Annual FAC]]/$C$6</f>
        <v>2.8514067965580533E-2</v>
      </c>
      <c r="N80" s="2"/>
    </row>
    <row r="81" spans="2:14" ht="16.5" thickTop="1" x14ac:dyDescent="0.3">
      <c r="B81" s="7" t="s">
        <v>46</v>
      </c>
      <c r="C81" s="23">
        <f>SUBTOTAL(109,FACREc[2022 - Tons])</f>
        <v>133585.12000000002</v>
      </c>
      <c r="D81" s="11">
        <f>SUBTOTAL(109,FACREc[2022 - %])</f>
        <v>0.99999999999999989</v>
      </c>
      <c r="F81" s="11">
        <f>SUBTOTAL(109,RecAll[FAC Allocation])</f>
        <v>0.99999999999999989</v>
      </c>
      <c r="G81" s="16">
        <f>SUBTOTAL(109,RecAll[2024 Annual FAC])</f>
        <v>4546173.2715976378</v>
      </c>
      <c r="H81" s="16">
        <f>SUBTOTAL(109,RecAll[2024 Monthly Charge])</f>
        <v>378846</v>
      </c>
      <c r="J81" s="46">
        <f>SUM(J72:J80)</f>
        <v>0.20103196625151434</v>
      </c>
      <c r="N81" s="2"/>
    </row>
    <row r="82" spans="2:14" x14ac:dyDescent="0.3">
      <c r="N82" s="30"/>
    </row>
    <row r="83" spans="2:14" x14ac:dyDescent="0.3">
      <c r="B83" s="51"/>
      <c r="C83" s="51"/>
      <c r="D83" s="51"/>
      <c r="E83" s="51"/>
      <c r="F83" s="51"/>
      <c r="G83" s="51"/>
      <c r="H83" s="51"/>
      <c r="I83" s="51"/>
    </row>
    <row r="84" spans="2:14" ht="31.9" customHeight="1" x14ac:dyDescent="0.3">
      <c r="B84" s="106"/>
      <c r="C84" s="106"/>
      <c r="D84" s="106"/>
      <c r="E84" s="106"/>
      <c r="F84" s="106"/>
      <c r="G84" s="106"/>
      <c r="H84" s="106"/>
      <c r="I84" s="106"/>
    </row>
    <row r="89" spans="2:14" x14ac:dyDescent="0.3">
      <c r="H89" s="15"/>
    </row>
  </sheetData>
  <mergeCells count="2">
    <mergeCell ref="B84:I84"/>
    <mergeCell ref="B4:J4"/>
  </mergeCells>
  <pageMargins left="0.7" right="0.7" top="0.75" bottom="0.75" header="0.3" footer="0.3"/>
  <pageSetup orientation="portrait" horizontalDpi="1200" verticalDpi="1200"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115F9-F129-46BB-893D-2E960343AC14}">
  <sheetPr>
    <tabColor theme="2"/>
  </sheetPr>
  <dimension ref="B3:M15"/>
  <sheetViews>
    <sheetView workbookViewId="0">
      <selection activeCell="D8" sqref="D4:M8"/>
    </sheetView>
  </sheetViews>
  <sheetFormatPr defaultColWidth="8.77734375" defaultRowHeight="15.75" x14ac:dyDescent="0.3"/>
  <cols>
    <col min="1" max="1" width="8.77734375" style="2"/>
    <col min="2" max="2" width="3.6640625" style="2" customWidth="1"/>
    <col min="3" max="3" width="28.109375" style="2" customWidth="1"/>
    <col min="4" max="16384" width="8.77734375" style="2"/>
  </cols>
  <sheetData>
    <row r="3" spans="2:13" x14ac:dyDescent="0.3">
      <c r="B3" s="91" t="s">
        <v>85</v>
      </c>
      <c r="C3" s="91"/>
      <c r="D3" s="91"/>
      <c r="E3" s="91"/>
      <c r="F3" s="91"/>
      <c r="G3" s="91"/>
      <c r="H3" s="91"/>
      <c r="I3" s="91"/>
      <c r="J3" s="91"/>
      <c r="K3" s="91"/>
      <c r="L3" s="91"/>
      <c r="M3" s="91"/>
    </row>
    <row r="4" spans="2:13" ht="61.9" customHeight="1" x14ac:dyDescent="0.3">
      <c r="B4" s="92">
        <v>1</v>
      </c>
      <c r="C4" s="92" t="s">
        <v>66</v>
      </c>
      <c r="D4" s="109" t="s">
        <v>87</v>
      </c>
      <c r="E4" s="109"/>
      <c r="F4" s="109"/>
      <c r="G4" s="109"/>
      <c r="H4" s="109"/>
      <c r="I4" s="109"/>
      <c r="J4" s="109"/>
      <c r="K4" s="109"/>
      <c r="L4" s="109"/>
      <c r="M4" s="109"/>
    </row>
    <row r="5" spans="2:13" ht="63" customHeight="1" x14ac:dyDescent="0.3">
      <c r="B5" s="93">
        <v>2</v>
      </c>
      <c r="C5" s="93" t="s">
        <v>67</v>
      </c>
      <c r="D5" s="110" t="s">
        <v>83</v>
      </c>
      <c r="E5" s="110"/>
      <c r="F5" s="110"/>
      <c r="G5" s="110"/>
      <c r="H5" s="110"/>
      <c r="I5" s="110"/>
      <c r="J5" s="110"/>
      <c r="K5" s="110"/>
      <c r="L5" s="110"/>
      <c r="M5" s="110"/>
    </row>
    <row r="6" spans="2:13" ht="31.15" customHeight="1" x14ac:dyDescent="0.3">
      <c r="B6" s="92">
        <v>3</v>
      </c>
      <c r="C6" s="92" t="s">
        <v>68</v>
      </c>
      <c r="D6" s="111" t="s">
        <v>84</v>
      </c>
      <c r="E6" s="111"/>
      <c r="F6" s="111"/>
      <c r="G6" s="111"/>
      <c r="H6" s="111"/>
      <c r="I6" s="111"/>
      <c r="J6" s="111"/>
      <c r="K6" s="111"/>
      <c r="L6" s="111"/>
      <c r="M6" s="111"/>
    </row>
    <row r="7" spans="2:13" ht="31.15" customHeight="1" x14ac:dyDescent="0.3">
      <c r="B7" s="93">
        <v>4</v>
      </c>
      <c r="C7" s="93" t="s">
        <v>69</v>
      </c>
      <c r="D7" s="110" t="s">
        <v>88</v>
      </c>
      <c r="E7" s="110"/>
      <c r="F7" s="110"/>
      <c r="G7" s="110"/>
      <c r="H7" s="110"/>
      <c r="I7" s="110"/>
      <c r="J7" s="110"/>
      <c r="K7" s="110"/>
      <c r="L7" s="110"/>
      <c r="M7" s="110"/>
    </row>
    <row r="8" spans="2:13" ht="33.6" customHeight="1" x14ac:dyDescent="0.3">
      <c r="B8" s="96">
        <v>5</v>
      </c>
      <c r="C8" s="96" t="s">
        <v>86</v>
      </c>
      <c r="D8" s="112" t="s">
        <v>89</v>
      </c>
      <c r="E8" s="112"/>
      <c r="F8" s="112"/>
      <c r="G8" s="112"/>
      <c r="H8" s="112"/>
      <c r="I8" s="112"/>
      <c r="J8" s="112"/>
      <c r="K8" s="112"/>
      <c r="L8" s="112"/>
      <c r="M8" s="112"/>
    </row>
    <row r="9" spans="2:13" x14ac:dyDescent="0.3">
      <c r="B9" s="90"/>
      <c r="C9" s="90"/>
    </row>
    <row r="10" spans="2:13" x14ac:dyDescent="0.3">
      <c r="B10" s="90"/>
      <c r="C10" s="90"/>
    </row>
    <row r="11" spans="2:13" x14ac:dyDescent="0.3">
      <c r="B11" s="94"/>
      <c r="C11" s="94"/>
      <c r="D11" s="95"/>
      <c r="E11" s="95"/>
      <c r="F11" s="95"/>
      <c r="G11" s="95"/>
      <c r="H11" s="95"/>
      <c r="I11" s="95"/>
      <c r="J11" s="95"/>
      <c r="K11" s="95"/>
      <c r="L11" s="95"/>
      <c r="M11" s="95"/>
    </row>
    <row r="12" spans="2:13" x14ac:dyDescent="0.3">
      <c r="B12" s="90"/>
      <c r="C12" s="90"/>
    </row>
    <row r="13" spans="2:13" x14ac:dyDescent="0.3">
      <c r="B13" s="90"/>
      <c r="C13" s="90"/>
    </row>
    <row r="14" spans="2:13" x14ac:dyDescent="0.3">
      <c r="B14" s="90"/>
      <c r="C14" s="90"/>
    </row>
    <row r="15" spans="2:13" x14ac:dyDescent="0.3">
      <c r="B15" s="90"/>
      <c r="C15" s="90"/>
    </row>
  </sheetData>
  <mergeCells count="5">
    <mergeCell ref="D4:M4"/>
    <mergeCell ref="D5:M5"/>
    <mergeCell ref="D6:M6"/>
    <mergeCell ref="D7:M7"/>
    <mergeCell ref="D8:M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2023-11-16T08:00:00+00:00</OpenedDate>
    <SignificantOrder xmlns="dc463f71-b30c-4ab2-9473-d307f9d35888">false</SignificantOrder>
    <Date1 xmlns="dc463f71-b30c-4ab2-9473-d307f9d35888">2023-11-16T08:00:00+00:00</Date1>
    <IsDocumentOrder xmlns="dc463f71-b30c-4ab2-9473-d307f9d35888">false</IsDocumentOrder>
    <IsHighlyConfidential xmlns="dc463f71-b30c-4ab2-9473-d307f9d35888">false</IsHighlyConfidential>
    <CaseCompanyNames xmlns="dc463f71-b30c-4ab2-9473-d307f9d35888">Waste Management of Washington, Inc.  </CaseCompanyNames>
    <Nickname xmlns="http://schemas.microsoft.com/sharepoint/v3" xsi:nil="true"/>
    <DocketNumber xmlns="dc463f71-b30c-4ab2-9473-d307f9d35888">230955</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4E5BA6FAC68244C8D36DB9C271118EE" ma:contentTypeVersion="16" ma:contentTypeDescription="" ma:contentTypeScope="" ma:versionID="8c97c382b3c97a65be9835d841d6001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D9289C-3487-48B4-B287-B84542ADFB3C}">
  <ds:schemaRef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2beaef9f-cf1f-479f-a374-c737fe2c05cb"/>
    <ds:schemaRef ds:uri="0f51d57c-520b-4768-927f-2df45b1cd3c7"/>
    <ds:schemaRef ds:uri="92810d9f-85a8-4947-9fd6-c4bbade4f97f"/>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A2E27A6-5FE8-4731-BFAD-E7A24510FF81}">
  <ds:schemaRefs>
    <ds:schemaRef ds:uri="http://schemas.microsoft.com/sharepoint/v3/contenttype/forms"/>
  </ds:schemaRefs>
</ds:datastoreItem>
</file>

<file path=customXml/itemProps3.xml><?xml version="1.0" encoding="utf-8"?>
<ds:datastoreItem xmlns:ds="http://schemas.openxmlformats.org/officeDocument/2006/customXml" ds:itemID="{684A1A5E-39FE-4ACA-910F-BCB536C4FD63}"/>
</file>

<file path=customXml/itemProps4.xml><?xml version="1.0" encoding="utf-8"?>
<ds:datastoreItem xmlns:ds="http://schemas.openxmlformats.org/officeDocument/2006/customXml" ds:itemID="{1DDA4466-E556-4AB6-B3DA-0EF5F01536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 by Jurisdiction</vt:lpstr>
      <vt:lpstr>FAC Allocation</vt:lpstr>
      <vt:lpstr>Version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Honaker, Lindy</dc:creator>
  <cp:lastModifiedBy>Burmester, Evan</cp:lastModifiedBy>
  <dcterms:created xsi:type="dcterms:W3CDTF">2023-04-04T06:07:34Z</dcterms:created>
  <dcterms:modified xsi:type="dcterms:W3CDTF">2023-11-16T23:52:33Z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0x0101006E56B4D1795A2E4DB2F0B01679ED314A00A4E5BA6FAC68244C8D36DB9C271118EE</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_docset_NoMedatataSyncRequired">
    <vt:lpwstr>False</vt:lpwstr>
  </property>
</Properties>
</file>