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Brem Air\"/>
    </mc:Choice>
  </mc:AlternateContent>
  <xr:revisionPtr revIDLastSave="0" documentId="13_ncr:1_{D4EF2D6B-A78B-49F2-AE7D-092A10E32D10}" xr6:coauthVersionLast="47" xr6:coauthVersionMax="47" xr10:uidLastSave="{00000000-0000-0000-0000-000000000000}"/>
  <bookViews>
    <workbookView xWindow="9120" yWindow="21480" windowWidth="29040" windowHeight="15840" tabRatio="967" xr2:uid="{00000000-000D-0000-FFFF-FFFF00000000}"/>
  </bookViews>
  <sheets>
    <sheet name="Rebate Analysis" sheetId="40" r:id="rId1"/>
    <sheet name="Calculation of Revenue" sheetId="34" r:id="rId2"/>
    <sheet name="Reg. Res'l - SS Mix &amp; Prices" sheetId="35" r:id="rId3"/>
    <sheet name="Composition - CRC" sheetId="43" r:id="rId4"/>
    <sheet name="Reg. MF - SS Mix &amp; Prices" sheetId="36" r:id="rId5"/>
    <sheet name="Total Company Tonnage" sheetId="41" r:id="rId6"/>
    <sheet name="Commodity Prices - JMK" sheetId="39" r:id="rId7"/>
    <sheet name="Customer Counts" sheetId="38" r:id="rId8"/>
    <sheet name="MF Units" sheetId="42" r:id="rId9"/>
  </sheets>
  <definedNames>
    <definedName name="_xlnm.Print_Area" localSheetId="1">'Calculation of Revenue'!$A$1:$K$47</definedName>
    <definedName name="_xlnm.Print_Area" localSheetId="6">'Commodity Prices - JMK'!$A$1:$K$21</definedName>
    <definedName name="_xlnm.Print_Area" localSheetId="7">'Customer Counts'!$A$1:$I$24</definedName>
    <definedName name="_xlnm.Print_Area" localSheetId="0">'Rebate Analysis'!$AE$1:$AJ$67</definedName>
    <definedName name="_xlnm.Print_Area" localSheetId="4">'Reg. MF - SS Mix &amp; Prices'!$A$1:$M$68</definedName>
    <definedName name="_xlnm.Print_Area" localSheetId="2">'Reg. Res''l - SS Mix &amp; Prices'!$A$1:$M$70</definedName>
    <definedName name="_xlnm.Print_Area" localSheetId="5">'Total Company Tonnage'!$A$1:$T$61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40" l="1"/>
  <c r="D47" i="40"/>
  <c r="D45" i="40"/>
  <c r="D13" i="40"/>
  <c r="D11" i="40"/>
  <c r="AB11" i="40"/>
  <c r="AC11" i="40" s="1"/>
  <c r="AI11" i="40"/>
  <c r="AI14" i="40" s="1"/>
  <c r="AI22" i="40" s="1"/>
  <c r="AN11" i="40"/>
  <c r="AO11" i="40" s="1"/>
  <c r="AU11" i="40"/>
  <c r="AZ11" i="40"/>
  <c r="BA11" i="40" s="1"/>
  <c r="BG11" i="40"/>
  <c r="P13" i="40"/>
  <c r="Q13" i="40" s="1"/>
  <c r="AI13" i="40"/>
  <c r="AU13" i="40"/>
  <c r="AU14" i="40" s="1"/>
  <c r="AU22" i="40" s="1"/>
  <c r="AV26" i="40" s="1"/>
  <c r="BG13" i="40"/>
  <c r="O14" i="40"/>
  <c r="U14" i="40"/>
  <c r="W24" i="40" s="1"/>
  <c r="AA14" i="40"/>
  <c r="AC29" i="40" s="1"/>
  <c r="AD30" i="40" s="1"/>
  <c r="V13" i="40" s="1"/>
  <c r="AG14" i="40"/>
  <c r="AI29" i="40" s="1"/>
  <c r="AJ30" i="40" s="1"/>
  <c r="AB13" i="40" s="1"/>
  <c r="AM14" i="40"/>
  <c r="AS14" i="40"/>
  <c r="AY14" i="40"/>
  <c r="BA24" i="40" s="1"/>
  <c r="BE14" i="40"/>
  <c r="BG29" i="40" s="1"/>
  <c r="BG14" i="40"/>
  <c r="BG22" i="40" s="1"/>
  <c r="BH26" i="40" s="1"/>
  <c r="Q24" i="40"/>
  <c r="AI24" i="40"/>
  <c r="AO24" i="40"/>
  <c r="AU24" i="40"/>
  <c r="BG24" i="40"/>
  <c r="Q28" i="40"/>
  <c r="R30" i="40" s="1"/>
  <c r="W28" i="40"/>
  <c r="AO28" i="40"/>
  <c r="AP30" i="40" s="1"/>
  <c r="AU28" i="40"/>
  <c r="AV30" i="40" s="1"/>
  <c r="AN13" i="40" s="1"/>
  <c r="AO13" i="40" s="1"/>
  <c r="BA28" i="40"/>
  <c r="BG28" i="40"/>
  <c r="Q29" i="40"/>
  <c r="W29" i="40"/>
  <c r="AO29" i="40"/>
  <c r="AU29" i="40"/>
  <c r="BA29" i="40"/>
  <c r="X30" i="40"/>
  <c r="X34" i="40"/>
  <c r="M44" i="40"/>
  <c r="S44" i="40"/>
  <c r="Y44" i="40"/>
  <c r="AE44" i="40"/>
  <c r="AK44" i="40"/>
  <c r="AQ44" i="40"/>
  <c r="AW44" i="40"/>
  <c r="BC44" i="40"/>
  <c r="AB45" i="40"/>
  <c r="AC45" i="40"/>
  <c r="AI45" i="40"/>
  <c r="AN45" i="40"/>
  <c r="AO45" i="40" s="1"/>
  <c r="AU45" i="40"/>
  <c r="AZ45" i="40"/>
  <c r="BA45" i="40"/>
  <c r="BG45" i="40"/>
  <c r="BG48" i="40" s="1"/>
  <c r="BG56" i="40" s="1"/>
  <c r="AI47" i="40"/>
  <c r="AI48" i="40" s="1"/>
  <c r="AI56" i="40" s="1"/>
  <c r="AU47" i="40"/>
  <c r="AU48" i="40" s="1"/>
  <c r="AU56" i="40" s="1"/>
  <c r="BG47" i="40"/>
  <c r="O48" i="40"/>
  <c r="Q63" i="40" s="1"/>
  <c r="U48" i="40"/>
  <c r="W58" i="40" s="1"/>
  <c r="AA48" i="40"/>
  <c r="AG48" i="40"/>
  <c r="AM48" i="40"/>
  <c r="AS48" i="40"/>
  <c r="AU58" i="40" s="1"/>
  <c r="AY48" i="40"/>
  <c r="BA58" i="40" s="1"/>
  <c r="BE48" i="40"/>
  <c r="Q58" i="40"/>
  <c r="AC58" i="40"/>
  <c r="AI58" i="40"/>
  <c r="AO58" i="40"/>
  <c r="BG58" i="40"/>
  <c r="M62" i="40"/>
  <c r="Q62" i="40"/>
  <c r="S62" i="40"/>
  <c r="W62" i="40"/>
  <c r="Y62" i="40"/>
  <c r="AE62" i="40"/>
  <c r="AK62" i="40"/>
  <c r="AO62" i="40"/>
  <c r="AQ62" i="40"/>
  <c r="AU62" i="40"/>
  <c r="AW62" i="40"/>
  <c r="BA62" i="40"/>
  <c r="BB64" i="40" s="1"/>
  <c r="BC62" i="40"/>
  <c r="BG62" i="40"/>
  <c r="AC63" i="40"/>
  <c r="AI63" i="40"/>
  <c r="AJ64" i="40" s="1"/>
  <c r="AB47" i="40" s="1"/>
  <c r="AO63" i="40"/>
  <c r="AP64" i="40" s="1"/>
  <c r="BA63" i="40"/>
  <c r="BG63" i="40"/>
  <c r="AD64" i="40"/>
  <c r="V47" i="40" s="1"/>
  <c r="BH64" i="40"/>
  <c r="AZ47" i="40" s="1"/>
  <c r="BA47" i="40" s="1"/>
  <c r="AJ60" i="40" l="1"/>
  <c r="BH60" i="40"/>
  <c r="BH66" i="40" s="1"/>
  <c r="AO14" i="40"/>
  <c r="AO22" i="40" s="1"/>
  <c r="AP26" i="40" s="1"/>
  <c r="AP32" i="40" s="1"/>
  <c r="AJ26" i="40"/>
  <c r="AJ32" i="40" s="1"/>
  <c r="AV32" i="40"/>
  <c r="BH30" i="40"/>
  <c r="AZ13" i="40" s="1"/>
  <c r="BA13" i="40" s="1"/>
  <c r="BA14" i="40" s="1"/>
  <c r="BA22" i="40" s="1"/>
  <c r="BB26" i="40" s="1"/>
  <c r="BB32" i="40" s="1"/>
  <c r="AU63" i="40"/>
  <c r="AV64" i="40" s="1"/>
  <c r="AV66" i="40" s="1"/>
  <c r="BB30" i="40"/>
  <c r="V11" i="40"/>
  <c r="W11" i="40" s="1"/>
  <c r="AC13" i="40"/>
  <c r="AC14" i="40" s="1"/>
  <c r="AC22" i="40" s="1"/>
  <c r="R64" i="40"/>
  <c r="AV60" i="40"/>
  <c r="P11" i="40"/>
  <c r="Q11" i="40" s="1"/>
  <c r="Q14" i="40" s="1"/>
  <c r="Q22" i="40" s="1"/>
  <c r="R26" i="40" s="1"/>
  <c r="R32" i="40" s="1"/>
  <c r="W13" i="40"/>
  <c r="V45" i="40"/>
  <c r="W45" i="40" s="1"/>
  <c r="W48" i="40" s="1"/>
  <c r="W56" i="40" s="1"/>
  <c r="X60" i="40" s="1"/>
  <c r="AC47" i="40"/>
  <c r="AC48" i="40" s="1"/>
  <c r="AC56" i="40" s="1"/>
  <c r="AD60" i="40" s="1"/>
  <c r="AD66" i="40" s="1"/>
  <c r="BA48" i="40"/>
  <c r="BA56" i="40" s="1"/>
  <c r="BB60" i="40" s="1"/>
  <c r="BB66" i="40" s="1"/>
  <c r="P45" i="40"/>
  <c r="Q45" i="40" s="1"/>
  <c r="W47" i="40"/>
  <c r="AC24" i="40"/>
  <c r="AJ66" i="40"/>
  <c r="W63" i="40"/>
  <c r="X64" i="40" s="1"/>
  <c r="AN47" i="40" l="1"/>
  <c r="AO47" i="40" s="1"/>
  <c r="AO48" i="40" s="1"/>
  <c r="AO56" i="40" s="1"/>
  <c r="AP60" i="40" s="1"/>
  <c r="AP66" i="40" s="1"/>
  <c r="BH32" i="40"/>
  <c r="X66" i="40"/>
  <c r="P47" i="40"/>
  <c r="Q47" i="40" s="1"/>
  <c r="Q48" i="40" s="1"/>
  <c r="Q56" i="40" s="1"/>
  <c r="R60" i="40" s="1"/>
  <c r="R66" i="40" s="1"/>
  <c r="AD26" i="40"/>
  <c r="AD32" i="40" s="1"/>
  <c r="W14" i="40"/>
  <c r="W22" i="40" s="1"/>
  <c r="X26" i="40" s="1"/>
  <c r="X32" i="40" s="1"/>
  <c r="X36" i="40" s="1"/>
  <c r="I18" i="41" l="1"/>
  <c r="X15" i="43" l="1"/>
  <c r="V15" i="43" l="1"/>
  <c r="C11" i="40" l="1"/>
  <c r="B15" i="43" l="1"/>
  <c r="T15" i="43" l="1"/>
  <c r="A62" i="40" l="1"/>
  <c r="A44" i="40"/>
  <c r="E11" i="40"/>
  <c r="Z15" i="43" l="1"/>
  <c r="Z14" i="43"/>
  <c r="Z13" i="43"/>
  <c r="Z12" i="43"/>
  <c r="Z11" i="43"/>
  <c r="Z10" i="43"/>
  <c r="Z9" i="43"/>
  <c r="Z8" i="43"/>
  <c r="Z7" i="43"/>
  <c r="Z6" i="43"/>
  <c r="Z5" i="43"/>
  <c r="X16" i="43"/>
  <c r="Y14" i="43" s="1"/>
  <c r="O21" i="41" s="1"/>
  <c r="Y15" i="43" l="1"/>
  <c r="Y7" i="43"/>
  <c r="L21" i="41" s="1"/>
  <c r="Y11" i="43"/>
  <c r="Q21" i="41" s="1"/>
  <c r="Y5" i="43"/>
  <c r="Y9" i="43"/>
  <c r="N21" i="41" s="1"/>
  <c r="Y13" i="43"/>
  <c r="S21" i="41" s="1"/>
  <c r="Y8" i="43"/>
  <c r="M21" i="41" s="1"/>
  <c r="Y12" i="43"/>
  <c r="R21" i="41" s="1"/>
  <c r="Y6" i="43"/>
  <c r="K21" i="41" s="1"/>
  <c r="Y10" i="43"/>
  <c r="P21" i="41" s="1"/>
  <c r="Z16" i="43"/>
  <c r="AA6" i="43" s="1"/>
  <c r="Y16" i="43" l="1"/>
  <c r="AA9" i="43"/>
  <c r="AA14" i="43"/>
  <c r="AA5" i="43"/>
  <c r="AA10" i="43"/>
  <c r="AA12" i="43"/>
  <c r="AA11" i="43"/>
  <c r="AA15" i="43"/>
  <c r="AA7" i="43"/>
  <c r="AA13" i="43"/>
  <c r="AA8" i="43"/>
  <c r="AA16" i="43" l="1"/>
  <c r="V16" i="43"/>
  <c r="W13" i="43" s="1"/>
  <c r="S20" i="41" s="1"/>
  <c r="W10" i="43" l="1"/>
  <c r="P20" i="41" s="1"/>
  <c r="W6" i="43"/>
  <c r="K20" i="41" s="1"/>
  <c r="W7" i="43"/>
  <c r="L20" i="41" s="1"/>
  <c r="W5" i="43"/>
  <c r="W14" i="43"/>
  <c r="O20" i="41" s="1"/>
  <c r="W8" i="43"/>
  <c r="M20" i="41" s="1"/>
  <c r="W11" i="43"/>
  <c r="Q20" i="41" s="1"/>
  <c r="W12" i="43"/>
  <c r="R20" i="41" s="1"/>
  <c r="W15" i="43"/>
  <c r="W9" i="43"/>
  <c r="W16" i="43" l="1"/>
  <c r="N20" i="41"/>
  <c r="P16" i="43"/>
  <c r="Q13" i="43" s="1"/>
  <c r="S17" i="41" s="1"/>
  <c r="L16" i="43"/>
  <c r="M15" i="43" s="1"/>
  <c r="H16" i="43"/>
  <c r="I13" i="43" s="1"/>
  <c r="S13" i="41" s="1"/>
  <c r="F16" i="43"/>
  <c r="G12" i="43" s="1"/>
  <c r="R12" i="41" s="1"/>
  <c r="D16" i="43"/>
  <c r="E15" i="43" s="1"/>
  <c r="N16" i="43"/>
  <c r="O12" i="43" s="1"/>
  <c r="R16" i="41" s="1"/>
  <c r="J16" i="43"/>
  <c r="K14" i="43" s="1"/>
  <c r="O14" i="41" s="1"/>
  <c r="Q10" i="43" l="1"/>
  <c r="P17" i="41" s="1"/>
  <c r="Q14" i="43"/>
  <c r="O17" i="41" s="1"/>
  <c r="Q6" i="43"/>
  <c r="K17" i="41" s="1"/>
  <c r="I10" i="43"/>
  <c r="P13" i="41" s="1"/>
  <c r="I7" i="43"/>
  <c r="L13" i="41" s="1"/>
  <c r="I11" i="43"/>
  <c r="Q13" i="41" s="1"/>
  <c r="I15" i="43"/>
  <c r="I14" i="43"/>
  <c r="O13" i="41" s="1"/>
  <c r="I8" i="43"/>
  <c r="M13" i="41" s="1"/>
  <c r="I12" i="43"/>
  <c r="R13" i="41" s="1"/>
  <c r="I6" i="43"/>
  <c r="K13" i="41" s="1"/>
  <c r="I5" i="43"/>
  <c r="I9" i="43"/>
  <c r="N13" i="41" s="1"/>
  <c r="G5" i="43"/>
  <c r="G6" i="43"/>
  <c r="K12" i="41" s="1"/>
  <c r="G10" i="43"/>
  <c r="P12" i="41" s="1"/>
  <c r="G14" i="43"/>
  <c r="O12" i="41" s="1"/>
  <c r="G13" i="43"/>
  <c r="S12" i="41" s="1"/>
  <c r="G7" i="43"/>
  <c r="L12" i="41" s="1"/>
  <c r="G11" i="43"/>
  <c r="Q12" i="41" s="1"/>
  <c r="G15" i="43"/>
  <c r="G9" i="43"/>
  <c r="N12" i="41" s="1"/>
  <c r="G8" i="43"/>
  <c r="M12" i="41" s="1"/>
  <c r="E8" i="43"/>
  <c r="M11" i="41" s="1"/>
  <c r="E9" i="43"/>
  <c r="N11" i="41" s="1"/>
  <c r="E13" i="43"/>
  <c r="S11" i="41" s="1"/>
  <c r="E12" i="43"/>
  <c r="R11" i="41" s="1"/>
  <c r="E5" i="43"/>
  <c r="E6" i="43"/>
  <c r="K11" i="41" s="1"/>
  <c r="E10" i="43"/>
  <c r="P11" i="41" s="1"/>
  <c r="E14" i="43"/>
  <c r="O11" i="41" s="1"/>
  <c r="E7" i="43"/>
  <c r="L11" i="41" s="1"/>
  <c r="E11" i="43"/>
  <c r="Q11" i="41" s="1"/>
  <c r="Q11" i="43"/>
  <c r="Q17" i="41" s="1"/>
  <c r="Q15" i="43"/>
  <c r="Q8" i="43"/>
  <c r="M17" i="41" s="1"/>
  <c r="Q12" i="43"/>
  <c r="R17" i="41" s="1"/>
  <c r="Q7" i="43"/>
  <c r="L17" i="41" s="1"/>
  <c r="Q5" i="43"/>
  <c r="Q9" i="43"/>
  <c r="N17" i="41" s="1"/>
  <c r="O5" i="43"/>
  <c r="O6" i="43"/>
  <c r="K16" i="41" s="1"/>
  <c r="O10" i="43"/>
  <c r="P16" i="41" s="1"/>
  <c r="O14" i="43"/>
  <c r="O16" i="41" s="1"/>
  <c r="O13" i="43"/>
  <c r="S16" i="41" s="1"/>
  <c r="O7" i="43"/>
  <c r="L16" i="41" s="1"/>
  <c r="O11" i="43"/>
  <c r="Q16" i="41" s="1"/>
  <c r="O15" i="43"/>
  <c r="O9" i="43"/>
  <c r="N16" i="41" s="1"/>
  <c r="O8" i="43"/>
  <c r="M16" i="41" s="1"/>
  <c r="M8" i="43"/>
  <c r="M15" i="41" s="1"/>
  <c r="M5" i="43"/>
  <c r="M9" i="43"/>
  <c r="N15" i="41" s="1"/>
  <c r="M13" i="43"/>
  <c r="S15" i="41" s="1"/>
  <c r="M6" i="43"/>
  <c r="K15" i="41" s="1"/>
  <c r="M10" i="43"/>
  <c r="P15" i="41" s="1"/>
  <c r="M14" i="43"/>
  <c r="O15" i="41" s="1"/>
  <c r="M12" i="43"/>
  <c r="R15" i="41" s="1"/>
  <c r="M7" i="43"/>
  <c r="L15" i="41" s="1"/>
  <c r="M11" i="43"/>
  <c r="Q15" i="41" s="1"/>
  <c r="K11" i="43"/>
  <c r="Q14" i="41" s="1"/>
  <c r="K15" i="43"/>
  <c r="K8" i="43"/>
  <c r="M14" i="41" s="1"/>
  <c r="K12" i="43"/>
  <c r="R14" i="41" s="1"/>
  <c r="K5" i="43"/>
  <c r="K9" i="43"/>
  <c r="N14" i="41" s="1"/>
  <c r="K13" i="43"/>
  <c r="S14" i="41" s="1"/>
  <c r="K7" i="43"/>
  <c r="K6" i="43"/>
  <c r="K14" i="41" s="1"/>
  <c r="K10" i="43"/>
  <c r="P14" i="41" s="1"/>
  <c r="B16" i="43"/>
  <c r="C6" i="43" s="1"/>
  <c r="K10" i="41" s="1"/>
  <c r="O16" i="43" l="1"/>
  <c r="K16" i="43"/>
  <c r="L14" i="41"/>
  <c r="I16" i="43"/>
  <c r="G16" i="43"/>
  <c r="E16" i="43"/>
  <c r="C13" i="43"/>
  <c r="S10" i="41" s="1"/>
  <c r="C9" i="43"/>
  <c r="N10" i="41" s="1"/>
  <c r="Q16" i="43"/>
  <c r="M16" i="43"/>
  <c r="C5" i="43"/>
  <c r="C8" i="43"/>
  <c r="M10" i="41" s="1"/>
  <c r="C12" i="43"/>
  <c r="R10" i="41" s="1"/>
  <c r="C15" i="43"/>
  <c r="C11" i="43"/>
  <c r="Q10" i="41" s="1"/>
  <c r="C7" i="43"/>
  <c r="C14" i="43"/>
  <c r="O10" i="41" s="1"/>
  <c r="C10" i="43"/>
  <c r="P10" i="41" s="1"/>
  <c r="C16" i="43" l="1"/>
  <c r="L10" i="41"/>
  <c r="R16" i="43"/>
  <c r="S14" i="43" l="1"/>
  <c r="O18" i="41" s="1"/>
  <c r="S10" i="43"/>
  <c r="P18" i="41" s="1"/>
  <c r="S6" i="43"/>
  <c r="K18" i="41" s="1"/>
  <c r="S8" i="43"/>
  <c r="M18" i="41" s="1"/>
  <c r="S15" i="43"/>
  <c r="S13" i="43"/>
  <c r="S18" i="41" s="1"/>
  <c r="S9" i="43"/>
  <c r="N18" i="41" s="1"/>
  <c r="S5" i="43"/>
  <c r="S12" i="43"/>
  <c r="R18" i="41" s="1"/>
  <c r="S11" i="43"/>
  <c r="Q18" i="41" s="1"/>
  <c r="S7" i="43"/>
  <c r="L18" i="41" s="1"/>
  <c r="T16" i="43"/>
  <c r="S16" i="43" l="1"/>
  <c r="U15" i="43"/>
  <c r="U11" i="43"/>
  <c r="Q19" i="41" s="1"/>
  <c r="U7" i="43"/>
  <c r="L19" i="41" s="1"/>
  <c r="U14" i="43"/>
  <c r="O19" i="41" s="1"/>
  <c r="U10" i="43"/>
  <c r="P19" i="41" s="1"/>
  <c r="U6" i="43"/>
  <c r="K19" i="41" s="1"/>
  <c r="U13" i="43"/>
  <c r="S19" i="41" s="1"/>
  <c r="U9" i="43"/>
  <c r="N19" i="41" s="1"/>
  <c r="U12" i="43"/>
  <c r="R19" i="41" s="1"/>
  <c r="U5" i="43"/>
  <c r="U8" i="43"/>
  <c r="M19" i="41" s="1"/>
  <c r="C21" i="38"/>
  <c r="D21" i="38"/>
  <c r="E10" i="38"/>
  <c r="E11" i="38"/>
  <c r="E12" i="38"/>
  <c r="E13" i="38"/>
  <c r="E14" i="38"/>
  <c r="E15" i="38"/>
  <c r="E16" i="38"/>
  <c r="E17" i="38"/>
  <c r="E18" i="38"/>
  <c r="E19" i="38"/>
  <c r="E20" i="38"/>
  <c r="E9" i="38"/>
  <c r="U16" i="43" l="1"/>
  <c r="D34" i="34"/>
  <c r="B26" i="36" s="1"/>
  <c r="D35" i="34"/>
  <c r="B27" i="36" s="1"/>
  <c r="D36" i="34"/>
  <c r="B28" i="36" s="1"/>
  <c r="D37" i="34"/>
  <c r="B29" i="36" s="1"/>
  <c r="D38" i="34"/>
  <c r="B30" i="36" s="1"/>
  <c r="D39" i="34"/>
  <c r="B31" i="36" s="1"/>
  <c r="D40" i="34"/>
  <c r="B32" i="36" s="1"/>
  <c r="D41" i="34"/>
  <c r="B33" i="36" s="1"/>
  <c r="D42" i="34"/>
  <c r="B34" i="36" s="1"/>
  <c r="D43" i="34"/>
  <c r="B35" i="36" s="1"/>
  <c r="D44" i="34"/>
  <c r="B36" i="36" s="1"/>
  <c r="D33" i="34"/>
  <c r="B25" i="36" s="1"/>
  <c r="D16" i="34"/>
  <c r="B30" i="35" s="1"/>
  <c r="D17" i="34"/>
  <c r="B31" i="35" s="1"/>
  <c r="D18" i="34"/>
  <c r="B32" i="35" s="1"/>
  <c r="D19" i="34"/>
  <c r="B33" i="35" s="1"/>
  <c r="D20" i="34"/>
  <c r="B34" i="35" s="1"/>
  <c r="D21" i="34"/>
  <c r="B35" i="35" s="1"/>
  <c r="D22" i="34"/>
  <c r="B36" i="35" s="1"/>
  <c r="D11" i="34"/>
  <c r="B25" i="35" s="1"/>
  <c r="I11" i="41"/>
  <c r="I12" i="41"/>
  <c r="I13" i="41"/>
  <c r="I14" i="41"/>
  <c r="I15" i="41"/>
  <c r="I16" i="41"/>
  <c r="I17" i="41"/>
  <c r="I19" i="41"/>
  <c r="I20" i="41"/>
  <c r="I21" i="41"/>
  <c r="I10" i="41"/>
  <c r="H22" i="41"/>
  <c r="X21" i="41" l="1"/>
  <c r="Y21" i="41" s="1"/>
  <c r="Y10" i="41"/>
  <c r="Y11" i="41"/>
  <c r="Y12" i="41"/>
  <c r="Y13" i="41"/>
  <c r="Y14" i="41"/>
  <c r="Y15" i="41"/>
  <c r="Y16" i="41"/>
  <c r="Y17" i="41"/>
  <c r="Y18" i="41"/>
  <c r="Y19" i="41"/>
  <c r="Y20" i="41"/>
  <c r="X22" i="41" l="1"/>
  <c r="J20" i="41"/>
  <c r="J21" i="41" s="1"/>
  <c r="L17" i="35" l="1"/>
  <c r="T11" i="41" l="1"/>
  <c r="T12" i="41"/>
  <c r="T13" i="41"/>
  <c r="T14" i="41"/>
  <c r="T15" i="41"/>
  <c r="T16" i="41"/>
  <c r="T17" i="41"/>
  <c r="T18" i="41"/>
  <c r="T19" i="41"/>
  <c r="T20" i="41"/>
  <c r="T21" i="41"/>
  <c r="D20" i="42" l="1"/>
  <c r="C20" i="42" s="1"/>
  <c r="I20" i="38" l="1"/>
  <c r="D19" i="42"/>
  <c r="C19" i="42" s="1"/>
  <c r="I19" i="38" l="1"/>
  <c r="D10" i="42"/>
  <c r="C10" i="42" s="1"/>
  <c r="D11" i="42"/>
  <c r="C11" i="42" s="1"/>
  <c r="D12" i="42"/>
  <c r="C12" i="42" s="1"/>
  <c r="D13" i="42"/>
  <c r="C13" i="42" s="1"/>
  <c r="D14" i="42"/>
  <c r="C14" i="42" s="1"/>
  <c r="D15" i="42"/>
  <c r="C15" i="42" s="1"/>
  <c r="D16" i="42"/>
  <c r="C16" i="42" s="1"/>
  <c r="I16" i="38" s="1"/>
  <c r="D17" i="42"/>
  <c r="C17" i="42" s="1"/>
  <c r="I17" i="38" s="1"/>
  <c r="D18" i="42"/>
  <c r="C18" i="42" s="1"/>
  <c r="I18" i="38" s="1"/>
  <c r="D9" i="42"/>
  <c r="C9" i="42" s="1"/>
  <c r="C45" i="40" s="1"/>
  <c r="E45" i="40" s="1"/>
  <c r="C47" i="40" l="1"/>
  <c r="C48" i="40" s="1"/>
  <c r="I10" i="38"/>
  <c r="I11" i="38"/>
  <c r="I12" i="38"/>
  <c r="I13" i="38"/>
  <c r="I14" i="38"/>
  <c r="I15" i="38"/>
  <c r="I9" i="38"/>
  <c r="E63" i="40" l="1"/>
  <c r="E58" i="40"/>
  <c r="E21" i="38" l="1"/>
  <c r="T10" i="41" l="1"/>
  <c r="F13" i="38" l="1"/>
  <c r="G13" i="38" s="1"/>
  <c r="F14" i="38"/>
  <c r="G14" i="38" s="1"/>
  <c r="F15" i="38"/>
  <c r="G15" i="38" s="1"/>
  <c r="F16" i="38"/>
  <c r="G16" i="38" s="1"/>
  <c r="F17" i="38"/>
  <c r="G17" i="38" s="1"/>
  <c r="F18" i="38"/>
  <c r="G18" i="38" s="1"/>
  <c r="F19" i="38"/>
  <c r="G19" i="38" s="1"/>
  <c r="F20" i="38"/>
  <c r="G20" i="38" s="1"/>
  <c r="F9" i="38" l="1"/>
  <c r="F10" i="38"/>
  <c r="F11" i="38"/>
  <c r="F12" i="38"/>
  <c r="K49" i="41" l="1"/>
  <c r="L49" i="41"/>
  <c r="M49" i="41"/>
  <c r="O49" i="41"/>
  <c r="N49" i="41"/>
  <c r="P49" i="41"/>
  <c r="Q49" i="41"/>
  <c r="R49" i="41"/>
  <c r="S49" i="41"/>
  <c r="T49" i="41"/>
  <c r="K50" i="41"/>
  <c r="L50" i="41"/>
  <c r="M50" i="41"/>
  <c r="O50" i="41"/>
  <c r="N50" i="41"/>
  <c r="P50" i="41"/>
  <c r="Q50" i="41"/>
  <c r="R50" i="41"/>
  <c r="S50" i="41"/>
  <c r="T50" i="41"/>
  <c r="K51" i="41"/>
  <c r="L51" i="41"/>
  <c r="M51" i="41"/>
  <c r="O51" i="41"/>
  <c r="N51" i="41"/>
  <c r="P51" i="41"/>
  <c r="Q51" i="41"/>
  <c r="R51" i="41"/>
  <c r="S51" i="41"/>
  <c r="T51" i="41"/>
  <c r="K52" i="41"/>
  <c r="L52" i="41"/>
  <c r="M52" i="41"/>
  <c r="O52" i="41"/>
  <c r="N52" i="41"/>
  <c r="P52" i="41"/>
  <c r="Q52" i="41"/>
  <c r="R52" i="41"/>
  <c r="S52" i="41"/>
  <c r="T52" i="41"/>
  <c r="K53" i="41"/>
  <c r="L53" i="41"/>
  <c r="M53" i="41"/>
  <c r="O53" i="41"/>
  <c r="N53" i="41"/>
  <c r="P53" i="41"/>
  <c r="Q53" i="41"/>
  <c r="R53" i="41"/>
  <c r="S53" i="41"/>
  <c r="T53" i="41"/>
  <c r="K54" i="41"/>
  <c r="L54" i="41"/>
  <c r="M54" i="41"/>
  <c r="O54" i="41"/>
  <c r="N54" i="41"/>
  <c r="P54" i="41"/>
  <c r="Q54" i="41"/>
  <c r="R54" i="41"/>
  <c r="S54" i="41"/>
  <c r="T54" i="41"/>
  <c r="K55" i="41"/>
  <c r="L55" i="41"/>
  <c r="M55" i="41"/>
  <c r="O55" i="41"/>
  <c r="N55" i="41"/>
  <c r="P55" i="41"/>
  <c r="Q55" i="41"/>
  <c r="R55" i="41"/>
  <c r="S55" i="41"/>
  <c r="T55" i="41"/>
  <c r="K56" i="41"/>
  <c r="L56" i="41"/>
  <c r="M56" i="41"/>
  <c r="O56" i="41"/>
  <c r="N56" i="41"/>
  <c r="P56" i="41"/>
  <c r="Q56" i="41"/>
  <c r="R56" i="41"/>
  <c r="S56" i="41"/>
  <c r="T56" i="41"/>
  <c r="K57" i="41"/>
  <c r="L57" i="41"/>
  <c r="M57" i="41"/>
  <c r="O57" i="41"/>
  <c r="N57" i="41"/>
  <c r="P57" i="41"/>
  <c r="Q57" i="41"/>
  <c r="R57" i="41"/>
  <c r="S57" i="41"/>
  <c r="T57" i="41"/>
  <c r="K58" i="41"/>
  <c r="L58" i="41"/>
  <c r="M58" i="41"/>
  <c r="O58" i="41"/>
  <c r="N58" i="41"/>
  <c r="P58" i="41"/>
  <c r="Q58" i="41"/>
  <c r="R58" i="41"/>
  <c r="S58" i="41"/>
  <c r="T58" i="41"/>
  <c r="K59" i="41"/>
  <c r="L59" i="41"/>
  <c r="M59" i="41"/>
  <c r="O59" i="41"/>
  <c r="N59" i="41"/>
  <c r="P59" i="41"/>
  <c r="Q59" i="41"/>
  <c r="R59" i="41"/>
  <c r="S59" i="41"/>
  <c r="T59" i="41"/>
  <c r="K60" i="41"/>
  <c r="L60" i="41"/>
  <c r="M60" i="41"/>
  <c r="O60" i="41"/>
  <c r="N60" i="41"/>
  <c r="P60" i="41"/>
  <c r="Q60" i="41"/>
  <c r="R60" i="41"/>
  <c r="S60" i="41"/>
  <c r="T60" i="41"/>
  <c r="J50" i="41"/>
  <c r="J51" i="41"/>
  <c r="J52" i="41"/>
  <c r="J53" i="41"/>
  <c r="J54" i="41"/>
  <c r="J55" i="41"/>
  <c r="J56" i="41"/>
  <c r="J57" i="41"/>
  <c r="J58" i="41"/>
  <c r="J59" i="41"/>
  <c r="J60" i="41"/>
  <c r="J49" i="41"/>
  <c r="D11" i="41"/>
  <c r="D12" i="41"/>
  <c r="D13" i="34" s="1"/>
  <c r="B27" i="35" s="1"/>
  <c r="D13" i="41"/>
  <c r="D14" i="34" s="1"/>
  <c r="B28" i="35" s="1"/>
  <c r="D14" i="41"/>
  <c r="D15" i="34" s="1"/>
  <c r="B29" i="35" s="1"/>
  <c r="D15" i="41"/>
  <c r="D16" i="41"/>
  <c r="D17" i="41"/>
  <c r="D18" i="41"/>
  <c r="D19" i="41"/>
  <c r="D20" i="41"/>
  <c r="D21" i="41"/>
  <c r="D10" i="41"/>
  <c r="F22" i="41" l="1"/>
  <c r="D12" i="34"/>
  <c r="B26" i="35" s="1"/>
  <c r="B37" i="35" s="1"/>
  <c r="J30" i="41"/>
  <c r="G10" i="41"/>
  <c r="Q38" i="41"/>
  <c r="G18" i="41"/>
  <c r="Q33" i="41"/>
  <c r="G13" i="41"/>
  <c r="Q40" i="41"/>
  <c r="G20" i="41"/>
  <c r="Q32" i="41"/>
  <c r="G12" i="41"/>
  <c r="Q34" i="41"/>
  <c r="G14" i="41"/>
  <c r="T37" i="41"/>
  <c r="G17" i="41"/>
  <c r="Q36" i="41"/>
  <c r="G16" i="41"/>
  <c r="Q39" i="41"/>
  <c r="G19" i="41"/>
  <c r="T35" i="41"/>
  <c r="G15" i="41"/>
  <c r="Q31" i="41"/>
  <c r="G11" i="41"/>
  <c r="Q41" i="41"/>
  <c r="G21" i="41"/>
  <c r="D60" i="41"/>
  <c r="D50" i="41"/>
  <c r="D53" i="41"/>
  <c r="D51" i="41"/>
  <c r="D59" i="41"/>
  <c r="D58" i="41"/>
  <c r="D54" i="41"/>
  <c r="D49" i="41"/>
  <c r="D57" i="41"/>
  <c r="D56" i="41"/>
  <c r="D55" i="41"/>
  <c r="J41" i="41"/>
  <c r="O41" i="41"/>
  <c r="R41" i="41"/>
  <c r="J61" i="41"/>
  <c r="K41" i="41"/>
  <c r="N41" i="41"/>
  <c r="S41" i="41"/>
  <c r="L41" i="41"/>
  <c r="P41" i="41"/>
  <c r="T41" i="41"/>
  <c r="M41" i="41"/>
  <c r="R61" i="41"/>
  <c r="O61" i="41"/>
  <c r="D52" i="41"/>
  <c r="O40" i="41"/>
  <c r="R40" i="41"/>
  <c r="L40" i="41"/>
  <c r="J40" i="41"/>
  <c r="K40" i="41"/>
  <c r="N40" i="41"/>
  <c r="S40" i="41"/>
  <c r="P40" i="41"/>
  <c r="T40" i="41"/>
  <c r="M40" i="41"/>
  <c r="J39" i="41"/>
  <c r="O39" i="41"/>
  <c r="R39" i="41"/>
  <c r="K39" i="41"/>
  <c r="N39" i="41"/>
  <c r="S39" i="41"/>
  <c r="L39" i="41"/>
  <c r="P39" i="41"/>
  <c r="T39" i="41"/>
  <c r="M39" i="41"/>
  <c r="J38" i="41"/>
  <c r="O38" i="41"/>
  <c r="R38" i="41"/>
  <c r="K38" i="41"/>
  <c r="N38" i="41"/>
  <c r="S38" i="41"/>
  <c r="L38" i="41"/>
  <c r="T38" i="41"/>
  <c r="P38" i="41"/>
  <c r="M38" i="41"/>
  <c r="M37" i="41"/>
  <c r="Q37" i="41"/>
  <c r="J37" i="41"/>
  <c r="O37" i="41"/>
  <c r="R37" i="41"/>
  <c r="K37" i="41"/>
  <c r="N37" i="41"/>
  <c r="S37" i="41"/>
  <c r="L37" i="41"/>
  <c r="P37" i="41"/>
  <c r="J36" i="41"/>
  <c r="O36" i="41"/>
  <c r="R36" i="41"/>
  <c r="K36" i="41"/>
  <c r="N36" i="41"/>
  <c r="S36" i="41"/>
  <c r="L36" i="41"/>
  <c r="P36" i="41"/>
  <c r="T36" i="41"/>
  <c r="M36" i="41"/>
  <c r="M35" i="41"/>
  <c r="Q35" i="41"/>
  <c r="J35" i="41"/>
  <c r="O35" i="41"/>
  <c r="R35" i="41"/>
  <c r="K35" i="41"/>
  <c r="N35" i="41"/>
  <c r="S35" i="41"/>
  <c r="L35" i="41"/>
  <c r="P35" i="41"/>
  <c r="J34" i="41"/>
  <c r="O34" i="41"/>
  <c r="R34" i="41"/>
  <c r="K34" i="41"/>
  <c r="N34" i="41"/>
  <c r="S34" i="41"/>
  <c r="P34" i="41"/>
  <c r="T34" i="41"/>
  <c r="L34" i="41"/>
  <c r="M34" i="41"/>
  <c r="J33" i="41"/>
  <c r="O33" i="41"/>
  <c r="R33" i="41"/>
  <c r="K33" i="41"/>
  <c r="N33" i="41"/>
  <c r="S33" i="41"/>
  <c r="L33" i="41"/>
  <c r="P33" i="41"/>
  <c r="T33" i="41"/>
  <c r="M33" i="41"/>
  <c r="J32" i="41"/>
  <c r="O32" i="41"/>
  <c r="R32" i="41"/>
  <c r="K32" i="41"/>
  <c r="N32" i="41"/>
  <c r="S32" i="41"/>
  <c r="L32" i="41"/>
  <c r="P32" i="41"/>
  <c r="T32" i="41"/>
  <c r="M32" i="41"/>
  <c r="J31" i="41"/>
  <c r="O31" i="41"/>
  <c r="R31" i="41"/>
  <c r="K31" i="41"/>
  <c r="N31" i="41"/>
  <c r="S31" i="41"/>
  <c r="L31" i="41"/>
  <c r="P31" i="41"/>
  <c r="T31" i="41"/>
  <c r="M31" i="41"/>
  <c r="R30" i="41"/>
  <c r="K30" i="41"/>
  <c r="N30" i="41"/>
  <c r="S30" i="41"/>
  <c r="O30" i="41"/>
  <c r="L30" i="41"/>
  <c r="P30" i="41"/>
  <c r="T30" i="41"/>
  <c r="D22" i="41"/>
  <c r="G22" i="41" s="1"/>
  <c r="M30" i="41"/>
  <c r="Q30" i="41"/>
  <c r="K61" i="41"/>
  <c r="S61" i="41"/>
  <c r="L61" i="41"/>
  <c r="P61" i="41"/>
  <c r="T61" i="41"/>
  <c r="N61" i="41"/>
  <c r="M61" i="41"/>
  <c r="Q61" i="41"/>
  <c r="D61" i="41" l="1"/>
  <c r="D36" i="41"/>
  <c r="C55" i="41" s="1"/>
  <c r="D37" i="41"/>
  <c r="C56" i="41" s="1"/>
  <c r="D40" i="41"/>
  <c r="D41" i="41"/>
  <c r="D30" i="41"/>
  <c r="C49" i="41" s="1"/>
  <c r="D38" i="41"/>
  <c r="D39" i="41"/>
  <c r="D35" i="41"/>
  <c r="C54" i="41" s="1"/>
  <c r="D34" i="41"/>
  <c r="C53" i="41" s="1"/>
  <c r="D33" i="41"/>
  <c r="C52" i="41" s="1"/>
  <c r="D32" i="41"/>
  <c r="C51" i="41" s="1"/>
  <c r="D31" i="41"/>
  <c r="C50" i="41" s="1"/>
  <c r="C34" i="34"/>
  <c r="C35" i="34"/>
  <c r="C36" i="34"/>
  <c r="C37" i="34"/>
  <c r="C38" i="34"/>
  <c r="C39" i="34"/>
  <c r="C40" i="34"/>
  <c r="C41" i="34"/>
  <c r="C42" i="34"/>
  <c r="C43" i="34"/>
  <c r="C44" i="34"/>
  <c r="C33" i="34"/>
  <c r="C12" i="34"/>
  <c r="C13" i="34"/>
  <c r="C14" i="34"/>
  <c r="C15" i="34"/>
  <c r="C16" i="34"/>
  <c r="C17" i="34"/>
  <c r="C18" i="34"/>
  <c r="C19" i="34"/>
  <c r="C20" i="34"/>
  <c r="C21" i="34"/>
  <c r="C22" i="34"/>
  <c r="C11" i="34"/>
  <c r="C41" i="35"/>
  <c r="D41" i="35"/>
  <c r="E41" i="35"/>
  <c r="F41" i="35"/>
  <c r="G41" i="35"/>
  <c r="H41" i="35"/>
  <c r="I41" i="35"/>
  <c r="J41" i="35"/>
  <c r="K41" i="35"/>
  <c r="L41" i="35"/>
  <c r="C22" i="41"/>
  <c r="I22" i="41" l="1"/>
  <c r="Y22" i="41"/>
  <c r="C59" i="41"/>
  <c r="C60" i="41"/>
  <c r="C58" i="41"/>
  <c r="C57" i="41"/>
  <c r="D42" i="41"/>
  <c r="D19" i="35"/>
  <c r="D19" i="36" s="1"/>
  <c r="D20" i="35"/>
  <c r="D20" i="36" s="1"/>
  <c r="D21" i="35"/>
  <c r="D21" i="36" s="1"/>
  <c r="E19" i="35"/>
  <c r="E19" i="36" s="1"/>
  <c r="E20" i="35"/>
  <c r="E20" i="36" s="1"/>
  <c r="E21" i="35"/>
  <c r="E21" i="36" s="1"/>
  <c r="F19" i="35"/>
  <c r="F19" i="36" s="1"/>
  <c r="F20" i="35"/>
  <c r="F20" i="36" s="1"/>
  <c r="F21" i="35"/>
  <c r="F21" i="36" s="1"/>
  <c r="H19" i="35"/>
  <c r="G19" i="36" s="1"/>
  <c r="H20" i="35"/>
  <c r="G20" i="36" s="1"/>
  <c r="H21" i="35"/>
  <c r="G21" i="36" s="1"/>
  <c r="I19" i="35"/>
  <c r="I19" i="36" s="1"/>
  <c r="I20" i="35"/>
  <c r="I20" i="36" s="1"/>
  <c r="I21" i="35"/>
  <c r="I21" i="36" s="1"/>
  <c r="J19" i="35"/>
  <c r="J19" i="36" s="1"/>
  <c r="J20" i="35"/>
  <c r="J20" i="36" s="1"/>
  <c r="J21" i="35"/>
  <c r="J21" i="36" s="1"/>
  <c r="K19" i="35"/>
  <c r="K19" i="36" s="1"/>
  <c r="K20" i="35"/>
  <c r="K20" i="36" s="1"/>
  <c r="K21" i="35"/>
  <c r="K21" i="36" s="1"/>
  <c r="L19" i="35"/>
  <c r="L19" i="36" s="1"/>
  <c r="L20" i="35"/>
  <c r="L20" i="36" s="1"/>
  <c r="L21" i="35"/>
  <c r="L21" i="36" s="1"/>
  <c r="G19" i="35"/>
  <c r="H19" i="36" s="1"/>
  <c r="G20" i="35"/>
  <c r="H20" i="36" s="1"/>
  <c r="G21" i="35"/>
  <c r="H21" i="36" s="1"/>
  <c r="C21" i="35"/>
  <c r="C21" i="36" s="1"/>
  <c r="C20" i="35"/>
  <c r="C20" i="36" s="1"/>
  <c r="C19" i="35"/>
  <c r="C19" i="36" s="1"/>
  <c r="J36" i="35" l="1"/>
  <c r="D36" i="35"/>
  <c r="I36" i="35"/>
  <c r="G36" i="35"/>
  <c r="L36" i="35"/>
  <c r="F36" i="35"/>
  <c r="K36" i="35"/>
  <c r="C36" i="35"/>
  <c r="H36" i="35"/>
  <c r="E36" i="35"/>
  <c r="K22" i="34"/>
  <c r="C35" i="35"/>
  <c r="H35" i="35"/>
  <c r="G35" i="35"/>
  <c r="L35" i="35"/>
  <c r="E35" i="35"/>
  <c r="F35" i="35"/>
  <c r="K35" i="35"/>
  <c r="I35" i="35"/>
  <c r="J35" i="35"/>
  <c r="D35" i="35"/>
  <c r="K21" i="34"/>
  <c r="C34" i="35"/>
  <c r="F34" i="35"/>
  <c r="J34" i="35"/>
  <c r="K20" i="34"/>
  <c r="I34" i="35"/>
  <c r="L34" i="35"/>
  <c r="H34" i="35"/>
  <c r="D34" i="35"/>
  <c r="G34" i="35"/>
  <c r="E34" i="35"/>
  <c r="K34" i="35"/>
  <c r="K19" i="34"/>
  <c r="D17" i="35"/>
  <c r="D18" i="35"/>
  <c r="D33" i="35" s="1"/>
  <c r="E17" i="35"/>
  <c r="E18" i="35"/>
  <c r="E33" i="35" s="1"/>
  <c r="F17" i="35"/>
  <c r="F18" i="35"/>
  <c r="F33" i="35" s="1"/>
  <c r="H17" i="35"/>
  <c r="H18" i="35"/>
  <c r="H33" i="35" s="1"/>
  <c r="I17" i="35"/>
  <c r="I18" i="35"/>
  <c r="I33" i="35" s="1"/>
  <c r="J17" i="35"/>
  <c r="J18" i="35"/>
  <c r="J33" i="35" s="1"/>
  <c r="K17" i="35"/>
  <c r="K18" i="35"/>
  <c r="K33" i="35" s="1"/>
  <c r="L18" i="35"/>
  <c r="L33" i="35" s="1"/>
  <c r="G17" i="35"/>
  <c r="G18" i="35"/>
  <c r="G33" i="35" s="1"/>
  <c r="C18" i="35"/>
  <c r="C33" i="35" s="1"/>
  <c r="C17" i="35"/>
  <c r="L18" i="36" l="1"/>
  <c r="G18" i="36"/>
  <c r="C18" i="36"/>
  <c r="J17" i="36"/>
  <c r="E17" i="36"/>
  <c r="H18" i="36"/>
  <c r="I18" i="36"/>
  <c r="F18" i="36"/>
  <c r="D18" i="36"/>
  <c r="C17" i="36"/>
  <c r="E18" i="36"/>
  <c r="L17" i="36"/>
  <c r="G17" i="36"/>
  <c r="K18" i="36"/>
  <c r="H17" i="36"/>
  <c r="K17" i="36"/>
  <c r="I17" i="36"/>
  <c r="F17" i="36"/>
  <c r="D17" i="36"/>
  <c r="J18" i="36"/>
  <c r="D16" i="35"/>
  <c r="E16" i="35"/>
  <c r="F16" i="35"/>
  <c r="H16" i="35"/>
  <c r="I16" i="35"/>
  <c r="J16" i="35"/>
  <c r="K16" i="35"/>
  <c r="L16" i="35"/>
  <c r="G16" i="35"/>
  <c r="C16" i="35"/>
  <c r="D15" i="35"/>
  <c r="E15" i="35"/>
  <c r="F15" i="35"/>
  <c r="H15" i="35"/>
  <c r="I15" i="35"/>
  <c r="J15" i="35"/>
  <c r="K15" i="35"/>
  <c r="L15" i="35"/>
  <c r="G15" i="35"/>
  <c r="C15" i="35"/>
  <c r="H16" i="36" l="1"/>
  <c r="J15" i="36"/>
  <c r="E15" i="36"/>
  <c r="L16" i="36"/>
  <c r="G16" i="36"/>
  <c r="K15" i="36"/>
  <c r="D16" i="36"/>
  <c r="H15" i="36"/>
  <c r="I15" i="36"/>
  <c r="D15" i="36"/>
  <c r="K16" i="36"/>
  <c r="F16" i="36"/>
  <c r="F15" i="36"/>
  <c r="I16" i="36"/>
  <c r="C15" i="36"/>
  <c r="L15" i="36"/>
  <c r="G15" i="36"/>
  <c r="C16" i="36"/>
  <c r="J16" i="36"/>
  <c r="E16" i="36"/>
  <c r="D14" i="35"/>
  <c r="E14" i="35"/>
  <c r="F14" i="35"/>
  <c r="G14" i="35"/>
  <c r="H14" i="35"/>
  <c r="I14" i="35"/>
  <c r="J14" i="35"/>
  <c r="K14" i="35"/>
  <c r="L14" i="35"/>
  <c r="C14" i="35"/>
  <c r="K14" i="36" l="1"/>
  <c r="J14" i="36"/>
  <c r="F14" i="36"/>
  <c r="C14" i="36"/>
  <c r="I14" i="36"/>
  <c r="E14" i="36"/>
  <c r="H14" i="36"/>
  <c r="L14" i="36"/>
  <c r="G14" i="36"/>
  <c r="D14" i="36"/>
  <c r="D13" i="35"/>
  <c r="E13" i="35"/>
  <c r="F13" i="35"/>
  <c r="G13" i="35"/>
  <c r="H13" i="35"/>
  <c r="I13" i="35"/>
  <c r="J13" i="35"/>
  <c r="K13" i="35"/>
  <c r="L13" i="35"/>
  <c r="C13" i="35"/>
  <c r="D12" i="35"/>
  <c r="E12" i="35"/>
  <c r="F12" i="35"/>
  <c r="G12" i="35"/>
  <c r="H12" i="35"/>
  <c r="I12" i="35"/>
  <c r="J12" i="35"/>
  <c r="K12" i="35"/>
  <c r="L12" i="35"/>
  <c r="C12" i="35"/>
  <c r="E13" i="36" l="1"/>
  <c r="J12" i="36"/>
  <c r="F12" i="36"/>
  <c r="L13" i="36"/>
  <c r="G13" i="36"/>
  <c r="D13" i="36"/>
  <c r="H12" i="36"/>
  <c r="C13" i="36"/>
  <c r="I12" i="36"/>
  <c r="E12" i="36"/>
  <c r="K13" i="36"/>
  <c r="H13" i="36"/>
  <c r="K12" i="36"/>
  <c r="I13" i="36"/>
  <c r="C12" i="36"/>
  <c r="L12" i="36"/>
  <c r="G12" i="36"/>
  <c r="D12" i="36"/>
  <c r="J13" i="36"/>
  <c r="F13" i="36"/>
  <c r="D11" i="35"/>
  <c r="E11" i="35"/>
  <c r="F11" i="35"/>
  <c r="G11" i="35"/>
  <c r="H11" i="35"/>
  <c r="I11" i="35"/>
  <c r="J11" i="35"/>
  <c r="K11" i="35"/>
  <c r="L11" i="35"/>
  <c r="C11" i="35"/>
  <c r="H11" i="36" l="1"/>
  <c r="J11" i="36"/>
  <c r="F11" i="36"/>
  <c r="C11" i="36"/>
  <c r="I11" i="36"/>
  <c r="E11" i="36"/>
  <c r="K11" i="36"/>
  <c r="L11" i="36"/>
  <c r="G11" i="36"/>
  <c r="D11" i="36"/>
  <c r="D10" i="35"/>
  <c r="D10" i="36" s="1"/>
  <c r="E10" i="35"/>
  <c r="E10" i="36" s="1"/>
  <c r="F10" i="35"/>
  <c r="F10" i="36" s="1"/>
  <c r="G10" i="35"/>
  <c r="H10" i="36" s="1"/>
  <c r="H10" i="35"/>
  <c r="G10" i="36" s="1"/>
  <c r="I10" i="35"/>
  <c r="I10" i="36" s="1"/>
  <c r="J10" i="35"/>
  <c r="J10" i="36" s="1"/>
  <c r="K10" i="35"/>
  <c r="K10" i="36" s="1"/>
  <c r="L10" i="35"/>
  <c r="L10" i="36" s="1"/>
  <c r="C10" i="35"/>
  <c r="C10" i="36" l="1"/>
  <c r="B22" i="41"/>
  <c r="K42" i="41"/>
  <c r="K22" i="41" s="1"/>
  <c r="N42" i="41"/>
  <c r="N22" i="41" s="1"/>
  <c r="S42" i="41"/>
  <c r="S22" i="41" s="1"/>
  <c r="L42" i="41"/>
  <c r="L22" i="41" s="1"/>
  <c r="P42" i="41"/>
  <c r="P22" i="41" s="1"/>
  <c r="M42" i="41"/>
  <c r="M22" i="41" s="1"/>
  <c r="Q42" i="41"/>
  <c r="Q22" i="41" s="1"/>
  <c r="J42" i="41"/>
  <c r="J22" i="41" s="1"/>
  <c r="O42" i="41"/>
  <c r="O22" i="41" s="1"/>
  <c r="R42" i="41"/>
  <c r="R22" i="41" s="1"/>
  <c r="T42" i="41"/>
  <c r="T22" i="41" s="1"/>
  <c r="B21" i="38"/>
  <c r="C13" i="40" s="1"/>
  <c r="C14" i="40" s="1"/>
  <c r="I21" i="38"/>
  <c r="G12" i="38"/>
  <c r="G11" i="38"/>
  <c r="G10" i="38"/>
  <c r="E29" i="40" l="1"/>
  <c r="E24" i="40"/>
  <c r="B23" i="38"/>
  <c r="I23" i="38"/>
  <c r="F21" i="38"/>
  <c r="G21" i="38" s="1"/>
  <c r="G9" i="38"/>
  <c r="F27" i="36" l="1"/>
  <c r="C27" i="36"/>
  <c r="H27" i="36"/>
  <c r="L27" i="36"/>
  <c r="J27" i="36"/>
  <c r="E27" i="36"/>
  <c r="G27" i="36"/>
  <c r="I27" i="36"/>
  <c r="D27" i="36"/>
  <c r="K27" i="36"/>
  <c r="E29" i="36"/>
  <c r="F29" i="36"/>
  <c r="L29" i="36"/>
  <c r="H29" i="36"/>
  <c r="D29" i="36"/>
  <c r="C29" i="36"/>
  <c r="G29" i="36"/>
  <c r="I29" i="36"/>
  <c r="K29" i="36"/>
  <c r="J29" i="36"/>
  <c r="J33" i="36"/>
  <c r="C33" i="36"/>
  <c r="L33" i="36"/>
  <c r="I33" i="36"/>
  <c r="E33" i="36"/>
  <c r="G33" i="36"/>
  <c r="F33" i="36"/>
  <c r="K33" i="36"/>
  <c r="D33" i="36"/>
  <c r="H33" i="36"/>
  <c r="E31" i="36"/>
  <c r="K31" i="36"/>
  <c r="J31" i="36"/>
  <c r="F31" i="36"/>
  <c r="L31" i="36"/>
  <c r="G31" i="36"/>
  <c r="H31" i="36"/>
  <c r="C31" i="36"/>
  <c r="D31" i="36"/>
  <c r="I31" i="36"/>
  <c r="C32" i="36"/>
  <c r="G32" i="36"/>
  <c r="J32" i="36"/>
  <c r="F32" i="36"/>
  <c r="L32" i="36"/>
  <c r="I32" i="36"/>
  <c r="H32" i="36"/>
  <c r="K32" i="36"/>
  <c r="D32" i="36"/>
  <c r="E32" i="36"/>
  <c r="I26" i="35"/>
  <c r="L26" i="35"/>
  <c r="D26" i="35"/>
  <c r="E26" i="35"/>
  <c r="H26" i="35"/>
  <c r="G26" i="35"/>
  <c r="J26" i="35"/>
  <c r="K26" i="35"/>
  <c r="C26" i="35"/>
  <c r="F26" i="35"/>
  <c r="J35" i="36"/>
  <c r="K35" i="36"/>
  <c r="D35" i="36"/>
  <c r="C35" i="36"/>
  <c r="L35" i="36"/>
  <c r="E35" i="36"/>
  <c r="H35" i="36"/>
  <c r="G35" i="36"/>
  <c r="I35" i="36"/>
  <c r="F35" i="36"/>
  <c r="J30" i="35"/>
  <c r="K30" i="35"/>
  <c r="G30" i="35"/>
  <c r="D30" i="35"/>
  <c r="F30" i="35"/>
  <c r="C30" i="35"/>
  <c r="H30" i="35"/>
  <c r="E30" i="35"/>
  <c r="I30" i="35"/>
  <c r="L30" i="35"/>
  <c r="D28" i="35"/>
  <c r="I28" i="35"/>
  <c r="E28" i="35"/>
  <c r="H28" i="35"/>
  <c r="K28" i="35"/>
  <c r="J28" i="35"/>
  <c r="L28" i="35"/>
  <c r="C28" i="35"/>
  <c r="G28" i="35"/>
  <c r="F28" i="35"/>
  <c r="G31" i="35"/>
  <c r="D31" i="35"/>
  <c r="E31" i="35"/>
  <c r="L31" i="35"/>
  <c r="F31" i="35"/>
  <c r="J31" i="35"/>
  <c r="H31" i="35"/>
  <c r="K31" i="35"/>
  <c r="I31" i="35"/>
  <c r="C31" i="35"/>
  <c r="C32" i="35"/>
  <c r="J32" i="35"/>
  <c r="H32" i="35"/>
  <c r="G32" i="35"/>
  <c r="I32" i="35"/>
  <c r="D32" i="35"/>
  <c r="E32" i="35"/>
  <c r="L32" i="35"/>
  <c r="K32" i="35"/>
  <c r="F32" i="35"/>
  <c r="L30" i="36"/>
  <c r="C30" i="36"/>
  <c r="K30" i="36"/>
  <c r="G30" i="36"/>
  <c r="D30" i="36"/>
  <c r="J30" i="36"/>
  <c r="I30" i="36"/>
  <c r="E30" i="36"/>
  <c r="H30" i="36"/>
  <c r="F30" i="36"/>
  <c r="H28" i="36"/>
  <c r="I28" i="36"/>
  <c r="J28" i="36"/>
  <c r="K28" i="36"/>
  <c r="F28" i="36"/>
  <c r="L28" i="36"/>
  <c r="G28" i="36"/>
  <c r="C28" i="36"/>
  <c r="E28" i="36"/>
  <c r="D28" i="36"/>
  <c r="J27" i="35"/>
  <c r="E27" i="35"/>
  <c r="D27" i="35"/>
  <c r="F27" i="35"/>
  <c r="G27" i="35"/>
  <c r="I27" i="35"/>
  <c r="K27" i="35"/>
  <c r="C27" i="35"/>
  <c r="H27" i="35"/>
  <c r="L27" i="35"/>
  <c r="I29" i="35"/>
  <c r="E29" i="35"/>
  <c r="F29" i="35"/>
  <c r="L29" i="35"/>
  <c r="D29" i="35"/>
  <c r="J29" i="35"/>
  <c r="G29" i="35"/>
  <c r="H29" i="35"/>
  <c r="C29" i="35"/>
  <c r="K29" i="35"/>
  <c r="E34" i="36"/>
  <c r="D34" i="36"/>
  <c r="F34" i="36"/>
  <c r="G34" i="36"/>
  <c r="H34" i="36"/>
  <c r="K34" i="36"/>
  <c r="L34" i="36"/>
  <c r="I34" i="36"/>
  <c r="J34" i="36"/>
  <c r="C34" i="36"/>
  <c r="E26" i="36"/>
  <c r="I26" i="36"/>
  <c r="L26" i="36"/>
  <c r="C26" i="36"/>
  <c r="F26" i="36"/>
  <c r="H26" i="36"/>
  <c r="D26" i="36"/>
  <c r="K26" i="36"/>
  <c r="G26" i="36"/>
  <c r="J26" i="36"/>
  <c r="I36" i="36"/>
  <c r="K36" i="36"/>
  <c r="J36" i="36"/>
  <c r="G36" i="36"/>
  <c r="C36" i="36"/>
  <c r="F36" i="36"/>
  <c r="H36" i="36"/>
  <c r="L36" i="36"/>
  <c r="D36" i="36"/>
  <c r="E36" i="36"/>
  <c r="C25" i="35" l="1"/>
  <c r="D42" i="35" l="1"/>
  <c r="E42" i="35"/>
  <c r="F42" i="35"/>
  <c r="G42" i="35"/>
  <c r="H42" i="35"/>
  <c r="I42" i="35"/>
  <c r="J42" i="35"/>
  <c r="K42" i="35"/>
  <c r="L42" i="35"/>
  <c r="D43" i="35"/>
  <c r="E43" i="35"/>
  <c r="F43" i="35"/>
  <c r="G43" i="35"/>
  <c r="H43" i="35"/>
  <c r="I43" i="35"/>
  <c r="J43" i="35"/>
  <c r="K43" i="35"/>
  <c r="L43" i="35"/>
  <c r="D44" i="35"/>
  <c r="E44" i="35"/>
  <c r="F44" i="35"/>
  <c r="G44" i="35"/>
  <c r="H44" i="35"/>
  <c r="I44" i="35"/>
  <c r="J44" i="35"/>
  <c r="K44" i="35"/>
  <c r="L44" i="35"/>
  <c r="D45" i="35"/>
  <c r="E45" i="35"/>
  <c r="F45" i="35"/>
  <c r="G45" i="35"/>
  <c r="H45" i="35"/>
  <c r="I45" i="35"/>
  <c r="J45" i="35"/>
  <c r="K45" i="35"/>
  <c r="L45" i="35"/>
  <c r="D46" i="35"/>
  <c r="E46" i="35"/>
  <c r="F46" i="35"/>
  <c r="G46" i="35"/>
  <c r="H46" i="35"/>
  <c r="I46" i="35"/>
  <c r="J46" i="35"/>
  <c r="K46" i="35"/>
  <c r="L46" i="35"/>
  <c r="D47" i="35"/>
  <c r="E47" i="35"/>
  <c r="F47" i="35"/>
  <c r="G47" i="35"/>
  <c r="H47" i="35"/>
  <c r="I47" i="35"/>
  <c r="J47" i="35"/>
  <c r="K47" i="35"/>
  <c r="L47" i="35"/>
  <c r="D48" i="35"/>
  <c r="E48" i="35"/>
  <c r="F48" i="35"/>
  <c r="G48" i="35"/>
  <c r="H48" i="35"/>
  <c r="I48" i="35"/>
  <c r="J48" i="35"/>
  <c r="K48" i="35"/>
  <c r="L48" i="35"/>
  <c r="D49" i="35"/>
  <c r="E49" i="35"/>
  <c r="F49" i="35"/>
  <c r="G49" i="35"/>
  <c r="H49" i="35"/>
  <c r="I49" i="35"/>
  <c r="J49" i="35"/>
  <c r="K49" i="35"/>
  <c r="L49" i="35"/>
  <c r="D50" i="35"/>
  <c r="E50" i="35"/>
  <c r="F50" i="35"/>
  <c r="G50" i="35"/>
  <c r="H50" i="35"/>
  <c r="I50" i="35"/>
  <c r="J50" i="35"/>
  <c r="K50" i="35"/>
  <c r="L50" i="35"/>
  <c r="D51" i="35"/>
  <c r="E51" i="35"/>
  <c r="F51" i="35"/>
  <c r="G51" i="35"/>
  <c r="H51" i="35"/>
  <c r="I51" i="35"/>
  <c r="J51" i="35"/>
  <c r="K51" i="35"/>
  <c r="L51" i="35"/>
  <c r="D52" i="35"/>
  <c r="E52" i="35"/>
  <c r="F52" i="35"/>
  <c r="G52" i="35"/>
  <c r="H52" i="35"/>
  <c r="I52" i="35"/>
  <c r="J52" i="35"/>
  <c r="K52" i="35"/>
  <c r="L52" i="35"/>
  <c r="C43" i="35"/>
  <c r="C44" i="35"/>
  <c r="C45" i="35"/>
  <c r="C46" i="35"/>
  <c r="C47" i="35"/>
  <c r="C48" i="35"/>
  <c r="C49" i="35"/>
  <c r="C50" i="35"/>
  <c r="C51" i="35"/>
  <c r="C52" i="35"/>
  <c r="C42" i="35"/>
  <c r="M11" i="35" l="1"/>
  <c r="M11" i="36" l="1"/>
  <c r="M26" i="36" s="1"/>
  <c r="M26" i="35"/>
  <c r="C56" i="35"/>
  <c r="C57" i="35"/>
  <c r="C60" i="35"/>
  <c r="C58" i="35"/>
  <c r="C59" i="35"/>
  <c r="C61" i="35"/>
  <c r="C62" i="35"/>
  <c r="C63" i="35"/>
  <c r="C41" i="36"/>
  <c r="C42" i="36"/>
  <c r="C57" i="36" s="1"/>
  <c r="C43" i="36"/>
  <c r="C58" i="36" s="1"/>
  <c r="C44" i="36"/>
  <c r="C59" i="36" s="1"/>
  <c r="C45" i="36"/>
  <c r="C60" i="36" s="1"/>
  <c r="C46" i="36"/>
  <c r="C61" i="36" s="1"/>
  <c r="C47" i="36"/>
  <c r="C62" i="36" s="1"/>
  <c r="C48" i="36"/>
  <c r="C63" i="36" s="1"/>
  <c r="C49" i="36"/>
  <c r="C64" i="36" s="1"/>
  <c r="C50" i="36"/>
  <c r="C51" i="36"/>
  <c r="C52" i="36"/>
  <c r="C67" i="35"/>
  <c r="C65" i="36" l="1"/>
  <c r="C66" i="36"/>
  <c r="C66" i="35"/>
  <c r="C64" i="35"/>
  <c r="C67" i="36"/>
  <c r="C37" i="35" l="1"/>
  <c r="C65" i="35"/>
  <c r="C68" i="35" s="1"/>
  <c r="C70" i="35" l="1"/>
  <c r="M21" i="35" l="1"/>
  <c r="M36" i="35" s="1"/>
  <c r="M21" i="36" l="1"/>
  <c r="M36" i="36" s="1"/>
  <c r="K49" i="36" l="1"/>
  <c r="E51" i="36"/>
  <c r="D52" i="36"/>
  <c r="E52" i="36"/>
  <c r="F52" i="36"/>
  <c r="H52" i="36"/>
  <c r="I52" i="36"/>
  <c r="J52" i="36"/>
  <c r="K52" i="36"/>
  <c r="L52" i="36"/>
  <c r="D42" i="36"/>
  <c r="E42" i="36"/>
  <c r="F42" i="36"/>
  <c r="H42" i="36"/>
  <c r="G42" i="36"/>
  <c r="I42" i="36"/>
  <c r="J42" i="36"/>
  <c r="K42" i="36"/>
  <c r="L42" i="36"/>
  <c r="D43" i="36"/>
  <c r="E43" i="36"/>
  <c r="F43" i="36"/>
  <c r="H43" i="36"/>
  <c r="I43" i="36"/>
  <c r="J43" i="36"/>
  <c r="K43" i="36"/>
  <c r="L43" i="36"/>
  <c r="D44" i="36"/>
  <c r="E44" i="36"/>
  <c r="F44" i="36"/>
  <c r="H44" i="36"/>
  <c r="I44" i="36"/>
  <c r="J44" i="36"/>
  <c r="K44" i="36"/>
  <c r="L44" i="36"/>
  <c r="D45" i="36"/>
  <c r="E45" i="36"/>
  <c r="F45" i="36"/>
  <c r="H45" i="36"/>
  <c r="I45" i="36"/>
  <c r="J45" i="36"/>
  <c r="K45" i="36"/>
  <c r="L45" i="36"/>
  <c r="D46" i="36"/>
  <c r="E46" i="36"/>
  <c r="F46" i="36"/>
  <c r="H46" i="36"/>
  <c r="I46" i="36"/>
  <c r="J46" i="36"/>
  <c r="K46" i="36"/>
  <c r="L46" i="36"/>
  <c r="D47" i="36"/>
  <c r="E47" i="36"/>
  <c r="F47" i="36"/>
  <c r="H47" i="36"/>
  <c r="I47" i="36"/>
  <c r="J47" i="36"/>
  <c r="K47" i="36"/>
  <c r="L47" i="36"/>
  <c r="D48" i="36"/>
  <c r="E48" i="36"/>
  <c r="F48" i="36"/>
  <c r="H48" i="36"/>
  <c r="I48" i="36"/>
  <c r="J48" i="36"/>
  <c r="K48" i="36"/>
  <c r="L48" i="36"/>
  <c r="D49" i="36"/>
  <c r="E49" i="36"/>
  <c r="F49" i="36"/>
  <c r="H49" i="36"/>
  <c r="I49" i="36"/>
  <c r="J49" i="36"/>
  <c r="L49" i="36"/>
  <c r="D50" i="36"/>
  <c r="E50" i="36"/>
  <c r="F50" i="36"/>
  <c r="H50" i="36"/>
  <c r="I50" i="36"/>
  <c r="J50" i="36"/>
  <c r="K50" i="36"/>
  <c r="L50" i="36"/>
  <c r="D51" i="36"/>
  <c r="F51" i="36"/>
  <c r="H51" i="36"/>
  <c r="I51" i="36"/>
  <c r="J51" i="36"/>
  <c r="K51" i="36"/>
  <c r="L51" i="36"/>
  <c r="D41" i="36"/>
  <c r="E41" i="36"/>
  <c r="F41" i="36"/>
  <c r="H41" i="36"/>
  <c r="G41" i="36"/>
  <c r="I41" i="36"/>
  <c r="J41" i="36"/>
  <c r="K41" i="36"/>
  <c r="L41" i="36"/>
  <c r="M10" i="35"/>
  <c r="M10" i="36" s="1"/>
  <c r="G43" i="36" l="1"/>
  <c r="G44" i="36" l="1"/>
  <c r="B11" i="35"/>
  <c r="B10" i="35"/>
  <c r="M20" i="35"/>
  <c r="M35" i="35" s="1"/>
  <c r="B21" i="35"/>
  <c r="M20" i="36" l="1"/>
  <c r="M35" i="36" s="1"/>
  <c r="G45" i="36"/>
  <c r="B20" i="35"/>
  <c r="G46" i="36" l="1"/>
  <c r="G47" i="36" l="1"/>
  <c r="G48" i="36" l="1"/>
  <c r="M15" i="35"/>
  <c r="M19" i="35"/>
  <c r="M34" i="35" s="1"/>
  <c r="M16" i="35"/>
  <c r="M17" i="35"/>
  <c r="M18" i="35"/>
  <c r="M33" i="35" s="1"/>
  <c r="B16" i="35" l="1"/>
  <c r="M16" i="36"/>
  <c r="M31" i="36" s="1"/>
  <c r="M31" i="35"/>
  <c r="B17" i="35"/>
  <c r="M17" i="36"/>
  <c r="M32" i="36" s="1"/>
  <c r="M32" i="35"/>
  <c r="B19" i="35"/>
  <c r="M19" i="36"/>
  <c r="M34" i="36" s="1"/>
  <c r="B18" i="35"/>
  <c r="M18" i="36"/>
  <c r="M33" i="36" s="1"/>
  <c r="B15" i="35"/>
  <c r="M15" i="36"/>
  <c r="M30" i="36" s="1"/>
  <c r="M30" i="35"/>
  <c r="G49" i="36"/>
  <c r="M12" i="35"/>
  <c r="M14" i="35"/>
  <c r="B12" i="35" l="1"/>
  <c r="M12" i="36"/>
  <c r="M27" i="36" s="1"/>
  <c r="M27" i="35"/>
  <c r="B14" i="35"/>
  <c r="M14" i="36"/>
  <c r="M29" i="36" s="1"/>
  <c r="M29" i="35"/>
  <c r="G50" i="36"/>
  <c r="M13" i="35"/>
  <c r="B13" i="35" l="1"/>
  <c r="M13" i="36"/>
  <c r="M28" i="36" s="1"/>
  <c r="M28" i="35"/>
  <c r="G52" i="36"/>
  <c r="G51" i="36"/>
  <c r="B20" i="36" l="1"/>
  <c r="B21" i="36"/>
  <c r="B18" i="36"/>
  <c r="B19" i="36"/>
  <c r="L64" i="36" l="1"/>
  <c r="L65" i="36"/>
  <c r="L67" i="36"/>
  <c r="K66" i="36"/>
  <c r="H65" i="36" l="1"/>
  <c r="K65" i="36"/>
  <c r="J65" i="36"/>
  <c r="E65" i="36"/>
  <c r="J64" i="36"/>
  <c r="E64" i="36"/>
  <c r="K64" i="36"/>
  <c r="H66" i="36"/>
  <c r="H64" i="36"/>
  <c r="E66" i="36"/>
  <c r="D64" i="36"/>
  <c r="F64" i="36"/>
  <c r="G64" i="36"/>
  <c r="I64" i="36"/>
  <c r="D65" i="36"/>
  <c r="F65" i="36"/>
  <c r="G65" i="36"/>
  <c r="I65" i="36"/>
  <c r="L66" i="36"/>
  <c r="J66" i="36"/>
  <c r="D66" i="36"/>
  <c r="F66" i="36"/>
  <c r="G66" i="36"/>
  <c r="I66" i="36"/>
  <c r="F67" i="36"/>
  <c r="G67" i="36"/>
  <c r="I67" i="36"/>
  <c r="K67" i="36"/>
  <c r="E67" i="36"/>
  <c r="H67" i="36"/>
  <c r="J67" i="36"/>
  <c r="D67" i="36" l="1"/>
  <c r="B64" i="36"/>
  <c r="F41" i="34" s="1"/>
  <c r="B65" i="36"/>
  <c r="F42" i="34" s="1"/>
  <c r="B66" i="36"/>
  <c r="F43" i="34" s="1"/>
  <c r="I62" i="35"/>
  <c r="H62" i="35"/>
  <c r="F62" i="35"/>
  <c r="D62" i="35"/>
  <c r="K63" i="35"/>
  <c r="I63" i="35"/>
  <c r="H63" i="35"/>
  <c r="F63" i="35"/>
  <c r="D63" i="35"/>
  <c r="L61" i="35"/>
  <c r="J61" i="35"/>
  <c r="G61" i="35"/>
  <c r="E61" i="35"/>
  <c r="L62" i="35"/>
  <c r="J62" i="35"/>
  <c r="G62" i="35"/>
  <c r="E62" i="35"/>
  <c r="L63" i="35"/>
  <c r="J63" i="35"/>
  <c r="G63" i="35"/>
  <c r="E63" i="35"/>
  <c r="K61" i="35"/>
  <c r="I61" i="35"/>
  <c r="H61" i="35"/>
  <c r="F61" i="35"/>
  <c r="D61" i="35"/>
  <c r="K62" i="35"/>
  <c r="G61" i="36" l="1"/>
  <c r="K61" i="36"/>
  <c r="H63" i="36"/>
  <c r="L63" i="36"/>
  <c r="H62" i="36"/>
  <c r="L62" i="36"/>
  <c r="H61" i="36"/>
  <c r="L61" i="36"/>
  <c r="F63" i="36"/>
  <c r="I63" i="36"/>
  <c r="G62" i="36"/>
  <c r="K62" i="36"/>
  <c r="F61" i="36"/>
  <c r="I61" i="36"/>
  <c r="E63" i="36"/>
  <c r="J63" i="36"/>
  <c r="E62" i="36"/>
  <c r="J62" i="36"/>
  <c r="E61" i="36"/>
  <c r="J61" i="36"/>
  <c r="G63" i="36"/>
  <c r="K63" i="36"/>
  <c r="F62" i="36"/>
  <c r="I62" i="36"/>
  <c r="D60" i="36"/>
  <c r="D61" i="36"/>
  <c r="D62" i="36"/>
  <c r="D63" i="36"/>
  <c r="B61" i="35"/>
  <c r="B62" i="35"/>
  <c r="B63" i="35"/>
  <c r="F18" i="34" s="1"/>
  <c r="E18" i="34" s="1"/>
  <c r="L60" i="36"/>
  <c r="E60" i="36"/>
  <c r="K60" i="36"/>
  <c r="I60" i="36"/>
  <c r="G60" i="36"/>
  <c r="F60" i="36"/>
  <c r="J60" i="36"/>
  <c r="H60" i="36"/>
  <c r="K60" i="35"/>
  <c r="K66" i="35"/>
  <c r="K65" i="35"/>
  <c r="K64" i="35"/>
  <c r="K67" i="35"/>
  <c r="I60" i="35"/>
  <c r="I66" i="35"/>
  <c r="I65" i="35"/>
  <c r="I64" i="35"/>
  <c r="I67" i="35"/>
  <c r="H60" i="35"/>
  <c r="H67" i="35"/>
  <c r="H66" i="35"/>
  <c r="H65" i="35"/>
  <c r="H64" i="35"/>
  <c r="F60" i="35"/>
  <c r="F67" i="35"/>
  <c r="F66" i="35"/>
  <c r="F65" i="35"/>
  <c r="F64" i="35"/>
  <c r="D60" i="35"/>
  <c r="D67" i="35"/>
  <c r="D66" i="35"/>
  <c r="D65" i="35"/>
  <c r="D64" i="35"/>
  <c r="L60" i="35"/>
  <c r="L67" i="35"/>
  <c r="L66" i="35"/>
  <c r="L65" i="35"/>
  <c r="L64" i="35"/>
  <c r="J60" i="35"/>
  <c r="J67" i="35"/>
  <c r="J66" i="35"/>
  <c r="J65" i="35"/>
  <c r="J64" i="35"/>
  <c r="G60" i="35"/>
  <c r="G67" i="35"/>
  <c r="G66" i="35"/>
  <c r="G65" i="35"/>
  <c r="G64" i="35"/>
  <c r="E60" i="35"/>
  <c r="E67" i="35"/>
  <c r="E66" i="35"/>
  <c r="E65" i="35"/>
  <c r="E64" i="35"/>
  <c r="B63" i="36" l="1"/>
  <c r="F40" i="34" s="1"/>
  <c r="E40" i="34" s="1"/>
  <c r="B62" i="36"/>
  <c r="F39" i="34" s="1"/>
  <c r="B61" i="36"/>
  <c r="F38" i="34" s="1"/>
  <c r="E38" i="34" s="1"/>
  <c r="F17" i="34"/>
  <c r="F16" i="34"/>
  <c r="E16" i="34" s="1"/>
  <c r="B15" i="36"/>
  <c r="B16" i="36"/>
  <c r="B17" i="36"/>
  <c r="B67" i="35"/>
  <c r="F22" i="34" s="1"/>
  <c r="B60" i="35"/>
  <c r="B66" i="35"/>
  <c r="F21" i="34" s="1"/>
  <c r="B64" i="35"/>
  <c r="F19" i="34" s="1"/>
  <c r="B65" i="35"/>
  <c r="F20" i="34" s="1"/>
  <c r="B60" i="36"/>
  <c r="F37" i="34" s="1"/>
  <c r="E37" i="34" s="1"/>
  <c r="E59" i="35"/>
  <c r="E57" i="35"/>
  <c r="G58" i="35"/>
  <c r="G25" i="35"/>
  <c r="G56" i="35" s="1"/>
  <c r="J58" i="35"/>
  <c r="J25" i="35"/>
  <c r="J56" i="35" s="1"/>
  <c r="L59" i="35"/>
  <c r="L57" i="35"/>
  <c r="D59" i="35"/>
  <c r="D57" i="35"/>
  <c r="F25" i="35"/>
  <c r="F56" i="35" s="1"/>
  <c r="F58" i="35"/>
  <c r="H59" i="35"/>
  <c r="H57" i="35"/>
  <c r="I58" i="35"/>
  <c r="K25" i="35"/>
  <c r="K56" i="35" s="1"/>
  <c r="K59" i="35"/>
  <c r="K57" i="35"/>
  <c r="E58" i="35"/>
  <c r="E25" i="35"/>
  <c r="E56" i="35" s="1"/>
  <c r="G59" i="35"/>
  <c r="G57" i="35"/>
  <c r="J59" i="35"/>
  <c r="J57" i="35"/>
  <c r="L58" i="35"/>
  <c r="L25" i="35"/>
  <c r="L56" i="35" s="1"/>
  <c r="D25" i="35"/>
  <c r="D58" i="35"/>
  <c r="F59" i="35"/>
  <c r="F57" i="35"/>
  <c r="H25" i="35"/>
  <c r="H56" i="35" s="1"/>
  <c r="H58" i="35"/>
  <c r="I25" i="35"/>
  <c r="I56" i="35" s="1"/>
  <c r="I57" i="35"/>
  <c r="K58" i="35"/>
  <c r="K35" i="34"/>
  <c r="K34" i="34"/>
  <c r="K13" i="34"/>
  <c r="K14" i="34"/>
  <c r="K36" i="34"/>
  <c r="K15" i="34"/>
  <c r="C23" i="34"/>
  <c r="C45" i="34"/>
  <c r="K37" i="34"/>
  <c r="K38" i="34"/>
  <c r="K39" i="34"/>
  <c r="G18" i="34"/>
  <c r="K40" i="34"/>
  <c r="K41" i="34"/>
  <c r="K42" i="34"/>
  <c r="K43" i="34"/>
  <c r="K44" i="34"/>
  <c r="K12" i="34"/>
  <c r="K16" i="34"/>
  <c r="K17" i="34"/>
  <c r="K18" i="34"/>
  <c r="G22" i="34" l="1"/>
  <c r="E22" i="34"/>
  <c r="E21" i="34"/>
  <c r="G21" i="34"/>
  <c r="E19" i="34"/>
  <c r="G19" i="34"/>
  <c r="G20" i="34"/>
  <c r="E20" i="34"/>
  <c r="E39" i="34"/>
  <c r="E17" i="34"/>
  <c r="D56" i="35"/>
  <c r="G39" i="34"/>
  <c r="F57" i="36"/>
  <c r="J57" i="36"/>
  <c r="H57" i="36"/>
  <c r="K57" i="36"/>
  <c r="G57" i="36"/>
  <c r="L57" i="36"/>
  <c r="E57" i="36"/>
  <c r="I57" i="36"/>
  <c r="G38" i="34"/>
  <c r="G40" i="34"/>
  <c r="G16" i="34"/>
  <c r="K58" i="36"/>
  <c r="I59" i="36"/>
  <c r="G58" i="36"/>
  <c r="F59" i="36"/>
  <c r="J59" i="36"/>
  <c r="E58" i="36"/>
  <c r="K59" i="36"/>
  <c r="I58" i="36"/>
  <c r="L59" i="36"/>
  <c r="J58" i="36"/>
  <c r="H58" i="36"/>
  <c r="E59" i="36"/>
  <c r="G17" i="34"/>
  <c r="F15" i="34"/>
  <c r="E15" i="34" s="1"/>
  <c r="D58" i="36"/>
  <c r="D59" i="36"/>
  <c r="B14" i="36"/>
  <c r="B58" i="35"/>
  <c r="F13" i="34" s="1"/>
  <c r="B57" i="35"/>
  <c r="F12" i="34" s="1"/>
  <c r="I59" i="35"/>
  <c r="B59" i="35" s="1"/>
  <c r="F14" i="34" s="1"/>
  <c r="E68" i="35"/>
  <c r="E37" i="35"/>
  <c r="G37" i="34"/>
  <c r="D57" i="36"/>
  <c r="M25" i="35"/>
  <c r="I37" i="35"/>
  <c r="H68" i="35"/>
  <c r="H37" i="35"/>
  <c r="D37" i="35"/>
  <c r="L68" i="35"/>
  <c r="L37" i="35"/>
  <c r="K68" i="35"/>
  <c r="K37" i="35"/>
  <c r="F68" i="35"/>
  <c r="F37" i="35"/>
  <c r="J68" i="35"/>
  <c r="J37" i="35"/>
  <c r="G68" i="35"/>
  <c r="G37" i="35"/>
  <c r="J70" i="35" l="1"/>
  <c r="I21" i="39" s="1"/>
  <c r="K70" i="35"/>
  <c r="J21" i="39" s="1"/>
  <c r="E70" i="35"/>
  <c r="D21" i="39" s="1"/>
  <c r="G70" i="35"/>
  <c r="G21" i="39" s="1"/>
  <c r="F70" i="35"/>
  <c r="E21" i="39" s="1"/>
  <c r="H70" i="35"/>
  <c r="F21" i="39" s="1"/>
  <c r="L70" i="35"/>
  <c r="K21" i="39" s="1"/>
  <c r="K11" i="34"/>
  <c r="D23" i="34"/>
  <c r="K23" i="34" s="1"/>
  <c r="B57" i="36"/>
  <c r="F34" i="34" s="1"/>
  <c r="E34" i="34" s="1"/>
  <c r="E12" i="34"/>
  <c r="G12" i="34"/>
  <c r="G59" i="36"/>
  <c r="H59" i="36"/>
  <c r="L58" i="36"/>
  <c r="F58" i="36"/>
  <c r="G15" i="34"/>
  <c r="B10" i="36"/>
  <c r="B11" i="36"/>
  <c r="B12" i="36"/>
  <c r="I68" i="35"/>
  <c r="B13" i="36"/>
  <c r="E14" i="34"/>
  <c r="G14" i="34"/>
  <c r="D68" i="35"/>
  <c r="D70" i="35" s="1"/>
  <c r="C21" i="39" s="1"/>
  <c r="M37" i="35"/>
  <c r="E13" i="34"/>
  <c r="G13" i="34"/>
  <c r="B56" i="35"/>
  <c r="F11" i="34" s="1"/>
  <c r="E11" i="34" s="1"/>
  <c r="I70" i="35" l="1"/>
  <c r="H21" i="39" s="1"/>
  <c r="G34" i="34"/>
  <c r="B59" i="36"/>
  <c r="F36" i="34" s="1"/>
  <c r="E36" i="34" s="1"/>
  <c r="B58" i="36"/>
  <c r="F35" i="34" s="1"/>
  <c r="G35" i="34" s="1"/>
  <c r="G11" i="34"/>
  <c r="G36" i="34" l="1"/>
  <c r="E35" i="34"/>
  <c r="B68" i="35" l="1"/>
  <c r="B67" i="36" l="1"/>
  <c r="F44" i="34" s="1"/>
  <c r="E44" i="34" l="1"/>
  <c r="G44" i="34"/>
  <c r="E43" i="34" l="1"/>
  <c r="E42" i="34"/>
  <c r="E41" i="34"/>
  <c r="G42" i="34" l="1"/>
  <c r="F23" i="34"/>
  <c r="E16" i="40" s="1"/>
  <c r="E28" i="40" s="1"/>
  <c r="F30" i="40" s="1"/>
  <c r="G41" i="34"/>
  <c r="G43" i="34"/>
  <c r="E13" i="40" l="1"/>
  <c r="E14" i="40" s="1"/>
  <c r="E22" i="40" s="1"/>
  <c r="F26" i="40" s="1"/>
  <c r="F32" i="40" s="1"/>
  <c r="H13" i="34"/>
  <c r="H14" i="34" s="1"/>
  <c r="H15" i="34" s="1"/>
  <c r="H16" i="34" s="1"/>
  <c r="H17" i="34" s="1"/>
  <c r="H18" i="34" s="1"/>
  <c r="H19" i="34" s="1"/>
  <c r="H20" i="34" s="1"/>
  <c r="H21" i="34" s="1"/>
  <c r="H22" i="34" s="1"/>
  <c r="E23" i="34"/>
  <c r="G23" i="34"/>
  <c r="H11" i="34" l="1"/>
  <c r="H12" i="34" s="1"/>
  <c r="I13" i="34" l="1"/>
  <c r="I12" i="34"/>
  <c r="I11" i="34"/>
  <c r="H33" i="34"/>
  <c r="H34" i="34" s="1"/>
  <c r="D25" i="36"/>
  <c r="D56" i="36" s="1"/>
  <c r="D68" i="36" s="1"/>
  <c r="B37" i="36"/>
  <c r="G25" i="36"/>
  <c r="G56" i="36" s="1"/>
  <c r="G68" i="36" s="1"/>
  <c r="L25" i="36"/>
  <c r="L37" i="36" s="1"/>
  <c r="H25" i="36"/>
  <c r="H37" i="36" s="1"/>
  <c r="E25" i="36"/>
  <c r="E56" i="36" s="1"/>
  <c r="E68" i="36" s="1"/>
  <c r="K25" i="36"/>
  <c r="K37" i="36" s="1"/>
  <c r="M25" i="36"/>
  <c r="M37" i="36" s="1"/>
  <c r="F25" i="36"/>
  <c r="F56" i="36" s="1"/>
  <c r="F68" i="36" s="1"/>
  <c r="J25" i="36"/>
  <c r="J37" i="36" s="1"/>
  <c r="I25" i="36"/>
  <c r="I37" i="36" s="1"/>
  <c r="D45" i="34"/>
  <c r="K45" i="34" s="1"/>
  <c r="C25" i="36"/>
  <c r="C37" i="36" s="1"/>
  <c r="H56" i="36" l="1"/>
  <c r="H68" i="36" s="1"/>
  <c r="K56" i="36"/>
  <c r="K68" i="36" s="1"/>
  <c r="E37" i="36"/>
  <c r="I34" i="34"/>
  <c r="I33" i="34"/>
  <c r="I14" i="34"/>
  <c r="C56" i="36"/>
  <c r="C68" i="36" s="1"/>
  <c r="I56" i="36"/>
  <c r="I68" i="36" s="1"/>
  <c r="K33" i="34"/>
  <c r="J56" i="36"/>
  <c r="J68" i="36" s="1"/>
  <c r="F37" i="36"/>
  <c r="L56" i="36"/>
  <c r="L68" i="36" s="1"/>
  <c r="G37" i="36"/>
  <c r="D37" i="36"/>
  <c r="I15" i="34" l="1"/>
  <c r="B56" i="36"/>
  <c r="I16" i="34" l="1"/>
  <c r="B68" i="36"/>
  <c r="F33" i="34"/>
  <c r="I17" i="34" l="1"/>
  <c r="E33" i="34"/>
  <c r="E45" i="34" s="1"/>
  <c r="G33" i="34"/>
  <c r="F45" i="34"/>
  <c r="E47" i="40" l="1"/>
  <c r="E48" i="40" s="1"/>
  <c r="E50" i="40"/>
  <c r="E62" i="40" s="1"/>
  <c r="F64" i="40" s="1"/>
  <c r="I18" i="34"/>
  <c r="G45" i="34"/>
  <c r="H35" i="34"/>
  <c r="E56" i="40" l="1"/>
  <c r="F60" i="40" s="1"/>
  <c r="F66" i="40" s="1"/>
  <c r="I35" i="34"/>
  <c r="H36" i="34"/>
  <c r="I19" i="34"/>
  <c r="H37" i="34" l="1"/>
  <c r="I36" i="34"/>
  <c r="I20" i="34"/>
  <c r="I37" i="34" l="1"/>
  <c r="H38" i="34"/>
  <c r="I22" i="34"/>
  <c r="I21" i="34"/>
  <c r="H39" i="34" l="1"/>
  <c r="I38" i="34"/>
  <c r="I23" i="34"/>
  <c r="H23" i="34" s="1"/>
  <c r="H40" i="34" l="1"/>
  <c r="I39" i="34"/>
  <c r="I40" i="34" l="1"/>
  <c r="H41" i="34"/>
  <c r="I41" i="34" l="1"/>
  <c r="H42" i="34"/>
  <c r="H43" i="34" l="1"/>
  <c r="I42" i="34"/>
  <c r="H44" i="34" l="1"/>
  <c r="I44" i="34" s="1"/>
  <c r="I43" i="34"/>
  <c r="I45" i="34" l="1"/>
  <c r="H4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WMI-USER</author>
  </authors>
  <commentList>
    <comment ref="K7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$0/ton….value pays for outbound freight.
</t>
        </r>
      </text>
    </comment>
  </commentList>
</comments>
</file>

<file path=xl/sharedStrings.xml><?xml version="1.0" encoding="utf-8"?>
<sst xmlns="http://schemas.openxmlformats.org/spreadsheetml/2006/main" count="823" uniqueCount="181">
  <si>
    <t>Tons</t>
  </si>
  <si>
    <t>UBC</t>
  </si>
  <si>
    <t>HDPE</t>
  </si>
  <si>
    <t>PET</t>
  </si>
  <si>
    <t>Glass</t>
  </si>
  <si>
    <t>January</t>
  </si>
  <si>
    <t>February</t>
  </si>
  <si>
    <t>Revenue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</si>
  <si>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</si>
  <si>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</si>
  <si>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</si>
  <si>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</si>
  <si>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</si>
  <si>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</si>
  <si>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</si>
  <si>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</si>
  <si>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</si>
  <si>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</si>
  <si>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WM - Brem-Air</t>
  </si>
  <si>
    <t>Residential</t>
  </si>
  <si>
    <t>Multi-family</t>
  </si>
  <si>
    <t>Weighted</t>
  </si>
  <si>
    <t>Total</t>
  </si>
  <si>
    <t>Res'l</t>
  </si>
  <si>
    <t>MF</t>
  </si>
  <si>
    <t>Average</t>
  </si>
  <si>
    <t>Revenue/</t>
  </si>
  <si>
    <t>Credit/</t>
  </si>
  <si>
    <t>Credits</t>
  </si>
  <si>
    <t>lbs./</t>
  </si>
  <si>
    <t>Customers</t>
  </si>
  <si>
    <t>Rate/ton</t>
  </si>
  <si>
    <t>Customer</t>
  </si>
  <si>
    <t>Billed</t>
  </si>
  <si>
    <t>Unit</t>
  </si>
  <si>
    <t>Oct</t>
  </si>
  <si>
    <t>Nov</t>
  </si>
  <si>
    <t>Dec</t>
  </si>
  <si>
    <t>Feb</t>
  </si>
  <si>
    <t>Mar</t>
  </si>
  <si>
    <t>Apr</t>
  </si>
  <si>
    <t>Jun</t>
  </si>
  <si>
    <t>Jul</t>
  </si>
  <si>
    <t>Aug</t>
  </si>
  <si>
    <t>Prior 12 Months</t>
  </si>
  <si>
    <t>Jan</t>
  </si>
  <si>
    <t>Baled</t>
  </si>
  <si>
    <t>Steel Cans</t>
  </si>
  <si>
    <t>Mixed</t>
  </si>
  <si>
    <t>MP</t>
  </si>
  <si>
    <t>OCC</t>
  </si>
  <si>
    <t>Aluminum</t>
  </si>
  <si>
    <t>Tin</t>
  </si>
  <si>
    <t>Natural</t>
  </si>
  <si>
    <t>Colored</t>
  </si>
  <si>
    <t>Plastics</t>
  </si>
  <si>
    <t>SS Mix:</t>
  </si>
  <si>
    <t>Price/ton:</t>
  </si>
  <si>
    <t>Sep</t>
  </si>
  <si>
    <t>SS Tons</t>
  </si>
  <si>
    <t>Revenue:</t>
  </si>
  <si>
    <t>Brem-Air commodity adjustment</t>
  </si>
  <si>
    <t>Based on previous UTC Staff analyses</t>
  </si>
  <si>
    <t>Commodity</t>
  </si>
  <si>
    <t>Credit</t>
  </si>
  <si>
    <t>Sep - Oct projected value without adjustment factor</t>
  </si>
  <si>
    <t>Nov - Aug projected value without adjustment factor</t>
  </si>
  <si>
    <t>Actual Commodity Revenue (gross revenue from affiliated processor)</t>
  </si>
  <si>
    <t>Owe Customer (company)</t>
  </si>
  <si>
    <t>Total Customers</t>
  </si>
  <si>
    <t>Commodity Adjustment</t>
  </si>
  <si>
    <t>Projected Value</t>
  </si>
  <si>
    <t>Residential Commodity Adjustment</t>
  </si>
  <si>
    <t>Multi-family Commodity Adjustment</t>
  </si>
  <si>
    <t>Brem-Air Disposal</t>
  </si>
  <si>
    <t>M/F</t>
  </si>
  <si>
    <t>Counts</t>
  </si>
  <si>
    <t>Units</t>
  </si>
  <si>
    <t>Average Count</t>
  </si>
  <si>
    <t>Projected Revenue Sep 2013-Aug 2014</t>
  </si>
  <si>
    <t>Month</t>
  </si>
  <si>
    <t>Passback Price/ton schedule</t>
  </si>
  <si>
    <t>ONP 6</t>
  </si>
  <si>
    <t>Mixed Paper</t>
  </si>
  <si>
    <t>Alum.</t>
  </si>
  <si>
    <t>Plastics 3-7</t>
  </si>
  <si>
    <t>Residue</t>
  </si>
  <si>
    <t>Summary of Single Stream Commodity Mix and Prices</t>
  </si>
  <si>
    <t>Residential Tonnage</t>
  </si>
  <si>
    <t>MF Tonnage</t>
  </si>
  <si>
    <t>WUTC</t>
  </si>
  <si>
    <t>Non -reg</t>
  </si>
  <si>
    <t>ONP</t>
  </si>
  <si>
    <t>%</t>
  </si>
  <si>
    <t>Reg.</t>
  </si>
  <si>
    <t>2014-2015</t>
  </si>
  <si>
    <t>Projected Revenue Sep 2014-Aug 2015</t>
  </si>
  <si>
    <t>2015-2016</t>
  </si>
  <si>
    <t>Newspaper</t>
  </si>
  <si>
    <t>Delivered</t>
  </si>
  <si>
    <t>Projected Revenue Sep 2015-Aug 2016</t>
  </si>
  <si>
    <t>Single</t>
  </si>
  <si>
    <t>Family</t>
  </si>
  <si>
    <t>Single Family</t>
  </si>
  <si>
    <t>Multi-Family</t>
  </si>
  <si>
    <t>Tonnage Delivered to JMK Recycling</t>
  </si>
  <si>
    <t>2016-2017</t>
  </si>
  <si>
    <t>Projected Revenue Sep 2016-Aug 2017</t>
  </si>
  <si>
    <t>2017-2018</t>
  </si>
  <si>
    <t>Projected Revenue Sep 2017-Aug 2018</t>
  </si>
  <si>
    <t>Weighted Average</t>
  </si>
  <si>
    <t>2018-2019</t>
  </si>
  <si>
    <t>Row Labels</t>
  </si>
  <si>
    <t>Rate</t>
  </si>
  <si>
    <t># of</t>
  </si>
  <si>
    <t>MF units</t>
  </si>
  <si>
    <t>Amounts</t>
  </si>
  <si>
    <t>45R</t>
  </si>
  <si>
    <t>BW1</t>
  </si>
  <si>
    <t>BW4</t>
  </si>
  <si>
    <t>BWM</t>
  </si>
  <si>
    <t>Projected Revenue Sep 2018-Aug 2019 (annualization of most recent six months)</t>
  </si>
  <si>
    <t>Billed Revenue</t>
  </si>
  <si>
    <t>Commodity Prices at JMK</t>
  </si>
  <si>
    <t>Calculation of the Number of MF Units</t>
  </si>
  <si>
    <t>Projected Revenue Sep 2018-Aug 2019</t>
  </si>
  <si>
    <t>Projected Revenue Sep 2019-Aug 2020 (annualization of most recent six months)</t>
  </si>
  <si>
    <t>Total Company</t>
  </si>
  <si>
    <t>Sold</t>
  </si>
  <si>
    <t>Sep; 2019</t>
  </si>
  <si>
    <t>Jan; 2020</t>
  </si>
  <si>
    <t>Bremerton</t>
  </si>
  <si>
    <t>Port</t>
  </si>
  <si>
    <t>Orchard</t>
  </si>
  <si>
    <t>Mix Paper</t>
  </si>
  <si>
    <t>HDPE Natl</t>
  </si>
  <si>
    <t>HDPE Col</t>
  </si>
  <si>
    <t>#3 - 7</t>
  </si>
  <si>
    <t>Tin Cans</t>
  </si>
  <si>
    <t>E</t>
  </si>
  <si>
    <t>G</t>
  </si>
  <si>
    <t>I</t>
  </si>
  <si>
    <t>K</t>
  </si>
  <si>
    <t>M</t>
  </si>
  <si>
    <t>O</t>
  </si>
  <si>
    <t>Q</t>
  </si>
  <si>
    <t>S</t>
  </si>
  <si>
    <t>U</t>
  </si>
  <si>
    <t>W</t>
  </si>
  <si>
    <t>Y</t>
  </si>
  <si>
    <t>2020-2021</t>
  </si>
  <si>
    <t>Residential Commodity Adjustment credit (charge)</t>
  </si>
  <si>
    <t>Multi-Family Commodity Adjustment credit (charge)</t>
  </si>
  <si>
    <t>Composition - CRC</t>
  </si>
  <si>
    <t>Sep; 2020</t>
  </si>
  <si>
    <t>Jan; 2021</t>
  </si>
  <si>
    <t>BW2</t>
  </si>
  <si>
    <t xml:space="preserve">Projected Revenue Sep 2021-Aug 2022 </t>
  </si>
  <si>
    <t>2021-2022</t>
  </si>
  <si>
    <t>Projected Revenue Sep 2020-Aug 2021</t>
  </si>
  <si>
    <t xml:space="preserve">Projected Revenue Sep 2020-Aug 2021 </t>
  </si>
  <si>
    <t>Estimated cost of customer notice letters</t>
  </si>
  <si>
    <t>Residential Commodity Adjustment - as including cost of customer notices</t>
  </si>
  <si>
    <t>Projected Revenue Sep 2019-Aug 2020</t>
  </si>
  <si>
    <t>2022-2023</t>
  </si>
  <si>
    <t>Projected Revenue Sep 2021-Aug 2022</t>
  </si>
  <si>
    <t xml:space="preserve">September 2021 - August 2022 </t>
  </si>
  <si>
    <t>Sep., 2021</t>
  </si>
  <si>
    <t>Jan., 2022</t>
  </si>
  <si>
    <t>Tonnage Delivered to JMK Recycling - per Enspire</t>
  </si>
  <si>
    <t>WUTC Recycling Counts - per Enspire</t>
  </si>
  <si>
    <t xml:space="preserve">Projected Revenue Sep 2022-Aug 2023 </t>
  </si>
  <si>
    <t>Sep; 2022</t>
  </si>
  <si>
    <t>Jan; 2023</t>
  </si>
  <si>
    <t>Sep., 2012</t>
  </si>
  <si>
    <t>Jan., 2023</t>
  </si>
  <si>
    <t>Sep., 2022</t>
  </si>
  <si>
    <t>2023-2024</t>
  </si>
  <si>
    <t>*Due to the closure of CRC from Nov 2022-Aug 2023, we are utilizing the composition from the previously approved commodity rebate filing from last year. This figures impact only the composition of recycling material.</t>
  </si>
  <si>
    <t>Projected Revenue Sep 2022-Aug 2023</t>
  </si>
  <si>
    <t>Projected Revenue Sep 2023-Aug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</si>
</sst>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</numFmts>
  <fonts count="4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Comic Sans MS"/>
      <family val="4"/>
    </font>
    <font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sz val="9"/>
      <color theme="1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1"/>
      <name val="Comic Sans MS"/>
      <family val="4"/>
    </font>
    <font>
      <b/>
      <u val="doubleAccounting"/>
      <sz val="10"/>
      <color theme="1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9"/>
      <color rgb="FFFF0000"/>
      <name val="Arial"/>
      <family val="2"/>
    </font>
    <font>
      <u val="singleAccounting"/>
      <sz val="10"/>
      <color rgb="FFFF0000"/>
      <name val="Arial"/>
      <family val="2"/>
    </font>
    <font>
      <u val="singleAccounting"/>
      <sz val="12"/>
      <color rgb="FFFF0000"/>
      <name val="Arial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1" applyNumberFormat="0" applyFill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Protection="1"/>
    <xf numFmtId="164" fontId="1" fillId="0" borderId="0" xfId="2" applyNumberFormat="1" applyFont="1"/>
    <xf numFmtId="43" fontId="0" fillId="0" borderId="0" xfId="0" applyNumberFormat="1"/>
    <xf numFmtId="44" fontId="0" fillId="0" borderId="0" xfId="3" applyFont="1"/>
    <xf numFmtId="165" fontId="1" fillId="0" borderId="0" xfId="3" applyNumberFormat="1" applyFont="1" applyBorder="1" applyAlignment="1" applyProtection="1">
      <alignment horizontal="center"/>
    </xf>
    <xf numFmtId="165" fontId="0" fillId="0" borderId="0" xfId="3" applyNumberFormat="1" applyFont="1"/>
    <xf numFmtId="43" fontId="0" fillId="0" borderId="0" xfId="2" applyFont="1"/>
    <xf numFmtId="44" fontId="1" fillId="0" borderId="0" xfId="3" applyFont="1"/>
    <xf numFmtId="164" fontId="12" fillId="0" borderId="0" xfId="2" applyNumberFormat="1" applyFont="1"/>
    <xf numFmtId="43" fontId="12" fillId="0" borderId="0" xfId="0" applyNumberFormat="1" applyFont="1"/>
    <xf numFmtId="44" fontId="12" fillId="0" borderId="0" xfId="3" applyFont="1"/>
    <xf numFmtId="165" fontId="12" fillId="0" borderId="0" xfId="3" applyNumberFormat="1" applyFont="1" applyBorder="1" applyAlignment="1" applyProtection="1">
      <alignment horizontal="center"/>
    </xf>
    <xf numFmtId="165" fontId="12" fillId="0" borderId="0" xfId="3" applyNumberFormat="1" applyFont="1"/>
    <xf numFmtId="43" fontId="12" fillId="0" borderId="0" xfId="2" applyFont="1"/>
    <xf numFmtId="0" fontId="12" fillId="0" borderId="0" xfId="0" applyFont="1"/>
    <xf numFmtId="164" fontId="13" fillId="0" borderId="0" xfId="0" applyNumberFormat="1" applyFont="1"/>
    <xf numFmtId="43" fontId="13" fillId="0" borderId="0" xfId="0" applyNumberFormat="1" applyFont="1"/>
    <xf numFmtId="44" fontId="13" fillId="0" borderId="0" xfId="0" applyNumberFormat="1" applyFont="1" applyProtection="1"/>
    <xf numFmtId="165" fontId="13" fillId="0" borderId="0" xfId="3" applyNumberFormat="1" applyFont="1" applyProtection="1"/>
    <xf numFmtId="44" fontId="13" fillId="0" borderId="0" xfId="3" applyFont="1"/>
    <xf numFmtId="0" fontId="14" fillId="0" borderId="0" xfId="0" applyFont="1"/>
    <xf numFmtId="43" fontId="13" fillId="0" borderId="0" xfId="2" applyFont="1"/>
    <xf numFmtId="0" fontId="13" fillId="0" borderId="0" xfId="0" applyFont="1"/>
    <xf numFmtId="44" fontId="0" fillId="0" borderId="0" xfId="0" applyNumberFormat="1"/>
    <xf numFmtId="165" fontId="13" fillId="0" borderId="0" xfId="0" applyNumberFormat="1" applyFont="1"/>
    <xf numFmtId="0" fontId="1" fillId="0" borderId="0" xfId="4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0" fontId="0" fillId="0" borderId="0" xfId="0" applyNumberFormat="1"/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2" applyNumberFormat="1" applyFont="1"/>
    <xf numFmtId="164" fontId="24" fillId="0" borderId="0" xfId="2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center"/>
    </xf>
    <xf numFmtId="0" fontId="5" fillId="2" borderId="14" xfId="0" applyFont="1" applyFill="1" applyBorder="1"/>
    <xf numFmtId="0" fontId="0" fillId="2" borderId="14" xfId="0" applyFill="1" applyBorder="1"/>
    <xf numFmtId="0" fontId="5" fillId="2" borderId="14" xfId="0" applyFont="1" applyFill="1" applyBorder="1" applyAlignment="1">
      <alignment horizontal="center"/>
    </xf>
    <xf numFmtId="0" fontId="0" fillId="0" borderId="14" xfId="0" applyBorder="1"/>
    <xf numFmtId="0" fontId="5" fillId="2" borderId="14" xfId="0" applyFont="1" applyFill="1" applyBorder="1" applyAlignment="1" applyProtection="1">
      <alignment horizontal="center"/>
    </xf>
    <xf numFmtId="0" fontId="0" fillId="0" borderId="14" xfId="0" applyFill="1" applyBorder="1"/>
    <xf numFmtId="0" fontId="3" fillId="0" borderId="14" xfId="0" applyFont="1" applyFill="1" applyBorder="1"/>
    <xf numFmtId="10" fontId="0" fillId="0" borderId="0" xfId="5" applyNumberFormat="1" applyFont="1"/>
    <xf numFmtId="0" fontId="6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0" fontId="1" fillId="0" borderId="0" xfId="5" applyNumberFormat="1" applyFont="1" applyAlignment="1">
      <alignment horizontal="right"/>
    </xf>
    <xf numFmtId="10" fontId="1" fillId="0" borderId="0" xfId="4" applyNumberFormat="1" applyFont="1" applyAlignment="1">
      <alignment horizontal="right"/>
    </xf>
    <xf numFmtId="10" fontId="1" fillId="0" borderId="0" xfId="5" applyNumberFormat="1" applyFont="1"/>
    <xf numFmtId="44" fontId="5" fillId="0" borderId="14" xfId="0" applyNumberFormat="1" applyFont="1" applyBorder="1"/>
    <xf numFmtId="0" fontId="1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4" fontId="1" fillId="0" borderId="0" xfId="0" applyNumberFormat="1" applyFont="1"/>
    <xf numFmtId="2" fontId="0" fillId="0" borderId="0" xfId="0" applyNumberFormat="1"/>
    <xf numFmtId="9" fontId="0" fillId="0" borderId="0" xfId="5" applyFont="1"/>
    <xf numFmtId="10" fontId="1" fillId="0" borderId="0" xfId="0" applyNumberFormat="1" applyFont="1"/>
    <xf numFmtId="2" fontId="30" fillId="0" borderId="0" xfId="0" applyNumberFormat="1" applyFont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5" fillId="3" borderId="7" xfId="0" applyFont="1" applyFill="1" applyBorder="1"/>
    <xf numFmtId="0" fontId="5" fillId="3" borderId="0" xfId="0" applyFont="1" applyFill="1" applyBorder="1"/>
    <xf numFmtId="0" fontId="16" fillId="3" borderId="0" xfId="0" applyFont="1" applyFill="1" applyBorder="1"/>
    <xf numFmtId="0" fontId="0" fillId="3" borderId="0" xfId="0" applyFill="1" applyBorder="1"/>
    <xf numFmtId="15" fontId="5" fillId="3" borderId="7" xfId="0" applyNumberFormat="1" applyFont="1" applyFill="1" applyBorder="1"/>
    <xf numFmtId="15" fontId="5" fillId="3" borderId="0" xfId="0" applyNumberFormat="1" applyFont="1" applyFill="1" applyBorder="1"/>
    <xf numFmtId="0" fontId="0" fillId="3" borderId="7" xfId="0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3" borderId="9" xfId="0" applyFont="1" applyFill="1" applyBorder="1"/>
    <xf numFmtId="0" fontId="19" fillId="3" borderId="0" xfId="0" applyFont="1" applyFill="1" applyBorder="1"/>
    <xf numFmtId="0" fontId="0" fillId="3" borderId="0" xfId="0" applyFill="1" applyBorder="1" applyAlignment="1">
      <alignment horizontal="center"/>
    </xf>
    <xf numFmtId="0" fontId="1" fillId="3" borderId="7" xfId="0" applyFont="1" applyFill="1" applyBorder="1"/>
    <xf numFmtId="41" fontId="0" fillId="3" borderId="0" xfId="0" applyNumberFormat="1" applyFill="1" applyBorder="1"/>
    <xf numFmtId="44" fontId="20" fillId="3" borderId="0" xfId="3" applyFont="1" applyFill="1" applyBorder="1"/>
    <xf numFmtId="0" fontId="21" fillId="3" borderId="0" xfId="0" applyFont="1" applyFill="1" applyBorder="1"/>
    <xf numFmtId="41" fontId="12" fillId="3" borderId="0" xfId="0" applyNumberFormat="1" applyFont="1" applyFill="1" applyBorder="1"/>
    <xf numFmtId="41" fontId="5" fillId="3" borderId="0" xfId="0" applyNumberFormat="1" applyFont="1" applyFill="1" applyBorder="1"/>
    <xf numFmtId="164" fontId="0" fillId="3" borderId="0" xfId="0" applyNumberFormat="1" applyFill="1" applyBorder="1"/>
    <xf numFmtId="0" fontId="1" fillId="3" borderId="7" xfId="0" applyFont="1" applyFill="1" applyBorder="1" applyAlignment="1">
      <alignment horizontal="right"/>
    </xf>
    <xf numFmtId="44" fontId="1" fillId="3" borderId="0" xfId="3" applyFont="1" applyFill="1" applyBorder="1"/>
    <xf numFmtId="44" fontId="12" fillId="3" borderId="0" xfId="3" applyNumberFormat="1" applyFont="1" applyFill="1" applyBorder="1"/>
    <xf numFmtId="44" fontId="22" fillId="3" borderId="3" xfId="3" applyNumberFormat="1" applyFont="1" applyFill="1" applyBorder="1"/>
    <xf numFmtId="44" fontId="22" fillId="3" borderId="0" xfId="3" applyNumberFormat="1" applyFont="1" applyFill="1" applyBorder="1"/>
    <xf numFmtId="0" fontId="5" fillId="3" borderId="2" xfId="0" applyFont="1" applyFill="1" applyBorder="1" applyAlignment="1">
      <alignment horizontal="center"/>
    </xf>
    <xf numFmtId="44" fontId="1" fillId="3" borderId="0" xfId="3" applyNumberFormat="1" applyFont="1" applyFill="1" applyBorder="1"/>
    <xf numFmtId="165" fontId="1" fillId="3" borderId="0" xfId="3" applyNumberFormat="1" applyFont="1" applyFill="1" applyBorder="1"/>
    <xf numFmtId="43" fontId="12" fillId="3" borderId="0" xfId="0" applyNumberFormat="1" applyFont="1" applyFill="1" applyBorder="1"/>
    <xf numFmtId="44" fontId="22" fillId="3" borderId="3" xfId="3" applyFont="1" applyFill="1" applyBorder="1"/>
    <xf numFmtId="44" fontId="22" fillId="3" borderId="0" xfId="3" applyFont="1" applyFill="1" applyBorder="1"/>
    <xf numFmtId="164" fontId="23" fillId="0" borderId="0" xfId="10" applyNumberFormat="1" applyFont="1"/>
    <xf numFmtId="0" fontId="2" fillId="0" borderId="0" xfId="0" applyFont="1" applyAlignment="1">
      <alignment horizontal="center"/>
    </xf>
    <xf numFmtId="0" fontId="15" fillId="4" borderId="4" xfId="0" applyFont="1" applyFill="1" applyBorder="1"/>
    <xf numFmtId="0" fontId="15" fillId="4" borderId="5" xfId="0" applyFont="1" applyFill="1" applyBorder="1"/>
    <xf numFmtId="0" fontId="0" fillId="4" borderId="5" xfId="0" applyFill="1" applyBorder="1"/>
    <xf numFmtId="0" fontId="5" fillId="4" borderId="7" xfId="0" applyFont="1" applyFill="1" applyBorder="1"/>
    <xf numFmtId="0" fontId="5" fillId="4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15" fontId="5" fillId="4" borderId="7" xfId="0" applyNumberFormat="1" applyFont="1" applyFill="1" applyBorder="1"/>
    <xf numFmtId="15" fontId="5" fillId="4" borderId="0" xfId="0" applyNumberFormat="1" applyFont="1" applyFill="1" applyBorder="1"/>
    <xf numFmtId="0" fontId="0" fillId="4" borderId="7" xfId="0" applyFill="1" applyBorder="1"/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9" fillId="4" borderId="0" xfId="0" applyFont="1" applyFill="1" applyBorder="1"/>
    <xf numFmtId="0" fontId="0" fillId="4" borderId="0" xfId="0" applyFill="1" applyBorder="1" applyAlignment="1">
      <alignment horizontal="center"/>
    </xf>
    <xf numFmtId="0" fontId="1" fillId="4" borderId="7" xfId="0" applyFont="1" applyFill="1" applyBorder="1"/>
    <xf numFmtId="41" fontId="0" fillId="4" borderId="0" xfId="0" applyNumberFormat="1" applyFill="1" applyBorder="1"/>
    <xf numFmtId="44" fontId="20" fillId="4" borderId="0" xfId="3" applyFont="1" applyFill="1" applyBorder="1"/>
    <xf numFmtId="0" fontId="21" fillId="4" borderId="0" xfId="0" applyFont="1" applyFill="1" applyBorder="1"/>
    <xf numFmtId="41" fontId="12" fillId="4" borderId="0" xfId="0" applyNumberFormat="1" applyFont="1" applyFill="1" applyBorder="1"/>
    <xf numFmtId="41" fontId="5" fillId="4" borderId="0" xfId="0" applyNumberFormat="1" applyFont="1" applyFill="1" applyBorder="1"/>
    <xf numFmtId="164" fontId="0" fillId="4" borderId="0" xfId="0" applyNumberFormat="1" applyFill="1" applyBorder="1"/>
    <xf numFmtId="0" fontId="1" fillId="4" borderId="7" xfId="0" applyFont="1" applyFill="1" applyBorder="1" applyAlignment="1">
      <alignment horizontal="right"/>
    </xf>
    <xf numFmtId="44" fontId="1" fillId="4" borderId="0" xfId="3" applyFont="1" applyFill="1" applyBorder="1"/>
    <xf numFmtId="44" fontId="12" fillId="4" borderId="0" xfId="3" applyNumberFormat="1" applyFont="1" applyFill="1" applyBorder="1"/>
    <xf numFmtId="44" fontId="22" fillId="4" borderId="3" xfId="3" applyNumberFormat="1" applyFont="1" applyFill="1" applyBorder="1"/>
    <xf numFmtId="44" fontId="22" fillId="4" borderId="0" xfId="3" applyNumberFormat="1" applyFont="1" applyFill="1" applyBorder="1"/>
    <xf numFmtId="0" fontId="5" fillId="4" borderId="2" xfId="0" applyFont="1" applyFill="1" applyBorder="1" applyAlignment="1">
      <alignment horizontal="center"/>
    </xf>
    <xf numFmtId="44" fontId="1" fillId="4" borderId="0" xfId="3" applyNumberFormat="1" applyFont="1" applyFill="1" applyBorder="1"/>
    <xf numFmtId="165" fontId="1" fillId="4" borderId="0" xfId="3" applyNumberFormat="1" applyFont="1" applyFill="1" applyBorder="1"/>
    <xf numFmtId="43" fontId="12" fillId="4" borderId="0" xfId="0" applyNumberFormat="1" applyFont="1" applyFill="1" applyBorder="1"/>
    <xf numFmtId="44" fontId="22" fillId="4" borderId="3" xfId="3" applyFont="1" applyFill="1" applyBorder="1"/>
    <xf numFmtId="44" fontId="22" fillId="4" borderId="0" xfId="3" applyFont="1" applyFill="1" applyBorder="1"/>
    <xf numFmtId="10" fontId="1" fillId="0" borderId="0" xfId="5" applyNumberFormat="1" applyFont="1" applyFill="1" applyAlignment="1"/>
    <xf numFmtId="166" fontId="23" fillId="0" borderId="0" xfId="5" applyNumberFormat="1" applyFont="1"/>
    <xf numFmtId="166" fontId="29" fillId="0" borderId="0" xfId="5" applyNumberFormat="1" applyFont="1"/>
    <xf numFmtId="167" fontId="20" fillId="4" borderId="0" xfId="3" applyNumberFormat="1" applyFont="1" applyFill="1" applyBorder="1"/>
    <xf numFmtId="44" fontId="20" fillId="4" borderId="0" xfId="3" applyNumberFormat="1" applyFont="1" applyFill="1" applyBorder="1"/>
    <xf numFmtId="166" fontId="24" fillId="0" borderId="0" xfId="5" applyNumberFormat="1" applyFont="1"/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" fillId="0" borderId="0" xfId="0" quotePrefix="1" applyFont="1" applyAlignment="1"/>
    <xf numFmtId="43" fontId="0" fillId="0" borderId="0" xfId="0" applyNumberFormat="1" applyAlignment="1"/>
    <xf numFmtId="2" fontId="0" fillId="0" borderId="0" xfId="0" applyNumberFormat="1" applyAlignment="1"/>
    <xf numFmtId="2" fontId="30" fillId="0" borderId="0" xfId="0" applyNumberFormat="1" applyFont="1" applyAlignment="1"/>
    <xf numFmtId="43" fontId="13" fillId="0" borderId="0" xfId="0" applyNumberFormat="1" applyFont="1" applyAlignment="1"/>
    <xf numFmtId="2" fontId="32" fillId="0" borderId="0" xfId="0" applyNumberFormat="1" applyFont="1" applyAlignment="1"/>
    <xf numFmtId="10" fontId="32" fillId="0" borderId="0" xfId="5" applyNumberFormat="1" applyFont="1" applyAlignment="1"/>
    <xf numFmtId="0" fontId="31" fillId="0" borderId="0" xfId="0" applyFont="1" applyBorder="1" applyAlignment="1"/>
    <xf numFmtId="10" fontId="0" fillId="0" borderId="0" xfId="0" applyNumberFormat="1" applyAlignment="1"/>
    <xf numFmtId="43" fontId="0" fillId="0" borderId="0" xfId="2" applyFont="1" applyAlignment="1"/>
    <xf numFmtId="43" fontId="12" fillId="0" borderId="0" xfId="2" applyFont="1" applyAlignment="1"/>
    <xf numFmtId="0" fontId="15" fillId="5" borderId="4" xfId="0" applyFont="1" applyFill="1" applyBorder="1"/>
    <xf numFmtId="0" fontId="15" fillId="5" borderId="5" xfId="0" applyFont="1" applyFill="1" applyBorder="1"/>
    <xf numFmtId="0" fontId="0" fillId="5" borderId="5" xfId="0" applyFill="1" applyBorder="1"/>
    <xf numFmtId="0" fontId="5" fillId="5" borderId="7" xfId="0" applyFont="1" applyFill="1" applyBorder="1"/>
    <xf numFmtId="0" fontId="5" fillId="5" borderId="0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15" fontId="5" fillId="5" borderId="7" xfId="0" applyNumberFormat="1" applyFont="1" applyFill="1" applyBorder="1"/>
    <xf numFmtId="15" fontId="5" fillId="5" borderId="0" xfId="0" applyNumberFormat="1" applyFont="1" applyFill="1" applyBorder="1"/>
    <xf numFmtId="0" fontId="0" fillId="5" borderId="7" xfId="0" applyFill="1" applyBorder="1"/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9" fillId="5" borderId="9" xfId="0" applyFont="1" applyFill="1" applyBorder="1"/>
    <xf numFmtId="0" fontId="19" fillId="5" borderId="0" xfId="0" applyFont="1" applyFill="1" applyBorder="1"/>
    <xf numFmtId="0" fontId="0" fillId="5" borderId="0" xfId="0" applyFill="1" applyBorder="1" applyAlignment="1">
      <alignment horizontal="center"/>
    </xf>
    <xf numFmtId="0" fontId="1" fillId="5" borderId="7" xfId="0" applyFont="1" applyFill="1" applyBorder="1"/>
    <xf numFmtId="41" fontId="0" fillId="5" borderId="0" xfId="0" applyNumberFormat="1" applyFill="1" applyBorder="1"/>
    <xf numFmtId="44" fontId="20" fillId="5" borderId="0" xfId="3" applyNumberFormat="1" applyFont="1" applyFill="1" applyBorder="1"/>
    <xf numFmtId="167" fontId="20" fillId="5" borderId="0" xfId="3" applyNumberFormat="1" applyFont="1" applyFill="1" applyBorder="1"/>
    <xf numFmtId="0" fontId="21" fillId="5" borderId="0" xfId="0" applyFont="1" applyFill="1" applyBorder="1"/>
    <xf numFmtId="41" fontId="12" fillId="5" borderId="0" xfId="0" applyNumberFormat="1" applyFont="1" applyFill="1" applyBorder="1"/>
    <xf numFmtId="41" fontId="5" fillId="5" borderId="0" xfId="0" applyNumberFormat="1" applyFont="1" applyFill="1" applyBorder="1"/>
    <xf numFmtId="164" fontId="0" fillId="5" borderId="0" xfId="0" applyNumberFormat="1" applyFill="1" applyBorder="1"/>
    <xf numFmtId="0" fontId="1" fillId="5" borderId="7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44" fontId="20" fillId="5" borderId="0" xfId="3" applyFont="1" applyFill="1" applyBorder="1"/>
    <xf numFmtId="165" fontId="1" fillId="5" borderId="0" xfId="3" applyNumberFormat="1" applyFont="1" applyFill="1" applyBorder="1"/>
    <xf numFmtId="0" fontId="0" fillId="5" borderId="12" xfId="0" applyFill="1" applyBorder="1"/>
    <xf numFmtId="2" fontId="0" fillId="0" borderId="0" xfId="0" applyNumberFormat="1" applyFill="1" applyAlignment="1"/>
    <xf numFmtId="2" fontId="30" fillId="0" borderId="0" xfId="0" applyNumberFormat="1" applyFont="1" applyFill="1" applyAlignment="1"/>
    <xf numFmtId="10" fontId="30" fillId="0" borderId="0" xfId="5" applyNumberFormat="1" applyFont="1" applyFill="1" applyAlignment="1"/>
    <xf numFmtId="0" fontId="15" fillId="6" borderId="4" xfId="0" applyFont="1" applyFill="1" applyBorder="1"/>
    <xf numFmtId="0" fontId="15" fillId="6" borderId="5" xfId="0" applyFont="1" applyFill="1" applyBorder="1"/>
    <xf numFmtId="0" fontId="0" fillId="6" borderId="5" xfId="0" applyFill="1" applyBorder="1"/>
    <xf numFmtId="0" fontId="5" fillId="6" borderId="7" xfId="0" applyFont="1" applyFill="1" applyBorder="1"/>
    <xf numFmtId="0" fontId="5" fillId="6" borderId="0" xfId="0" applyFont="1" applyFill="1" applyBorder="1"/>
    <xf numFmtId="0" fontId="16" fillId="6" borderId="0" xfId="0" applyFont="1" applyFill="1" applyBorder="1"/>
    <xf numFmtId="0" fontId="0" fillId="6" borderId="0" xfId="0" applyFill="1" applyBorder="1"/>
    <xf numFmtId="15" fontId="5" fillId="6" borderId="7" xfId="0" applyNumberFormat="1" applyFont="1" applyFill="1" applyBorder="1"/>
    <xf numFmtId="15" fontId="5" fillId="6" borderId="0" xfId="0" applyNumberFormat="1" applyFont="1" applyFill="1" applyBorder="1"/>
    <xf numFmtId="0" fontId="0" fillId="6" borderId="7" xfId="0" applyFill="1" applyBorder="1"/>
    <xf numFmtId="0" fontId="5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19" fillId="6" borderId="9" xfId="0" applyFont="1" applyFill="1" applyBorder="1"/>
    <xf numFmtId="0" fontId="19" fillId="6" borderId="0" xfId="0" applyFont="1" applyFill="1" applyBorder="1"/>
    <xf numFmtId="0" fontId="0" fillId="6" borderId="0" xfId="0" applyFill="1" applyBorder="1" applyAlignment="1">
      <alignment horizontal="center"/>
    </xf>
    <xf numFmtId="0" fontId="1" fillId="6" borderId="7" xfId="0" applyFont="1" applyFill="1" applyBorder="1"/>
    <xf numFmtId="41" fontId="0" fillId="6" borderId="0" xfId="0" applyNumberFormat="1" applyFill="1" applyBorder="1"/>
    <xf numFmtId="44" fontId="20" fillId="6" borderId="0" xfId="3" applyNumberFormat="1" applyFont="1" applyFill="1" applyBorder="1"/>
    <xf numFmtId="167" fontId="20" fillId="6" borderId="0" xfId="3" applyNumberFormat="1" applyFont="1" applyFill="1" applyBorder="1"/>
    <xf numFmtId="0" fontId="21" fillId="6" borderId="0" xfId="0" applyFont="1" applyFill="1" applyBorder="1"/>
    <xf numFmtId="41" fontId="12" fillId="6" borderId="0" xfId="0" applyNumberFormat="1" applyFont="1" applyFill="1" applyBorder="1"/>
    <xf numFmtId="41" fontId="5" fillId="6" borderId="0" xfId="0" applyNumberFormat="1" applyFont="1" applyFill="1" applyBorder="1"/>
    <xf numFmtId="164" fontId="0" fillId="6" borderId="0" xfId="0" applyNumberFormat="1" applyFill="1" applyBorder="1"/>
    <xf numFmtId="0" fontId="1" fillId="6" borderId="7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center"/>
    </xf>
    <xf numFmtId="44" fontId="20" fillId="6" borderId="0" xfId="3" applyFont="1" applyFill="1" applyBorder="1"/>
    <xf numFmtId="165" fontId="1" fillId="6" borderId="0" xfId="3" applyNumberFormat="1" applyFont="1" applyFill="1" applyBorder="1"/>
    <xf numFmtId="0" fontId="0" fillId="6" borderId="12" xfId="0" applyFill="1" applyBorder="1"/>
    <xf numFmtId="10" fontId="0" fillId="0" borderId="0" xfId="5" applyNumberFormat="1" applyFont="1" applyAlignment="1"/>
    <xf numFmtId="165" fontId="0" fillId="0" borderId="0" xfId="0" applyNumberFormat="1"/>
    <xf numFmtId="44" fontId="21" fillId="0" borderId="0" xfId="3" applyFont="1" applyFill="1" applyBorder="1" applyProtection="1">
      <protection locked="0"/>
    </xf>
    <xf numFmtId="44" fontId="21" fillId="0" borderId="0" xfId="3" applyFont="1" applyBorder="1"/>
    <xf numFmtId="43" fontId="1" fillId="0" borderId="0" xfId="0" applyNumberFormat="1" applyFont="1" applyAlignment="1"/>
    <xf numFmtId="43" fontId="12" fillId="0" borderId="0" xfId="0" applyNumberFormat="1" applyFont="1" applyAlignment="1"/>
    <xf numFmtId="17" fontId="33" fillId="0" borderId="1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6" borderId="6" xfId="0" applyFill="1" applyBorder="1"/>
    <xf numFmtId="0" fontId="0" fillId="6" borderId="8" xfId="0" applyFill="1" applyBorder="1"/>
    <xf numFmtId="0" fontId="5" fillId="6" borderId="8" xfId="0" applyFont="1" applyFill="1" applyBorder="1"/>
    <xf numFmtId="44" fontId="1" fillId="6" borderId="8" xfId="3" applyFont="1" applyFill="1" applyBorder="1"/>
    <xf numFmtId="44" fontId="12" fillId="6" borderId="8" xfId="3" applyNumberFormat="1" applyFont="1" applyFill="1" applyBorder="1"/>
    <xf numFmtId="44" fontId="22" fillId="6" borderId="10" xfId="3" applyNumberFormat="1" applyFont="1" applyFill="1" applyBorder="1"/>
    <xf numFmtId="44" fontId="22" fillId="6" borderId="8" xfId="3" applyNumberFormat="1" applyFont="1" applyFill="1" applyBorder="1"/>
    <xf numFmtId="44" fontId="1" fillId="6" borderId="8" xfId="3" applyNumberFormat="1" applyFont="1" applyFill="1" applyBorder="1"/>
    <xf numFmtId="44" fontId="22" fillId="6" borderId="10" xfId="3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44" fontId="22" fillId="6" borderId="13" xfId="3" applyFont="1" applyFill="1" applyBorder="1"/>
    <xf numFmtId="0" fontId="0" fillId="5" borderId="6" xfId="0" applyFill="1" applyBorder="1"/>
    <xf numFmtId="0" fontId="0" fillId="5" borderId="8" xfId="0" applyFill="1" applyBorder="1"/>
    <xf numFmtId="0" fontId="5" fillId="5" borderId="8" xfId="0" applyFont="1" applyFill="1" applyBorder="1"/>
    <xf numFmtId="44" fontId="1" fillId="5" borderId="8" xfId="3" applyFont="1" applyFill="1" applyBorder="1"/>
    <xf numFmtId="44" fontId="12" fillId="5" borderId="8" xfId="3" applyNumberFormat="1" applyFont="1" applyFill="1" applyBorder="1"/>
    <xf numFmtId="44" fontId="22" fillId="5" borderId="10" xfId="3" applyNumberFormat="1" applyFont="1" applyFill="1" applyBorder="1"/>
    <xf numFmtId="44" fontId="22" fillId="5" borderId="8" xfId="3" applyNumberFormat="1" applyFont="1" applyFill="1" applyBorder="1"/>
    <xf numFmtId="44" fontId="1" fillId="5" borderId="8" xfId="3" applyNumberFormat="1" applyFont="1" applyFill="1" applyBorder="1"/>
    <xf numFmtId="43" fontId="12" fillId="5" borderId="8" xfId="0" applyNumberFormat="1" applyFont="1" applyFill="1" applyBorder="1"/>
    <xf numFmtId="44" fontId="22" fillId="5" borderId="10" xfId="3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44" fontId="22" fillId="5" borderId="13" xfId="3" applyFont="1" applyFill="1" applyBorder="1"/>
    <xf numFmtId="44" fontId="5" fillId="0" borderId="0" xfId="3" applyFont="1"/>
    <xf numFmtId="164" fontId="0" fillId="0" borderId="0" xfId="2" applyNumberFormat="1" applyFont="1"/>
    <xf numFmtId="44" fontId="6" fillId="0" borderId="0" xfId="3" applyFont="1" applyAlignment="1">
      <alignment horizontal="center"/>
    </xf>
    <xf numFmtId="44" fontId="12" fillId="6" borderId="8" xfId="3" applyFont="1" applyFill="1" applyBorder="1"/>
    <xf numFmtId="10" fontId="34" fillId="0" borderId="0" xfId="5" applyNumberFormat="1" applyFont="1" applyFill="1" applyAlignment="1"/>
    <xf numFmtId="0" fontId="5" fillId="0" borderId="0" xfId="4" applyFont="1" applyFill="1" applyAlignment="1">
      <alignment horizontal="center"/>
    </xf>
    <xf numFmtId="164" fontId="24" fillId="0" borderId="0" xfId="10" applyNumberFormat="1" applyFont="1"/>
    <xf numFmtId="165" fontId="13" fillId="0" borderId="0" xfId="3" applyNumberFormat="1" applyFont="1"/>
    <xf numFmtId="0" fontId="15" fillId="7" borderId="4" xfId="0" applyFont="1" applyFill="1" applyBorder="1"/>
    <xf numFmtId="0" fontId="15" fillId="7" borderId="5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5" fillId="7" borderId="7" xfId="0" applyFont="1" applyFill="1" applyBorder="1"/>
    <xf numFmtId="0" fontId="5" fillId="7" borderId="0" xfId="0" applyFont="1" applyFill="1" applyBorder="1"/>
    <xf numFmtId="0" fontId="16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15" fontId="5" fillId="7" borderId="7" xfId="0" applyNumberFormat="1" applyFont="1" applyFill="1" applyBorder="1"/>
    <xf numFmtId="15" fontId="5" fillId="7" borderId="0" xfId="0" applyNumberFormat="1" applyFont="1" applyFill="1" applyBorder="1"/>
    <xf numFmtId="0" fontId="0" fillId="7" borderId="7" xfId="0" applyFill="1" applyBorder="1"/>
    <xf numFmtId="0" fontId="5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9" fillId="7" borderId="9" xfId="0" applyFont="1" applyFill="1" applyBorder="1"/>
    <xf numFmtId="0" fontId="19" fillId="7" borderId="0" xfId="0" applyFont="1" applyFill="1" applyBorder="1"/>
    <xf numFmtId="0" fontId="0" fillId="7" borderId="0" xfId="0" applyFill="1" applyBorder="1" applyAlignment="1">
      <alignment horizontal="center"/>
    </xf>
    <xf numFmtId="0" fontId="1" fillId="7" borderId="7" xfId="0" applyFont="1" applyFill="1" applyBorder="1"/>
    <xf numFmtId="41" fontId="0" fillId="7" borderId="0" xfId="0" applyNumberFormat="1" applyFill="1" applyBorder="1"/>
    <xf numFmtId="44" fontId="20" fillId="7" borderId="0" xfId="3" applyNumberFormat="1" applyFont="1" applyFill="1" applyBorder="1"/>
    <xf numFmtId="167" fontId="20" fillId="7" borderId="0" xfId="3" applyNumberFormat="1" applyFont="1" applyFill="1" applyBorder="1"/>
    <xf numFmtId="0" fontId="21" fillId="7" borderId="0" xfId="0" applyFont="1" applyFill="1" applyBorder="1"/>
    <xf numFmtId="41" fontId="12" fillId="7" borderId="0" xfId="0" applyNumberFormat="1" applyFont="1" applyFill="1" applyBorder="1"/>
    <xf numFmtId="41" fontId="5" fillId="7" borderId="0" xfId="0" applyNumberFormat="1" applyFont="1" applyFill="1" applyBorder="1"/>
    <xf numFmtId="0" fontId="5" fillId="7" borderId="8" xfId="0" applyFont="1" applyFill="1" applyBorder="1"/>
    <xf numFmtId="164" fontId="0" fillId="7" borderId="0" xfId="0" applyNumberFormat="1" applyFill="1" applyBorder="1"/>
    <xf numFmtId="0" fontId="1" fillId="7" borderId="7" xfId="0" applyFont="1" applyFill="1" applyBorder="1" applyAlignment="1">
      <alignment horizontal="right"/>
    </xf>
    <xf numFmtId="44" fontId="1" fillId="7" borderId="8" xfId="3" applyFont="1" applyFill="1" applyBorder="1"/>
    <xf numFmtId="44" fontId="12" fillId="7" borderId="8" xfId="3" applyNumberFormat="1" applyFont="1" applyFill="1" applyBorder="1"/>
    <xf numFmtId="44" fontId="22" fillId="7" borderId="10" xfId="3" applyNumberFormat="1" applyFont="1" applyFill="1" applyBorder="1"/>
    <xf numFmtId="44" fontId="22" fillId="7" borderId="8" xfId="3" applyNumberFormat="1" applyFont="1" applyFill="1" applyBorder="1"/>
    <xf numFmtId="0" fontId="5" fillId="7" borderId="2" xfId="0" applyFont="1" applyFill="1" applyBorder="1" applyAlignment="1">
      <alignment horizontal="center"/>
    </xf>
    <xf numFmtId="44" fontId="20" fillId="7" borderId="0" xfId="3" applyFont="1" applyFill="1" applyBorder="1"/>
    <xf numFmtId="44" fontId="1" fillId="7" borderId="8" xfId="3" applyNumberFormat="1" applyFont="1" applyFill="1" applyBorder="1"/>
    <xf numFmtId="165" fontId="1" fillId="7" borderId="0" xfId="3" applyNumberFormat="1" applyFont="1" applyFill="1" applyBorder="1"/>
    <xf numFmtId="43" fontId="12" fillId="7" borderId="8" xfId="0" applyNumberFormat="1" applyFont="1" applyFill="1" applyBorder="1"/>
    <xf numFmtId="44" fontId="22" fillId="7" borderId="10" xfId="3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0" fillId="7" borderId="12" xfId="0" applyFill="1" applyBorder="1"/>
    <xf numFmtId="44" fontId="22" fillId="7" borderId="13" xfId="3" applyFont="1" applyFill="1" applyBorder="1"/>
    <xf numFmtId="0" fontId="15" fillId="8" borderId="5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5" fillId="8" borderId="7" xfId="0" applyFont="1" applyFill="1" applyBorder="1"/>
    <xf numFmtId="0" fontId="5" fillId="8" borderId="0" xfId="0" applyFont="1" applyFill="1" applyBorder="1"/>
    <xf numFmtId="0" fontId="16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15" fontId="5" fillId="8" borderId="0" xfId="0" applyNumberFormat="1" applyFont="1" applyFill="1" applyBorder="1"/>
    <xf numFmtId="0" fontId="0" fillId="8" borderId="7" xfId="0" applyFill="1" applyBorder="1"/>
    <xf numFmtId="0" fontId="5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9" fillId="8" borderId="9" xfId="0" applyFont="1" applyFill="1" applyBorder="1"/>
    <xf numFmtId="0" fontId="19" fillId="8" borderId="0" xfId="0" applyFont="1" applyFill="1" applyBorder="1"/>
    <xf numFmtId="0" fontId="0" fillId="8" borderId="0" xfId="0" applyFill="1" applyBorder="1" applyAlignment="1">
      <alignment horizontal="center"/>
    </xf>
    <xf numFmtId="0" fontId="1" fillId="8" borderId="7" xfId="0" applyFont="1" applyFill="1" applyBorder="1"/>
    <xf numFmtId="41" fontId="0" fillId="8" borderId="0" xfId="0" applyNumberFormat="1" applyFill="1" applyBorder="1"/>
    <xf numFmtId="44" fontId="20" fillId="8" borderId="0" xfId="3" applyNumberFormat="1" applyFont="1" applyFill="1" applyBorder="1"/>
    <xf numFmtId="167" fontId="20" fillId="8" borderId="0" xfId="3" applyNumberFormat="1" applyFont="1" applyFill="1" applyBorder="1"/>
    <xf numFmtId="0" fontId="21" fillId="8" borderId="0" xfId="0" applyFont="1" applyFill="1" applyBorder="1"/>
    <xf numFmtId="41" fontId="12" fillId="8" borderId="0" xfId="0" applyNumberFormat="1" applyFont="1" applyFill="1" applyBorder="1"/>
    <xf numFmtId="41" fontId="5" fillId="8" borderId="0" xfId="0" applyNumberFormat="1" applyFont="1" applyFill="1" applyBorder="1"/>
    <xf numFmtId="0" fontId="5" fillId="8" borderId="8" xfId="0" applyFont="1" applyFill="1" applyBorder="1"/>
    <xf numFmtId="164" fontId="0" fillId="8" borderId="0" xfId="0" applyNumberFormat="1" applyFill="1" applyBorder="1"/>
    <xf numFmtId="0" fontId="1" fillId="8" borderId="7" xfId="0" applyFont="1" applyFill="1" applyBorder="1" applyAlignment="1">
      <alignment horizontal="right"/>
    </xf>
    <xf numFmtId="44" fontId="1" fillId="8" borderId="8" xfId="3" applyFont="1" applyFill="1" applyBorder="1"/>
    <xf numFmtId="44" fontId="12" fillId="8" borderId="8" xfId="3" applyNumberFormat="1" applyFont="1" applyFill="1" applyBorder="1"/>
    <xf numFmtId="44" fontId="22" fillId="8" borderId="10" xfId="3" applyNumberFormat="1" applyFont="1" applyFill="1" applyBorder="1"/>
    <xf numFmtId="44" fontId="22" fillId="8" borderId="8" xfId="3" applyNumberFormat="1" applyFont="1" applyFill="1" applyBorder="1"/>
    <xf numFmtId="0" fontId="18" fillId="8" borderId="7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44" fontId="20" fillId="8" borderId="0" xfId="3" applyFont="1" applyFill="1" applyBorder="1"/>
    <xf numFmtId="44" fontId="1" fillId="8" borderId="8" xfId="3" applyNumberFormat="1" applyFont="1" applyFill="1" applyBorder="1"/>
    <xf numFmtId="165" fontId="1" fillId="8" borderId="0" xfId="3" applyNumberFormat="1" applyFont="1" applyFill="1" applyBorder="1"/>
    <xf numFmtId="44" fontId="12" fillId="8" borderId="8" xfId="3" applyFont="1" applyFill="1" applyBorder="1"/>
    <xf numFmtId="44" fontId="22" fillId="8" borderId="10" xfId="3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0" fillId="8" borderId="12" xfId="0" applyFill="1" applyBorder="1"/>
    <xf numFmtId="44" fontId="22" fillId="8" borderId="13" xfId="3" applyFont="1" applyFill="1" applyBorder="1"/>
    <xf numFmtId="166" fontId="0" fillId="0" borderId="0" xfId="5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1" fillId="0" borderId="0" xfId="2" applyFont="1"/>
    <xf numFmtId="10" fontId="1" fillId="0" borderId="0" xfId="5" applyNumberFormat="1" applyFont="1" applyAlignment="1"/>
    <xf numFmtId="10" fontId="30" fillId="0" borderId="0" xfId="5" applyNumberFormat="1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2" fillId="0" borderId="0" xfId="2" applyFont="1" applyAlignment="1"/>
    <xf numFmtId="0" fontId="35" fillId="0" borderId="0" xfId="0" applyFont="1" applyBorder="1"/>
    <xf numFmtId="0" fontId="1" fillId="0" borderId="0" xfId="0" applyFont="1" applyAlignment="1"/>
    <xf numFmtId="0" fontId="15" fillId="10" borderId="4" xfId="0" applyFont="1" applyFill="1" applyBorder="1"/>
    <xf numFmtId="0" fontId="15" fillId="10" borderId="5" xfId="0" applyFont="1" applyFill="1" applyBorder="1"/>
    <xf numFmtId="0" fontId="0" fillId="10" borderId="5" xfId="0" applyFill="1" applyBorder="1"/>
    <xf numFmtId="0" fontId="0" fillId="10" borderId="6" xfId="0" applyFill="1" applyBorder="1"/>
    <xf numFmtId="0" fontId="5" fillId="10" borderId="7" xfId="0" applyFont="1" applyFill="1" applyBorder="1"/>
    <xf numFmtId="0" fontId="5" fillId="10" borderId="0" xfId="0" applyFont="1" applyFill="1" applyBorder="1"/>
    <xf numFmtId="0" fontId="16" fillId="10" borderId="0" xfId="0" applyFont="1" applyFill="1" applyBorder="1"/>
    <xf numFmtId="0" fontId="0" fillId="10" borderId="0" xfId="0" applyFill="1" applyBorder="1"/>
    <xf numFmtId="0" fontId="0" fillId="10" borderId="8" xfId="0" applyFill="1" applyBorder="1"/>
    <xf numFmtId="15" fontId="5" fillId="10" borderId="7" xfId="0" applyNumberFormat="1" applyFont="1" applyFill="1" applyBorder="1"/>
    <xf numFmtId="15" fontId="5" fillId="10" borderId="0" xfId="0" applyNumberFormat="1" applyFont="1" applyFill="1" applyBorder="1"/>
    <xf numFmtId="0" fontId="0" fillId="10" borderId="7" xfId="0" applyFill="1" applyBorder="1"/>
    <xf numFmtId="0" fontId="5" fillId="10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19" fillId="10" borderId="9" xfId="0" applyFont="1" applyFill="1" applyBorder="1"/>
    <xf numFmtId="0" fontId="19" fillId="10" borderId="0" xfId="0" applyFont="1" applyFill="1" applyBorder="1"/>
    <xf numFmtId="0" fontId="0" fillId="10" borderId="0" xfId="0" applyFill="1" applyBorder="1" applyAlignment="1">
      <alignment horizontal="center"/>
    </xf>
    <xf numFmtId="0" fontId="1" fillId="10" borderId="7" xfId="0" applyFont="1" applyFill="1" applyBorder="1"/>
    <xf numFmtId="41" fontId="0" fillId="10" borderId="0" xfId="0" applyNumberFormat="1" applyFill="1" applyBorder="1"/>
    <xf numFmtId="44" fontId="20" fillId="10" borderId="0" xfId="3" applyNumberFormat="1" applyFont="1" applyFill="1" applyBorder="1"/>
    <xf numFmtId="167" fontId="20" fillId="10" borderId="0" xfId="3" applyNumberFormat="1" applyFont="1" applyFill="1" applyBorder="1"/>
    <xf numFmtId="0" fontId="21" fillId="10" borderId="0" xfId="0" applyFont="1" applyFill="1" applyBorder="1"/>
    <xf numFmtId="41" fontId="12" fillId="10" borderId="0" xfId="0" applyNumberFormat="1" applyFont="1" applyFill="1" applyBorder="1"/>
    <xf numFmtId="41" fontId="5" fillId="10" borderId="0" xfId="0" applyNumberFormat="1" applyFont="1" applyFill="1" applyBorder="1"/>
    <xf numFmtId="0" fontId="5" fillId="10" borderId="8" xfId="0" applyFont="1" applyFill="1" applyBorder="1"/>
    <xf numFmtId="164" fontId="0" fillId="10" borderId="0" xfId="0" applyNumberFormat="1" applyFill="1" applyBorder="1"/>
    <xf numFmtId="0" fontId="1" fillId="10" borderId="7" xfId="0" applyFont="1" applyFill="1" applyBorder="1" applyAlignment="1">
      <alignment horizontal="right"/>
    </xf>
    <xf numFmtId="44" fontId="1" fillId="10" borderId="8" xfId="3" applyFont="1" applyFill="1" applyBorder="1"/>
    <xf numFmtId="44" fontId="12" fillId="10" borderId="8" xfId="3" applyNumberFormat="1" applyFont="1" applyFill="1" applyBorder="1"/>
    <xf numFmtId="44" fontId="22" fillId="10" borderId="10" xfId="3" applyNumberFormat="1" applyFont="1" applyFill="1" applyBorder="1"/>
    <xf numFmtId="44" fontId="22" fillId="10" borderId="8" xfId="3" applyNumberFormat="1" applyFont="1" applyFill="1" applyBorder="1"/>
    <xf numFmtId="0" fontId="5" fillId="10" borderId="2" xfId="0" applyFont="1" applyFill="1" applyBorder="1" applyAlignment="1">
      <alignment horizontal="center"/>
    </xf>
    <xf numFmtId="44" fontId="1" fillId="10" borderId="8" xfId="3" applyNumberFormat="1" applyFont="1" applyFill="1" applyBorder="1"/>
    <xf numFmtId="165" fontId="1" fillId="10" borderId="0" xfId="3" applyNumberFormat="1" applyFont="1" applyFill="1" applyBorder="1"/>
    <xf numFmtId="44" fontId="12" fillId="10" borderId="8" xfId="3" applyFont="1" applyFill="1" applyBorder="1"/>
    <xf numFmtId="44" fontId="22" fillId="10" borderId="10" xfId="3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0" fillId="10" borderId="12" xfId="0" applyFill="1" applyBorder="1"/>
    <xf numFmtId="44" fontId="22" fillId="10" borderId="13" xfId="3" applyFont="1" applyFill="1" applyBorder="1"/>
    <xf numFmtId="8" fontId="0" fillId="10" borderId="0" xfId="0" applyNumberFormat="1" applyFill="1" applyBorder="1"/>
    <xf numFmtId="44" fontId="37" fillId="10" borderId="8" xfId="3" applyNumberFormat="1" applyFont="1" applyFill="1" applyBorder="1"/>
    <xf numFmtId="0" fontId="2" fillId="10" borderId="7" xfId="0" applyFont="1" applyFill="1" applyBorder="1"/>
    <xf numFmtId="44" fontId="22" fillId="8" borderId="13" xfId="3" applyNumberFormat="1" applyFont="1" applyFill="1" applyBorder="1"/>
    <xf numFmtId="44" fontId="22" fillId="6" borderId="13" xfId="3" applyNumberFormat="1" applyFont="1" applyFill="1" applyBorder="1"/>
    <xf numFmtId="44" fontId="22" fillId="7" borderId="13" xfId="3" applyNumberFormat="1" applyFont="1" applyFill="1" applyBorder="1"/>
    <xf numFmtId="44" fontId="22" fillId="5" borderId="13" xfId="3" applyNumberFormat="1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0" fillId="4" borderId="12" xfId="0" applyFill="1" applyBorder="1"/>
    <xf numFmtId="44" fontId="22" fillId="4" borderId="12" xfId="3" applyNumberFormat="1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0" fillId="3" borderId="12" xfId="0" applyFill="1" applyBorder="1"/>
    <xf numFmtId="44" fontId="22" fillId="3" borderId="12" xfId="3" applyNumberFormat="1" applyFont="1" applyFill="1" applyBorder="1"/>
    <xf numFmtId="0" fontId="0" fillId="10" borderId="13" xfId="0" applyFill="1" applyBorder="1"/>
    <xf numFmtId="0" fontId="19" fillId="8" borderId="2" xfId="0" applyFont="1" applyFill="1" applyBorder="1"/>
    <xf numFmtId="0" fontId="1" fillId="8" borderId="0" xfId="0" applyFont="1" applyFill="1" applyBorder="1"/>
    <xf numFmtId="0" fontId="1" fillId="8" borderId="0" xfId="0" applyFont="1" applyFill="1" applyBorder="1" applyAlignment="1">
      <alignment horizontal="right"/>
    </xf>
    <xf numFmtId="0" fontId="0" fillId="10" borderId="11" xfId="0" applyFill="1" applyBorder="1"/>
    <xf numFmtId="0" fontId="34" fillId="0" borderId="0" xfId="0" applyFont="1" applyBorder="1"/>
    <xf numFmtId="10" fontId="1" fillId="0" borderId="0" xfId="5" applyNumberFormat="1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43" fontId="1" fillId="0" borderId="0" xfId="2" applyFont="1" applyBorder="1" applyAlignment="1" applyProtection="1">
      <alignment horizontal="right"/>
      <protection locked="0"/>
    </xf>
    <xf numFmtId="0" fontId="0" fillId="0" borderId="0" xfId="0" applyBorder="1"/>
    <xf numFmtId="43" fontId="12" fillId="0" borderId="0" xfId="2" applyFont="1" applyBorder="1" applyAlignment="1" applyProtection="1">
      <alignment horizontal="right"/>
      <protection locked="0"/>
    </xf>
    <xf numFmtId="0" fontId="5" fillId="0" borderId="0" xfId="0" applyFont="1" applyBorder="1"/>
    <xf numFmtId="10" fontId="12" fillId="0" borderId="0" xfId="5" applyNumberFormat="1" applyFont="1" applyBorder="1" applyAlignment="1">
      <alignment horizontal="right"/>
    </xf>
    <xf numFmtId="43" fontId="38" fillId="0" borderId="0" xfId="2" applyFont="1" applyBorder="1"/>
    <xf numFmtId="166" fontId="13" fillId="0" borderId="0" xfId="5" applyNumberFormat="1" applyFont="1" applyBorder="1" applyAlignment="1">
      <alignment horizontal="right"/>
    </xf>
    <xf numFmtId="43" fontId="13" fillId="0" borderId="0" xfId="10" applyFont="1" applyBorder="1"/>
    <xf numFmtId="43" fontId="13" fillId="0" borderId="0" xfId="2" applyFont="1" applyBorder="1" applyAlignment="1">
      <alignment horizontal="right"/>
    </xf>
    <xf numFmtId="0" fontId="39" fillId="0" borderId="0" xfId="0" applyFont="1" applyFill="1"/>
    <xf numFmtId="0" fontId="6" fillId="0" borderId="0" xfId="0" applyFont="1" applyAlignment="1">
      <alignment horizontal="center"/>
    </xf>
    <xf numFmtId="44" fontId="41" fillId="0" borderId="14" xfId="3" applyFont="1" applyFill="1" applyBorder="1" applyProtection="1">
      <protection locked="0"/>
    </xf>
    <xf numFmtId="0" fontId="5" fillId="10" borderId="0" xfId="0" applyFont="1" applyFill="1"/>
    <xf numFmtId="0" fontId="0" fillId="10" borderId="0" xfId="0" applyFill="1"/>
    <xf numFmtId="165" fontId="0" fillId="10" borderId="0" xfId="6" applyNumberFormat="1" applyFont="1" applyFill="1" applyBorder="1"/>
    <xf numFmtId="44" fontId="36" fillId="10" borderId="8" xfId="6" applyFont="1" applyFill="1" applyBorder="1"/>
    <xf numFmtId="8" fontId="0" fillId="10" borderId="0" xfId="0" applyNumberFormat="1" applyFill="1"/>
    <xf numFmtId="44" fontId="22" fillId="10" borderId="8" xfId="6" applyFont="1" applyFill="1" applyBorder="1"/>
    <xf numFmtId="44" fontId="37" fillId="10" borderId="8" xfId="6" applyFont="1" applyFill="1" applyBorder="1"/>
    <xf numFmtId="0" fontId="15" fillId="11" borderId="4" xfId="0" applyFont="1" applyFill="1" applyBorder="1"/>
    <xf numFmtId="0" fontId="15" fillId="11" borderId="5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5" fillId="11" borderId="7" xfId="0" applyFont="1" applyFill="1" applyBorder="1"/>
    <xf numFmtId="0" fontId="5" fillId="11" borderId="0" xfId="0" applyFont="1" applyFill="1" applyBorder="1"/>
    <xf numFmtId="0" fontId="16" fillId="11" borderId="0" xfId="0" applyFont="1" applyFill="1" applyBorder="1"/>
    <xf numFmtId="0" fontId="0" fillId="11" borderId="0" xfId="0" applyFill="1" applyBorder="1"/>
    <xf numFmtId="0" fontId="0" fillId="11" borderId="8" xfId="0" applyFill="1" applyBorder="1"/>
    <xf numFmtId="15" fontId="5" fillId="11" borderId="7" xfId="0" applyNumberFormat="1" applyFont="1" applyFill="1" applyBorder="1"/>
    <xf numFmtId="15" fontId="5" fillId="11" borderId="0" xfId="0" applyNumberFormat="1" applyFont="1" applyFill="1" applyBorder="1"/>
    <xf numFmtId="0" fontId="0" fillId="11" borderId="7" xfId="0" applyFill="1" applyBorder="1"/>
    <xf numFmtId="0" fontId="5" fillId="11" borderId="0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19" fillId="11" borderId="9" xfId="0" applyFont="1" applyFill="1" applyBorder="1"/>
    <xf numFmtId="0" fontId="19" fillId="11" borderId="0" xfId="0" applyFont="1" applyFill="1" applyBorder="1"/>
    <xf numFmtId="0" fontId="0" fillId="11" borderId="0" xfId="0" applyFill="1" applyBorder="1" applyAlignment="1">
      <alignment horizontal="center"/>
    </xf>
    <xf numFmtId="0" fontId="1" fillId="11" borderId="7" xfId="0" applyFont="1" applyFill="1" applyBorder="1"/>
    <xf numFmtId="41" fontId="0" fillId="11" borderId="0" xfId="0" applyNumberFormat="1" applyFill="1" applyBorder="1"/>
    <xf numFmtId="44" fontId="20" fillId="11" borderId="0" xfId="3" applyNumberFormat="1" applyFont="1" applyFill="1" applyBorder="1"/>
    <xf numFmtId="167" fontId="20" fillId="11" borderId="0" xfId="3" applyNumberFormat="1" applyFont="1" applyFill="1" applyBorder="1"/>
    <xf numFmtId="0" fontId="21" fillId="11" borderId="0" xfId="0" applyFont="1" applyFill="1" applyBorder="1"/>
    <xf numFmtId="41" fontId="12" fillId="11" borderId="0" xfId="0" applyNumberFormat="1" applyFont="1" applyFill="1" applyBorder="1"/>
    <xf numFmtId="41" fontId="5" fillId="11" borderId="0" xfId="0" applyNumberFormat="1" applyFont="1" applyFill="1" applyBorder="1"/>
    <xf numFmtId="0" fontId="5" fillId="11" borderId="8" xfId="0" applyFont="1" applyFill="1" applyBorder="1"/>
    <xf numFmtId="164" fontId="0" fillId="11" borderId="0" xfId="0" applyNumberFormat="1" applyFill="1" applyBorder="1"/>
    <xf numFmtId="0" fontId="1" fillId="11" borderId="7" xfId="0" applyFont="1" applyFill="1" applyBorder="1" applyAlignment="1">
      <alignment horizontal="right"/>
    </xf>
    <xf numFmtId="44" fontId="1" fillId="11" borderId="8" xfId="3" applyFont="1" applyFill="1" applyBorder="1"/>
    <xf numFmtId="44" fontId="12" fillId="11" borderId="8" xfId="3" applyNumberFormat="1" applyFont="1" applyFill="1" applyBorder="1"/>
    <xf numFmtId="44" fontId="22" fillId="11" borderId="10" xfId="3" applyNumberFormat="1" applyFont="1" applyFill="1" applyBorder="1"/>
    <xf numFmtId="44" fontId="22" fillId="11" borderId="8" xfId="3" applyNumberFormat="1" applyFont="1" applyFill="1" applyBorder="1"/>
    <xf numFmtId="165" fontId="0" fillId="11" borderId="0" xfId="3" applyNumberFormat="1" applyFont="1" applyFill="1" applyBorder="1"/>
    <xf numFmtId="44" fontId="36" fillId="11" borderId="8" xfId="3" applyFont="1" applyFill="1" applyBorder="1"/>
    <xf numFmtId="8" fontId="0" fillId="11" borderId="0" xfId="0" applyNumberFormat="1" applyFill="1" applyBorder="1"/>
    <xf numFmtId="0" fontId="2" fillId="11" borderId="7" xfId="0" applyFont="1" applyFill="1" applyBorder="1"/>
    <xf numFmtId="44" fontId="37" fillId="11" borderId="8" xfId="3" applyNumberFormat="1" applyFont="1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5" fillId="11" borderId="2" xfId="0" applyFont="1" applyFill="1" applyBorder="1" applyAlignment="1">
      <alignment horizontal="center"/>
    </xf>
    <xf numFmtId="44" fontId="1" fillId="11" borderId="8" xfId="3" applyNumberFormat="1" applyFont="1" applyFill="1" applyBorder="1"/>
    <xf numFmtId="165" fontId="1" fillId="11" borderId="0" xfId="3" applyNumberFormat="1" applyFont="1" applyFill="1" applyBorder="1"/>
    <xf numFmtId="44" fontId="12" fillId="11" borderId="8" xfId="3" applyFont="1" applyFill="1" applyBorder="1"/>
    <xf numFmtId="44" fontId="22" fillId="11" borderId="10" xfId="3" applyFont="1" applyFill="1" applyBorder="1"/>
    <xf numFmtId="0" fontId="5" fillId="11" borderId="11" xfId="0" applyFont="1" applyFill="1" applyBorder="1"/>
    <xf numFmtId="0" fontId="5" fillId="11" borderId="12" xfId="0" applyFont="1" applyFill="1" applyBorder="1"/>
    <xf numFmtId="44" fontId="22" fillId="11" borderId="13" xfId="3" applyFont="1" applyFill="1" applyBorder="1"/>
    <xf numFmtId="44" fontId="42" fillId="0" borderId="14" xfId="6" applyFont="1" applyFill="1" applyBorder="1" applyProtection="1">
      <protection locked="0"/>
    </xf>
    <xf numFmtId="44" fontId="42" fillId="0" borderId="14" xfId="3" applyFont="1" applyFill="1" applyBorder="1" applyProtection="1">
      <protection locked="0"/>
    </xf>
    <xf numFmtId="0" fontId="0" fillId="3" borderId="6" xfId="0" applyFill="1" applyBorder="1"/>
    <xf numFmtId="0" fontId="0" fillId="3" borderId="8" xfId="0" applyFill="1" applyBorder="1"/>
    <xf numFmtId="44" fontId="20" fillId="3" borderId="0" xfId="3" applyNumberFormat="1" applyFont="1" applyFill="1" applyBorder="1"/>
    <xf numFmtId="167" fontId="20" fillId="3" borderId="0" xfId="3" applyNumberFormat="1" applyFont="1" applyFill="1" applyBorder="1"/>
    <xf numFmtId="0" fontId="5" fillId="3" borderId="8" xfId="0" applyFont="1" applyFill="1" applyBorder="1"/>
    <xf numFmtId="44" fontId="1" fillId="3" borderId="8" xfId="3" applyFont="1" applyFill="1" applyBorder="1"/>
    <xf numFmtId="44" fontId="12" fillId="3" borderId="8" xfId="3" applyNumberFormat="1" applyFont="1" applyFill="1" applyBorder="1"/>
    <xf numFmtId="44" fontId="22" fillId="3" borderId="10" xfId="3" applyNumberFormat="1" applyFont="1" applyFill="1" applyBorder="1"/>
    <xf numFmtId="44" fontId="22" fillId="3" borderId="8" xfId="3" applyNumberFormat="1" applyFont="1" applyFill="1" applyBorder="1"/>
    <xf numFmtId="165" fontId="0" fillId="3" borderId="0" xfId="3" applyNumberFormat="1" applyFont="1" applyFill="1" applyBorder="1"/>
    <xf numFmtId="44" fontId="36" fillId="3" borderId="8" xfId="3" applyFont="1" applyFill="1" applyBorder="1"/>
    <xf numFmtId="8" fontId="0" fillId="3" borderId="0" xfId="0" applyNumberFormat="1" applyFill="1" applyBorder="1"/>
    <xf numFmtId="0" fontId="2" fillId="3" borderId="7" xfId="0" applyFont="1" applyFill="1" applyBorder="1"/>
    <xf numFmtId="44" fontId="37" fillId="3" borderId="8" xfId="3" applyNumberFormat="1" applyFont="1" applyFill="1" applyBorder="1"/>
    <xf numFmtId="0" fontId="0" fillId="3" borderId="11" xfId="0" applyFill="1" applyBorder="1"/>
    <xf numFmtId="0" fontId="0" fillId="3" borderId="13" xfId="0" applyFill="1" applyBorder="1"/>
    <xf numFmtId="44" fontId="1" fillId="3" borderId="8" xfId="3" applyNumberFormat="1" applyFont="1" applyFill="1" applyBorder="1"/>
    <xf numFmtId="44" fontId="12" fillId="3" borderId="8" xfId="3" applyFont="1" applyFill="1" applyBorder="1"/>
    <xf numFmtId="44" fontId="22" fillId="3" borderId="10" xfId="3" applyFont="1" applyFill="1" applyBorder="1"/>
    <xf numFmtId="44" fontId="22" fillId="3" borderId="13" xfId="3" applyFont="1" applyFill="1" applyBorder="1"/>
    <xf numFmtId="43" fontId="41" fillId="0" borderId="0" xfId="2" applyFont="1" applyFill="1" applyBorder="1" applyAlignment="1" applyProtection="1">
      <alignment horizontal="right"/>
      <protection locked="0"/>
    </xf>
    <xf numFmtId="43" fontId="43" fillId="0" borderId="0" xfId="2" applyFont="1" applyFill="1" applyBorder="1" applyAlignment="1" applyProtection="1">
      <alignment horizontal="right"/>
      <protection locked="0"/>
    </xf>
    <xf numFmtId="43" fontId="41" fillId="0" borderId="15" xfId="10" applyFont="1" applyBorder="1" applyAlignment="1" applyProtection="1">
      <alignment horizontal="right"/>
      <protection locked="0"/>
    </xf>
    <xf numFmtId="43" fontId="41" fillId="0" borderId="15" xfId="10" applyFont="1" applyBorder="1" applyProtection="1">
      <protection locked="0"/>
    </xf>
    <xf numFmtId="43" fontId="43" fillId="0" borderId="15" xfId="10" applyFont="1" applyBorder="1" applyProtection="1">
      <protection locked="0"/>
    </xf>
    <xf numFmtId="43" fontId="41" fillId="0" borderId="0" xfId="10" applyFont="1" applyBorder="1" applyAlignment="1" applyProtection="1">
      <alignment horizontal="right"/>
      <protection locked="0"/>
    </xf>
    <xf numFmtId="43" fontId="43" fillId="0" borderId="0" xfId="10" applyFont="1" applyBorder="1" applyAlignment="1" applyProtection="1">
      <alignment horizontal="right"/>
      <protection locked="0"/>
    </xf>
    <xf numFmtId="43" fontId="41" fillId="0" borderId="0" xfId="10" applyFont="1" applyBorder="1" applyProtection="1">
      <protection locked="0"/>
    </xf>
    <xf numFmtId="43" fontId="43" fillId="0" borderId="0" xfId="10" applyFont="1" applyBorder="1" applyProtection="1">
      <protection locked="0"/>
    </xf>
    <xf numFmtId="43" fontId="41" fillId="0" borderId="0" xfId="2" applyFont="1" applyBorder="1" applyAlignment="1" applyProtection="1">
      <alignment horizontal="right"/>
      <protection locked="0"/>
    </xf>
    <xf numFmtId="43" fontId="43" fillId="0" borderId="0" xfId="2" applyFont="1" applyBorder="1" applyAlignment="1" applyProtection="1">
      <alignment horizontal="right"/>
      <protection locked="0"/>
    </xf>
    <xf numFmtId="43" fontId="42" fillId="0" borderId="0" xfId="0" applyNumberFormat="1" applyFont="1" applyAlignment="1"/>
    <xf numFmtId="2" fontId="42" fillId="0" borderId="0" xfId="0" applyNumberFormat="1" applyFont="1" applyFill="1" applyAlignment="1"/>
    <xf numFmtId="43" fontId="42" fillId="0" borderId="0" xfId="2" applyFont="1" applyAlignment="1"/>
    <xf numFmtId="2" fontId="42" fillId="0" borderId="0" xfId="0" applyNumberFormat="1" applyFont="1" applyAlignment="1"/>
    <xf numFmtId="44" fontId="42" fillId="0" borderId="0" xfId="3" applyFont="1"/>
    <xf numFmtId="0" fontId="42" fillId="0" borderId="0" xfId="0" applyFont="1"/>
    <xf numFmtId="44" fontId="42" fillId="0" borderId="0" xfId="3" applyFont="1" applyFill="1"/>
    <xf numFmtId="0" fontId="17" fillId="3" borderId="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164" fontId="46" fillId="0" borderId="0" xfId="10" applyNumberFormat="1" applyFont="1" applyFill="1"/>
    <xf numFmtId="164" fontId="46" fillId="0" borderId="0" xfId="10" applyNumberFormat="1" applyFont="1"/>
    <xf numFmtId="164" fontId="45" fillId="0" borderId="0" xfId="10" applyNumberFormat="1" applyFont="1" applyFill="1"/>
    <xf numFmtId="43" fontId="44" fillId="0" borderId="0" xfId="0" applyNumberFormat="1" applyFont="1" applyFill="1" applyAlignment="1"/>
    <xf numFmtId="43" fontId="12" fillId="0" borderId="0" xfId="0" applyNumberFormat="1" applyFont="1" applyFill="1" applyAlignment="1"/>
    <xf numFmtId="43" fontId="44" fillId="0" borderId="0" xfId="2" applyFont="1" applyFill="1" applyAlignment="1"/>
    <xf numFmtId="44" fontId="36" fillId="3" borderId="0" xfId="3" applyFont="1" applyFill="1" applyBorder="1"/>
    <xf numFmtId="44" fontId="37" fillId="3" borderId="0" xfId="3" applyNumberFormat="1" applyFont="1" applyFill="1" applyBorder="1"/>
    <xf numFmtId="44" fontId="12" fillId="3" borderId="0" xfId="3" applyFont="1" applyFill="1" applyBorder="1"/>
    <xf numFmtId="44" fontId="22" fillId="3" borderId="12" xfId="3" applyFont="1" applyFill="1" applyBorder="1"/>
    <xf numFmtId="165" fontId="0" fillId="5" borderId="0" xfId="3" applyNumberFormat="1" applyFont="1" applyFill="1" applyBorder="1"/>
    <xf numFmtId="44" fontId="36" fillId="5" borderId="8" xfId="3" applyFont="1" applyFill="1" applyBorder="1"/>
    <xf numFmtId="8" fontId="0" fillId="5" borderId="0" xfId="0" applyNumberFormat="1" applyFill="1" applyBorder="1"/>
    <xf numFmtId="0" fontId="2" fillId="5" borderId="7" xfId="0" applyFont="1" applyFill="1" applyBorder="1"/>
    <xf numFmtId="44" fontId="37" fillId="5" borderId="8" xfId="3" applyNumberFormat="1" applyFont="1" applyFill="1" applyBorder="1"/>
    <xf numFmtId="0" fontId="0" fillId="5" borderId="11" xfId="0" applyFill="1" applyBorder="1"/>
    <xf numFmtId="0" fontId="0" fillId="5" borderId="13" xfId="0" applyFill="1" applyBorder="1"/>
    <xf numFmtId="44" fontId="12" fillId="5" borderId="8" xfId="3" applyFont="1" applyFill="1" applyBorder="1"/>
    <xf numFmtId="14" fontId="0" fillId="0" borderId="0" xfId="0" applyNumberFormat="1"/>
    <xf numFmtId="0" fontId="17" fillId="3" borderId="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7" fillId="10" borderId="8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17" fontId="33" fillId="9" borderId="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1">
    <cellStyle name="Comma" xfId="2" builtinId="3"/>
    <cellStyle name="Comma 2" xfId="10" xr:uid="{00000000-0005-0000-0000-000001000000}"/>
    <cellStyle name="Currency" xfId="3" builtinId="4"/>
    <cellStyle name="Currency 2" xfId="6" xr:uid="{00000000-0005-0000-0000-000003000000}"/>
    <cellStyle name="Currency 5" xfId="7" xr:uid="{00000000-0005-0000-0000-000004000000}"/>
    <cellStyle name="Currency 6" xfId="8" xr:uid="{00000000-0005-0000-0000-000005000000}"/>
    <cellStyle name="Normal" xfId="0" builtinId="0"/>
    <cellStyle name="Normal 3" xfId="4" xr:uid="{00000000-0005-0000-0000-000007000000}"/>
    <cellStyle name="Percent" xfId="5" builtinId="5"/>
    <cellStyle name="Percent 4" xfId="9" xr:uid="{00000000-0005-0000-0000-000009000000}"/>
    <cellStyle name="Total" xfId="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73"/>
  <sheetViews>
    <sheetView tabSelected="1" workbookViewId="0">
      <selection activeCell="A29" sqref="A29"/>
    </sheetView>
  </sheetViews>
  <sheetFormatPr defaultRowHeight="12.75" x14ac:dyDescent="0.2"/>
  <cols>
    <col min="1" max="1" width="58.85546875" bestFit="1" customWidth="1"/>
    <col min="3" max="3" width="10.42578125" bestFit="1" customWidth="1"/>
    <col min="4" max="4" width="11.28515625" bestFit="1" customWidth="1"/>
    <col min="5" max="5" width="9.28515625" bestFit="1" customWidth="1"/>
    <col min="6" max="6" width="10.140625" bestFit="1" customWidth="1"/>
    <col min="7" max="7" width="58.85546875" bestFit="1" customWidth="1"/>
    <col min="9" max="9" width="10.42578125" bestFit="1" customWidth="1"/>
    <col min="10" max="10" width="11.28515625" bestFit="1" customWidth="1"/>
    <col min="11" max="11" width="8.7109375" bestFit="1" customWidth="1"/>
    <col min="13" max="13" width="58.85546875" bestFit="1" customWidth="1"/>
    <col min="15" max="15" width="10.42578125" bestFit="1" customWidth="1"/>
    <col min="18" max="18" width="9.28515625" bestFit="1" customWidth="1"/>
    <col min="19" max="19" width="57.28515625" customWidth="1"/>
    <col min="21" max="21" width="11.28515625" customWidth="1"/>
    <col min="22" max="22" width="12.28515625" bestFit="1" customWidth="1"/>
    <col min="23" max="23" width="15.5703125" bestFit="1" customWidth="1"/>
    <col min="24" max="24" width="15.140625" bestFit="1" customWidth="1"/>
    <col min="25" max="25" width="58.85546875" bestFit="1" customWidth="1"/>
    <col min="27" max="27" width="10.42578125" bestFit="1" customWidth="1"/>
    <col min="28" max="28" width="11.28515625" bestFit="1" customWidth="1"/>
    <col min="29" max="29" width="10.28515625" bestFit="1" customWidth="1"/>
    <col min="30" max="30" width="9.28515625" bestFit="1" customWidth="1"/>
    <col min="31" max="31" width="58.85546875" bestFit="1" customWidth="1"/>
    <col min="33" max="33" width="10.42578125" bestFit="1" customWidth="1"/>
    <col min="34" max="34" width="11.28515625" bestFit="1" customWidth="1"/>
    <col min="35" max="35" width="10.28515625" bestFit="1" customWidth="1"/>
    <col min="36" max="36" width="9.28515625" bestFit="1" customWidth="1"/>
    <col min="37" max="37" width="58.85546875" bestFit="1" customWidth="1"/>
    <col min="39" max="39" width="10.42578125" bestFit="1" customWidth="1"/>
    <col min="40" max="40" width="11.28515625" bestFit="1" customWidth="1"/>
    <col min="41" max="42" width="10.28515625" bestFit="1" customWidth="1"/>
    <col min="43" max="43" width="58.85546875" bestFit="1" customWidth="1"/>
    <col min="45" max="45" width="10.42578125" bestFit="1" customWidth="1"/>
    <col min="46" max="46" width="11.28515625" bestFit="1" customWidth="1"/>
    <col min="47" max="47" width="10.28515625" bestFit="1" customWidth="1"/>
    <col min="48" max="48" width="9.28515625" bestFit="1" customWidth="1"/>
    <col min="49" max="49" width="58.85546875" bestFit="1" customWidth="1"/>
    <col min="51" max="51" width="10.42578125" bestFit="1" customWidth="1"/>
    <col min="52" max="52" width="11.28515625" bestFit="1" customWidth="1"/>
    <col min="53" max="53" width="10.28515625" bestFit="1" customWidth="1"/>
    <col min="54" max="54" width="9.7109375" bestFit="1" customWidth="1"/>
    <col min="55" max="55" width="58.85546875" bestFit="1" customWidth="1"/>
    <col min="57" max="57" width="10.42578125" bestFit="1" customWidth="1"/>
    <col min="58" max="58" width="11.28515625" bestFit="1" customWidth="1"/>
    <col min="59" max="59" width="10.28515625" bestFit="1" customWidth="1"/>
    <col min="60" max="60" width="9.28515625" bestFit="1" customWidth="1"/>
  </cols>
  <sheetData>
    <row r="1" spans="1:60" ht="19.5" customHeight="1" x14ac:dyDescent="0.4">
      <c r="A1" s="160" t="s">
        <v>61</v>
      </c>
      <c r="B1" s="161"/>
      <c r="C1" s="162"/>
      <c r="D1" s="162"/>
      <c r="E1" s="162"/>
      <c r="F1" s="239"/>
      <c r="G1" s="72" t="s">
        <v>61</v>
      </c>
      <c r="H1" s="74"/>
      <c r="I1" s="74"/>
      <c r="J1" s="74"/>
      <c r="K1" s="74"/>
      <c r="L1" s="484"/>
      <c r="M1" s="435" t="s">
        <v>61</v>
      </c>
      <c r="N1" s="436"/>
      <c r="O1" s="437"/>
      <c r="P1" s="437"/>
      <c r="Q1" s="437"/>
      <c r="R1" s="438"/>
      <c r="S1" s="353" t="s">
        <v>61</v>
      </c>
      <c r="T1" s="354"/>
      <c r="U1" s="355"/>
      <c r="V1" s="355"/>
      <c r="W1" s="355"/>
      <c r="X1" s="356"/>
      <c r="Y1" s="301" t="s">
        <v>61</v>
      </c>
      <c r="Z1" s="301"/>
      <c r="AA1" s="302"/>
      <c r="AB1" s="302"/>
      <c r="AC1" s="302"/>
      <c r="AD1" s="303"/>
      <c r="AE1" s="191" t="s">
        <v>61</v>
      </c>
      <c r="AF1" s="192"/>
      <c r="AG1" s="193"/>
      <c r="AH1" s="193"/>
      <c r="AI1" s="193"/>
      <c r="AJ1" s="227"/>
      <c r="AK1" s="260" t="s">
        <v>61</v>
      </c>
      <c r="AL1" s="261"/>
      <c r="AM1" s="262"/>
      <c r="AN1" s="262"/>
      <c r="AO1" s="262"/>
      <c r="AP1" s="263"/>
      <c r="AQ1" s="160" t="s">
        <v>61</v>
      </c>
      <c r="AR1" s="161"/>
      <c r="AS1" s="162"/>
      <c r="AT1" s="162"/>
      <c r="AU1" s="162"/>
      <c r="AV1" s="239"/>
      <c r="AW1" s="107" t="s">
        <v>61</v>
      </c>
      <c r="AX1" s="108"/>
      <c r="AY1" s="109"/>
      <c r="AZ1" s="109"/>
      <c r="BA1" s="109"/>
      <c r="BB1" s="109"/>
      <c r="BC1" s="72" t="s">
        <v>61</v>
      </c>
      <c r="BD1" s="73"/>
      <c r="BE1" s="74"/>
      <c r="BF1" s="74"/>
      <c r="BG1" s="74"/>
      <c r="BH1" s="74"/>
    </row>
    <row r="2" spans="1:60" ht="18" x14ac:dyDescent="0.35">
      <c r="A2" s="163"/>
      <c r="B2" s="164"/>
      <c r="C2" s="165"/>
      <c r="D2" s="166"/>
      <c r="E2" s="166"/>
      <c r="F2" s="240"/>
      <c r="G2" s="75"/>
      <c r="H2" s="78"/>
      <c r="I2" s="77"/>
      <c r="J2" s="78"/>
      <c r="K2" s="78"/>
      <c r="L2" s="485"/>
      <c r="M2" s="439"/>
      <c r="N2" s="440"/>
      <c r="O2" s="441"/>
      <c r="P2" s="442"/>
      <c r="Q2" s="442"/>
      <c r="R2" s="443"/>
      <c r="S2" s="357"/>
      <c r="T2" s="358"/>
      <c r="U2" s="359"/>
      <c r="V2" s="360"/>
      <c r="W2" s="360"/>
      <c r="X2" s="361"/>
      <c r="Y2" s="305"/>
      <c r="Z2" s="305"/>
      <c r="AA2" s="306"/>
      <c r="AB2" s="307"/>
      <c r="AC2" s="307"/>
      <c r="AD2" s="308"/>
      <c r="AE2" s="194"/>
      <c r="AF2" s="195"/>
      <c r="AG2" s="196"/>
      <c r="AH2" s="197"/>
      <c r="AI2" s="197"/>
      <c r="AJ2" s="228"/>
      <c r="AK2" s="264"/>
      <c r="AL2" s="265"/>
      <c r="AM2" s="266"/>
      <c r="AN2" s="267"/>
      <c r="AO2" s="267"/>
      <c r="AP2" s="268"/>
      <c r="AQ2" s="163"/>
      <c r="AR2" s="164"/>
      <c r="AS2" s="165"/>
      <c r="AT2" s="166"/>
      <c r="AU2" s="166"/>
      <c r="AV2" s="240"/>
      <c r="AW2" s="110" t="s">
        <v>62</v>
      </c>
      <c r="AX2" s="111"/>
      <c r="AY2" s="112"/>
      <c r="AZ2" s="113"/>
      <c r="BA2" s="113"/>
      <c r="BB2" s="113"/>
      <c r="BC2" s="75" t="s">
        <v>62</v>
      </c>
      <c r="BD2" s="76"/>
      <c r="BE2" s="77"/>
      <c r="BF2" s="78"/>
      <c r="BG2" s="78"/>
      <c r="BH2" s="78"/>
    </row>
    <row r="3" spans="1:60" x14ac:dyDescent="0.2">
      <c r="A3" s="167"/>
      <c r="B3" s="168"/>
      <c r="C3" s="166"/>
      <c r="D3" s="166"/>
      <c r="E3" s="166"/>
      <c r="F3" s="240"/>
      <c r="G3" s="79"/>
      <c r="H3" s="78"/>
      <c r="I3" s="78"/>
      <c r="J3" s="78"/>
      <c r="K3" s="78"/>
      <c r="L3" s="485"/>
      <c r="M3" s="444"/>
      <c r="N3" s="445"/>
      <c r="O3" s="442"/>
      <c r="P3" s="442"/>
      <c r="Q3" s="442"/>
      <c r="R3" s="443"/>
      <c r="S3" s="362"/>
      <c r="T3" s="363"/>
      <c r="U3" s="360"/>
      <c r="V3" s="360"/>
      <c r="W3" s="360"/>
      <c r="X3" s="361"/>
      <c r="Y3" s="309"/>
      <c r="Z3" s="309"/>
      <c r="AA3" s="307"/>
      <c r="AB3" s="307"/>
      <c r="AC3" s="307"/>
      <c r="AD3" s="308"/>
      <c r="AE3" s="198"/>
      <c r="AF3" s="199"/>
      <c r="AG3" s="197"/>
      <c r="AH3" s="197"/>
      <c r="AI3" s="197"/>
      <c r="AJ3" s="228"/>
      <c r="AK3" s="269"/>
      <c r="AL3" s="270"/>
      <c r="AM3" s="267"/>
      <c r="AN3" s="267"/>
      <c r="AO3" s="267"/>
      <c r="AP3" s="268"/>
      <c r="AQ3" s="167"/>
      <c r="AR3" s="168"/>
      <c r="AS3" s="166"/>
      <c r="AT3" s="166"/>
      <c r="AU3" s="166"/>
      <c r="AV3" s="240"/>
      <c r="AW3" s="114"/>
      <c r="AX3" s="115"/>
      <c r="AY3" s="113"/>
      <c r="AZ3" s="113"/>
      <c r="BA3" s="113"/>
      <c r="BB3" s="113"/>
      <c r="BC3" s="79"/>
      <c r="BD3" s="80"/>
      <c r="BE3" s="78"/>
      <c r="BF3" s="78"/>
      <c r="BG3" s="78"/>
      <c r="BH3" s="78"/>
    </row>
    <row r="4" spans="1:60" ht="20.25" x14ac:dyDescent="0.3">
      <c r="A4" s="587" t="s">
        <v>177</v>
      </c>
      <c r="B4" s="588"/>
      <c r="C4" s="588"/>
      <c r="D4" s="588"/>
      <c r="E4" s="588"/>
      <c r="F4" s="589"/>
      <c r="G4" s="522" t="s">
        <v>164</v>
      </c>
      <c r="H4" s="523"/>
      <c r="I4" s="523"/>
      <c r="J4" s="523"/>
      <c r="K4" s="523"/>
      <c r="L4" s="523"/>
      <c r="M4" s="605" t="s">
        <v>158</v>
      </c>
      <c r="N4" s="606"/>
      <c r="O4" s="606"/>
      <c r="P4" s="606"/>
      <c r="Q4" s="606"/>
      <c r="R4" s="607"/>
      <c r="S4" s="593" t="s">
        <v>150</v>
      </c>
      <c r="T4" s="594"/>
      <c r="U4" s="594"/>
      <c r="V4" s="594"/>
      <c r="W4" s="594"/>
      <c r="X4" s="595"/>
      <c r="Y4" s="599" t="s">
        <v>150</v>
      </c>
      <c r="Z4" s="600"/>
      <c r="AA4" s="600"/>
      <c r="AB4" s="600"/>
      <c r="AC4" s="600"/>
      <c r="AD4" s="601"/>
      <c r="AE4" s="569" t="s">
        <v>111</v>
      </c>
      <c r="AF4" s="570"/>
      <c r="AG4" s="570"/>
      <c r="AH4" s="570"/>
      <c r="AI4" s="570"/>
      <c r="AJ4" s="571"/>
      <c r="AK4" s="575" t="s">
        <v>108</v>
      </c>
      <c r="AL4" s="576"/>
      <c r="AM4" s="576"/>
      <c r="AN4" s="576"/>
      <c r="AO4" s="576"/>
      <c r="AP4" s="577"/>
      <c r="AQ4" s="587" t="s">
        <v>106</v>
      </c>
      <c r="AR4" s="588"/>
      <c r="AS4" s="588"/>
      <c r="AT4" s="588"/>
      <c r="AU4" s="588"/>
      <c r="AV4" s="589"/>
      <c r="AW4" s="581" t="s">
        <v>97</v>
      </c>
      <c r="AX4" s="582"/>
      <c r="AY4" s="582"/>
      <c r="AZ4" s="582"/>
      <c r="BA4" s="582"/>
      <c r="BB4" s="583"/>
      <c r="BC4" s="565" t="s">
        <v>95</v>
      </c>
      <c r="BD4" s="566"/>
      <c r="BE4" s="566"/>
      <c r="BF4" s="566"/>
      <c r="BG4" s="566"/>
      <c r="BH4" s="566"/>
    </row>
    <row r="5" spans="1:60" x14ac:dyDescent="0.2">
      <c r="A5" s="169"/>
      <c r="B5" s="166"/>
      <c r="C5" s="166"/>
      <c r="D5" s="166"/>
      <c r="E5" s="166"/>
      <c r="F5" s="240"/>
      <c r="G5" s="81"/>
      <c r="H5" s="78"/>
      <c r="I5" s="78"/>
      <c r="J5" s="78"/>
      <c r="K5" s="78"/>
      <c r="L5" s="485"/>
      <c r="M5" s="446"/>
      <c r="N5" s="442"/>
      <c r="O5" s="442"/>
      <c r="P5" s="442"/>
      <c r="Q5" s="442"/>
      <c r="R5" s="443"/>
      <c r="S5" s="364"/>
      <c r="T5" s="360"/>
      <c r="U5" s="360"/>
      <c r="V5" s="360"/>
      <c r="W5" s="360"/>
      <c r="X5" s="361"/>
      <c r="Y5" s="307"/>
      <c r="Z5" s="307"/>
      <c r="AA5" s="307"/>
      <c r="AB5" s="307"/>
      <c r="AC5" s="307"/>
      <c r="AD5" s="308"/>
      <c r="AE5" s="200"/>
      <c r="AF5" s="197"/>
      <c r="AG5" s="197"/>
      <c r="AH5" s="197"/>
      <c r="AI5" s="197"/>
      <c r="AJ5" s="228"/>
      <c r="AK5" s="271"/>
      <c r="AL5" s="267"/>
      <c r="AM5" s="267"/>
      <c r="AN5" s="267"/>
      <c r="AO5" s="267"/>
      <c r="AP5" s="268"/>
      <c r="AQ5" s="169"/>
      <c r="AR5" s="166"/>
      <c r="AS5" s="166"/>
      <c r="AT5" s="166"/>
      <c r="AU5" s="166"/>
      <c r="AV5" s="240"/>
      <c r="AW5" s="116"/>
      <c r="AX5" s="113"/>
      <c r="AY5" s="113"/>
      <c r="AZ5" s="113"/>
      <c r="BA5" s="113"/>
      <c r="BB5" s="113"/>
      <c r="BC5" s="81"/>
      <c r="BD5" s="78"/>
      <c r="BE5" s="78"/>
      <c r="BF5" s="78"/>
      <c r="BG5" s="78"/>
      <c r="BH5" s="78"/>
    </row>
    <row r="6" spans="1:60" ht="19.5" x14ac:dyDescent="0.4">
      <c r="A6" s="590" t="s">
        <v>19</v>
      </c>
      <c r="B6" s="591"/>
      <c r="C6" s="591"/>
      <c r="D6" s="591"/>
      <c r="E6" s="591"/>
      <c r="F6" s="592"/>
      <c r="G6" s="524" t="s">
        <v>19</v>
      </c>
      <c r="H6" s="525"/>
      <c r="I6" s="525"/>
      <c r="J6" s="525"/>
      <c r="K6" s="525"/>
      <c r="L6" s="525"/>
      <c r="M6" s="608" t="s">
        <v>19</v>
      </c>
      <c r="N6" s="609"/>
      <c r="O6" s="609"/>
      <c r="P6" s="609"/>
      <c r="Q6" s="609"/>
      <c r="R6" s="610"/>
      <c r="S6" s="596" t="s">
        <v>19</v>
      </c>
      <c r="T6" s="597"/>
      <c r="U6" s="597"/>
      <c r="V6" s="597"/>
      <c r="W6" s="597"/>
      <c r="X6" s="598"/>
      <c r="Y6" s="602" t="s">
        <v>19</v>
      </c>
      <c r="Z6" s="603"/>
      <c r="AA6" s="603"/>
      <c r="AB6" s="603"/>
      <c r="AC6" s="603"/>
      <c r="AD6" s="604"/>
      <c r="AE6" s="572" t="s">
        <v>19</v>
      </c>
      <c r="AF6" s="573"/>
      <c r="AG6" s="573"/>
      <c r="AH6" s="573"/>
      <c r="AI6" s="573"/>
      <c r="AJ6" s="574"/>
      <c r="AK6" s="578" t="s">
        <v>19</v>
      </c>
      <c r="AL6" s="579"/>
      <c r="AM6" s="579"/>
      <c r="AN6" s="579"/>
      <c r="AO6" s="579"/>
      <c r="AP6" s="580"/>
      <c r="AQ6" s="590" t="s">
        <v>19</v>
      </c>
      <c r="AR6" s="591"/>
      <c r="AS6" s="591"/>
      <c r="AT6" s="591"/>
      <c r="AU6" s="591"/>
      <c r="AV6" s="592"/>
      <c r="AW6" s="584" t="s">
        <v>19</v>
      </c>
      <c r="AX6" s="585"/>
      <c r="AY6" s="585"/>
      <c r="AZ6" s="585"/>
      <c r="BA6" s="585"/>
      <c r="BB6" s="586"/>
      <c r="BC6" s="567" t="s">
        <v>19</v>
      </c>
      <c r="BD6" s="568"/>
      <c r="BE6" s="568"/>
      <c r="BF6" s="568"/>
      <c r="BG6" s="568"/>
      <c r="BH6" s="568"/>
    </row>
    <row r="7" spans="1:60" x14ac:dyDescent="0.2">
      <c r="A7" s="169"/>
      <c r="B7" s="166"/>
      <c r="C7" s="166"/>
      <c r="D7" s="166"/>
      <c r="E7" s="166"/>
      <c r="F7" s="240"/>
      <c r="G7" s="81"/>
      <c r="H7" s="78"/>
      <c r="I7" s="78"/>
      <c r="J7" s="78"/>
      <c r="K7" s="78"/>
      <c r="L7" s="485"/>
      <c r="M7" s="446"/>
      <c r="N7" s="442"/>
      <c r="O7" s="442"/>
      <c r="P7" s="442"/>
      <c r="Q7" s="442"/>
      <c r="R7" s="443"/>
      <c r="S7" s="364"/>
      <c r="T7" s="360"/>
      <c r="U7" s="360"/>
      <c r="V7" s="360"/>
      <c r="W7" s="360"/>
      <c r="X7" s="361"/>
      <c r="Y7" s="307"/>
      <c r="Z7" s="307"/>
      <c r="AA7" s="307"/>
      <c r="AB7" s="307"/>
      <c r="AC7" s="307"/>
      <c r="AD7" s="308"/>
      <c r="AE7" s="200"/>
      <c r="AF7" s="197"/>
      <c r="AG7" s="197"/>
      <c r="AH7" s="197"/>
      <c r="AI7" s="197"/>
      <c r="AJ7" s="228"/>
      <c r="AK7" s="271"/>
      <c r="AL7" s="267"/>
      <c r="AM7" s="267"/>
      <c r="AN7" s="267"/>
      <c r="AO7" s="267"/>
      <c r="AP7" s="268"/>
      <c r="AQ7" s="169"/>
      <c r="AR7" s="166"/>
      <c r="AS7" s="166"/>
      <c r="AT7" s="166"/>
      <c r="AU7" s="166"/>
      <c r="AV7" s="240"/>
      <c r="AW7" s="116"/>
      <c r="AX7" s="113"/>
      <c r="AY7" s="113"/>
      <c r="AZ7" s="113"/>
      <c r="BA7" s="113"/>
      <c r="BB7" s="113"/>
      <c r="BC7" s="81"/>
      <c r="BD7" s="78"/>
      <c r="BE7" s="78"/>
      <c r="BF7" s="78"/>
      <c r="BG7" s="78"/>
      <c r="BH7" s="78"/>
    </row>
    <row r="8" spans="1:60" x14ac:dyDescent="0.2">
      <c r="A8" s="169"/>
      <c r="B8" s="166"/>
      <c r="C8" s="170"/>
      <c r="D8" s="170" t="s">
        <v>63</v>
      </c>
      <c r="E8" s="170" t="s">
        <v>22</v>
      </c>
      <c r="F8" s="240"/>
      <c r="G8" s="81"/>
      <c r="H8" s="78"/>
      <c r="I8" s="82"/>
      <c r="J8" s="82" t="s">
        <v>63</v>
      </c>
      <c r="K8" s="82" t="s">
        <v>22</v>
      </c>
      <c r="L8" s="485"/>
      <c r="M8" s="446"/>
      <c r="N8" s="442"/>
      <c r="O8" s="447"/>
      <c r="P8" s="447" t="s">
        <v>63</v>
      </c>
      <c r="Q8" s="447" t="s">
        <v>22</v>
      </c>
      <c r="R8" s="443"/>
      <c r="S8" s="364"/>
      <c r="T8" s="360"/>
      <c r="U8" s="365"/>
      <c r="V8" s="365" t="s">
        <v>63</v>
      </c>
      <c r="W8" s="365" t="s">
        <v>22</v>
      </c>
      <c r="X8" s="361"/>
      <c r="Y8" s="307"/>
      <c r="Z8" s="307"/>
      <c r="AA8" s="311"/>
      <c r="AB8" s="311" t="s">
        <v>63</v>
      </c>
      <c r="AC8" s="311" t="s">
        <v>22</v>
      </c>
      <c r="AD8" s="308"/>
      <c r="AE8" s="200"/>
      <c r="AF8" s="197"/>
      <c r="AG8" s="201"/>
      <c r="AH8" s="201" t="s">
        <v>63</v>
      </c>
      <c r="AI8" s="201" t="s">
        <v>22</v>
      </c>
      <c r="AJ8" s="228"/>
      <c r="AK8" s="271"/>
      <c r="AL8" s="267"/>
      <c r="AM8" s="272"/>
      <c r="AN8" s="272" t="s">
        <v>63</v>
      </c>
      <c r="AO8" s="272" t="s">
        <v>22</v>
      </c>
      <c r="AP8" s="268"/>
      <c r="AQ8" s="169"/>
      <c r="AR8" s="166"/>
      <c r="AS8" s="170"/>
      <c r="AT8" s="170" t="s">
        <v>63</v>
      </c>
      <c r="AU8" s="170" t="s">
        <v>22</v>
      </c>
      <c r="AV8" s="240"/>
      <c r="AW8" s="116"/>
      <c r="AX8" s="113"/>
      <c r="AY8" s="117"/>
      <c r="AZ8" s="117" t="s">
        <v>63</v>
      </c>
      <c r="BA8" s="117" t="s">
        <v>22</v>
      </c>
      <c r="BB8" s="113"/>
      <c r="BC8" s="81"/>
      <c r="BD8" s="78"/>
      <c r="BE8" s="82"/>
      <c r="BF8" s="82" t="s">
        <v>63</v>
      </c>
      <c r="BG8" s="82" t="s">
        <v>22</v>
      </c>
      <c r="BH8" s="78"/>
    </row>
    <row r="9" spans="1:60" x14ac:dyDescent="0.2">
      <c r="A9" s="169"/>
      <c r="B9" s="166"/>
      <c r="C9" s="171" t="s">
        <v>30</v>
      </c>
      <c r="D9" s="171" t="s">
        <v>64</v>
      </c>
      <c r="E9" s="171" t="s">
        <v>28</v>
      </c>
      <c r="F9" s="240"/>
      <c r="G9" s="81"/>
      <c r="H9" s="78"/>
      <c r="I9" s="83" t="s">
        <v>30</v>
      </c>
      <c r="J9" s="83" t="s">
        <v>64</v>
      </c>
      <c r="K9" s="83" t="s">
        <v>28</v>
      </c>
      <c r="L9" s="485"/>
      <c r="M9" s="446"/>
      <c r="N9" s="442"/>
      <c r="O9" s="448" t="s">
        <v>30</v>
      </c>
      <c r="P9" s="448" t="s">
        <v>64</v>
      </c>
      <c r="Q9" s="448" t="s">
        <v>28</v>
      </c>
      <c r="R9" s="443"/>
      <c r="S9" s="364"/>
      <c r="T9" s="360"/>
      <c r="U9" s="366" t="s">
        <v>30</v>
      </c>
      <c r="V9" s="366" t="s">
        <v>64</v>
      </c>
      <c r="W9" s="366" t="s">
        <v>28</v>
      </c>
      <c r="X9" s="361"/>
      <c r="Y9" s="307"/>
      <c r="Z9" s="307"/>
      <c r="AA9" s="312" t="s">
        <v>30</v>
      </c>
      <c r="AB9" s="312" t="s">
        <v>64</v>
      </c>
      <c r="AC9" s="312" t="s">
        <v>28</v>
      </c>
      <c r="AD9" s="308"/>
      <c r="AE9" s="200"/>
      <c r="AF9" s="197"/>
      <c r="AG9" s="202" t="s">
        <v>30</v>
      </c>
      <c r="AH9" s="202" t="s">
        <v>64</v>
      </c>
      <c r="AI9" s="202" t="s">
        <v>28</v>
      </c>
      <c r="AJ9" s="228"/>
      <c r="AK9" s="271"/>
      <c r="AL9" s="267"/>
      <c r="AM9" s="273" t="s">
        <v>30</v>
      </c>
      <c r="AN9" s="273" t="s">
        <v>64</v>
      </c>
      <c r="AO9" s="273" t="s">
        <v>28</v>
      </c>
      <c r="AP9" s="268"/>
      <c r="AQ9" s="169"/>
      <c r="AR9" s="166"/>
      <c r="AS9" s="171" t="s">
        <v>30</v>
      </c>
      <c r="AT9" s="171" t="s">
        <v>64</v>
      </c>
      <c r="AU9" s="171" t="s">
        <v>28</v>
      </c>
      <c r="AV9" s="240"/>
      <c r="AW9" s="116"/>
      <c r="AX9" s="113"/>
      <c r="AY9" s="118" t="s">
        <v>30</v>
      </c>
      <c r="AZ9" s="118" t="s">
        <v>64</v>
      </c>
      <c r="BA9" s="118" t="s">
        <v>28</v>
      </c>
      <c r="BB9" s="113"/>
      <c r="BC9" s="81"/>
      <c r="BD9" s="78"/>
      <c r="BE9" s="83" t="s">
        <v>30</v>
      </c>
      <c r="BF9" s="83" t="s">
        <v>64</v>
      </c>
      <c r="BG9" s="83" t="s">
        <v>28</v>
      </c>
      <c r="BH9" s="78"/>
    </row>
    <row r="10" spans="1:60" ht="16.5" x14ac:dyDescent="0.35">
      <c r="A10" s="172" t="s">
        <v>179</v>
      </c>
      <c r="B10" s="173"/>
      <c r="C10" s="174"/>
      <c r="D10" s="174"/>
      <c r="E10" s="174"/>
      <c r="F10" s="240"/>
      <c r="G10" s="84" t="s">
        <v>165</v>
      </c>
      <c r="H10" s="78"/>
      <c r="I10" s="86"/>
      <c r="J10" s="86"/>
      <c r="K10" s="86"/>
      <c r="L10" s="485"/>
      <c r="M10" s="449" t="s">
        <v>159</v>
      </c>
      <c r="N10" s="450"/>
      <c r="O10" s="451"/>
      <c r="P10" s="451"/>
      <c r="Q10" s="451"/>
      <c r="R10" s="443"/>
      <c r="S10" s="367" t="s">
        <v>163</v>
      </c>
      <c r="T10" s="368"/>
      <c r="U10" s="369"/>
      <c r="V10" s="369"/>
      <c r="W10" s="369"/>
      <c r="X10" s="361"/>
      <c r="Y10" s="409" t="s">
        <v>125</v>
      </c>
      <c r="Z10" s="314"/>
      <c r="AA10" s="315"/>
      <c r="AB10" s="315"/>
      <c r="AC10" s="315"/>
      <c r="AD10" s="308"/>
      <c r="AE10" s="203" t="s">
        <v>109</v>
      </c>
      <c r="AF10" s="204"/>
      <c r="AG10" s="205"/>
      <c r="AH10" s="205"/>
      <c r="AI10" s="205"/>
      <c r="AJ10" s="228"/>
      <c r="AK10" s="274" t="s">
        <v>107</v>
      </c>
      <c r="AL10" s="275"/>
      <c r="AM10" s="276"/>
      <c r="AN10" s="276"/>
      <c r="AO10" s="276"/>
      <c r="AP10" s="268"/>
      <c r="AQ10" s="172" t="s">
        <v>100</v>
      </c>
      <c r="AR10" s="173"/>
      <c r="AS10" s="174"/>
      <c r="AT10" s="174"/>
      <c r="AU10" s="174"/>
      <c r="AV10" s="240"/>
      <c r="AW10" s="119" t="s">
        <v>96</v>
      </c>
      <c r="AX10" s="120"/>
      <c r="AY10" s="121"/>
      <c r="AZ10" s="121"/>
      <c r="BA10" s="121"/>
      <c r="BB10" s="113"/>
      <c r="BC10" s="84" t="s">
        <v>79</v>
      </c>
      <c r="BD10" s="85"/>
      <c r="BE10" s="86"/>
      <c r="BF10" s="86"/>
      <c r="BG10" s="86"/>
      <c r="BH10" s="78"/>
    </row>
    <row r="11" spans="1:60" x14ac:dyDescent="0.2">
      <c r="A11" s="175" t="s">
        <v>65</v>
      </c>
      <c r="B11" s="166"/>
      <c r="C11" s="176">
        <f>+'Customer Counts'!B9+'Customer Counts'!B10</f>
        <v>100442</v>
      </c>
      <c r="D11" s="177">
        <f>+J13</f>
        <v>1.05</v>
      </c>
      <c r="E11" s="176">
        <f>C11*D11</f>
        <v>105464.1</v>
      </c>
      <c r="F11" s="240"/>
      <c r="G11" s="87" t="s">
        <v>65</v>
      </c>
      <c r="H11" s="78"/>
      <c r="I11" s="88">
        <v>99199</v>
      </c>
      <c r="J11" s="486">
        <v>0.26</v>
      </c>
      <c r="K11" s="88">
        <v>25791.74</v>
      </c>
      <c r="L11" s="485"/>
      <c r="M11" s="452" t="s">
        <v>65</v>
      </c>
      <c r="N11" s="442"/>
      <c r="O11" s="453">
        <v>96812</v>
      </c>
      <c r="P11" s="454">
        <f>+V13</f>
        <v>0.61</v>
      </c>
      <c r="Q11" s="453">
        <f>O11*P11</f>
        <v>59055.32</v>
      </c>
      <c r="R11" s="443"/>
      <c r="S11" s="370" t="s">
        <v>65</v>
      </c>
      <c r="T11" s="360"/>
      <c r="U11" s="371">
        <v>94401</v>
      </c>
      <c r="V11" s="372">
        <f>+AB13</f>
        <v>0.99</v>
      </c>
      <c r="W11" s="371">
        <f>U11*V11</f>
        <v>93456.99</v>
      </c>
      <c r="X11" s="361"/>
      <c r="Y11" s="410" t="s">
        <v>65</v>
      </c>
      <c r="Z11" s="307"/>
      <c r="AA11" s="317">
        <v>92643</v>
      </c>
      <c r="AB11" s="318">
        <f>+AH13</f>
        <v>2.13</v>
      </c>
      <c r="AC11" s="317">
        <f>AA11*AB11</f>
        <v>197329.59</v>
      </c>
      <c r="AD11" s="308"/>
      <c r="AE11" s="206" t="s">
        <v>65</v>
      </c>
      <c r="AF11" s="197"/>
      <c r="AG11" s="207">
        <v>91041</v>
      </c>
      <c r="AH11" s="208">
        <v>1.63</v>
      </c>
      <c r="AI11" s="207">
        <f>AG11*AH11</f>
        <v>148396.82999999999</v>
      </c>
      <c r="AJ11" s="228"/>
      <c r="AK11" s="277" t="s">
        <v>65</v>
      </c>
      <c r="AL11" s="267"/>
      <c r="AM11" s="278">
        <v>86283</v>
      </c>
      <c r="AN11" s="279">
        <f>+AT13</f>
        <v>2.12</v>
      </c>
      <c r="AO11" s="278">
        <f>AM11*AN11</f>
        <v>182919.96000000002</v>
      </c>
      <c r="AP11" s="268"/>
      <c r="AQ11" s="175" t="s">
        <v>65</v>
      </c>
      <c r="AR11" s="166"/>
      <c r="AS11" s="176">
        <v>84503</v>
      </c>
      <c r="AT11" s="177">
        <v>2.25</v>
      </c>
      <c r="AU11" s="176">
        <f>AS11*AT11</f>
        <v>190131.75</v>
      </c>
      <c r="AV11" s="240"/>
      <c r="AW11" s="122" t="s">
        <v>65</v>
      </c>
      <c r="AX11" s="113"/>
      <c r="AY11" s="123">
        <v>81939</v>
      </c>
      <c r="AZ11" s="144">
        <f>+BF13</f>
        <v>2.0699999999999998</v>
      </c>
      <c r="BA11" s="123">
        <f>AY11*AZ11</f>
        <v>169613.72999999998</v>
      </c>
      <c r="BB11" s="113"/>
      <c r="BC11" s="87" t="s">
        <v>65</v>
      </c>
      <c r="BD11" s="78"/>
      <c r="BE11" s="88">
        <v>80957</v>
      </c>
      <c r="BF11" s="89">
        <v>3.24</v>
      </c>
      <c r="BG11" s="88">
        <f>BE11*BF11</f>
        <v>262300.68</v>
      </c>
      <c r="BH11" s="78"/>
    </row>
    <row r="12" spans="1:60" x14ac:dyDescent="0.2">
      <c r="A12" s="175"/>
      <c r="B12" s="166"/>
      <c r="C12" s="176"/>
      <c r="D12" s="178"/>
      <c r="E12" s="176"/>
      <c r="F12" s="240"/>
      <c r="G12" s="87"/>
      <c r="H12" s="78"/>
      <c r="I12" s="88"/>
      <c r="J12" s="487"/>
      <c r="K12" s="88"/>
      <c r="L12" s="485"/>
      <c r="M12" s="452"/>
      <c r="N12" s="442"/>
      <c r="O12" s="453"/>
      <c r="P12" s="455"/>
      <c r="Q12" s="453"/>
      <c r="R12" s="443"/>
      <c r="S12" s="370"/>
      <c r="T12" s="360"/>
      <c r="U12" s="371"/>
      <c r="V12" s="373"/>
      <c r="W12" s="371"/>
      <c r="X12" s="361"/>
      <c r="Y12" s="410"/>
      <c r="Z12" s="307"/>
      <c r="AA12" s="317"/>
      <c r="AB12" s="319"/>
      <c r="AC12" s="317"/>
      <c r="AD12" s="308"/>
      <c r="AE12" s="206"/>
      <c r="AF12" s="197"/>
      <c r="AG12" s="207"/>
      <c r="AH12" s="209"/>
      <c r="AI12" s="207"/>
      <c r="AJ12" s="228"/>
      <c r="AK12" s="277"/>
      <c r="AL12" s="267"/>
      <c r="AM12" s="278"/>
      <c r="AN12" s="280"/>
      <c r="AO12" s="278"/>
      <c r="AP12" s="268"/>
      <c r="AQ12" s="175"/>
      <c r="AR12" s="166"/>
      <c r="AS12" s="176"/>
      <c r="AT12" s="178"/>
      <c r="AU12" s="176"/>
      <c r="AV12" s="240"/>
      <c r="AW12" s="122"/>
      <c r="AX12" s="113"/>
      <c r="AY12" s="123"/>
      <c r="AZ12" s="143"/>
      <c r="BA12" s="123"/>
      <c r="BB12" s="113"/>
      <c r="BC12" s="87"/>
      <c r="BD12" s="78"/>
      <c r="BE12" s="88"/>
      <c r="BF12" s="89"/>
      <c r="BG12" s="88"/>
      <c r="BH12" s="78"/>
    </row>
    <row r="13" spans="1:60" ht="15" x14ac:dyDescent="0.35">
      <c r="A13" s="175" t="s">
        <v>66</v>
      </c>
      <c r="B13" s="179"/>
      <c r="C13" s="180">
        <f>+'Customer Counts'!B21-C11</f>
        <v>504649</v>
      </c>
      <c r="D13" s="177">
        <f>+L30</f>
        <v>1.28</v>
      </c>
      <c r="E13" s="180">
        <f>C13*D13</f>
        <v>645950.71999999997</v>
      </c>
      <c r="F13" s="240"/>
      <c r="G13" s="87" t="s">
        <v>66</v>
      </c>
      <c r="H13" s="78"/>
      <c r="I13" s="91">
        <v>497913</v>
      </c>
      <c r="J13" s="486">
        <v>1.05</v>
      </c>
      <c r="K13" s="91">
        <v>522808.65</v>
      </c>
      <c r="L13" s="485"/>
      <c r="M13" s="452" t="s">
        <v>66</v>
      </c>
      <c r="N13" s="456"/>
      <c r="O13" s="457">
        <v>490019</v>
      </c>
      <c r="P13" s="454">
        <f>+X30</f>
        <v>0.26</v>
      </c>
      <c r="Q13" s="457">
        <f>O13*P13</f>
        <v>127404.94</v>
      </c>
      <c r="R13" s="443"/>
      <c r="S13" s="370" t="s">
        <v>66</v>
      </c>
      <c r="T13" s="374"/>
      <c r="U13" s="375">
        <v>478239</v>
      </c>
      <c r="V13" s="372">
        <f>+AD30</f>
        <v>0.61</v>
      </c>
      <c r="W13" s="375">
        <f>U13*V13</f>
        <v>291725.78999999998</v>
      </c>
      <c r="X13" s="361"/>
      <c r="Y13" s="410" t="s">
        <v>66</v>
      </c>
      <c r="Z13" s="320"/>
      <c r="AA13" s="321">
        <v>466374</v>
      </c>
      <c r="AB13" s="318">
        <f>+AJ30</f>
        <v>0.99</v>
      </c>
      <c r="AC13" s="321">
        <f>AA13*AB13</f>
        <v>461710.26</v>
      </c>
      <c r="AD13" s="308"/>
      <c r="AE13" s="206" t="s">
        <v>66</v>
      </c>
      <c r="AF13" s="210"/>
      <c r="AG13" s="211">
        <v>459532</v>
      </c>
      <c r="AH13" s="208">
        <v>2.13</v>
      </c>
      <c r="AI13" s="211">
        <f>AG13*AH13</f>
        <v>978803.15999999992</v>
      </c>
      <c r="AJ13" s="228"/>
      <c r="AK13" s="277" t="s">
        <v>66</v>
      </c>
      <c r="AL13" s="281"/>
      <c r="AM13" s="282">
        <v>440676</v>
      </c>
      <c r="AN13" s="279">
        <f>+AV30</f>
        <v>1.63</v>
      </c>
      <c r="AO13" s="282">
        <f>AM13*AN13</f>
        <v>718301.88</v>
      </c>
      <c r="AP13" s="268"/>
      <c r="AQ13" s="175" t="s">
        <v>66</v>
      </c>
      <c r="AR13" s="179"/>
      <c r="AS13" s="180">
        <v>426476</v>
      </c>
      <c r="AT13" s="177">
        <v>2.12</v>
      </c>
      <c r="AU13" s="180">
        <f>AS13*AT13</f>
        <v>904129.12</v>
      </c>
      <c r="AV13" s="240"/>
      <c r="AW13" s="122" t="s">
        <v>66</v>
      </c>
      <c r="AX13" s="125"/>
      <c r="AY13" s="126">
        <v>415851</v>
      </c>
      <c r="AZ13" s="144">
        <f>+BH30</f>
        <v>2.2486813724127002</v>
      </c>
      <c r="BA13" s="126">
        <f>AY13*AZ13</f>
        <v>935116.39739919372</v>
      </c>
      <c r="BB13" s="113"/>
      <c r="BC13" s="87" t="s">
        <v>66</v>
      </c>
      <c r="BD13" s="90"/>
      <c r="BE13" s="91">
        <v>407475</v>
      </c>
      <c r="BF13" s="89">
        <v>2.0699999999999998</v>
      </c>
      <c r="BG13" s="91">
        <f>BE13*BF13</f>
        <v>843473.24999999988</v>
      </c>
      <c r="BH13" s="78"/>
    </row>
    <row r="14" spans="1:60" x14ac:dyDescent="0.2">
      <c r="A14" s="163" t="s">
        <v>22</v>
      </c>
      <c r="B14" s="164"/>
      <c r="C14" s="181">
        <f>SUM(C11:C13)</f>
        <v>605091</v>
      </c>
      <c r="D14" s="164"/>
      <c r="E14" s="181">
        <f>SUM(E11:E13)</f>
        <v>751414.82</v>
      </c>
      <c r="F14" s="241"/>
      <c r="G14" s="75" t="s">
        <v>22</v>
      </c>
      <c r="H14" s="76"/>
      <c r="I14" s="92">
        <v>597112</v>
      </c>
      <c r="J14" s="76"/>
      <c r="K14" s="92">
        <v>548600.39</v>
      </c>
      <c r="L14" s="488"/>
      <c r="M14" s="439" t="s">
        <v>22</v>
      </c>
      <c r="N14" s="440"/>
      <c r="O14" s="458">
        <f>SUM(O11:O13)</f>
        <v>586831</v>
      </c>
      <c r="P14" s="440"/>
      <c r="Q14" s="458">
        <f>SUM(Q11:Q13)</f>
        <v>186460.26</v>
      </c>
      <c r="R14" s="459"/>
      <c r="S14" s="357" t="s">
        <v>22</v>
      </c>
      <c r="T14" s="358"/>
      <c r="U14" s="376">
        <f>SUM(U11:U13)</f>
        <v>572640</v>
      </c>
      <c r="V14" s="358"/>
      <c r="W14" s="376">
        <f>SUM(W11:W13)</f>
        <v>385182.77999999997</v>
      </c>
      <c r="X14" s="377"/>
      <c r="Y14" s="305" t="s">
        <v>22</v>
      </c>
      <c r="Z14" s="305"/>
      <c r="AA14" s="322">
        <f>SUM(AA11:AA13)</f>
        <v>559017</v>
      </c>
      <c r="AB14" s="305"/>
      <c r="AC14" s="322">
        <f>SUM(AC11:AC13)</f>
        <v>659039.85</v>
      </c>
      <c r="AD14" s="323"/>
      <c r="AE14" s="194" t="s">
        <v>22</v>
      </c>
      <c r="AF14" s="195"/>
      <c r="AG14" s="212">
        <f>SUM(AG11:AG13)</f>
        <v>550573</v>
      </c>
      <c r="AH14" s="195"/>
      <c r="AI14" s="212">
        <f>SUM(AI11:AI13)</f>
        <v>1127199.99</v>
      </c>
      <c r="AJ14" s="229"/>
      <c r="AK14" s="264" t="s">
        <v>22</v>
      </c>
      <c r="AL14" s="265"/>
      <c r="AM14" s="283">
        <f>SUM(AM11:AM13)</f>
        <v>526959</v>
      </c>
      <c r="AN14" s="265"/>
      <c r="AO14" s="283">
        <f>SUM(AO11:AO13)</f>
        <v>901221.84000000008</v>
      </c>
      <c r="AP14" s="284"/>
      <c r="AQ14" s="163" t="s">
        <v>22</v>
      </c>
      <c r="AR14" s="164"/>
      <c r="AS14" s="181">
        <f>SUM(AS11:AS13)</f>
        <v>510979</v>
      </c>
      <c r="AT14" s="164"/>
      <c r="AU14" s="181">
        <f>SUM(AU11:AU13)</f>
        <v>1094260.8700000001</v>
      </c>
      <c r="AV14" s="241"/>
      <c r="AW14" s="110" t="s">
        <v>22</v>
      </c>
      <c r="AX14" s="111"/>
      <c r="AY14" s="127">
        <f>SUM(AY11:AY13)</f>
        <v>497790</v>
      </c>
      <c r="AZ14" s="111"/>
      <c r="BA14" s="127">
        <f>SUM(BA11:BA13)</f>
        <v>1104730.1273991936</v>
      </c>
      <c r="BB14" s="111"/>
      <c r="BC14" s="75" t="s">
        <v>22</v>
      </c>
      <c r="BD14" s="76"/>
      <c r="BE14" s="92">
        <f>SUM(BE11:BE13)</f>
        <v>488432</v>
      </c>
      <c r="BF14" s="76"/>
      <c r="BG14" s="92">
        <f>SUM(BG11:BG13)</f>
        <v>1105773.93</v>
      </c>
      <c r="BH14" s="76"/>
    </row>
    <row r="15" spans="1:60" x14ac:dyDescent="0.2">
      <c r="A15" s="169"/>
      <c r="B15" s="166"/>
      <c r="C15" s="166"/>
      <c r="D15" s="166"/>
      <c r="E15" s="166"/>
      <c r="F15" s="240"/>
      <c r="G15" s="81"/>
      <c r="H15" s="78"/>
      <c r="I15" s="78"/>
      <c r="J15" s="78"/>
      <c r="K15" s="78"/>
      <c r="L15" s="485"/>
      <c r="M15" s="446"/>
      <c r="N15" s="442"/>
      <c r="O15" s="442"/>
      <c r="P15" s="442"/>
      <c r="Q15" s="442"/>
      <c r="R15" s="443"/>
      <c r="S15" s="364"/>
      <c r="T15" s="360"/>
      <c r="U15" s="360"/>
      <c r="V15" s="360"/>
      <c r="W15" s="360"/>
      <c r="X15" s="361"/>
      <c r="Y15" s="307"/>
      <c r="Z15" s="307"/>
      <c r="AA15" s="307"/>
      <c r="AB15" s="307"/>
      <c r="AC15" s="307"/>
      <c r="AD15" s="308"/>
      <c r="AE15" s="200"/>
      <c r="AF15" s="197"/>
      <c r="AG15" s="197"/>
      <c r="AH15" s="197"/>
      <c r="AI15" s="197"/>
      <c r="AJ15" s="228"/>
      <c r="AK15" s="271"/>
      <c r="AL15" s="267"/>
      <c r="AM15" s="267"/>
      <c r="AN15" s="267"/>
      <c r="AO15" s="267"/>
      <c r="AP15" s="268"/>
      <c r="AQ15" s="169"/>
      <c r="AR15" s="166"/>
      <c r="AS15" s="166"/>
      <c r="AT15" s="166"/>
      <c r="AU15" s="166"/>
      <c r="AV15" s="240"/>
      <c r="AW15" s="116"/>
      <c r="AX15" s="113"/>
      <c r="AY15" s="113"/>
      <c r="AZ15" s="113"/>
      <c r="BA15" s="113"/>
      <c r="BB15" s="113"/>
      <c r="BC15" s="81"/>
      <c r="BD15" s="78"/>
      <c r="BE15" s="78"/>
      <c r="BF15" s="78"/>
      <c r="BG15" s="78"/>
      <c r="BH15" s="78"/>
    </row>
    <row r="16" spans="1:60" x14ac:dyDescent="0.2">
      <c r="A16" s="175" t="s">
        <v>67</v>
      </c>
      <c r="B16" s="166"/>
      <c r="C16" s="166"/>
      <c r="D16" s="166"/>
      <c r="E16" s="176">
        <f>+'Calculation of Revenue'!F23</f>
        <v>341849.06666888652</v>
      </c>
      <c r="F16" s="240"/>
      <c r="G16" s="87" t="s">
        <v>67</v>
      </c>
      <c r="H16" s="78"/>
      <c r="I16" s="78"/>
      <c r="J16" s="78"/>
      <c r="K16" s="88">
        <v>762052.35163120297</v>
      </c>
      <c r="L16" s="485"/>
      <c r="M16" s="452" t="s">
        <v>67</v>
      </c>
      <c r="N16" s="442"/>
      <c r="O16" s="442"/>
      <c r="P16" s="442"/>
      <c r="Q16" s="453">
        <v>616578</v>
      </c>
      <c r="R16" s="443"/>
      <c r="S16" s="370" t="s">
        <v>67</v>
      </c>
      <c r="T16" s="360"/>
      <c r="U16" s="360"/>
      <c r="V16" s="360"/>
      <c r="W16" s="371">
        <v>149499</v>
      </c>
      <c r="X16" s="361"/>
      <c r="Y16" s="410" t="s">
        <v>67</v>
      </c>
      <c r="Z16" s="307"/>
      <c r="AA16" s="307"/>
      <c r="AB16" s="307"/>
      <c r="AC16" s="317">
        <v>392835.57488468004</v>
      </c>
      <c r="AD16" s="308"/>
      <c r="AE16" s="206" t="s">
        <v>67</v>
      </c>
      <c r="AF16" s="197"/>
      <c r="AG16" s="197"/>
      <c r="AH16" s="197"/>
      <c r="AI16" s="207">
        <v>637707.255490168</v>
      </c>
      <c r="AJ16" s="228"/>
      <c r="AK16" s="277" t="s">
        <v>67</v>
      </c>
      <c r="AL16" s="267"/>
      <c r="AM16" s="267"/>
      <c r="AN16" s="267"/>
      <c r="AO16" s="278">
        <v>1122741</v>
      </c>
      <c r="AP16" s="268"/>
      <c r="AQ16" s="175" t="s">
        <v>67</v>
      </c>
      <c r="AR16" s="166"/>
      <c r="AS16" s="166"/>
      <c r="AT16" s="166"/>
      <c r="AU16" s="176">
        <v>832361</v>
      </c>
      <c r="AV16" s="240"/>
      <c r="AW16" s="122" t="s">
        <v>67</v>
      </c>
      <c r="AX16" s="113"/>
      <c r="AY16" s="113"/>
      <c r="AZ16" s="113"/>
      <c r="BA16" s="123">
        <v>1057229.1646778199</v>
      </c>
      <c r="BB16" s="113"/>
      <c r="BC16" s="87" t="s">
        <v>67</v>
      </c>
      <c r="BD16" s="78"/>
      <c r="BE16" s="78"/>
      <c r="BF16" s="78"/>
      <c r="BG16" s="88">
        <v>1098327.94009028</v>
      </c>
      <c r="BH16" s="78"/>
    </row>
    <row r="17" spans="1:60" x14ac:dyDescent="0.2">
      <c r="A17" s="175"/>
      <c r="B17" s="166"/>
      <c r="C17" s="166"/>
      <c r="D17" s="182"/>
      <c r="E17" s="176"/>
      <c r="F17" s="240"/>
      <c r="G17" s="87"/>
      <c r="H17" s="78"/>
      <c r="I17" s="78"/>
      <c r="J17" s="93"/>
      <c r="K17" s="88"/>
      <c r="L17" s="485"/>
      <c r="M17" s="452"/>
      <c r="N17" s="442"/>
      <c r="O17" s="442"/>
      <c r="P17" s="460"/>
      <c r="Q17" s="453"/>
      <c r="R17" s="443"/>
      <c r="S17" s="370"/>
      <c r="T17" s="360"/>
      <c r="U17" s="360"/>
      <c r="V17" s="378"/>
      <c r="W17" s="371"/>
      <c r="X17" s="361"/>
      <c r="Y17" s="410"/>
      <c r="Z17" s="307"/>
      <c r="AA17" s="307"/>
      <c r="AB17" s="324"/>
      <c r="AC17" s="317"/>
      <c r="AD17" s="308"/>
      <c r="AE17" s="206"/>
      <c r="AF17" s="197"/>
      <c r="AG17" s="197"/>
      <c r="AH17" s="213"/>
      <c r="AI17" s="207"/>
      <c r="AJ17" s="228"/>
      <c r="AK17" s="277"/>
      <c r="AL17" s="267"/>
      <c r="AM17" s="267"/>
      <c r="AN17" s="285"/>
      <c r="AO17" s="278"/>
      <c r="AP17" s="268"/>
      <c r="AQ17" s="175"/>
      <c r="AR17" s="166"/>
      <c r="AS17" s="166"/>
      <c r="AT17" s="182"/>
      <c r="AU17" s="176"/>
      <c r="AV17" s="240"/>
      <c r="AW17" s="122"/>
      <c r="AX17" s="113"/>
      <c r="AY17" s="113"/>
      <c r="AZ17" s="128"/>
      <c r="BA17" s="123"/>
      <c r="BB17" s="113"/>
      <c r="BC17" s="87"/>
      <c r="BD17" s="78"/>
      <c r="BE17" s="78"/>
      <c r="BF17" s="93"/>
      <c r="BG17" s="88"/>
      <c r="BH17" s="78"/>
    </row>
    <row r="18" spans="1:60" ht="15" x14ac:dyDescent="0.35">
      <c r="A18" s="175"/>
      <c r="B18" s="166"/>
      <c r="C18" s="166"/>
      <c r="D18" s="180"/>
      <c r="E18" s="176"/>
      <c r="F18" s="240"/>
      <c r="G18" s="87"/>
      <c r="H18" s="78"/>
      <c r="I18" s="78"/>
      <c r="J18" s="91"/>
      <c r="K18" s="88"/>
      <c r="L18" s="485"/>
      <c r="M18" s="452"/>
      <c r="N18" s="442"/>
      <c r="O18" s="442"/>
      <c r="P18" s="457"/>
      <c r="Q18" s="453"/>
      <c r="R18" s="443"/>
      <c r="S18" s="370"/>
      <c r="T18" s="360"/>
      <c r="U18" s="360"/>
      <c r="V18" s="375"/>
      <c r="W18" s="371"/>
      <c r="X18" s="361"/>
      <c r="Y18" s="410"/>
      <c r="Z18" s="307"/>
      <c r="AA18" s="307"/>
      <c r="AB18" s="321"/>
      <c r="AC18" s="317"/>
      <c r="AD18" s="308"/>
      <c r="AE18" s="206"/>
      <c r="AF18" s="197"/>
      <c r="AG18" s="197"/>
      <c r="AH18" s="211"/>
      <c r="AI18" s="207"/>
      <c r="AJ18" s="228"/>
      <c r="AK18" s="277"/>
      <c r="AL18" s="267"/>
      <c r="AM18" s="267"/>
      <c r="AN18" s="282"/>
      <c r="AO18" s="278"/>
      <c r="AP18" s="268"/>
      <c r="AQ18" s="175"/>
      <c r="AR18" s="166"/>
      <c r="AS18" s="166"/>
      <c r="AT18" s="180"/>
      <c r="AU18" s="176"/>
      <c r="AV18" s="240"/>
      <c r="AW18" s="122"/>
      <c r="AX18" s="113"/>
      <c r="AY18" s="113"/>
      <c r="AZ18" s="126"/>
      <c r="BA18" s="123"/>
      <c r="BB18" s="113"/>
      <c r="BC18" s="87"/>
      <c r="BD18" s="78"/>
      <c r="BE18" s="78"/>
      <c r="BF18" s="91"/>
      <c r="BG18" s="88"/>
      <c r="BH18" s="78"/>
    </row>
    <row r="19" spans="1:60" ht="15" x14ac:dyDescent="0.35">
      <c r="A19" s="175"/>
      <c r="B19" s="166"/>
      <c r="C19" s="166"/>
      <c r="D19" s="166"/>
      <c r="E19" s="180"/>
      <c r="F19" s="240"/>
      <c r="G19" s="87"/>
      <c r="H19" s="78"/>
      <c r="I19" s="78"/>
      <c r="J19" s="78"/>
      <c r="K19" s="91"/>
      <c r="L19" s="485"/>
      <c r="M19" s="452"/>
      <c r="N19" s="442"/>
      <c r="O19" s="442"/>
      <c r="P19" s="442"/>
      <c r="Q19" s="457"/>
      <c r="R19" s="443"/>
      <c r="S19" s="370"/>
      <c r="T19" s="360"/>
      <c r="U19" s="360"/>
      <c r="V19" s="360"/>
      <c r="W19" s="375"/>
      <c r="X19" s="361"/>
      <c r="Y19" s="410"/>
      <c r="Z19" s="307"/>
      <c r="AA19" s="307"/>
      <c r="AB19" s="307"/>
      <c r="AC19" s="321"/>
      <c r="AD19" s="308"/>
      <c r="AE19" s="206"/>
      <c r="AF19" s="197"/>
      <c r="AG19" s="197"/>
      <c r="AH19" s="197"/>
      <c r="AI19" s="211"/>
      <c r="AJ19" s="228"/>
      <c r="AK19" s="277"/>
      <c r="AL19" s="267"/>
      <c r="AM19" s="267"/>
      <c r="AN19" s="267"/>
      <c r="AO19" s="282"/>
      <c r="AP19" s="268"/>
      <c r="AQ19" s="175"/>
      <c r="AR19" s="166"/>
      <c r="AS19" s="166"/>
      <c r="AT19" s="166"/>
      <c r="AU19" s="180"/>
      <c r="AV19" s="240"/>
      <c r="AW19" s="122"/>
      <c r="AX19" s="113"/>
      <c r="AY19" s="113"/>
      <c r="AZ19" s="113"/>
      <c r="BA19" s="126"/>
      <c r="BB19" s="113"/>
      <c r="BC19" s="87"/>
      <c r="BD19" s="78"/>
      <c r="BE19" s="78"/>
      <c r="BF19" s="78"/>
      <c r="BG19" s="91"/>
      <c r="BH19" s="78"/>
    </row>
    <row r="20" spans="1:60" x14ac:dyDescent="0.2">
      <c r="A20" s="183"/>
      <c r="B20" s="166"/>
      <c r="C20" s="166"/>
      <c r="D20" s="166"/>
      <c r="E20" s="176"/>
      <c r="F20" s="240"/>
      <c r="G20" s="94"/>
      <c r="H20" s="78"/>
      <c r="I20" s="78"/>
      <c r="J20" s="78"/>
      <c r="K20" s="88"/>
      <c r="L20" s="485"/>
      <c r="M20" s="461"/>
      <c r="N20" s="442"/>
      <c r="O20" s="442"/>
      <c r="P20" s="442"/>
      <c r="Q20" s="453"/>
      <c r="R20" s="443"/>
      <c r="S20" s="379"/>
      <c r="T20" s="360"/>
      <c r="U20" s="360"/>
      <c r="V20" s="360"/>
      <c r="W20" s="371"/>
      <c r="X20" s="361"/>
      <c r="Y20" s="411"/>
      <c r="Z20" s="307"/>
      <c r="AA20" s="307"/>
      <c r="AB20" s="307"/>
      <c r="AC20" s="317"/>
      <c r="AD20" s="308"/>
      <c r="AE20" s="214"/>
      <c r="AF20" s="197"/>
      <c r="AG20" s="197"/>
      <c r="AH20" s="197"/>
      <c r="AI20" s="207"/>
      <c r="AJ20" s="228"/>
      <c r="AK20" s="286"/>
      <c r="AL20" s="267"/>
      <c r="AM20" s="267"/>
      <c r="AN20" s="267"/>
      <c r="AO20" s="278"/>
      <c r="AP20" s="268"/>
      <c r="AQ20" s="183"/>
      <c r="AR20" s="166"/>
      <c r="AS20" s="166"/>
      <c r="AT20" s="166"/>
      <c r="AU20" s="176"/>
      <c r="AV20" s="240"/>
      <c r="AW20" s="129"/>
      <c r="AX20" s="113"/>
      <c r="AY20" s="113"/>
      <c r="AZ20" s="113"/>
      <c r="BA20" s="123"/>
      <c r="BB20" s="113"/>
      <c r="BC20" s="94"/>
      <c r="BD20" s="78"/>
      <c r="BE20" s="78"/>
      <c r="BF20" s="78"/>
      <c r="BG20" s="88"/>
      <c r="BH20" s="78"/>
    </row>
    <row r="21" spans="1:60" x14ac:dyDescent="0.2">
      <c r="A21" s="169"/>
      <c r="B21" s="166"/>
      <c r="C21" s="166"/>
      <c r="D21" s="166"/>
      <c r="E21" s="166"/>
      <c r="F21" s="240"/>
      <c r="G21" s="81"/>
      <c r="H21" s="78"/>
      <c r="I21" s="78"/>
      <c r="J21" s="78"/>
      <c r="K21" s="78"/>
      <c r="L21" s="485"/>
      <c r="M21" s="446"/>
      <c r="N21" s="442"/>
      <c r="O21" s="442"/>
      <c r="P21" s="442"/>
      <c r="Q21" s="442"/>
      <c r="R21" s="443"/>
      <c r="S21" s="364"/>
      <c r="T21" s="360"/>
      <c r="U21" s="360"/>
      <c r="V21" s="360"/>
      <c r="W21" s="360"/>
      <c r="X21" s="361"/>
      <c r="Y21" s="307"/>
      <c r="Z21" s="307"/>
      <c r="AA21" s="307"/>
      <c r="AB21" s="307"/>
      <c r="AC21" s="307"/>
      <c r="AD21" s="308"/>
      <c r="AE21" s="200"/>
      <c r="AF21" s="197"/>
      <c r="AG21" s="197"/>
      <c r="AH21" s="197"/>
      <c r="AI21" s="197"/>
      <c r="AJ21" s="228"/>
      <c r="AK21" s="271"/>
      <c r="AL21" s="267"/>
      <c r="AM21" s="267"/>
      <c r="AN21" s="267"/>
      <c r="AO21" s="267"/>
      <c r="AP21" s="268"/>
      <c r="AQ21" s="169"/>
      <c r="AR21" s="166"/>
      <c r="AS21" s="166"/>
      <c r="AT21" s="166"/>
      <c r="AU21" s="166"/>
      <c r="AV21" s="240"/>
      <c r="AW21" s="116"/>
      <c r="AX21" s="113"/>
      <c r="AY21" s="113"/>
      <c r="AZ21" s="113"/>
      <c r="BA21" s="113"/>
      <c r="BB21" s="113"/>
      <c r="BC21" s="81"/>
      <c r="BD21" s="78"/>
      <c r="BE21" s="78"/>
      <c r="BF21" s="78"/>
      <c r="BG21" s="78"/>
      <c r="BH21" s="78"/>
    </row>
    <row r="22" spans="1:60" x14ac:dyDescent="0.2">
      <c r="A22" s="169" t="s">
        <v>68</v>
      </c>
      <c r="B22" s="166"/>
      <c r="C22" s="166"/>
      <c r="D22" s="166"/>
      <c r="E22" s="176">
        <f>E16-E14</f>
        <v>-409565.75333111343</v>
      </c>
      <c r="F22" s="240"/>
      <c r="G22" s="81" t="s">
        <v>68</v>
      </c>
      <c r="H22" s="78"/>
      <c r="I22" s="78"/>
      <c r="J22" s="78"/>
      <c r="K22" s="88">
        <v>213451.96163120295</v>
      </c>
      <c r="L22" s="485"/>
      <c r="M22" s="446" t="s">
        <v>68</v>
      </c>
      <c r="N22" s="442"/>
      <c r="O22" s="442"/>
      <c r="P22" s="442"/>
      <c r="Q22" s="453">
        <f>Q16-Q14</f>
        <v>430117.74</v>
      </c>
      <c r="R22" s="443"/>
      <c r="S22" s="364" t="s">
        <v>68</v>
      </c>
      <c r="T22" s="360"/>
      <c r="U22" s="360"/>
      <c r="V22" s="360"/>
      <c r="W22" s="371">
        <f>W16-W14</f>
        <v>-235683.77999999997</v>
      </c>
      <c r="X22" s="361"/>
      <c r="Y22" s="307" t="s">
        <v>68</v>
      </c>
      <c r="Z22" s="307"/>
      <c r="AA22" s="307"/>
      <c r="AB22" s="307"/>
      <c r="AC22" s="317">
        <f>AC16-AC14</f>
        <v>-266204.27511531994</v>
      </c>
      <c r="AD22" s="308"/>
      <c r="AE22" s="200" t="s">
        <v>68</v>
      </c>
      <c r="AF22" s="197"/>
      <c r="AG22" s="197"/>
      <c r="AH22" s="197"/>
      <c r="AI22" s="207">
        <f>AI16-AI14</f>
        <v>-489492.73450983199</v>
      </c>
      <c r="AJ22" s="228"/>
      <c r="AK22" s="271" t="s">
        <v>68</v>
      </c>
      <c r="AL22" s="267"/>
      <c r="AM22" s="267"/>
      <c r="AN22" s="267"/>
      <c r="AO22" s="278">
        <f>AO16-AO14</f>
        <v>221519.15999999992</v>
      </c>
      <c r="AP22" s="268"/>
      <c r="AQ22" s="169" t="s">
        <v>68</v>
      </c>
      <c r="AR22" s="166"/>
      <c r="AS22" s="166"/>
      <c r="AT22" s="166"/>
      <c r="AU22" s="176">
        <f>AU16-AU14</f>
        <v>-261899.87000000011</v>
      </c>
      <c r="AV22" s="240"/>
      <c r="AW22" s="116" t="s">
        <v>68</v>
      </c>
      <c r="AX22" s="113"/>
      <c r="AY22" s="113"/>
      <c r="AZ22" s="113"/>
      <c r="BA22" s="123">
        <f>BA16-BA14</f>
        <v>-47500.962721373653</v>
      </c>
      <c r="BB22" s="113"/>
      <c r="BC22" s="81" t="s">
        <v>68</v>
      </c>
      <c r="BD22" s="78"/>
      <c r="BE22" s="78"/>
      <c r="BF22" s="78"/>
      <c r="BG22" s="88">
        <f>BG16-BG14</f>
        <v>-7445.9899097199086</v>
      </c>
      <c r="BH22" s="78"/>
    </row>
    <row r="23" spans="1:60" x14ac:dyDescent="0.2">
      <c r="A23" s="169"/>
      <c r="B23" s="166"/>
      <c r="C23" s="166"/>
      <c r="D23" s="166"/>
      <c r="E23" s="166"/>
      <c r="F23" s="240"/>
      <c r="G23" s="81"/>
      <c r="H23" s="78"/>
      <c r="I23" s="78"/>
      <c r="J23" s="78"/>
      <c r="K23" s="78"/>
      <c r="L23" s="485"/>
      <c r="M23" s="446"/>
      <c r="N23" s="442"/>
      <c r="O23" s="442"/>
      <c r="P23" s="442"/>
      <c r="Q23" s="442"/>
      <c r="R23" s="443"/>
      <c r="S23" s="364"/>
      <c r="T23" s="360"/>
      <c r="U23" s="360"/>
      <c r="V23" s="360"/>
      <c r="W23" s="360"/>
      <c r="X23" s="361"/>
      <c r="Y23" s="307"/>
      <c r="Z23" s="307"/>
      <c r="AA23" s="307"/>
      <c r="AB23" s="307"/>
      <c r="AC23" s="307"/>
      <c r="AD23" s="308"/>
      <c r="AE23" s="200"/>
      <c r="AF23" s="197"/>
      <c r="AG23" s="197"/>
      <c r="AH23" s="197"/>
      <c r="AI23" s="197"/>
      <c r="AJ23" s="228"/>
      <c r="AK23" s="271"/>
      <c r="AL23" s="267"/>
      <c r="AM23" s="267"/>
      <c r="AN23" s="267"/>
      <c r="AO23" s="267"/>
      <c r="AP23" s="268"/>
      <c r="AQ23" s="169"/>
      <c r="AR23" s="166"/>
      <c r="AS23" s="166"/>
      <c r="AT23" s="166"/>
      <c r="AU23" s="166"/>
      <c r="AV23" s="240"/>
      <c r="AW23" s="116"/>
      <c r="AX23" s="113"/>
      <c r="AY23" s="113"/>
      <c r="AZ23" s="113"/>
      <c r="BA23" s="113"/>
      <c r="BB23" s="113"/>
      <c r="BC23" s="81"/>
      <c r="BD23" s="78"/>
      <c r="BE23" s="78"/>
      <c r="BF23" s="78"/>
      <c r="BG23" s="78"/>
      <c r="BH23" s="78"/>
    </row>
    <row r="24" spans="1:60" x14ac:dyDescent="0.2">
      <c r="A24" s="169" t="s">
        <v>69</v>
      </c>
      <c r="B24" s="166"/>
      <c r="C24" s="166"/>
      <c r="D24" s="166"/>
      <c r="E24" s="176">
        <f>+C14</f>
        <v>605091</v>
      </c>
      <c r="F24" s="240"/>
      <c r="G24" s="81" t="s">
        <v>69</v>
      </c>
      <c r="H24" s="78"/>
      <c r="I24" s="78"/>
      <c r="J24" s="78"/>
      <c r="K24" s="88">
        <v>597112</v>
      </c>
      <c r="L24" s="485"/>
      <c r="M24" s="446" t="s">
        <v>69</v>
      </c>
      <c r="N24" s="442"/>
      <c r="O24" s="442"/>
      <c r="P24" s="442"/>
      <c r="Q24" s="453">
        <f>+O14</f>
        <v>586831</v>
      </c>
      <c r="R24" s="443"/>
      <c r="S24" s="364" t="s">
        <v>69</v>
      </c>
      <c r="T24" s="360"/>
      <c r="U24" s="360"/>
      <c r="V24" s="360"/>
      <c r="W24" s="371">
        <f>+U14</f>
        <v>572640</v>
      </c>
      <c r="X24" s="361"/>
      <c r="Y24" s="307" t="s">
        <v>69</v>
      </c>
      <c r="Z24" s="307"/>
      <c r="AA24" s="307"/>
      <c r="AB24" s="307"/>
      <c r="AC24" s="317">
        <f>+AA14</f>
        <v>559017</v>
      </c>
      <c r="AD24" s="308"/>
      <c r="AE24" s="200" t="s">
        <v>69</v>
      </c>
      <c r="AF24" s="197"/>
      <c r="AG24" s="197"/>
      <c r="AH24" s="197"/>
      <c r="AI24" s="207">
        <f>+AG14</f>
        <v>550573</v>
      </c>
      <c r="AJ24" s="228"/>
      <c r="AK24" s="271" t="s">
        <v>69</v>
      </c>
      <c r="AL24" s="267"/>
      <c r="AM24" s="267"/>
      <c r="AN24" s="267"/>
      <c r="AO24" s="278">
        <f>+AM14</f>
        <v>526959</v>
      </c>
      <c r="AP24" s="268"/>
      <c r="AQ24" s="169" t="s">
        <v>69</v>
      </c>
      <c r="AR24" s="166"/>
      <c r="AS24" s="166"/>
      <c r="AT24" s="166"/>
      <c r="AU24" s="176">
        <f>+AS14</f>
        <v>510979</v>
      </c>
      <c r="AV24" s="240"/>
      <c r="AW24" s="116" t="s">
        <v>69</v>
      </c>
      <c r="AX24" s="113"/>
      <c r="AY24" s="113"/>
      <c r="AZ24" s="113"/>
      <c r="BA24" s="123">
        <f>+AY14</f>
        <v>497790</v>
      </c>
      <c r="BB24" s="113"/>
      <c r="BC24" s="81" t="s">
        <v>69</v>
      </c>
      <c r="BD24" s="78"/>
      <c r="BE24" s="78"/>
      <c r="BF24" s="78"/>
      <c r="BG24" s="88">
        <f>+BE14</f>
        <v>488432</v>
      </c>
      <c r="BH24" s="78"/>
    </row>
    <row r="25" spans="1:60" x14ac:dyDescent="0.2">
      <c r="A25" s="169"/>
      <c r="B25" s="166"/>
      <c r="C25" s="166"/>
      <c r="D25" s="166"/>
      <c r="E25" s="166"/>
      <c r="F25" s="240"/>
      <c r="G25" s="81"/>
      <c r="H25" s="78"/>
      <c r="I25" s="78"/>
      <c r="J25" s="78"/>
      <c r="K25" s="78"/>
      <c r="L25" s="485"/>
      <c r="M25" s="446"/>
      <c r="N25" s="442"/>
      <c r="O25" s="442"/>
      <c r="P25" s="442"/>
      <c r="Q25" s="442"/>
      <c r="R25" s="443"/>
      <c r="S25" s="364"/>
      <c r="T25" s="360"/>
      <c r="U25" s="360"/>
      <c r="V25" s="360"/>
      <c r="W25" s="360"/>
      <c r="X25" s="361"/>
      <c r="Y25" s="307"/>
      <c r="Z25" s="307"/>
      <c r="AA25" s="307"/>
      <c r="AB25" s="307"/>
      <c r="AC25" s="307"/>
      <c r="AD25" s="308"/>
      <c r="AE25" s="200"/>
      <c r="AF25" s="197"/>
      <c r="AG25" s="197"/>
      <c r="AH25" s="197"/>
      <c r="AI25" s="197"/>
      <c r="AJ25" s="228"/>
      <c r="AK25" s="271"/>
      <c r="AL25" s="267"/>
      <c r="AM25" s="267"/>
      <c r="AN25" s="267"/>
      <c r="AO25" s="267"/>
      <c r="AP25" s="268"/>
      <c r="AQ25" s="169"/>
      <c r="AR25" s="166"/>
      <c r="AS25" s="166"/>
      <c r="AT25" s="166"/>
      <c r="AU25" s="166"/>
      <c r="AV25" s="240"/>
      <c r="AW25" s="116"/>
      <c r="AX25" s="113"/>
      <c r="AY25" s="113"/>
      <c r="AZ25" s="113"/>
      <c r="BA25" s="113"/>
      <c r="BB25" s="113"/>
      <c r="BC25" s="81"/>
      <c r="BD25" s="78"/>
      <c r="BE25" s="78"/>
      <c r="BF25" s="78"/>
      <c r="BG25" s="78"/>
      <c r="BH25" s="78"/>
    </row>
    <row r="26" spans="1:60" x14ac:dyDescent="0.2">
      <c r="A26" s="169" t="s">
        <v>70</v>
      </c>
      <c r="B26" s="166"/>
      <c r="C26" s="166"/>
      <c r="D26" s="166"/>
      <c r="E26" s="166"/>
      <c r="F26" s="242">
        <f>ROUND(E22/E24,2)</f>
        <v>-0.68</v>
      </c>
      <c r="G26" s="81" t="s">
        <v>70</v>
      </c>
      <c r="H26" s="95"/>
      <c r="I26" s="78"/>
      <c r="J26" s="78"/>
      <c r="K26" s="78"/>
      <c r="L26" s="489">
        <v>0.36</v>
      </c>
      <c r="M26" s="446" t="s">
        <v>70</v>
      </c>
      <c r="N26" s="442"/>
      <c r="O26" s="442"/>
      <c r="P26" s="442"/>
      <c r="Q26" s="442"/>
      <c r="R26" s="462">
        <f>ROUND(Q22/Q24,2)</f>
        <v>0.73</v>
      </c>
      <c r="S26" s="364" t="s">
        <v>70</v>
      </c>
      <c r="T26" s="360"/>
      <c r="U26" s="360"/>
      <c r="V26" s="360"/>
      <c r="W26" s="360"/>
      <c r="X26" s="380">
        <f>ROUND(W22/W24,2)</f>
        <v>-0.41</v>
      </c>
      <c r="Y26" s="307" t="s">
        <v>70</v>
      </c>
      <c r="Z26" s="307"/>
      <c r="AA26" s="307"/>
      <c r="AB26" s="307"/>
      <c r="AC26" s="307"/>
      <c r="AD26" s="326">
        <f>ROUND(AC22/AC24,2)</f>
        <v>-0.48</v>
      </c>
      <c r="AE26" s="200" t="s">
        <v>70</v>
      </c>
      <c r="AF26" s="197"/>
      <c r="AG26" s="197"/>
      <c r="AH26" s="197"/>
      <c r="AI26" s="197"/>
      <c r="AJ26" s="230">
        <f>ROUND(AI22/AI24,2)</f>
        <v>-0.89</v>
      </c>
      <c r="AK26" s="271" t="s">
        <v>70</v>
      </c>
      <c r="AL26" s="267"/>
      <c r="AM26" s="267"/>
      <c r="AN26" s="267"/>
      <c r="AO26" s="267"/>
      <c r="AP26" s="287">
        <f>ROUND(AO22/AO24,2)</f>
        <v>0.42</v>
      </c>
      <c r="AQ26" s="169" t="s">
        <v>70</v>
      </c>
      <c r="AR26" s="166"/>
      <c r="AS26" s="166"/>
      <c r="AT26" s="166"/>
      <c r="AU26" s="166"/>
      <c r="AV26" s="242">
        <f>ROUND(AU22/AU24,2)</f>
        <v>-0.51</v>
      </c>
      <c r="AW26" s="116" t="s">
        <v>70</v>
      </c>
      <c r="AX26" s="113"/>
      <c r="AY26" s="113"/>
      <c r="AZ26" s="113"/>
      <c r="BA26" s="113"/>
      <c r="BB26" s="130">
        <f>ROUND(BA22/BA24,2)</f>
        <v>-0.1</v>
      </c>
      <c r="BC26" s="81" t="s">
        <v>70</v>
      </c>
      <c r="BD26" s="78"/>
      <c r="BE26" s="78"/>
      <c r="BF26" s="78"/>
      <c r="BG26" s="78"/>
      <c r="BH26" s="95">
        <f>ROUND(BG22/BG24,2)</f>
        <v>-0.02</v>
      </c>
    </row>
    <row r="27" spans="1:60" x14ac:dyDescent="0.2">
      <c r="A27" s="169"/>
      <c r="B27" s="166"/>
      <c r="C27" s="166"/>
      <c r="D27" s="166"/>
      <c r="E27" s="166"/>
      <c r="F27" s="242"/>
      <c r="G27" s="81"/>
      <c r="H27" s="95"/>
      <c r="I27" s="78"/>
      <c r="J27" s="78"/>
      <c r="K27" s="78"/>
      <c r="L27" s="489"/>
      <c r="M27" s="446"/>
      <c r="N27" s="442"/>
      <c r="O27" s="442"/>
      <c r="P27" s="442"/>
      <c r="Q27" s="442"/>
      <c r="R27" s="462"/>
      <c r="S27" s="364"/>
      <c r="T27" s="360"/>
      <c r="U27" s="360"/>
      <c r="V27" s="360"/>
      <c r="W27" s="360"/>
      <c r="X27" s="380"/>
      <c r="Y27" s="307"/>
      <c r="Z27" s="307"/>
      <c r="AA27" s="307"/>
      <c r="AB27" s="307"/>
      <c r="AC27" s="307"/>
      <c r="AD27" s="326"/>
      <c r="AE27" s="200"/>
      <c r="AF27" s="197"/>
      <c r="AG27" s="197"/>
      <c r="AH27" s="197"/>
      <c r="AI27" s="197"/>
      <c r="AJ27" s="230"/>
      <c r="AK27" s="271"/>
      <c r="AL27" s="267"/>
      <c r="AM27" s="267"/>
      <c r="AN27" s="267"/>
      <c r="AO27" s="267"/>
      <c r="AP27" s="287"/>
      <c r="AQ27" s="169"/>
      <c r="AR27" s="166"/>
      <c r="AS27" s="166"/>
      <c r="AT27" s="166"/>
      <c r="AU27" s="166"/>
      <c r="AV27" s="242"/>
      <c r="AW27" s="116"/>
      <c r="AX27" s="113"/>
      <c r="AY27" s="113"/>
      <c r="AZ27" s="113"/>
      <c r="BA27" s="113"/>
      <c r="BB27" s="130"/>
      <c r="BC27" s="81"/>
      <c r="BD27" s="78"/>
      <c r="BE27" s="78"/>
      <c r="BF27" s="78"/>
      <c r="BG27" s="78"/>
      <c r="BH27" s="95"/>
    </row>
    <row r="28" spans="1:60" ht="17.25" customHeight="1" x14ac:dyDescent="0.35">
      <c r="A28" s="172" t="s">
        <v>180</v>
      </c>
      <c r="B28" s="173"/>
      <c r="C28" s="166"/>
      <c r="D28" s="166"/>
      <c r="E28" s="176">
        <f>+E16</f>
        <v>341849.06666888652</v>
      </c>
      <c r="F28" s="242"/>
      <c r="G28" s="84" t="s">
        <v>171</v>
      </c>
      <c r="H28" s="95"/>
      <c r="I28" s="78"/>
      <c r="J28" s="78"/>
      <c r="K28" s="88">
        <v>762052.35163120297</v>
      </c>
      <c r="L28" s="489"/>
      <c r="M28" s="449" t="s">
        <v>157</v>
      </c>
      <c r="N28" s="450"/>
      <c r="O28" s="442"/>
      <c r="P28" s="442"/>
      <c r="Q28" s="453">
        <f>+Q16</f>
        <v>616578</v>
      </c>
      <c r="R28" s="462"/>
      <c r="S28" s="367" t="s">
        <v>160</v>
      </c>
      <c r="T28" s="368"/>
      <c r="U28" s="360"/>
      <c r="V28" s="360"/>
      <c r="W28" s="371">
        <f>+W16</f>
        <v>149499</v>
      </c>
      <c r="X28" s="380"/>
      <c r="Y28" s="409" t="s">
        <v>126</v>
      </c>
      <c r="Z28" s="314"/>
      <c r="AA28" s="307"/>
      <c r="AB28" s="307"/>
      <c r="AC28" s="317">
        <v>341570.34487279999</v>
      </c>
      <c r="AD28" s="326"/>
      <c r="AE28" s="203" t="s">
        <v>121</v>
      </c>
      <c r="AF28" s="204"/>
      <c r="AG28" s="197"/>
      <c r="AH28" s="197"/>
      <c r="AI28" s="207">
        <v>546247.85422163608</v>
      </c>
      <c r="AJ28" s="230"/>
      <c r="AK28" s="274" t="s">
        <v>109</v>
      </c>
      <c r="AL28" s="275"/>
      <c r="AM28" s="267"/>
      <c r="AN28" s="267"/>
      <c r="AO28" s="278">
        <f>+AO16</f>
        <v>1122741</v>
      </c>
      <c r="AP28" s="287"/>
      <c r="AQ28" s="172" t="s">
        <v>107</v>
      </c>
      <c r="AR28" s="173"/>
      <c r="AS28" s="166"/>
      <c r="AT28" s="166"/>
      <c r="AU28" s="176">
        <f>+AU16</f>
        <v>832361</v>
      </c>
      <c r="AV28" s="242"/>
      <c r="AW28" s="119" t="s">
        <v>100</v>
      </c>
      <c r="AX28" s="120"/>
      <c r="AY28" s="113"/>
      <c r="AZ28" s="113"/>
      <c r="BA28" s="123">
        <f>+BA16</f>
        <v>1057229.1646778199</v>
      </c>
      <c r="BB28" s="130"/>
      <c r="BC28" s="84" t="s">
        <v>96</v>
      </c>
      <c r="BD28" s="85"/>
      <c r="BE28" s="78"/>
      <c r="BF28" s="78"/>
      <c r="BG28" s="88">
        <f>+BG16</f>
        <v>1098327.94009028</v>
      </c>
      <c r="BH28" s="95"/>
    </row>
    <row r="29" spans="1:60" x14ac:dyDescent="0.2">
      <c r="A29" s="169" t="s">
        <v>69</v>
      </c>
      <c r="B29" s="166"/>
      <c r="C29" s="166"/>
      <c r="D29" s="166"/>
      <c r="E29" s="176">
        <f>+C14</f>
        <v>605091</v>
      </c>
      <c r="F29" s="242"/>
      <c r="G29" s="81" t="s">
        <v>69</v>
      </c>
      <c r="H29" s="95"/>
      <c r="I29" s="78"/>
      <c r="J29" s="78"/>
      <c r="K29" s="88">
        <v>597112</v>
      </c>
      <c r="L29" s="489"/>
      <c r="M29" s="446" t="s">
        <v>69</v>
      </c>
      <c r="N29" s="442"/>
      <c r="O29" s="442"/>
      <c r="P29" s="442"/>
      <c r="Q29" s="453">
        <f>+O14</f>
        <v>586831</v>
      </c>
      <c r="R29" s="462"/>
      <c r="S29" s="364" t="s">
        <v>69</v>
      </c>
      <c r="T29" s="360"/>
      <c r="U29" s="360"/>
      <c r="V29" s="360"/>
      <c r="W29" s="371">
        <f>+U14</f>
        <v>572640</v>
      </c>
      <c r="X29" s="380"/>
      <c r="Y29" s="307" t="s">
        <v>69</v>
      </c>
      <c r="Z29" s="307"/>
      <c r="AA29" s="307"/>
      <c r="AB29" s="307"/>
      <c r="AC29" s="317">
        <f>+AA14</f>
        <v>559017</v>
      </c>
      <c r="AD29" s="326"/>
      <c r="AE29" s="200" t="s">
        <v>69</v>
      </c>
      <c r="AF29" s="197"/>
      <c r="AG29" s="197"/>
      <c r="AH29" s="197"/>
      <c r="AI29" s="207">
        <f>+AG14</f>
        <v>550573</v>
      </c>
      <c r="AJ29" s="230"/>
      <c r="AK29" s="271" t="s">
        <v>69</v>
      </c>
      <c r="AL29" s="267"/>
      <c r="AM29" s="267"/>
      <c r="AN29" s="267"/>
      <c r="AO29" s="278">
        <f>+AM14</f>
        <v>526959</v>
      </c>
      <c r="AP29" s="287"/>
      <c r="AQ29" s="169" t="s">
        <v>69</v>
      </c>
      <c r="AR29" s="166"/>
      <c r="AS29" s="166"/>
      <c r="AT29" s="166"/>
      <c r="AU29" s="176">
        <f>+AS14</f>
        <v>510979</v>
      </c>
      <c r="AV29" s="242"/>
      <c r="AW29" s="116" t="s">
        <v>69</v>
      </c>
      <c r="AX29" s="113"/>
      <c r="AY29" s="113"/>
      <c r="AZ29" s="113"/>
      <c r="BA29" s="123">
        <f>+AY14</f>
        <v>497790</v>
      </c>
      <c r="BB29" s="130"/>
      <c r="BC29" s="81" t="s">
        <v>69</v>
      </c>
      <c r="BD29" s="78"/>
      <c r="BE29" s="78"/>
      <c r="BF29" s="78"/>
      <c r="BG29" s="88">
        <f>+BE14</f>
        <v>488432</v>
      </c>
      <c r="BH29" s="95"/>
    </row>
    <row r="30" spans="1:60" ht="15" x14ac:dyDescent="0.35">
      <c r="A30" s="169" t="s">
        <v>71</v>
      </c>
      <c r="B30" s="166"/>
      <c r="C30" s="166"/>
      <c r="D30" s="166"/>
      <c r="E30" s="166"/>
      <c r="F30" s="243">
        <f>ROUND(+E28/E29,2)</f>
        <v>0.56000000000000005</v>
      </c>
      <c r="G30" s="81" t="s">
        <v>71</v>
      </c>
      <c r="H30" s="96"/>
      <c r="I30" s="78"/>
      <c r="J30" s="78"/>
      <c r="K30" s="78"/>
      <c r="L30" s="490">
        <v>1.28</v>
      </c>
      <c r="M30" s="446" t="s">
        <v>71</v>
      </c>
      <c r="N30" s="442"/>
      <c r="O30" s="442"/>
      <c r="P30" s="442"/>
      <c r="Q30" s="442"/>
      <c r="R30" s="463">
        <f>ROUND(+Q28/Q29,2)</f>
        <v>1.05</v>
      </c>
      <c r="S30" s="364" t="s">
        <v>71</v>
      </c>
      <c r="T30" s="360"/>
      <c r="U30" s="360"/>
      <c r="V30" s="360"/>
      <c r="W30" s="360"/>
      <c r="X30" s="381">
        <f>ROUND(+W28/W29,2)</f>
        <v>0.26</v>
      </c>
      <c r="Y30" s="307" t="s">
        <v>71</v>
      </c>
      <c r="Z30" s="307"/>
      <c r="AA30" s="307"/>
      <c r="AB30" s="307"/>
      <c r="AC30" s="307"/>
      <c r="AD30" s="327">
        <f>ROUND(+AC28/AC29,2)</f>
        <v>0.61</v>
      </c>
      <c r="AE30" s="200" t="s">
        <v>71</v>
      </c>
      <c r="AF30" s="197"/>
      <c r="AG30" s="197"/>
      <c r="AH30" s="197"/>
      <c r="AI30" s="197"/>
      <c r="AJ30" s="231">
        <f>ROUND(+AI28/AI29,2)</f>
        <v>0.99</v>
      </c>
      <c r="AK30" s="271" t="s">
        <v>71</v>
      </c>
      <c r="AL30" s="267"/>
      <c r="AM30" s="267"/>
      <c r="AN30" s="267"/>
      <c r="AO30" s="267"/>
      <c r="AP30" s="288">
        <f>ROUND(+AO28/AO29,2)</f>
        <v>2.13</v>
      </c>
      <c r="AQ30" s="169" t="s">
        <v>71</v>
      </c>
      <c r="AR30" s="166"/>
      <c r="AS30" s="166"/>
      <c r="AT30" s="166"/>
      <c r="AU30" s="166"/>
      <c r="AV30" s="243">
        <f>ROUND(+AU28/AU29,2)</f>
        <v>1.63</v>
      </c>
      <c r="AW30" s="116" t="s">
        <v>71</v>
      </c>
      <c r="AX30" s="113"/>
      <c r="AY30" s="113"/>
      <c r="AZ30" s="113"/>
      <c r="BA30" s="113"/>
      <c r="BB30" s="131">
        <f>ROUND(+BA28/BA29,2)</f>
        <v>2.12</v>
      </c>
      <c r="BC30" s="81" t="s">
        <v>71</v>
      </c>
      <c r="BD30" s="78"/>
      <c r="BE30" s="78"/>
      <c r="BF30" s="78"/>
      <c r="BG30" s="78"/>
      <c r="BH30" s="96">
        <f>+BG28/BG29</f>
        <v>2.2486813724127002</v>
      </c>
    </row>
    <row r="31" spans="1:60" x14ac:dyDescent="0.2">
      <c r="A31" s="169"/>
      <c r="B31" s="166"/>
      <c r="C31" s="166"/>
      <c r="D31" s="166"/>
      <c r="E31" s="166"/>
      <c r="F31" s="242"/>
      <c r="G31" s="81"/>
      <c r="H31" s="95"/>
      <c r="I31" s="78"/>
      <c r="J31" s="78"/>
      <c r="K31" s="78"/>
      <c r="L31" s="489"/>
      <c r="M31" s="446"/>
      <c r="N31" s="442"/>
      <c r="O31" s="442"/>
      <c r="P31" s="442"/>
      <c r="Q31" s="442"/>
      <c r="R31" s="462"/>
      <c r="S31" s="364"/>
      <c r="T31" s="360"/>
      <c r="U31" s="360"/>
      <c r="V31" s="360"/>
      <c r="W31" s="360"/>
      <c r="X31" s="380"/>
      <c r="Y31" s="307"/>
      <c r="Z31" s="307"/>
      <c r="AA31" s="307"/>
      <c r="AB31" s="307"/>
      <c r="AC31" s="307"/>
      <c r="AD31" s="326"/>
      <c r="AE31" s="200"/>
      <c r="AF31" s="197"/>
      <c r="AG31" s="197"/>
      <c r="AH31" s="197"/>
      <c r="AI31" s="197"/>
      <c r="AJ31" s="230"/>
      <c r="AK31" s="271"/>
      <c r="AL31" s="267"/>
      <c r="AM31" s="267"/>
      <c r="AN31" s="267"/>
      <c r="AO31" s="267"/>
      <c r="AP31" s="287"/>
      <c r="AQ31" s="169"/>
      <c r="AR31" s="166"/>
      <c r="AS31" s="166"/>
      <c r="AT31" s="166"/>
      <c r="AU31" s="166"/>
      <c r="AV31" s="242"/>
      <c r="AW31" s="116"/>
      <c r="AX31" s="113"/>
      <c r="AY31" s="113"/>
      <c r="AZ31" s="113"/>
      <c r="BA31" s="113"/>
      <c r="BB31" s="130"/>
      <c r="BC31" s="81"/>
      <c r="BD31" s="78"/>
      <c r="BE31" s="78"/>
      <c r="BF31" s="78"/>
      <c r="BG31" s="78"/>
      <c r="BH31" s="95"/>
    </row>
    <row r="32" spans="1:60" ht="18.75" thickBot="1" x14ac:dyDescent="0.4">
      <c r="A32" s="163" t="s">
        <v>151</v>
      </c>
      <c r="B32" s="164"/>
      <c r="C32" s="166"/>
      <c r="D32" s="166"/>
      <c r="E32" s="166"/>
      <c r="F32" s="244">
        <f>+F26+F30</f>
        <v>-0.12</v>
      </c>
      <c r="G32" s="75" t="s">
        <v>151</v>
      </c>
      <c r="H32" s="98"/>
      <c r="I32" s="78"/>
      <c r="J32" s="78"/>
      <c r="K32" s="78"/>
      <c r="L32" s="491">
        <v>1.6400000000000001</v>
      </c>
      <c r="M32" s="439" t="s">
        <v>151</v>
      </c>
      <c r="N32" s="440"/>
      <c r="O32" s="442"/>
      <c r="P32" s="442"/>
      <c r="Q32" s="442"/>
      <c r="R32" s="464">
        <f>+R26+R30</f>
        <v>1.78</v>
      </c>
      <c r="S32" s="357" t="s">
        <v>151</v>
      </c>
      <c r="T32" s="358"/>
      <c r="U32" s="360"/>
      <c r="V32" s="360"/>
      <c r="W32" s="360"/>
      <c r="X32" s="382">
        <f>+X26+X30</f>
        <v>-0.14999999999999997</v>
      </c>
      <c r="Y32" s="305" t="s">
        <v>72</v>
      </c>
      <c r="Z32" s="305"/>
      <c r="AA32" s="307"/>
      <c r="AB32" s="307"/>
      <c r="AC32" s="307"/>
      <c r="AD32" s="328">
        <f>+AD26+AD30</f>
        <v>0.13</v>
      </c>
      <c r="AE32" s="194" t="s">
        <v>72</v>
      </c>
      <c r="AF32" s="195"/>
      <c r="AG32" s="197"/>
      <c r="AH32" s="197"/>
      <c r="AI32" s="197"/>
      <c r="AJ32" s="232">
        <f>+AJ26+AJ30</f>
        <v>9.9999999999999978E-2</v>
      </c>
      <c r="AK32" s="264" t="s">
        <v>72</v>
      </c>
      <c r="AL32" s="265"/>
      <c r="AM32" s="267"/>
      <c r="AN32" s="267"/>
      <c r="AO32" s="267"/>
      <c r="AP32" s="289">
        <f>+AP26+AP30</f>
        <v>2.5499999999999998</v>
      </c>
      <c r="AQ32" s="163" t="s">
        <v>72</v>
      </c>
      <c r="AR32" s="164"/>
      <c r="AS32" s="166"/>
      <c r="AT32" s="166"/>
      <c r="AU32" s="166"/>
      <c r="AV32" s="244">
        <f>+AV26+AV30</f>
        <v>1.1199999999999999</v>
      </c>
      <c r="AW32" s="110" t="s">
        <v>72</v>
      </c>
      <c r="AX32" s="111"/>
      <c r="AY32" s="113"/>
      <c r="AZ32" s="113"/>
      <c r="BA32" s="113"/>
      <c r="BB32" s="132">
        <f>+BB26+BB30</f>
        <v>2.02</v>
      </c>
      <c r="BC32" s="75" t="s">
        <v>72</v>
      </c>
      <c r="BD32" s="76"/>
      <c r="BE32" s="78"/>
      <c r="BF32" s="78"/>
      <c r="BG32" s="78"/>
      <c r="BH32" s="97">
        <f>+BH26+BH30</f>
        <v>2.2286813724127001</v>
      </c>
    </row>
    <row r="33" spans="1:60" ht="18.75" thickTop="1" x14ac:dyDescent="0.35">
      <c r="A33" s="163"/>
      <c r="B33" s="164"/>
      <c r="C33" s="166"/>
      <c r="D33" s="166"/>
      <c r="E33" s="166"/>
      <c r="F33" s="245"/>
      <c r="G33" s="75"/>
      <c r="H33" s="98"/>
      <c r="I33" s="78"/>
      <c r="J33" s="78"/>
      <c r="K33" s="78"/>
      <c r="L33" s="492"/>
      <c r="M33" s="439"/>
      <c r="N33" s="440"/>
      <c r="O33" s="442"/>
      <c r="P33" s="442"/>
      <c r="Q33" s="442"/>
      <c r="R33" s="465"/>
      <c r="S33" s="357"/>
      <c r="T33" s="358"/>
      <c r="U33" s="360"/>
      <c r="V33" s="360"/>
      <c r="W33" s="360"/>
      <c r="X33" s="383"/>
      <c r="Y33" s="305"/>
      <c r="Z33" s="305"/>
      <c r="AA33" s="307"/>
      <c r="AB33" s="307"/>
      <c r="AC33" s="307"/>
      <c r="AD33" s="329"/>
      <c r="AE33" s="194"/>
      <c r="AF33" s="195"/>
      <c r="AG33" s="197"/>
      <c r="AH33" s="197"/>
      <c r="AI33" s="197"/>
      <c r="AJ33" s="233"/>
      <c r="AK33" s="264"/>
      <c r="AL33" s="265"/>
      <c r="AM33" s="267"/>
      <c r="AN33" s="267"/>
      <c r="AO33" s="267"/>
      <c r="AP33" s="290"/>
      <c r="AQ33" s="163"/>
      <c r="AR33" s="164"/>
      <c r="AS33" s="166"/>
      <c r="AT33" s="166"/>
      <c r="AU33" s="166"/>
      <c r="AV33" s="245"/>
      <c r="AW33" s="110"/>
      <c r="AX33" s="111"/>
      <c r="AY33" s="113"/>
      <c r="AZ33" s="113"/>
      <c r="BA33" s="113"/>
      <c r="BB33" s="133"/>
      <c r="BC33" s="75"/>
      <c r="BD33" s="76"/>
      <c r="BE33" s="78"/>
      <c r="BF33" s="78"/>
      <c r="BG33" s="78"/>
      <c r="BH33" s="98"/>
    </row>
    <row r="34" spans="1:60" ht="21" x14ac:dyDescent="0.55000000000000004">
      <c r="A34" s="163"/>
      <c r="B34" s="164"/>
      <c r="C34" s="166"/>
      <c r="D34" s="556"/>
      <c r="E34" s="166"/>
      <c r="F34" s="557"/>
      <c r="G34" s="75"/>
      <c r="H34" s="552"/>
      <c r="I34" s="78"/>
      <c r="J34" s="493"/>
      <c r="K34" s="78"/>
      <c r="L34" s="494"/>
      <c r="M34" s="439"/>
      <c r="N34" s="440"/>
      <c r="O34" s="442"/>
      <c r="P34" s="466"/>
      <c r="Q34" s="442"/>
      <c r="R34" s="467"/>
      <c r="S34" s="357" t="s">
        <v>161</v>
      </c>
      <c r="T34" s="428"/>
      <c r="U34" s="429"/>
      <c r="V34" s="430">
        <v>29475</v>
      </c>
      <c r="W34" s="429"/>
      <c r="X34" s="431">
        <f>ROUND(-V34/50000/12,2)</f>
        <v>-0.05</v>
      </c>
      <c r="Y34" s="305"/>
      <c r="Z34" s="305"/>
      <c r="AA34" s="307"/>
      <c r="AB34" s="307"/>
      <c r="AC34" s="307"/>
      <c r="AD34" s="329"/>
      <c r="AE34" s="194"/>
      <c r="AF34" s="195"/>
      <c r="AG34" s="197"/>
      <c r="AH34" s="197"/>
      <c r="AI34" s="197"/>
      <c r="AJ34" s="233"/>
      <c r="AK34" s="264"/>
      <c r="AL34" s="265"/>
      <c r="AM34" s="267"/>
      <c r="AN34" s="267"/>
      <c r="AO34" s="267"/>
      <c r="AP34" s="290"/>
      <c r="AQ34" s="163"/>
      <c r="AR34" s="164"/>
      <c r="AS34" s="166"/>
      <c r="AT34" s="166"/>
      <c r="AU34" s="166"/>
      <c r="AV34" s="245"/>
      <c r="AW34" s="110"/>
      <c r="AX34" s="111"/>
      <c r="AY34" s="113"/>
      <c r="AZ34" s="113"/>
      <c r="BA34" s="113"/>
      <c r="BB34" s="133"/>
      <c r="BC34" s="75"/>
      <c r="BD34" s="76"/>
      <c r="BE34" s="78"/>
      <c r="BF34" s="78"/>
      <c r="BG34" s="78"/>
      <c r="BH34" s="98"/>
    </row>
    <row r="35" spans="1:60" ht="18" x14ac:dyDescent="0.35">
      <c r="A35" s="163"/>
      <c r="B35" s="164"/>
      <c r="C35" s="166"/>
      <c r="D35" s="558"/>
      <c r="E35" s="166"/>
      <c r="F35" s="245"/>
      <c r="G35" s="75"/>
      <c r="H35" s="98"/>
      <c r="I35" s="78"/>
      <c r="J35" s="495"/>
      <c r="K35" s="78"/>
      <c r="L35" s="492"/>
      <c r="M35" s="439"/>
      <c r="N35" s="440"/>
      <c r="O35" s="442"/>
      <c r="P35" s="468"/>
      <c r="Q35" s="442"/>
      <c r="R35" s="465"/>
      <c r="S35" s="357"/>
      <c r="T35" s="428"/>
      <c r="U35" s="429"/>
      <c r="V35" s="432"/>
      <c r="W35" s="429"/>
      <c r="X35" s="433"/>
      <c r="Y35" s="305"/>
      <c r="Z35" s="305"/>
      <c r="AA35" s="307"/>
      <c r="AB35" s="307"/>
      <c r="AC35" s="307"/>
      <c r="AD35" s="329"/>
      <c r="AE35" s="194"/>
      <c r="AF35" s="195"/>
      <c r="AG35" s="197"/>
      <c r="AH35" s="197"/>
      <c r="AI35" s="197"/>
      <c r="AJ35" s="233"/>
      <c r="AK35" s="264"/>
      <c r="AL35" s="265"/>
      <c r="AM35" s="267"/>
      <c r="AN35" s="267"/>
      <c r="AO35" s="267"/>
      <c r="AP35" s="290"/>
      <c r="AQ35" s="163"/>
      <c r="AR35" s="164"/>
      <c r="AS35" s="166"/>
      <c r="AT35" s="166"/>
      <c r="AU35" s="166"/>
      <c r="AV35" s="245"/>
      <c r="AW35" s="110"/>
      <c r="AX35" s="111"/>
      <c r="AY35" s="113"/>
      <c r="AZ35" s="113"/>
      <c r="BA35" s="113"/>
      <c r="BB35" s="133"/>
      <c r="BC35" s="75"/>
      <c r="BD35" s="76"/>
      <c r="BE35" s="78"/>
      <c r="BF35" s="78"/>
      <c r="BG35" s="78"/>
      <c r="BH35" s="98"/>
    </row>
    <row r="36" spans="1:60" ht="20.25" x14ac:dyDescent="0.5">
      <c r="A36" s="559"/>
      <c r="B36" s="164"/>
      <c r="C36" s="166"/>
      <c r="D36" s="558"/>
      <c r="E36" s="166"/>
      <c r="F36" s="560"/>
      <c r="G36" s="496"/>
      <c r="H36" s="553"/>
      <c r="I36" s="78"/>
      <c r="J36" s="495"/>
      <c r="K36" s="78"/>
      <c r="L36" s="497"/>
      <c r="M36" s="469"/>
      <c r="N36" s="440"/>
      <c r="O36" s="442"/>
      <c r="P36" s="468"/>
      <c r="Q36" s="442"/>
      <c r="R36" s="470"/>
      <c r="S36" s="395" t="s">
        <v>162</v>
      </c>
      <c r="T36" s="428"/>
      <c r="U36" s="429"/>
      <c r="V36" s="432"/>
      <c r="W36" s="429"/>
      <c r="X36" s="434">
        <f>+X34+X32</f>
        <v>-0.19999999999999996</v>
      </c>
      <c r="Y36" s="305"/>
      <c r="Z36" s="305"/>
      <c r="AA36" s="307"/>
      <c r="AB36" s="307"/>
      <c r="AC36" s="307"/>
      <c r="AD36" s="329"/>
      <c r="AE36" s="194"/>
      <c r="AF36" s="195"/>
      <c r="AG36" s="197"/>
      <c r="AH36" s="197"/>
      <c r="AI36" s="197"/>
      <c r="AJ36" s="233"/>
      <c r="AK36" s="264"/>
      <c r="AL36" s="265"/>
      <c r="AM36" s="267"/>
      <c r="AN36" s="267"/>
      <c r="AO36" s="267"/>
      <c r="AP36" s="290"/>
      <c r="AQ36" s="163"/>
      <c r="AR36" s="164"/>
      <c r="AS36" s="166"/>
      <c r="AT36" s="166"/>
      <c r="AU36" s="166"/>
      <c r="AV36" s="245"/>
      <c r="AW36" s="110"/>
      <c r="AX36" s="111"/>
      <c r="AY36" s="113"/>
      <c r="AZ36" s="113"/>
      <c r="BA36" s="113"/>
      <c r="BB36" s="133"/>
      <c r="BC36" s="75"/>
      <c r="BD36" s="76"/>
      <c r="BE36" s="78"/>
      <c r="BF36" s="78"/>
      <c r="BG36" s="78"/>
      <c r="BH36" s="98"/>
    </row>
    <row r="37" spans="1:60" ht="18.75" thickBot="1" x14ac:dyDescent="0.4">
      <c r="A37" s="561"/>
      <c r="B37" s="187"/>
      <c r="C37" s="187"/>
      <c r="D37" s="187"/>
      <c r="E37" s="187"/>
      <c r="F37" s="562"/>
      <c r="G37" s="498"/>
      <c r="H37" s="406"/>
      <c r="I37" s="406"/>
      <c r="J37" s="406"/>
      <c r="K37" s="406"/>
      <c r="L37" s="499"/>
      <c r="M37" s="471"/>
      <c r="N37" s="472"/>
      <c r="O37" s="472"/>
      <c r="P37" s="472"/>
      <c r="Q37" s="472"/>
      <c r="R37" s="473"/>
      <c r="S37" s="412"/>
      <c r="T37" s="391"/>
      <c r="U37" s="391"/>
      <c r="V37" s="391"/>
      <c r="W37" s="391"/>
      <c r="X37" s="408"/>
      <c r="Y37" s="338"/>
      <c r="Z37" s="338"/>
      <c r="AA37" s="339"/>
      <c r="AB37" s="339"/>
      <c r="AC37" s="339"/>
      <c r="AD37" s="396"/>
      <c r="AE37" s="236"/>
      <c r="AF37" s="237"/>
      <c r="AG37" s="218"/>
      <c r="AH37" s="218"/>
      <c r="AI37" s="218"/>
      <c r="AJ37" s="397"/>
      <c r="AK37" s="297"/>
      <c r="AL37" s="298"/>
      <c r="AM37" s="299"/>
      <c r="AN37" s="299"/>
      <c r="AO37" s="299"/>
      <c r="AP37" s="398"/>
      <c r="AQ37" s="249"/>
      <c r="AR37" s="250"/>
      <c r="AS37" s="187"/>
      <c r="AT37" s="187"/>
      <c r="AU37" s="187"/>
      <c r="AV37" s="399"/>
      <c r="AW37" s="400"/>
      <c r="AX37" s="401"/>
      <c r="AY37" s="402"/>
      <c r="AZ37" s="402"/>
      <c r="BA37" s="402"/>
      <c r="BB37" s="403"/>
      <c r="BC37" s="404"/>
      <c r="BD37" s="405"/>
      <c r="BE37" s="406"/>
      <c r="BF37" s="406"/>
      <c r="BG37" s="406"/>
      <c r="BH37" s="407"/>
    </row>
    <row r="38" spans="1:60" ht="20.25" x14ac:dyDescent="0.5">
      <c r="A38" s="559"/>
      <c r="B38" s="164"/>
      <c r="C38" s="166"/>
      <c r="D38" s="558"/>
      <c r="E38" s="166"/>
      <c r="F38" s="560"/>
      <c r="G38" s="496"/>
      <c r="H38" s="553"/>
      <c r="I38" s="78"/>
      <c r="J38" s="495"/>
      <c r="K38" s="78"/>
      <c r="L38" s="497"/>
      <c r="M38" s="469"/>
      <c r="N38" s="440"/>
      <c r="O38" s="442"/>
      <c r="P38" s="468"/>
      <c r="Q38" s="442"/>
      <c r="R38" s="470"/>
      <c r="S38" s="395"/>
      <c r="T38" s="358"/>
      <c r="U38" s="360"/>
      <c r="V38" s="393"/>
      <c r="W38" s="360"/>
      <c r="X38" s="394"/>
      <c r="Y38" s="304"/>
      <c r="Z38" s="305"/>
      <c r="AA38" s="307"/>
      <c r="AB38" s="307"/>
      <c r="AC38" s="307"/>
      <c r="AD38" s="329"/>
      <c r="AE38" s="194"/>
      <c r="AF38" s="195"/>
      <c r="AG38" s="197"/>
      <c r="AH38" s="197"/>
      <c r="AI38" s="197"/>
      <c r="AJ38" s="233"/>
      <c r="AK38" s="264"/>
      <c r="AL38" s="265"/>
      <c r="AM38" s="267"/>
      <c r="AN38" s="267"/>
      <c r="AO38" s="267"/>
      <c r="AP38" s="290"/>
      <c r="AQ38" s="163"/>
      <c r="AR38" s="164"/>
      <c r="AS38" s="166"/>
      <c r="AT38" s="166"/>
      <c r="AU38" s="166"/>
      <c r="AV38" s="245"/>
      <c r="AW38" s="110"/>
      <c r="AX38" s="111"/>
      <c r="AY38" s="113"/>
      <c r="AZ38" s="113"/>
      <c r="BA38" s="113"/>
      <c r="BB38" s="133"/>
      <c r="BC38" s="75"/>
      <c r="BD38" s="76"/>
      <c r="BE38" s="78"/>
      <c r="BF38" s="78"/>
      <c r="BG38" s="78"/>
      <c r="BH38" s="98"/>
    </row>
    <row r="39" spans="1:60" ht="18" x14ac:dyDescent="0.35">
      <c r="A39" s="163"/>
      <c r="B39" s="164"/>
      <c r="C39" s="166"/>
      <c r="D39" s="166"/>
      <c r="E39" s="166"/>
      <c r="F39" s="245"/>
      <c r="G39" s="75"/>
      <c r="H39" s="98"/>
      <c r="I39" s="78"/>
      <c r="J39" s="78"/>
      <c r="K39" s="78"/>
      <c r="L39" s="492"/>
      <c r="M39" s="439"/>
      <c r="N39" s="440"/>
      <c r="O39" s="442"/>
      <c r="P39" s="442"/>
      <c r="Q39" s="442"/>
      <c r="R39" s="465"/>
      <c r="S39" s="357"/>
      <c r="T39" s="358"/>
      <c r="U39" s="360"/>
      <c r="V39" s="360"/>
      <c r="W39" s="360"/>
      <c r="X39" s="383"/>
      <c r="Y39" s="304"/>
      <c r="Z39" s="305"/>
      <c r="AA39" s="307"/>
      <c r="AB39" s="307"/>
      <c r="AC39" s="307"/>
      <c r="AD39" s="329"/>
      <c r="AE39" s="194"/>
      <c r="AF39" s="195"/>
      <c r="AG39" s="197"/>
      <c r="AH39" s="197"/>
      <c r="AI39" s="197"/>
      <c r="AJ39" s="233"/>
      <c r="AK39" s="264"/>
      <c r="AL39" s="265"/>
      <c r="AM39" s="267"/>
      <c r="AN39" s="267"/>
      <c r="AO39" s="267"/>
      <c r="AP39" s="290"/>
      <c r="AQ39" s="163"/>
      <c r="AR39" s="164"/>
      <c r="AS39" s="166"/>
      <c r="AT39" s="166"/>
      <c r="AU39" s="166"/>
      <c r="AV39" s="245"/>
      <c r="AW39" s="110"/>
      <c r="AX39" s="111"/>
      <c r="AY39" s="113"/>
      <c r="AZ39" s="113"/>
      <c r="BA39" s="113"/>
      <c r="BB39" s="133"/>
      <c r="BC39" s="75"/>
      <c r="BD39" s="76"/>
      <c r="BE39" s="78"/>
      <c r="BF39" s="78"/>
      <c r="BG39" s="78"/>
      <c r="BH39" s="98"/>
    </row>
    <row r="40" spans="1:60" ht="19.5" x14ac:dyDescent="0.4">
      <c r="A40" s="534" t="s">
        <v>20</v>
      </c>
      <c r="B40" s="535"/>
      <c r="C40" s="535"/>
      <c r="D40" s="535"/>
      <c r="E40" s="535"/>
      <c r="F40" s="536"/>
      <c r="G40" s="524" t="s">
        <v>20</v>
      </c>
      <c r="H40" s="525"/>
      <c r="I40" s="525"/>
      <c r="J40" s="525"/>
      <c r="K40" s="525"/>
      <c r="L40" s="542"/>
      <c r="M40" s="543" t="s">
        <v>20</v>
      </c>
      <c r="N40" s="544"/>
      <c r="O40" s="544"/>
      <c r="P40" s="544"/>
      <c r="Q40" s="544"/>
      <c r="R40" s="545"/>
      <c r="S40" s="537" t="s">
        <v>20</v>
      </c>
      <c r="T40" s="538"/>
      <c r="U40" s="538"/>
      <c r="V40" s="538"/>
      <c r="W40" s="538"/>
      <c r="X40" s="539"/>
      <c r="Y40" s="330" t="s">
        <v>20</v>
      </c>
      <c r="Z40" s="540"/>
      <c r="AA40" s="540"/>
      <c r="AB40" s="540"/>
      <c r="AC40" s="540"/>
      <c r="AD40" s="541"/>
      <c r="AE40" s="526" t="s">
        <v>20</v>
      </c>
      <c r="AF40" s="527"/>
      <c r="AG40" s="527"/>
      <c r="AH40" s="527"/>
      <c r="AI40" s="527"/>
      <c r="AJ40" s="528"/>
      <c r="AK40" s="529" t="s">
        <v>20</v>
      </c>
      <c r="AL40" s="530"/>
      <c r="AM40" s="530"/>
      <c r="AN40" s="530"/>
      <c r="AO40" s="530"/>
      <c r="AP40" s="531"/>
      <c r="AQ40" s="534" t="s">
        <v>20</v>
      </c>
      <c r="AR40" s="535"/>
      <c r="AS40" s="535"/>
      <c r="AT40" s="535"/>
      <c r="AU40" s="535"/>
      <c r="AV40" s="536"/>
      <c r="AW40" s="532" t="s">
        <v>20</v>
      </c>
      <c r="AX40" s="533"/>
      <c r="AY40" s="533"/>
      <c r="AZ40" s="533"/>
      <c r="BA40" s="533"/>
      <c r="BB40" s="533"/>
      <c r="BC40" s="524" t="s">
        <v>20</v>
      </c>
      <c r="BD40" s="525"/>
      <c r="BE40" s="525"/>
      <c r="BF40" s="525"/>
      <c r="BG40" s="525"/>
      <c r="BH40" s="525"/>
    </row>
    <row r="41" spans="1:60" x14ac:dyDescent="0.2">
      <c r="A41" s="169"/>
      <c r="B41" s="166"/>
      <c r="C41" s="166"/>
      <c r="D41" s="166"/>
      <c r="E41" s="166"/>
      <c r="F41" s="240"/>
      <c r="G41" s="81"/>
      <c r="H41" s="78"/>
      <c r="I41" s="78"/>
      <c r="J41" s="78"/>
      <c r="K41" s="78"/>
      <c r="L41" s="485"/>
      <c r="M41" s="446"/>
      <c r="N41" s="442"/>
      <c r="O41" s="442"/>
      <c r="P41" s="442"/>
      <c r="Q41" s="442"/>
      <c r="R41" s="443"/>
      <c r="S41" s="364"/>
      <c r="T41" s="360"/>
      <c r="U41" s="360"/>
      <c r="V41" s="360"/>
      <c r="W41" s="360"/>
      <c r="X41" s="361"/>
      <c r="Y41" s="310"/>
      <c r="Z41" s="307"/>
      <c r="AA41" s="307"/>
      <c r="AB41" s="307"/>
      <c r="AC41" s="307"/>
      <c r="AD41" s="308"/>
      <c r="AE41" s="200"/>
      <c r="AF41" s="197"/>
      <c r="AG41" s="197"/>
      <c r="AH41" s="197"/>
      <c r="AI41" s="197"/>
      <c r="AJ41" s="228"/>
      <c r="AK41" s="271"/>
      <c r="AL41" s="267"/>
      <c r="AM41" s="267"/>
      <c r="AN41" s="267"/>
      <c r="AO41" s="267"/>
      <c r="AP41" s="268"/>
      <c r="AQ41" s="169"/>
      <c r="AR41" s="166"/>
      <c r="AS41" s="166"/>
      <c r="AT41" s="166"/>
      <c r="AU41" s="166"/>
      <c r="AV41" s="240"/>
      <c r="AW41" s="116"/>
      <c r="AX41" s="113"/>
      <c r="AY41" s="113"/>
      <c r="AZ41" s="113"/>
      <c r="BA41" s="113"/>
      <c r="BB41" s="113"/>
      <c r="BC41" s="81"/>
      <c r="BD41" s="78"/>
      <c r="BE41" s="78"/>
      <c r="BF41" s="78"/>
      <c r="BG41" s="78"/>
      <c r="BH41" s="78"/>
    </row>
    <row r="42" spans="1:60" x14ac:dyDescent="0.2">
      <c r="A42" s="169"/>
      <c r="B42" s="166"/>
      <c r="C42" s="170"/>
      <c r="D42" s="170" t="s">
        <v>63</v>
      </c>
      <c r="E42" s="170" t="s">
        <v>22</v>
      </c>
      <c r="F42" s="240"/>
      <c r="G42" s="81"/>
      <c r="H42" s="78"/>
      <c r="I42" s="82"/>
      <c r="J42" s="82" t="s">
        <v>63</v>
      </c>
      <c r="K42" s="82" t="s">
        <v>22</v>
      </c>
      <c r="L42" s="485"/>
      <c r="M42" s="446"/>
      <c r="N42" s="442"/>
      <c r="O42" s="447"/>
      <c r="P42" s="447" t="s">
        <v>63</v>
      </c>
      <c r="Q42" s="447" t="s">
        <v>22</v>
      </c>
      <c r="R42" s="443"/>
      <c r="S42" s="364"/>
      <c r="T42" s="360"/>
      <c r="U42" s="365"/>
      <c r="V42" s="365" t="s">
        <v>63</v>
      </c>
      <c r="W42" s="365" t="s">
        <v>22</v>
      </c>
      <c r="X42" s="361"/>
      <c r="Y42" s="310"/>
      <c r="Z42" s="307"/>
      <c r="AA42" s="311"/>
      <c r="AB42" s="311" t="s">
        <v>63</v>
      </c>
      <c r="AC42" s="311" t="s">
        <v>22</v>
      </c>
      <c r="AD42" s="308"/>
      <c r="AE42" s="200"/>
      <c r="AF42" s="197"/>
      <c r="AG42" s="201"/>
      <c r="AH42" s="201" t="s">
        <v>63</v>
      </c>
      <c r="AI42" s="201" t="s">
        <v>22</v>
      </c>
      <c r="AJ42" s="228"/>
      <c r="AK42" s="271"/>
      <c r="AL42" s="267"/>
      <c r="AM42" s="272"/>
      <c r="AN42" s="272" t="s">
        <v>63</v>
      </c>
      <c r="AO42" s="272" t="s">
        <v>22</v>
      </c>
      <c r="AP42" s="268"/>
      <c r="AQ42" s="169"/>
      <c r="AR42" s="166"/>
      <c r="AS42" s="170"/>
      <c r="AT42" s="170" t="s">
        <v>63</v>
      </c>
      <c r="AU42" s="170" t="s">
        <v>22</v>
      </c>
      <c r="AV42" s="240"/>
      <c r="AW42" s="116"/>
      <c r="AX42" s="113"/>
      <c r="AY42" s="117"/>
      <c r="AZ42" s="117" t="s">
        <v>63</v>
      </c>
      <c r="BA42" s="117" t="s">
        <v>22</v>
      </c>
      <c r="BB42" s="113"/>
      <c r="BC42" s="81"/>
      <c r="BD42" s="78"/>
      <c r="BE42" s="82"/>
      <c r="BF42" s="82" t="s">
        <v>63</v>
      </c>
      <c r="BG42" s="82" t="s">
        <v>22</v>
      </c>
      <c r="BH42" s="78"/>
    </row>
    <row r="43" spans="1:60" x14ac:dyDescent="0.2">
      <c r="A43" s="169"/>
      <c r="B43" s="166"/>
      <c r="C43" s="184" t="s">
        <v>30</v>
      </c>
      <c r="D43" s="184" t="s">
        <v>64</v>
      </c>
      <c r="E43" s="184" t="s">
        <v>28</v>
      </c>
      <c r="F43" s="240"/>
      <c r="G43" s="81"/>
      <c r="H43" s="78"/>
      <c r="I43" s="99" t="s">
        <v>30</v>
      </c>
      <c r="J43" s="99" t="s">
        <v>64</v>
      </c>
      <c r="K43" s="99" t="s">
        <v>28</v>
      </c>
      <c r="L43" s="485"/>
      <c r="M43" s="446"/>
      <c r="N43" s="442"/>
      <c r="O43" s="474" t="s">
        <v>30</v>
      </c>
      <c r="P43" s="474" t="s">
        <v>64</v>
      </c>
      <c r="Q43" s="474" t="s">
        <v>28</v>
      </c>
      <c r="R43" s="443"/>
      <c r="S43" s="364"/>
      <c r="T43" s="360"/>
      <c r="U43" s="384" t="s">
        <v>30</v>
      </c>
      <c r="V43" s="384" t="s">
        <v>64</v>
      </c>
      <c r="W43" s="384" t="s">
        <v>28</v>
      </c>
      <c r="X43" s="361"/>
      <c r="Y43" s="310"/>
      <c r="Z43" s="307"/>
      <c r="AA43" s="331" t="s">
        <v>30</v>
      </c>
      <c r="AB43" s="331" t="s">
        <v>64</v>
      </c>
      <c r="AC43" s="331" t="s">
        <v>28</v>
      </c>
      <c r="AD43" s="308"/>
      <c r="AE43" s="200"/>
      <c r="AF43" s="197"/>
      <c r="AG43" s="215" t="s">
        <v>30</v>
      </c>
      <c r="AH43" s="215" t="s">
        <v>64</v>
      </c>
      <c r="AI43" s="215" t="s">
        <v>28</v>
      </c>
      <c r="AJ43" s="228"/>
      <c r="AK43" s="271"/>
      <c r="AL43" s="267"/>
      <c r="AM43" s="291" t="s">
        <v>30</v>
      </c>
      <c r="AN43" s="291" t="s">
        <v>64</v>
      </c>
      <c r="AO43" s="291" t="s">
        <v>28</v>
      </c>
      <c r="AP43" s="268"/>
      <c r="AQ43" s="169"/>
      <c r="AR43" s="166"/>
      <c r="AS43" s="184" t="s">
        <v>30</v>
      </c>
      <c r="AT43" s="184" t="s">
        <v>64</v>
      </c>
      <c r="AU43" s="184" t="s">
        <v>28</v>
      </c>
      <c r="AV43" s="240"/>
      <c r="AW43" s="116"/>
      <c r="AX43" s="113"/>
      <c r="AY43" s="134" t="s">
        <v>30</v>
      </c>
      <c r="AZ43" s="134" t="s">
        <v>64</v>
      </c>
      <c r="BA43" s="134" t="s">
        <v>28</v>
      </c>
      <c r="BB43" s="113"/>
      <c r="BC43" s="81"/>
      <c r="BD43" s="78"/>
      <c r="BE43" s="99" t="s">
        <v>30</v>
      </c>
      <c r="BF43" s="99" t="s">
        <v>64</v>
      </c>
      <c r="BG43" s="99" t="s">
        <v>28</v>
      </c>
      <c r="BH43" s="78"/>
    </row>
    <row r="44" spans="1:60" ht="16.5" x14ac:dyDescent="0.35">
      <c r="A44" s="172" t="str">
        <f>A10</f>
        <v>Projected Revenue Sep 2022-Aug 2023</v>
      </c>
      <c r="B44" s="173"/>
      <c r="C44" s="174"/>
      <c r="D44" s="174"/>
      <c r="E44" s="174"/>
      <c r="F44" s="240"/>
      <c r="G44" s="84" t="s">
        <v>165</v>
      </c>
      <c r="H44" s="78"/>
      <c r="I44" s="86"/>
      <c r="J44" s="86"/>
      <c r="K44" s="86"/>
      <c r="L44" s="485"/>
      <c r="M44" s="449" t="str">
        <f>M10</f>
        <v>Projected Revenue Sep 2020-Aug 2021</v>
      </c>
      <c r="N44" s="450"/>
      <c r="O44" s="451"/>
      <c r="P44" s="451"/>
      <c r="Q44" s="451"/>
      <c r="R44" s="443"/>
      <c r="S44" s="367" t="str">
        <f>S10</f>
        <v>Projected Revenue Sep 2019-Aug 2020</v>
      </c>
      <c r="T44" s="368"/>
      <c r="U44" s="369"/>
      <c r="V44" s="369"/>
      <c r="W44" s="369"/>
      <c r="X44" s="361"/>
      <c r="Y44" s="313" t="str">
        <f>Y10</f>
        <v>Projected Revenue Sep 2018-Aug 2019</v>
      </c>
      <c r="Z44" s="314"/>
      <c r="AA44" s="315"/>
      <c r="AB44" s="315"/>
      <c r="AC44" s="315"/>
      <c r="AD44" s="308"/>
      <c r="AE44" s="203" t="str">
        <f>AE10</f>
        <v>Projected Revenue Sep 2017-Aug 2018</v>
      </c>
      <c r="AF44" s="204"/>
      <c r="AG44" s="205"/>
      <c r="AH44" s="205"/>
      <c r="AI44" s="205"/>
      <c r="AJ44" s="228"/>
      <c r="AK44" s="274" t="str">
        <f>AK10</f>
        <v>Projected Revenue Sep 2016-Aug 2017</v>
      </c>
      <c r="AL44" s="275"/>
      <c r="AM44" s="276"/>
      <c r="AN44" s="276"/>
      <c r="AO44" s="276"/>
      <c r="AP44" s="268"/>
      <c r="AQ44" s="172" t="str">
        <f>AQ10</f>
        <v>Projected Revenue Sep 2015-Aug 2016</v>
      </c>
      <c r="AR44" s="173"/>
      <c r="AS44" s="174"/>
      <c r="AT44" s="174"/>
      <c r="AU44" s="174"/>
      <c r="AV44" s="240"/>
      <c r="AW44" s="119" t="str">
        <f>AW10</f>
        <v>Projected Revenue Sep 2014-Aug 2015</v>
      </c>
      <c r="AX44" s="120"/>
      <c r="AY44" s="121"/>
      <c r="AZ44" s="121"/>
      <c r="BA44" s="121"/>
      <c r="BB44" s="113"/>
      <c r="BC44" s="84" t="str">
        <f>BC10</f>
        <v>Projected Revenue Sep 2013-Aug 2014</v>
      </c>
      <c r="BD44" s="85"/>
      <c r="BE44" s="86"/>
      <c r="BF44" s="86"/>
      <c r="BG44" s="86"/>
      <c r="BH44" s="78"/>
    </row>
    <row r="45" spans="1:60" x14ac:dyDescent="0.2">
      <c r="A45" s="175" t="s">
        <v>65</v>
      </c>
      <c r="B45" s="179"/>
      <c r="C45" s="176">
        <f>+'MF Units'!C9+'MF Units'!C10</f>
        <v>11458.540909090903</v>
      </c>
      <c r="D45" s="177">
        <f>+J47</f>
        <v>0.51</v>
      </c>
      <c r="E45" s="176">
        <f>C45*D45</f>
        <v>5843.8558636363605</v>
      </c>
      <c r="F45" s="240"/>
      <c r="G45" s="87" t="s">
        <v>65</v>
      </c>
      <c r="H45" s="78"/>
      <c r="I45" s="88">
        <v>11604.306818181813</v>
      </c>
      <c r="J45" s="486">
        <v>0.13</v>
      </c>
      <c r="K45" s="88">
        <v>1508.5598863636358</v>
      </c>
      <c r="L45" s="485"/>
      <c r="M45" s="452" t="s">
        <v>65</v>
      </c>
      <c r="N45" s="456"/>
      <c r="O45" s="453">
        <v>12255</v>
      </c>
      <c r="P45" s="454">
        <f>+V47</f>
        <v>0.28999999999999998</v>
      </c>
      <c r="Q45" s="453">
        <f>O45*P45</f>
        <v>3553.95</v>
      </c>
      <c r="R45" s="443"/>
      <c r="S45" s="370" t="s">
        <v>65</v>
      </c>
      <c r="T45" s="374"/>
      <c r="U45" s="371">
        <v>11910</v>
      </c>
      <c r="V45" s="372">
        <f>+AB47</f>
        <v>0.28999999999999998</v>
      </c>
      <c r="W45" s="371">
        <f>U45*V45</f>
        <v>3453.8999999999996</v>
      </c>
      <c r="X45" s="361"/>
      <c r="Y45" s="316" t="s">
        <v>65</v>
      </c>
      <c r="Z45" s="320"/>
      <c r="AA45" s="317">
        <v>11761.868181818176</v>
      </c>
      <c r="AB45" s="332">
        <f>+AH47</f>
        <v>0.47</v>
      </c>
      <c r="AC45" s="317">
        <f>AA45*AB45</f>
        <v>5528.078045454542</v>
      </c>
      <c r="AD45" s="308"/>
      <c r="AE45" s="206" t="s">
        <v>65</v>
      </c>
      <c r="AF45" s="210"/>
      <c r="AG45" s="207">
        <v>11389.822727272722</v>
      </c>
      <c r="AH45" s="216">
        <v>0.34</v>
      </c>
      <c r="AI45" s="207">
        <f>AG45*AH45</f>
        <v>3872.5397272727255</v>
      </c>
      <c r="AJ45" s="228"/>
      <c r="AK45" s="277" t="s">
        <v>65</v>
      </c>
      <c r="AL45" s="281"/>
      <c r="AM45" s="278">
        <v>12789</v>
      </c>
      <c r="AN45" s="292">
        <f>+AT47</f>
        <v>0.39</v>
      </c>
      <c r="AO45" s="278">
        <f>AM45*AN45</f>
        <v>4987.71</v>
      </c>
      <c r="AP45" s="268"/>
      <c r="AQ45" s="175" t="s">
        <v>65</v>
      </c>
      <c r="AR45" s="179"/>
      <c r="AS45" s="176">
        <v>12789</v>
      </c>
      <c r="AT45" s="185">
        <v>0.39</v>
      </c>
      <c r="AU45" s="176">
        <f>AS45*AT45</f>
        <v>4987.71</v>
      </c>
      <c r="AV45" s="240"/>
      <c r="AW45" s="122" t="s">
        <v>65</v>
      </c>
      <c r="AX45" s="125"/>
      <c r="AY45" s="123">
        <v>12902</v>
      </c>
      <c r="AZ45" s="124">
        <f>+BF47</f>
        <v>0.35</v>
      </c>
      <c r="BA45" s="123">
        <f>AY45*AZ45</f>
        <v>4515.7</v>
      </c>
      <c r="BB45" s="113"/>
      <c r="BC45" s="87" t="s">
        <v>65</v>
      </c>
      <c r="BD45" s="90"/>
      <c r="BE45" s="88">
        <v>12916</v>
      </c>
      <c r="BF45" s="89">
        <v>0.5</v>
      </c>
      <c r="BG45" s="88">
        <f>BE45*BF45</f>
        <v>6458</v>
      </c>
      <c r="BH45" s="78"/>
    </row>
    <row r="46" spans="1:60" x14ac:dyDescent="0.2">
      <c r="A46" s="175"/>
      <c r="B46" s="179"/>
      <c r="C46" s="176"/>
      <c r="D46" s="177"/>
      <c r="E46" s="176"/>
      <c r="F46" s="240"/>
      <c r="G46" s="87"/>
      <c r="H46" s="78"/>
      <c r="I46" s="88"/>
      <c r="J46" s="486"/>
      <c r="K46" s="88"/>
      <c r="L46" s="485"/>
      <c r="M46" s="452"/>
      <c r="N46" s="456"/>
      <c r="O46" s="453"/>
      <c r="P46" s="454"/>
      <c r="Q46" s="453"/>
      <c r="R46" s="443"/>
      <c r="S46" s="370"/>
      <c r="T46" s="374"/>
      <c r="U46" s="371"/>
      <c r="V46" s="372"/>
      <c r="W46" s="371"/>
      <c r="X46" s="361"/>
      <c r="Y46" s="316"/>
      <c r="Z46" s="320"/>
      <c r="AA46" s="317"/>
      <c r="AB46" s="332"/>
      <c r="AC46" s="317"/>
      <c r="AD46" s="308"/>
      <c r="AE46" s="206"/>
      <c r="AF46" s="210"/>
      <c r="AG46" s="207"/>
      <c r="AH46" s="216"/>
      <c r="AI46" s="207"/>
      <c r="AJ46" s="228"/>
      <c r="AK46" s="277"/>
      <c r="AL46" s="281"/>
      <c r="AM46" s="278"/>
      <c r="AN46" s="292"/>
      <c r="AO46" s="278"/>
      <c r="AP46" s="268"/>
      <c r="AQ46" s="175"/>
      <c r="AR46" s="179"/>
      <c r="AS46" s="176"/>
      <c r="AT46" s="185"/>
      <c r="AU46" s="176"/>
      <c r="AV46" s="240"/>
      <c r="AW46" s="122"/>
      <c r="AX46" s="125"/>
      <c r="AY46" s="123"/>
      <c r="AZ46" s="124"/>
      <c r="BA46" s="123"/>
      <c r="BB46" s="113"/>
      <c r="BC46" s="87"/>
      <c r="BD46" s="90"/>
      <c r="BE46" s="88"/>
      <c r="BF46" s="89"/>
      <c r="BG46" s="88"/>
      <c r="BH46" s="78"/>
    </row>
    <row r="47" spans="1:60" ht="15" x14ac:dyDescent="0.35">
      <c r="A47" s="175" t="s">
        <v>66</v>
      </c>
      <c r="B47" s="179"/>
      <c r="C47" s="180">
        <f>SUM('MF Units'!C11:C20)</f>
        <v>55406.143181818159</v>
      </c>
      <c r="D47" s="177">
        <f>+L64</f>
        <v>0.63</v>
      </c>
      <c r="E47" s="180">
        <f>C47*D47</f>
        <v>34905.870204545441</v>
      </c>
      <c r="F47" s="240"/>
      <c r="G47" s="87" t="s">
        <v>66</v>
      </c>
      <c r="H47" s="78"/>
      <c r="I47" s="91">
        <v>57066.227272727243</v>
      </c>
      <c r="J47" s="486">
        <v>0.51</v>
      </c>
      <c r="K47" s="91">
        <v>29103.775909090895</v>
      </c>
      <c r="L47" s="485"/>
      <c r="M47" s="452" t="s">
        <v>66</v>
      </c>
      <c r="N47" s="456"/>
      <c r="O47" s="457">
        <v>60270</v>
      </c>
      <c r="P47" s="454">
        <f>+X64</f>
        <v>0.13</v>
      </c>
      <c r="Q47" s="457">
        <f>O47*P47</f>
        <v>7835.1</v>
      </c>
      <c r="R47" s="443"/>
      <c r="S47" s="370" t="s">
        <v>66</v>
      </c>
      <c r="T47" s="374"/>
      <c r="U47" s="375">
        <v>60811</v>
      </c>
      <c r="V47" s="372">
        <f>+AD64</f>
        <v>0.28999999999999998</v>
      </c>
      <c r="W47" s="375">
        <f>U47*V47</f>
        <v>17635.189999999999</v>
      </c>
      <c r="X47" s="361"/>
      <c r="Y47" s="316" t="s">
        <v>66</v>
      </c>
      <c r="Z47" s="320"/>
      <c r="AA47" s="321">
        <v>59929.054545454521</v>
      </c>
      <c r="AB47" s="332">
        <f>+AJ64</f>
        <v>0.28999999999999998</v>
      </c>
      <c r="AC47" s="321">
        <f>AA47*AB47</f>
        <v>17379.425818181811</v>
      </c>
      <c r="AD47" s="308"/>
      <c r="AE47" s="206" t="s">
        <v>66</v>
      </c>
      <c r="AF47" s="210"/>
      <c r="AG47" s="211">
        <v>56963.338636363609</v>
      </c>
      <c r="AH47" s="216">
        <v>0.47</v>
      </c>
      <c r="AI47" s="211">
        <f>AG47*AH47</f>
        <v>26772.769159090894</v>
      </c>
      <c r="AJ47" s="228"/>
      <c r="AK47" s="277" t="s">
        <v>66</v>
      </c>
      <c r="AL47" s="281"/>
      <c r="AM47" s="282">
        <v>62797</v>
      </c>
      <c r="AN47" s="292">
        <f>+AV64</f>
        <v>0.34</v>
      </c>
      <c r="AO47" s="282">
        <f>AM47*AN47</f>
        <v>21350.980000000003</v>
      </c>
      <c r="AP47" s="268"/>
      <c r="AQ47" s="175" t="s">
        <v>66</v>
      </c>
      <c r="AR47" s="179"/>
      <c r="AS47" s="180">
        <v>62774</v>
      </c>
      <c r="AT47" s="185">
        <v>0.39</v>
      </c>
      <c r="AU47" s="180">
        <f>AS47*AT47</f>
        <v>24481.86</v>
      </c>
      <c r="AV47" s="240"/>
      <c r="AW47" s="122" t="s">
        <v>66</v>
      </c>
      <c r="AX47" s="125"/>
      <c r="AY47" s="126">
        <v>64538</v>
      </c>
      <c r="AZ47" s="124">
        <f>+BH64</f>
        <v>0.39292263980369369</v>
      </c>
      <c r="BA47" s="126">
        <f>AY47*AZ47</f>
        <v>25358.441327650784</v>
      </c>
      <c r="BB47" s="113"/>
      <c r="BC47" s="87" t="s">
        <v>66</v>
      </c>
      <c r="BD47" s="90"/>
      <c r="BE47" s="91">
        <v>64514</v>
      </c>
      <c r="BF47" s="89">
        <v>0.35</v>
      </c>
      <c r="BG47" s="91">
        <f>BE47*BF47</f>
        <v>22579.899999999998</v>
      </c>
      <c r="BH47" s="78"/>
    </row>
    <row r="48" spans="1:60" x14ac:dyDescent="0.2">
      <c r="A48" s="169" t="s">
        <v>22</v>
      </c>
      <c r="B48" s="166"/>
      <c r="C48" s="176">
        <f>SUM(C45:C47)</f>
        <v>66864.684090909068</v>
      </c>
      <c r="D48" s="166"/>
      <c r="E48" s="176">
        <f>SUM(E45:E47)</f>
        <v>40749.726068181801</v>
      </c>
      <c r="F48" s="240"/>
      <c r="G48" s="81" t="s">
        <v>22</v>
      </c>
      <c r="H48" s="78"/>
      <c r="I48" s="88">
        <v>68670.534090909059</v>
      </c>
      <c r="J48" s="78"/>
      <c r="K48" s="88">
        <v>30612.335795454532</v>
      </c>
      <c r="L48" s="485"/>
      <c r="M48" s="446" t="s">
        <v>22</v>
      </c>
      <c r="N48" s="442"/>
      <c r="O48" s="453">
        <f>SUM(O45:O47)</f>
        <v>72525</v>
      </c>
      <c r="P48" s="442"/>
      <c r="Q48" s="453">
        <f>SUM(Q45:Q47)</f>
        <v>11389.05</v>
      </c>
      <c r="R48" s="443"/>
      <c r="S48" s="364" t="s">
        <v>22</v>
      </c>
      <c r="T48" s="360"/>
      <c r="U48" s="371">
        <f>SUM(U45:U47)</f>
        <v>72721</v>
      </c>
      <c r="V48" s="360"/>
      <c r="W48" s="371">
        <f>SUM(W45:W47)</f>
        <v>21089.089999999997</v>
      </c>
      <c r="X48" s="361"/>
      <c r="Y48" s="310" t="s">
        <v>22</v>
      </c>
      <c r="Z48" s="307"/>
      <c r="AA48" s="317">
        <f>SUM(AA45:AA47)</f>
        <v>71690.9227272727</v>
      </c>
      <c r="AB48" s="307"/>
      <c r="AC48" s="317">
        <f>SUM(AC45:AC47)</f>
        <v>22907.503863636353</v>
      </c>
      <c r="AD48" s="308"/>
      <c r="AE48" s="200" t="s">
        <v>22</v>
      </c>
      <c r="AF48" s="197"/>
      <c r="AG48" s="207">
        <f>SUM(AG45:AG47)</f>
        <v>68353.161363636333</v>
      </c>
      <c r="AH48" s="197"/>
      <c r="AI48" s="207">
        <f>SUM(AI45:AI47)</f>
        <v>30645.308886363619</v>
      </c>
      <c r="AJ48" s="228"/>
      <c r="AK48" s="271" t="s">
        <v>22</v>
      </c>
      <c r="AL48" s="267"/>
      <c r="AM48" s="278">
        <f>SUM(AM45:AM47)</f>
        <v>75586</v>
      </c>
      <c r="AN48" s="267"/>
      <c r="AO48" s="278">
        <f>SUM(AO45:AO47)</f>
        <v>26338.690000000002</v>
      </c>
      <c r="AP48" s="268"/>
      <c r="AQ48" s="169" t="s">
        <v>22</v>
      </c>
      <c r="AR48" s="166"/>
      <c r="AS48" s="176">
        <f>SUM(AS45:AS47)</f>
        <v>75563</v>
      </c>
      <c r="AT48" s="166"/>
      <c r="AU48" s="176">
        <f>SUM(AU45:AU47)</f>
        <v>29469.57</v>
      </c>
      <c r="AV48" s="240"/>
      <c r="AW48" s="116" t="s">
        <v>22</v>
      </c>
      <c r="AX48" s="113"/>
      <c r="AY48" s="123">
        <f>SUM(AY45:AY47)</f>
        <v>77440</v>
      </c>
      <c r="AZ48" s="113"/>
      <c r="BA48" s="123">
        <f>SUM(BA45:BA47)</f>
        <v>29874.141327650785</v>
      </c>
      <c r="BB48" s="113"/>
      <c r="BC48" s="81" t="s">
        <v>22</v>
      </c>
      <c r="BD48" s="78"/>
      <c r="BE48" s="88">
        <f>SUM(BE45:BE47)</f>
        <v>77430</v>
      </c>
      <c r="BF48" s="78"/>
      <c r="BG48" s="88">
        <f>SUM(BG45:BG47)</f>
        <v>29037.899999999998</v>
      </c>
      <c r="BH48" s="78"/>
    </row>
    <row r="49" spans="1:60" x14ac:dyDescent="0.2">
      <c r="A49" s="169"/>
      <c r="B49" s="166"/>
      <c r="C49" s="166"/>
      <c r="D49" s="166"/>
      <c r="E49" s="166"/>
      <c r="F49" s="240"/>
      <c r="G49" s="81"/>
      <c r="H49" s="78"/>
      <c r="I49" s="78"/>
      <c r="J49" s="78"/>
      <c r="K49" s="78"/>
      <c r="L49" s="485"/>
      <c r="M49" s="446"/>
      <c r="N49" s="442"/>
      <c r="O49" s="442"/>
      <c r="P49" s="442"/>
      <c r="Q49" s="442"/>
      <c r="R49" s="443"/>
      <c r="S49" s="364"/>
      <c r="T49" s="360"/>
      <c r="U49" s="360"/>
      <c r="V49" s="360"/>
      <c r="W49" s="360"/>
      <c r="X49" s="361"/>
      <c r="Y49" s="310"/>
      <c r="Z49" s="307"/>
      <c r="AA49" s="307"/>
      <c r="AB49" s="307"/>
      <c r="AC49" s="307"/>
      <c r="AD49" s="308"/>
      <c r="AE49" s="200"/>
      <c r="AF49" s="197"/>
      <c r="AG49" s="197"/>
      <c r="AH49" s="197"/>
      <c r="AI49" s="197"/>
      <c r="AJ49" s="228"/>
      <c r="AK49" s="271"/>
      <c r="AL49" s="267"/>
      <c r="AM49" s="267"/>
      <c r="AN49" s="267"/>
      <c r="AO49" s="267"/>
      <c r="AP49" s="268"/>
      <c r="AQ49" s="169"/>
      <c r="AR49" s="166"/>
      <c r="AS49" s="166"/>
      <c r="AT49" s="166"/>
      <c r="AU49" s="166"/>
      <c r="AV49" s="240"/>
      <c r="AW49" s="116"/>
      <c r="AX49" s="113"/>
      <c r="AY49" s="113"/>
      <c r="AZ49" s="113"/>
      <c r="BA49" s="113"/>
      <c r="BB49" s="113"/>
      <c r="BC49" s="81"/>
      <c r="BD49" s="78"/>
      <c r="BE49" s="78"/>
      <c r="BF49" s="78"/>
      <c r="BG49" s="78"/>
      <c r="BH49" s="78"/>
    </row>
    <row r="50" spans="1:60" x14ac:dyDescent="0.2">
      <c r="A50" s="175" t="s">
        <v>67</v>
      </c>
      <c r="B50" s="166"/>
      <c r="C50" s="166"/>
      <c r="D50" s="166"/>
      <c r="E50" s="176">
        <f>+'Calculation of Revenue'!F45</f>
        <v>17843.17001399232</v>
      </c>
      <c r="F50" s="240"/>
      <c r="G50" s="87" t="s">
        <v>67</v>
      </c>
      <c r="H50" s="78"/>
      <c r="I50" s="78"/>
      <c r="J50" s="78"/>
      <c r="K50" s="88">
        <v>43091.769618094171</v>
      </c>
      <c r="L50" s="485"/>
      <c r="M50" s="452" t="s">
        <v>67</v>
      </c>
      <c r="N50" s="442"/>
      <c r="O50" s="442"/>
      <c r="P50" s="442"/>
      <c r="Q50" s="453">
        <v>37140</v>
      </c>
      <c r="R50" s="443"/>
      <c r="S50" s="370" t="s">
        <v>67</v>
      </c>
      <c r="T50" s="360"/>
      <c r="U50" s="360"/>
      <c r="V50" s="360"/>
      <c r="W50" s="371">
        <v>9167</v>
      </c>
      <c r="X50" s="361"/>
      <c r="Y50" s="316" t="s">
        <v>67</v>
      </c>
      <c r="Z50" s="307"/>
      <c r="AA50" s="307"/>
      <c r="AB50" s="307"/>
      <c r="AC50" s="317">
        <v>24111.722634559996</v>
      </c>
      <c r="AD50" s="308"/>
      <c r="AE50" s="206" t="s">
        <v>67</v>
      </c>
      <c r="AF50" s="197"/>
      <c r="AG50" s="197"/>
      <c r="AH50" s="197"/>
      <c r="AI50" s="207">
        <v>23808.617180365382</v>
      </c>
      <c r="AJ50" s="228"/>
      <c r="AK50" s="277" t="s">
        <v>67</v>
      </c>
      <c r="AL50" s="267"/>
      <c r="AM50" s="267"/>
      <c r="AN50" s="267"/>
      <c r="AO50" s="278">
        <v>35869</v>
      </c>
      <c r="AP50" s="268"/>
      <c r="AQ50" s="175" t="s">
        <v>67</v>
      </c>
      <c r="AR50" s="166"/>
      <c r="AS50" s="166"/>
      <c r="AT50" s="166"/>
      <c r="AU50" s="176">
        <v>25821</v>
      </c>
      <c r="AV50" s="240"/>
      <c r="AW50" s="122" t="s">
        <v>67</v>
      </c>
      <c r="AX50" s="113"/>
      <c r="AY50" s="113"/>
      <c r="AZ50" s="113"/>
      <c r="BA50" s="123">
        <v>30075.481689875349</v>
      </c>
      <c r="BB50" s="113"/>
      <c r="BC50" s="87" t="s">
        <v>67</v>
      </c>
      <c r="BD50" s="78"/>
      <c r="BE50" s="78"/>
      <c r="BF50" s="78"/>
      <c r="BG50" s="88">
        <v>30424</v>
      </c>
      <c r="BH50" s="78"/>
    </row>
    <row r="51" spans="1:60" x14ac:dyDescent="0.2">
      <c r="A51" s="175"/>
      <c r="B51" s="166"/>
      <c r="C51" s="166"/>
      <c r="D51" s="182"/>
      <c r="E51" s="176"/>
      <c r="F51" s="240"/>
      <c r="G51" s="87"/>
      <c r="H51" s="78"/>
      <c r="I51" s="78"/>
      <c r="J51" s="93"/>
      <c r="K51" s="88"/>
      <c r="L51" s="485"/>
      <c r="M51" s="452"/>
      <c r="N51" s="442"/>
      <c r="O51" s="442"/>
      <c r="P51" s="460"/>
      <c r="Q51" s="453"/>
      <c r="R51" s="443"/>
      <c r="S51" s="370"/>
      <c r="T51" s="360"/>
      <c r="U51" s="360"/>
      <c r="V51" s="378"/>
      <c r="W51" s="371"/>
      <c r="X51" s="361"/>
      <c r="Y51" s="316"/>
      <c r="Z51" s="307"/>
      <c r="AA51" s="307"/>
      <c r="AB51" s="324"/>
      <c r="AC51" s="317"/>
      <c r="AD51" s="308"/>
      <c r="AE51" s="206"/>
      <c r="AF51" s="197"/>
      <c r="AG51" s="197"/>
      <c r="AH51" s="213"/>
      <c r="AI51" s="207"/>
      <c r="AJ51" s="228"/>
      <c r="AK51" s="277"/>
      <c r="AL51" s="267"/>
      <c r="AM51" s="267"/>
      <c r="AN51" s="285"/>
      <c r="AO51" s="278"/>
      <c r="AP51" s="268"/>
      <c r="AQ51" s="175"/>
      <c r="AR51" s="166"/>
      <c r="AS51" s="166"/>
      <c r="AT51" s="182"/>
      <c r="AU51" s="176"/>
      <c r="AV51" s="240"/>
      <c r="AW51" s="122"/>
      <c r="AX51" s="113"/>
      <c r="AY51" s="113"/>
      <c r="AZ51" s="128"/>
      <c r="BA51" s="123"/>
      <c r="BB51" s="113"/>
      <c r="BC51" s="87"/>
      <c r="BD51" s="78"/>
      <c r="BE51" s="78"/>
      <c r="BF51" s="93"/>
      <c r="BG51" s="88"/>
      <c r="BH51" s="78"/>
    </row>
    <row r="52" spans="1:60" ht="15" x14ac:dyDescent="0.35">
      <c r="A52" s="175"/>
      <c r="B52" s="166"/>
      <c r="C52" s="166"/>
      <c r="D52" s="180"/>
      <c r="E52" s="176"/>
      <c r="F52" s="240"/>
      <c r="G52" s="87"/>
      <c r="H52" s="78"/>
      <c r="I52" s="78"/>
      <c r="J52" s="91"/>
      <c r="K52" s="88"/>
      <c r="L52" s="485"/>
      <c r="M52" s="452"/>
      <c r="N52" s="442"/>
      <c r="O52" s="442"/>
      <c r="P52" s="457"/>
      <c r="Q52" s="453"/>
      <c r="R52" s="443"/>
      <c r="S52" s="370"/>
      <c r="T52" s="360"/>
      <c r="U52" s="360"/>
      <c r="V52" s="375"/>
      <c r="W52" s="371"/>
      <c r="X52" s="361"/>
      <c r="Y52" s="316"/>
      <c r="Z52" s="307"/>
      <c r="AA52" s="307"/>
      <c r="AB52" s="321"/>
      <c r="AC52" s="317"/>
      <c r="AD52" s="308"/>
      <c r="AE52" s="206"/>
      <c r="AF52" s="197"/>
      <c r="AG52" s="197"/>
      <c r="AH52" s="211"/>
      <c r="AI52" s="207"/>
      <c r="AJ52" s="228"/>
      <c r="AK52" s="277"/>
      <c r="AL52" s="267"/>
      <c r="AM52" s="267"/>
      <c r="AN52" s="282"/>
      <c r="AO52" s="278"/>
      <c r="AP52" s="268"/>
      <c r="AQ52" s="175"/>
      <c r="AR52" s="166"/>
      <c r="AS52" s="166"/>
      <c r="AT52" s="180"/>
      <c r="AU52" s="176"/>
      <c r="AV52" s="240"/>
      <c r="AW52" s="122"/>
      <c r="AX52" s="113"/>
      <c r="AY52" s="113"/>
      <c r="AZ52" s="126"/>
      <c r="BA52" s="123"/>
      <c r="BB52" s="113"/>
      <c r="BC52" s="87"/>
      <c r="BD52" s="78"/>
      <c r="BE52" s="78"/>
      <c r="BF52" s="91"/>
      <c r="BG52" s="88"/>
      <c r="BH52" s="78"/>
    </row>
    <row r="53" spans="1:60" ht="15" x14ac:dyDescent="0.35">
      <c r="A53" s="175"/>
      <c r="B53" s="166"/>
      <c r="C53" s="166"/>
      <c r="D53" s="166"/>
      <c r="E53" s="180"/>
      <c r="F53" s="240"/>
      <c r="G53" s="87"/>
      <c r="H53" s="78"/>
      <c r="I53" s="78"/>
      <c r="J53" s="78"/>
      <c r="K53" s="91"/>
      <c r="L53" s="485"/>
      <c r="M53" s="452"/>
      <c r="N53" s="442"/>
      <c r="O53" s="442"/>
      <c r="P53" s="442"/>
      <c r="Q53" s="457"/>
      <c r="R53" s="443"/>
      <c r="S53" s="370"/>
      <c r="T53" s="360"/>
      <c r="U53" s="360"/>
      <c r="V53" s="360"/>
      <c r="W53" s="375"/>
      <c r="X53" s="361"/>
      <c r="Y53" s="316"/>
      <c r="Z53" s="307"/>
      <c r="AA53" s="307"/>
      <c r="AB53" s="307"/>
      <c r="AC53" s="321"/>
      <c r="AD53" s="308"/>
      <c r="AE53" s="206"/>
      <c r="AF53" s="197"/>
      <c r="AG53" s="197"/>
      <c r="AH53" s="197"/>
      <c r="AI53" s="211"/>
      <c r="AJ53" s="228"/>
      <c r="AK53" s="277"/>
      <c r="AL53" s="267"/>
      <c r="AM53" s="267"/>
      <c r="AN53" s="267"/>
      <c r="AO53" s="282"/>
      <c r="AP53" s="268"/>
      <c r="AQ53" s="175"/>
      <c r="AR53" s="166"/>
      <c r="AS53" s="166"/>
      <c r="AT53" s="166"/>
      <c r="AU53" s="180"/>
      <c r="AV53" s="240"/>
      <c r="AW53" s="122"/>
      <c r="AX53" s="113"/>
      <c r="AY53" s="113"/>
      <c r="AZ53" s="113"/>
      <c r="BA53" s="126"/>
      <c r="BB53" s="113"/>
      <c r="BC53" s="87"/>
      <c r="BD53" s="78"/>
      <c r="BE53" s="78"/>
      <c r="BF53" s="78"/>
      <c r="BG53" s="91"/>
      <c r="BH53" s="78"/>
    </row>
    <row r="54" spans="1:60" x14ac:dyDescent="0.2">
      <c r="A54" s="183"/>
      <c r="B54" s="166"/>
      <c r="C54" s="166"/>
      <c r="D54" s="166"/>
      <c r="E54" s="176"/>
      <c r="F54" s="240"/>
      <c r="G54" s="94"/>
      <c r="H54" s="78"/>
      <c r="I54" s="78"/>
      <c r="J54" s="78"/>
      <c r="K54" s="88"/>
      <c r="L54" s="485"/>
      <c r="M54" s="461"/>
      <c r="N54" s="442"/>
      <c r="O54" s="442"/>
      <c r="P54" s="442"/>
      <c r="Q54" s="453"/>
      <c r="R54" s="443"/>
      <c r="S54" s="379"/>
      <c r="T54" s="360"/>
      <c r="U54" s="360"/>
      <c r="V54" s="360"/>
      <c r="W54" s="371"/>
      <c r="X54" s="361"/>
      <c r="Y54" s="325"/>
      <c r="Z54" s="307"/>
      <c r="AA54" s="307"/>
      <c r="AB54" s="307"/>
      <c r="AC54" s="317"/>
      <c r="AD54" s="308"/>
      <c r="AE54" s="214"/>
      <c r="AF54" s="197"/>
      <c r="AG54" s="197"/>
      <c r="AH54" s="197"/>
      <c r="AI54" s="207"/>
      <c r="AJ54" s="228"/>
      <c r="AK54" s="286"/>
      <c r="AL54" s="267"/>
      <c r="AM54" s="267"/>
      <c r="AN54" s="267"/>
      <c r="AO54" s="278"/>
      <c r="AP54" s="268"/>
      <c r="AQ54" s="183"/>
      <c r="AR54" s="166"/>
      <c r="AS54" s="166"/>
      <c r="AT54" s="166"/>
      <c r="AU54" s="176"/>
      <c r="AV54" s="240"/>
      <c r="AW54" s="129"/>
      <c r="AX54" s="113"/>
      <c r="AY54" s="113"/>
      <c r="AZ54" s="113"/>
      <c r="BA54" s="123"/>
      <c r="BB54" s="113"/>
      <c r="BC54" s="94"/>
      <c r="BD54" s="78"/>
      <c r="BE54" s="78"/>
      <c r="BF54" s="78"/>
      <c r="BG54" s="88"/>
      <c r="BH54" s="78"/>
    </row>
    <row r="55" spans="1:60" x14ac:dyDescent="0.2">
      <c r="A55" s="183"/>
      <c r="B55" s="166"/>
      <c r="C55" s="166"/>
      <c r="D55" s="166"/>
      <c r="E55" s="176"/>
      <c r="F55" s="240"/>
      <c r="G55" s="94"/>
      <c r="H55" s="78"/>
      <c r="I55" s="78"/>
      <c r="J55" s="78"/>
      <c r="K55" s="88"/>
      <c r="L55" s="485"/>
      <c r="M55" s="461"/>
      <c r="N55" s="442"/>
      <c r="O55" s="442"/>
      <c r="P55" s="442"/>
      <c r="Q55" s="453"/>
      <c r="R55" s="443"/>
      <c r="S55" s="379"/>
      <c r="T55" s="360"/>
      <c r="U55" s="360"/>
      <c r="V55" s="360"/>
      <c r="W55" s="371"/>
      <c r="X55" s="361"/>
      <c r="Y55" s="325"/>
      <c r="Z55" s="307"/>
      <c r="AA55" s="307"/>
      <c r="AB55" s="307"/>
      <c r="AC55" s="317"/>
      <c r="AD55" s="308"/>
      <c r="AE55" s="214"/>
      <c r="AF55" s="197"/>
      <c r="AG55" s="197"/>
      <c r="AH55" s="197"/>
      <c r="AI55" s="207"/>
      <c r="AJ55" s="228"/>
      <c r="AK55" s="286"/>
      <c r="AL55" s="267"/>
      <c r="AM55" s="267"/>
      <c r="AN55" s="267"/>
      <c r="AO55" s="278"/>
      <c r="AP55" s="268"/>
      <c r="AQ55" s="183"/>
      <c r="AR55" s="166"/>
      <c r="AS55" s="166"/>
      <c r="AT55" s="166"/>
      <c r="AU55" s="176"/>
      <c r="AV55" s="240"/>
      <c r="AW55" s="129"/>
      <c r="AX55" s="113"/>
      <c r="AY55" s="113"/>
      <c r="AZ55" s="113"/>
      <c r="BA55" s="123"/>
      <c r="BB55" s="113"/>
      <c r="BC55" s="94"/>
      <c r="BD55" s="78"/>
      <c r="BE55" s="78"/>
      <c r="BF55" s="78"/>
      <c r="BG55" s="88"/>
      <c r="BH55" s="78"/>
    </row>
    <row r="56" spans="1:60" x14ac:dyDescent="0.2">
      <c r="A56" s="169" t="s">
        <v>68</v>
      </c>
      <c r="B56" s="166"/>
      <c r="C56" s="166"/>
      <c r="D56" s="166"/>
      <c r="E56" s="176">
        <f>E50-E48</f>
        <v>-22906.556054189481</v>
      </c>
      <c r="F56" s="240"/>
      <c r="G56" s="81" t="s">
        <v>68</v>
      </c>
      <c r="H56" s="78"/>
      <c r="I56" s="78"/>
      <c r="J56" s="78"/>
      <c r="K56" s="88">
        <v>12479.433822639639</v>
      </c>
      <c r="L56" s="485"/>
      <c r="M56" s="446" t="s">
        <v>68</v>
      </c>
      <c r="N56" s="442"/>
      <c r="O56" s="442"/>
      <c r="P56" s="442"/>
      <c r="Q56" s="453">
        <f>Q50-Q48</f>
        <v>25750.95</v>
      </c>
      <c r="R56" s="443"/>
      <c r="S56" s="364" t="s">
        <v>68</v>
      </c>
      <c r="T56" s="360"/>
      <c r="U56" s="360"/>
      <c r="V56" s="360"/>
      <c r="W56" s="371">
        <f>W50-W48</f>
        <v>-11922.089999999997</v>
      </c>
      <c r="X56" s="361"/>
      <c r="Y56" s="310" t="s">
        <v>68</v>
      </c>
      <c r="Z56" s="307"/>
      <c r="AA56" s="307"/>
      <c r="AB56" s="307"/>
      <c r="AC56" s="317">
        <f>AC50-AC48</f>
        <v>1204.2187709236423</v>
      </c>
      <c r="AD56" s="308"/>
      <c r="AE56" s="200" t="s">
        <v>68</v>
      </c>
      <c r="AF56" s="197"/>
      <c r="AG56" s="197"/>
      <c r="AH56" s="197"/>
      <c r="AI56" s="207">
        <f>AI50-AI48</f>
        <v>-6836.691705998237</v>
      </c>
      <c r="AJ56" s="228"/>
      <c r="AK56" s="271" t="s">
        <v>68</v>
      </c>
      <c r="AL56" s="267"/>
      <c r="AM56" s="267"/>
      <c r="AN56" s="267"/>
      <c r="AO56" s="278">
        <f>AO50-AO48</f>
        <v>9530.3099999999977</v>
      </c>
      <c r="AP56" s="268"/>
      <c r="AQ56" s="169" t="s">
        <v>68</v>
      </c>
      <c r="AR56" s="166"/>
      <c r="AS56" s="166"/>
      <c r="AT56" s="166"/>
      <c r="AU56" s="176">
        <f>AU50-AU48</f>
        <v>-3648.5699999999997</v>
      </c>
      <c r="AV56" s="240"/>
      <c r="AW56" s="116" t="s">
        <v>68</v>
      </c>
      <c r="AX56" s="113"/>
      <c r="AY56" s="113"/>
      <c r="AZ56" s="113"/>
      <c r="BA56" s="123">
        <f>BA50-BA48</f>
        <v>201.34036222456416</v>
      </c>
      <c r="BB56" s="113"/>
      <c r="BC56" s="81" t="s">
        <v>68</v>
      </c>
      <c r="BD56" s="78"/>
      <c r="BE56" s="78"/>
      <c r="BF56" s="78"/>
      <c r="BG56" s="88">
        <f>BG50-BG48</f>
        <v>1386.1000000000022</v>
      </c>
      <c r="BH56" s="78"/>
    </row>
    <row r="57" spans="1:60" x14ac:dyDescent="0.2">
      <c r="A57" s="169"/>
      <c r="B57" s="166"/>
      <c r="C57" s="166"/>
      <c r="D57" s="166"/>
      <c r="E57" s="166"/>
      <c r="F57" s="240"/>
      <c r="G57" s="81"/>
      <c r="H57" s="78"/>
      <c r="I57" s="78"/>
      <c r="J57" s="78"/>
      <c r="K57" s="78"/>
      <c r="L57" s="485"/>
      <c r="M57" s="446"/>
      <c r="N57" s="442"/>
      <c r="O57" s="442"/>
      <c r="P57" s="442"/>
      <c r="Q57" s="442"/>
      <c r="R57" s="443"/>
      <c r="S57" s="364"/>
      <c r="T57" s="360"/>
      <c r="U57" s="360"/>
      <c r="V57" s="360"/>
      <c r="W57" s="360"/>
      <c r="X57" s="361"/>
      <c r="Y57" s="310"/>
      <c r="Z57" s="307"/>
      <c r="AA57" s="307"/>
      <c r="AB57" s="307"/>
      <c r="AC57" s="307"/>
      <c r="AD57" s="308"/>
      <c r="AE57" s="200"/>
      <c r="AF57" s="197"/>
      <c r="AG57" s="197"/>
      <c r="AH57" s="197"/>
      <c r="AI57" s="197"/>
      <c r="AJ57" s="228"/>
      <c r="AK57" s="271"/>
      <c r="AL57" s="267"/>
      <c r="AM57" s="267"/>
      <c r="AN57" s="267"/>
      <c r="AO57" s="267"/>
      <c r="AP57" s="268"/>
      <c r="AQ57" s="169"/>
      <c r="AR57" s="166"/>
      <c r="AS57" s="166"/>
      <c r="AT57" s="166"/>
      <c r="AU57" s="166"/>
      <c r="AV57" s="240"/>
      <c r="AW57" s="116"/>
      <c r="AX57" s="113"/>
      <c r="AY57" s="113"/>
      <c r="AZ57" s="113"/>
      <c r="BA57" s="113"/>
      <c r="BB57" s="113"/>
      <c r="BC57" s="81"/>
      <c r="BD57" s="78"/>
      <c r="BE57" s="78"/>
      <c r="BF57" s="78"/>
      <c r="BG57" s="78"/>
      <c r="BH57" s="78"/>
    </row>
    <row r="58" spans="1:60" x14ac:dyDescent="0.2">
      <c r="A58" s="169" t="s">
        <v>69</v>
      </c>
      <c r="B58" s="166"/>
      <c r="C58" s="166"/>
      <c r="D58" s="166"/>
      <c r="E58" s="176">
        <f>+C48</f>
        <v>66864.684090909068</v>
      </c>
      <c r="F58" s="240"/>
      <c r="G58" s="81" t="s">
        <v>69</v>
      </c>
      <c r="H58" s="78"/>
      <c r="I58" s="78"/>
      <c r="J58" s="78"/>
      <c r="K58" s="88">
        <v>68670.534090909059</v>
      </c>
      <c r="L58" s="485"/>
      <c r="M58" s="446" t="s">
        <v>69</v>
      </c>
      <c r="N58" s="442"/>
      <c r="O58" s="442"/>
      <c r="P58" s="442"/>
      <c r="Q58" s="453">
        <f>+O48</f>
        <v>72525</v>
      </c>
      <c r="R58" s="443"/>
      <c r="S58" s="364" t="s">
        <v>69</v>
      </c>
      <c r="T58" s="360"/>
      <c r="U58" s="360"/>
      <c r="V58" s="360"/>
      <c r="W58" s="371">
        <f>+U48</f>
        <v>72721</v>
      </c>
      <c r="X58" s="361"/>
      <c r="Y58" s="310" t="s">
        <v>69</v>
      </c>
      <c r="Z58" s="307"/>
      <c r="AA58" s="307"/>
      <c r="AB58" s="307"/>
      <c r="AC58" s="317">
        <f>+AA48</f>
        <v>71690.9227272727</v>
      </c>
      <c r="AD58" s="308"/>
      <c r="AE58" s="200" t="s">
        <v>69</v>
      </c>
      <c r="AF58" s="197"/>
      <c r="AG58" s="197"/>
      <c r="AH58" s="197"/>
      <c r="AI58" s="207">
        <f>+AG48</f>
        <v>68353.161363636333</v>
      </c>
      <c r="AJ58" s="228"/>
      <c r="AK58" s="271" t="s">
        <v>69</v>
      </c>
      <c r="AL58" s="267"/>
      <c r="AM58" s="267"/>
      <c r="AN58" s="267"/>
      <c r="AO58" s="278">
        <f>+AM48</f>
        <v>75586</v>
      </c>
      <c r="AP58" s="268"/>
      <c r="AQ58" s="169" t="s">
        <v>69</v>
      </c>
      <c r="AR58" s="166"/>
      <c r="AS58" s="166"/>
      <c r="AT58" s="166"/>
      <c r="AU58" s="176">
        <f>+AS48</f>
        <v>75563</v>
      </c>
      <c r="AV58" s="240"/>
      <c r="AW58" s="116" t="s">
        <v>69</v>
      </c>
      <c r="AX58" s="113"/>
      <c r="AY58" s="113"/>
      <c r="AZ58" s="113"/>
      <c r="BA58" s="123">
        <f>+AY48</f>
        <v>77440</v>
      </c>
      <c r="BB58" s="113"/>
      <c r="BC58" s="81" t="s">
        <v>69</v>
      </c>
      <c r="BD58" s="78"/>
      <c r="BE58" s="78"/>
      <c r="BF58" s="78"/>
      <c r="BG58" s="88">
        <f>+BE48</f>
        <v>77430</v>
      </c>
      <c r="BH58" s="78"/>
    </row>
    <row r="59" spans="1:60" x14ac:dyDescent="0.2">
      <c r="A59" s="169"/>
      <c r="B59" s="166"/>
      <c r="C59" s="166"/>
      <c r="D59" s="166"/>
      <c r="E59" s="166"/>
      <c r="F59" s="240"/>
      <c r="G59" s="81"/>
      <c r="H59" s="78"/>
      <c r="I59" s="78"/>
      <c r="J59" s="78"/>
      <c r="K59" s="78"/>
      <c r="L59" s="485"/>
      <c r="M59" s="446"/>
      <c r="N59" s="442"/>
      <c r="O59" s="442"/>
      <c r="P59" s="442"/>
      <c r="Q59" s="442"/>
      <c r="R59" s="443"/>
      <c r="S59" s="364"/>
      <c r="T59" s="360"/>
      <c r="U59" s="360"/>
      <c r="V59" s="360"/>
      <c r="W59" s="360"/>
      <c r="X59" s="361"/>
      <c r="Y59" s="310"/>
      <c r="Z59" s="307"/>
      <c r="AA59" s="307"/>
      <c r="AB59" s="307"/>
      <c r="AC59" s="307"/>
      <c r="AD59" s="308"/>
      <c r="AE59" s="200"/>
      <c r="AF59" s="197"/>
      <c r="AG59" s="197"/>
      <c r="AH59" s="197"/>
      <c r="AI59" s="197"/>
      <c r="AJ59" s="228"/>
      <c r="AK59" s="271"/>
      <c r="AL59" s="267"/>
      <c r="AM59" s="267"/>
      <c r="AN59" s="267"/>
      <c r="AO59" s="267"/>
      <c r="AP59" s="268"/>
      <c r="AQ59" s="169"/>
      <c r="AR59" s="166"/>
      <c r="AS59" s="166"/>
      <c r="AT59" s="166"/>
      <c r="AU59" s="166"/>
      <c r="AV59" s="240"/>
      <c r="AW59" s="116"/>
      <c r="AX59" s="113"/>
      <c r="AY59" s="113"/>
      <c r="AZ59" s="113"/>
      <c r="BA59" s="113"/>
      <c r="BB59" s="113"/>
      <c r="BC59" s="81"/>
      <c r="BD59" s="78"/>
      <c r="BE59" s="78"/>
      <c r="BF59" s="78"/>
      <c r="BG59" s="78"/>
      <c r="BH59" s="78"/>
    </row>
    <row r="60" spans="1:60" x14ac:dyDescent="0.2">
      <c r="A60" s="169" t="s">
        <v>70</v>
      </c>
      <c r="B60" s="166"/>
      <c r="C60" s="166"/>
      <c r="D60" s="166"/>
      <c r="E60" s="166"/>
      <c r="F60" s="246">
        <f>ROUND(E56/E58,2)</f>
        <v>-0.34</v>
      </c>
      <c r="G60" s="81" t="s">
        <v>70</v>
      </c>
      <c r="H60" s="100"/>
      <c r="I60" s="78"/>
      <c r="J60" s="78"/>
      <c r="K60" s="78"/>
      <c r="L60" s="500">
        <v>0.18</v>
      </c>
      <c r="M60" s="446" t="s">
        <v>70</v>
      </c>
      <c r="N60" s="442"/>
      <c r="O60" s="442"/>
      <c r="P60" s="442"/>
      <c r="Q60" s="442"/>
      <c r="R60" s="475">
        <f>ROUND(Q56/Q58,2)</f>
        <v>0.36</v>
      </c>
      <c r="S60" s="364" t="s">
        <v>70</v>
      </c>
      <c r="T60" s="360"/>
      <c r="U60" s="360"/>
      <c r="V60" s="360"/>
      <c r="W60" s="360"/>
      <c r="X60" s="385">
        <f>ROUND(W56/W58,2)</f>
        <v>-0.16</v>
      </c>
      <c r="Y60" s="310" t="s">
        <v>70</v>
      </c>
      <c r="Z60" s="307"/>
      <c r="AA60" s="307"/>
      <c r="AB60" s="307"/>
      <c r="AC60" s="307"/>
      <c r="AD60" s="333">
        <f>ROUND(AC56/AC58,2)</f>
        <v>0.02</v>
      </c>
      <c r="AE60" s="200" t="s">
        <v>70</v>
      </c>
      <c r="AF60" s="197"/>
      <c r="AG60" s="197"/>
      <c r="AH60" s="197"/>
      <c r="AI60" s="197"/>
      <c r="AJ60" s="234">
        <f>ROUND(AI56/AI58,2)</f>
        <v>-0.1</v>
      </c>
      <c r="AK60" s="271" t="s">
        <v>70</v>
      </c>
      <c r="AL60" s="267"/>
      <c r="AM60" s="267"/>
      <c r="AN60" s="267"/>
      <c r="AO60" s="267"/>
      <c r="AP60" s="293">
        <f>ROUND(AO56/AO58,2)</f>
        <v>0.13</v>
      </c>
      <c r="AQ60" s="169" t="s">
        <v>70</v>
      </c>
      <c r="AR60" s="166"/>
      <c r="AS60" s="166"/>
      <c r="AT60" s="166"/>
      <c r="AU60" s="166"/>
      <c r="AV60" s="246">
        <f>ROUND(AU56/AU58,2)</f>
        <v>-0.05</v>
      </c>
      <c r="AW60" s="116" t="s">
        <v>70</v>
      </c>
      <c r="AX60" s="113"/>
      <c r="AY60" s="113"/>
      <c r="AZ60" s="113"/>
      <c r="BA60" s="113"/>
      <c r="BB60" s="135">
        <f>ROUND(BA56/BA58,2)</f>
        <v>0</v>
      </c>
      <c r="BC60" s="81" t="s">
        <v>70</v>
      </c>
      <c r="BD60" s="78"/>
      <c r="BE60" s="78"/>
      <c r="BF60" s="78"/>
      <c r="BG60" s="78"/>
      <c r="BH60" s="100">
        <f>ROUND(BG56/BG58,2)</f>
        <v>0.02</v>
      </c>
    </row>
    <row r="61" spans="1:60" x14ac:dyDescent="0.2">
      <c r="A61" s="169"/>
      <c r="B61" s="166"/>
      <c r="C61" s="166"/>
      <c r="D61" s="166"/>
      <c r="E61" s="176"/>
      <c r="F61" s="240"/>
      <c r="G61" s="81"/>
      <c r="H61" s="78"/>
      <c r="I61" s="78"/>
      <c r="J61" s="78"/>
      <c r="K61" s="88"/>
      <c r="L61" s="485"/>
      <c r="M61" s="446"/>
      <c r="N61" s="442"/>
      <c r="O61" s="442"/>
      <c r="P61" s="442"/>
      <c r="Q61" s="453"/>
      <c r="R61" s="443"/>
      <c r="S61" s="364"/>
      <c r="T61" s="360"/>
      <c r="U61" s="360"/>
      <c r="V61" s="360"/>
      <c r="W61" s="371"/>
      <c r="X61" s="361"/>
      <c r="Y61" s="310"/>
      <c r="Z61" s="307"/>
      <c r="AA61" s="307"/>
      <c r="AB61" s="307"/>
      <c r="AC61" s="317"/>
      <c r="AD61" s="308"/>
      <c r="AE61" s="200"/>
      <c r="AF61" s="197"/>
      <c r="AG61" s="197"/>
      <c r="AH61" s="197"/>
      <c r="AI61" s="207"/>
      <c r="AJ61" s="228"/>
      <c r="AK61" s="271"/>
      <c r="AL61" s="267"/>
      <c r="AM61" s="267"/>
      <c r="AN61" s="267"/>
      <c r="AO61" s="278"/>
      <c r="AP61" s="268"/>
      <c r="AQ61" s="169"/>
      <c r="AR61" s="166"/>
      <c r="AS61" s="166"/>
      <c r="AT61" s="166"/>
      <c r="AU61" s="176"/>
      <c r="AV61" s="240"/>
      <c r="AW61" s="116"/>
      <c r="AX61" s="113"/>
      <c r="AY61" s="113"/>
      <c r="AZ61" s="113"/>
      <c r="BA61" s="123"/>
      <c r="BB61" s="113"/>
      <c r="BC61" s="81"/>
      <c r="BD61" s="78"/>
      <c r="BE61" s="78"/>
      <c r="BF61" s="78"/>
      <c r="BG61" s="88"/>
      <c r="BH61" s="78"/>
    </row>
    <row r="62" spans="1:60" ht="16.5" x14ac:dyDescent="0.35">
      <c r="A62" s="172" t="str">
        <f>A28</f>
        <v>Projected Revenue Sep 2023-Aug 2024</v>
      </c>
      <c r="B62" s="173"/>
      <c r="C62" s="166"/>
      <c r="D62" s="166"/>
      <c r="E62" s="186">
        <f>+E50</f>
        <v>17843.17001399232</v>
      </c>
      <c r="F62" s="240"/>
      <c r="G62" s="84" t="s">
        <v>171</v>
      </c>
      <c r="H62" s="78"/>
      <c r="I62" s="78"/>
      <c r="J62" s="78"/>
      <c r="K62" s="101">
        <v>43091.769618094171</v>
      </c>
      <c r="L62" s="485"/>
      <c r="M62" s="449" t="str">
        <f>M28</f>
        <v xml:space="preserve">Projected Revenue Sep 2021-Aug 2022 </v>
      </c>
      <c r="N62" s="450"/>
      <c r="O62" s="442"/>
      <c r="P62" s="442"/>
      <c r="Q62" s="476">
        <f>+Q50</f>
        <v>37140</v>
      </c>
      <c r="R62" s="443"/>
      <c r="S62" s="367" t="str">
        <f>S28</f>
        <v xml:space="preserve">Projected Revenue Sep 2020-Aug 2021 </v>
      </c>
      <c r="T62" s="368"/>
      <c r="U62" s="360"/>
      <c r="V62" s="360"/>
      <c r="W62" s="386">
        <f>+W50</f>
        <v>9167</v>
      </c>
      <c r="X62" s="361"/>
      <c r="Y62" s="313" t="str">
        <f>Y28</f>
        <v>Projected Revenue Sep 2019-Aug 2020 (annualization of most recent six months)</v>
      </c>
      <c r="Z62" s="314"/>
      <c r="AA62" s="307"/>
      <c r="AB62" s="307"/>
      <c r="AC62" s="334">
        <v>20456.041750600001</v>
      </c>
      <c r="AD62" s="308"/>
      <c r="AE62" s="203" t="str">
        <f>AE28</f>
        <v>Projected Revenue Sep 2018-Aug 2019 (annualization of most recent six months)</v>
      </c>
      <c r="AF62" s="204"/>
      <c r="AG62" s="197"/>
      <c r="AH62" s="197"/>
      <c r="AI62" s="217">
        <v>19998.544344284699</v>
      </c>
      <c r="AJ62" s="228"/>
      <c r="AK62" s="274" t="str">
        <f>AK28</f>
        <v>Projected Revenue Sep 2017-Aug 2018</v>
      </c>
      <c r="AL62" s="275"/>
      <c r="AM62" s="267"/>
      <c r="AN62" s="267"/>
      <c r="AO62" s="294">
        <f>+AO50</f>
        <v>35869</v>
      </c>
      <c r="AP62" s="268"/>
      <c r="AQ62" s="172" t="str">
        <f>AQ28</f>
        <v>Projected Revenue Sep 2016-Aug 2017</v>
      </c>
      <c r="AR62" s="173"/>
      <c r="AS62" s="166"/>
      <c r="AT62" s="166"/>
      <c r="AU62" s="186">
        <f>+AU50</f>
        <v>25821</v>
      </c>
      <c r="AV62" s="240"/>
      <c r="AW62" s="119" t="str">
        <f>AW28</f>
        <v>Projected Revenue Sep 2015-Aug 2016</v>
      </c>
      <c r="AX62" s="120"/>
      <c r="AY62" s="113"/>
      <c r="AZ62" s="113"/>
      <c r="BA62" s="136">
        <f>+BA50</f>
        <v>30075.481689875349</v>
      </c>
      <c r="BB62" s="113"/>
      <c r="BC62" s="84" t="str">
        <f>BC28</f>
        <v>Projected Revenue Sep 2014-Aug 2015</v>
      </c>
      <c r="BD62" s="85"/>
      <c r="BE62" s="78"/>
      <c r="BF62" s="78"/>
      <c r="BG62" s="101">
        <f>+BG50</f>
        <v>30424</v>
      </c>
      <c r="BH62" s="78"/>
    </row>
    <row r="63" spans="1:60" x14ac:dyDescent="0.2">
      <c r="A63" s="169" t="s">
        <v>69</v>
      </c>
      <c r="B63" s="166"/>
      <c r="C63" s="166"/>
      <c r="D63" s="166"/>
      <c r="E63" s="176">
        <f>+C48</f>
        <v>66864.684090909068</v>
      </c>
      <c r="F63" s="240"/>
      <c r="G63" s="81" t="s">
        <v>69</v>
      </c>
      <c r="H63" s="78"/>
      <c r="I63" s="78"/>
      <c r="J63" s="78"/>
      <c r="K63" s="88">
        <v>68670.534090909059</v>
      </c>
      <c r="L63" s="485"/>
      <c r="M63" s="446" t="s">
        <v>69</v>
      </c>
      <c r="N63" s="442"/>
      <c r="O63" s="442"/>
      <c r="P63" s="442"/>
      <c r="Q63" s="453">
        <f>+O48</f>
        <v>72525</v>
      </c>
      <c r="R63" s="443"/>
      <c r="S63" s="364" t="s">
        <v>69</v>
      </c>
      <c r="T63" s="360"/>
      <c r="U63" s="360"/>
      <c r="V63" s="360"/>
      <c r="W63" s="371">
        <f>+U48</f>
        <v>72721</v>
      </c>
      <c r="X63" s="361"/>
      <c r="Y63" s="310" t="s">
        <v>69</v>
      </c>
      <c r="Z63" s="307"/>
      <c r="AA63" s="307"/>
      <c r="AB63" s="307"/>
      <c r="AC63" s="317">
        <f>+AA48</f>
        <v>71690.9227272727</v>
      </c>
      <c r="AD63" s="308"/>
      <c r="AE63" s="200" t="s">
        <v>69</v>
      </c>
      <c r="AF63" s="197"/>
      <c r="AG63" s="197"/>
      <c r="AH63" s="197"/>
      <c r="AI63" s="207">
        <f>+AG48</f>
        <v>68353.161363636333</v>
      </c>
      <c r="AJ63" s="228"/>
      <c r="AK63" s="271" t="s">
        <v>69</v>
      </c>
      <c r="AL63" s="267"/>
      <c r="AM63" s="267"/>
      <c r="AN63" s="267"/>
      <c r="AO63" s="278">
        <f>+AM48</f>
        <v>75586</v>
      </c>
      <c r="AP63" s="268"/>
      <c r="AQ63" s="169" t="s">
        <v>69</v>
      </c>
      <c r="AR63" s="166"/>
      <c r="AS63" s="166"/>
      <c r="AT63" s="166"/>
      <c r="AU63" s="176">
        <f>+AS48</f>
        <v>75563</v>
      </c>
      <c r="AV63" s="240"/>
      <c r="AW63" s="116" t="s">
        <v>69</v>
      </c>
      <c r="AX63" s="113"/>
      <c r="AY63" s="113"/>
      <c r="AZ63" s="113"/>
      <c r="BA63" s="123">
        <f>+AY48</f>
        <v>77440</v>
      </c>
      <c r="BB63" s="113"/>
      <c r="BC63" s="81" t="s">
        <v>69</v>
      </c>
      <c r="BD63" s="78"/>
      <c r="BE63" s="78"/>
      <c r="BF63" s="78"/>
      <c r="BG63" s="88">
        <f>+BE48</f>
        <v>77430</v>
      </c>
      <c r="BH63" s="78"/>
    </row>
    <row r="64" spans="1:60" ht="15" x14ac:dyDescent="0.35">
      <c r="A64" s="169" t="s">
        <v>71</v>
      </c>
      <c r="B64" s="166"/>
      <c r="C64" s="166"/>
      <c r="D64" s="166"/>
      <c r="E64" s="166"/>
      <c r="F64" s="563">
        <f>ROUND(+E62/E63,2)</f>
        <v>0.27</v>
      </c>
      <c r="G64" s="81" t="s">
        <v>71</v>
      </c>
      <c r="H64" s="554"/>
      <c r="I64" s="78"/>
      <c r="J64" s="78"/>
      <c r="K64" s="78"/>
      <c r="L64" s="501">
        <v>0.63</v>
      </c>
      <c r="M64" s="446" t="s">
        <v>71</v>
      </c>
      <c r="N64" s="442"/>
      <c r="O64" s="442"/>
      <c r="P64" s="442"/>
      <c r="Q64" s="442"/>
      <c r="R64" s="477">
        <f>ROUND(+Q62/Q63,2)</f>
        <v>0.51</v>
      </c>
      <c r="S64" s="364" t="s">
        <v>71</v>
      </c>
      <c r="T64" s="360"/>
      <c r="U64" s="360"/>
      <c r="V64" s="360"/>
      <c r="W64" s="360"/>
      <c r="X64" s="387">
        <f>ROUND(+W62/W63,2)</f>
        <v>0.13</v>
      </c>
      <c r="Y64" s="310" t="s">
        <v>71</v>
      </c>
      <c r="Z64" s="307"/>
      <c r="AA64" s="307"/>
      <c r="AB64" s="307"/>
      <c r="AC64" s="307"/>
      <c r="AD64" s="335">
        <f>ROUND(+AC62/AC63,2)</f>
        <v>0.28999999999999998</v>
      </c>
      <c r="AE64" s="200" t="s">
        <v>71</v>
      </c>
      <c r="AF64" s="197"/>
      <c r="AG64" s="197"/>
      <c r="AH64" s="197"/>
      <c r="AI64" s="197"/>
      <c r="AJ64" s="255">
        <f>ROUND(+AI62/AI63,2)</f>
        <v>0.28999999999999998</v>
      </c>
      <c r="AK64" s="271" t="s">
        <v>71</v>
      </c>
      <c r="AL64" s="267"/>
      <c r="AM64" s="267"/>
      <c r="AN64" s="267"/>
      <c r="AO64" s="267"/>
      <c r="AP64" s="295">
        <f>ROUND(+AO62/AO63,2)</f>
        <v>0.47</v>
      </c>
      <c r="AQ64" s="169" t="s">
        <v>71</v>
      </c>
      <c r="AR64" s="166"/>
      <c r="AS64" s="166"/>
      <c r="AT64" s="166"/>
      <c r="AU64" s="166"/>
      <c r="AV64" s="247">
        <f>ROUND(+AU62/AU63,2)</f>
        <v>0.34</v>
      </c>
      <c r="AW64" s="116" t="s">
        <v>71</v>
      </c>
      <c r="AX64" s="113"/>
      <c r="AY64" s="113"/>
      <c r="AZ64" s="113"/>
      <c r="BA64" s="113"/>
      <c r="BB64" s="137">
        <f>ROUND(+BA62/BA63,2)</f>
        <v>0.39</v>
      </c>
      <c r="BC64" s="81" t="s">
        <v>71</v>
      </c>
      <c r="BD64" s="78"/>
      <c r="BE64" s="78"/>
      <c r="BF64" s="78"/>
      <c r="BG64" s="78"/>
      <c r="BH64" s="102">
        <f>+BG62/BG63</f>
        <v>0.39292263980369369</v>
      </c>
    </row>
    <row r="65" spans="1:60" x14ac:dyDescent="0.2">
      <c r="A65" s="169"/>
      <c r="B65" s="166"/>
      <c r="C65" s="166"/>
      <c r="D65" s="166"/>
      <c r="E65" s="166"/>
      <c r="F65" s="240"/>
      <c r="G65" s="81"/>
      <c r="H65" s="78"/>
      <c r="I65" s="78"/>
      <c r="J65" s="78"/>
      <c r="K65" s="78"/>
      <c r="L65" s="485"/>
      <c r="M65" s="446"/>
      <c r="N65" s="442"/>
      <c r="O65" s="442"/>
      <c r="P65" s="442"/>
      <c r="Q65" s="442"/>
      <c r="R65" s="443"/>
      <c r="S65" s="364"/>
      <c r="T65" s="360"/>
      <c r="U65" s="360"/>
      <c r="V65" s="360"/>
      <c r="W65" s="360"/>
      <c r="X65" s="361"/>
      <c r="Y65" s="310"/>
      <c r="Z65" s="307"/>
      <c r="AA65" s="307"/>
      <c r="AB65" s="307"/>
      <c r="AC65" s="307"/>
      <c r="AD65" s="308"/>
      <c r="AE65" s="200"/>
      <c r="AF65" s="197"/>
      <c r="AG65" s="197"/>
      <c r="AH65" s="197"/>
      <c r="AI65" s="197"/>
      <c r="AJ65" s="228"/>
      <c r="AK65" s="271"/>
      <c r="AL65" s="267"/>
      <c r="AM65" s="267"/>
      <c r="AN65" s="267"/>
      <c r="AO65" s="267"/>
      <c r="AP65" s="268"/>
      <c r="AQ65" s="169"/>
      <c r="AR65" s="166"/>
      <c r="AS65" s="166"/>
      <c r="AT65" s="166"/>
      <c r="AU65" s="166"/>
      <c r="AV65" s="240"/>
      <c r="AW65" s="116"/>
      <c r="AX65" s="113"/>
      <c r="AY65" s="113"/>
      <c r="AZ65" s="113"/>
      <c r="BA65" s="113"/>
      <c r="BB65" s="113"/>
      <c r="BC65" s="81"/>
      <c r="BD65" s="78"/>
      <c r="BE65" s="78"/>
      <c r="BF65" s="78"/>
      <c r="BG65" s="78"/>
      <c r="BH65" s="78"/>
    </row>
    <row r="66" spans="1:60" ht="18.75" thickBot="1" x14ac:dyDescent="0.4">
      <c r="A66" s="163" t="s">
        <v>152</v>
      </c>
      <c r="B66" s="164"/>
      <c r="C66" s="166"/>
      <c r="D66" s="166"/>
      <c r="E66" s="166"/>
      <c r="F66" s="248">
        <f>+F64+F60</f>
        <v>-7.0000000000000007E-2</v>
      </c>
      <c r="G66" s="75" t="s">
        <v>152</v>
      </c>
      <c r="H66" s="104"/>
      <c r="I66" s="78"/>
      <c r="J66" s="78"/>
      <c r="K66" s="78"/>
      <c r="L66" s="502">
        <v>0.81</v>
      </c>
      <c r="M66" s="439" t="s">
        <v>152</v>
      </c>
      <c r="N66" s="440"/>
      <c r="O66" s="442"/>
      <c r="P66" s="442"/>
      <c r="Q66" s="442"/>
      <c r="R66" s="478">
        <f>+R64+R60</f>
        <v>0.87</v>
      </c>
      <c r="S66" s="357" t="s">
        <v>152</v>
      </c>
      <c r="T66" s="358"/>
      <c r="U66" s="360"/>
      <c r="V66" s="360"/>
      <c r="W66" s="360"/>
      <c r="X66" s="388">
        <f>+X64+X60</f>
        <v>-0.03</v>
      </c>
      <c r="Y66" s="304" t="s">
        <v>73</v>
      </c>
      <c r="Z66" s="305"/>
      <c r="AA66" s="307"/>
      <c r="AB66" s="307"/>
      <c r="AC66" s="307"/>
      <c r="AD66" s="336">
        <f>+AD64+AD60</f>
        <v>0.31</v>
      </c>
      <c r="AE66" s="194" t="s">
        <v>73</v>
      </c>
      <c r="AF66" s="195"/>
      <c r="AG66" s="197"/>
      <c r="AH66" s="197"/>
      <c r="AI66" s="197"/>
      <c r="AJ66" s="235">
        <f>+AJ64+AJ60</f>
        <v>0.18999999999999997</v>
      </c>
      <c r="AK66" s="264" t="s">
        <v>73</v>
      </c>
      <c r="AL66" s="265"/>
      <c r="AM66" s="267"/>
      <c r="AN66" s="267"/>
      <c r="AO66" s="267"/>
      <c r="AP66" s="296">
        <f>+AP64+AP60</f>
        <v>0.6</v>
      </c>
      <c r="AQ66" s="163" t="s">
        <v>73</v>
      </c>
      <c r="AR66" s="164"/>
      <c r="AS66" s="166"/>
      <c r="AT66" s="166"/>
      <c r="AU66" s="166"/>
      <c r="AV66" s="248">
        <f>+AV64+AV60</f>
        <v>0.29000000000000004</v>
      </c>
      <c r="AW66" s="110" t="s">
        <v>73</v>
      </c>
      <c r="AX66" s="111"/>
      <c r="AY66" s="113"/>
      <c r="AZ66" s="113"/>
      <c r="BA66" s="113"/>
      <c r="BB66" s="138">
        <f>+BB64+BB60</f>
        <v>0.39</v>
      </c>
      <c r="BC66" s="75" t="s">
        <v>73</v>
      </c>
      <c r="BD66" s="76"/>
      <c r="BE66" s="78"/>
      <c r="BF66" s="78"/>
      <c r="BG66" s="78"/>
      <c r="BH66" s="103">
        <f>+BH64+BH60</f>
        <v>0.4129226398036937</v>
      </c>
    </row>
    <row r="67" spans="1:60" ht="19.5" thickTop="1" thickBot="1" x14ac:dyDescent="0.4">
      <c r="A67" s="249"/>
      <c r="B67" s="250"/>
      <c r="C67" s="187"/>
      <c r="D67" s="187"/>
      <c r="E67" s="187"/>
      <c r="F67" s="251"/>
      <c r="G67" s="404"/>
      <c r="H67" s="555"/>
      <c r="I67" s="406"/>
      <c r="J67" s="406"/>
      <c r="K67" s="406"/>
      <c r="L67" s="503"/>
      <c r="M67" s="479"/>
      <c r="N67" s="480"/>
      <c r="O67" s="472"/>
      <c r="P67" s="472"/>
      <c r="Q67" s="472"/>
      <c r="R67" s="481"/>
      <c r="S67" s="389"/>
      <c r="T67" s="390"/>
      <c r="U67" s="391"/>
      <c r="V67" s="391"/>
      <c r="W67" s="391"/>
      <c r="X67" s="392"/>
      <c r="Y67" s="337"/>
      <c r="Z67" s="338"/>
      <c r="AA67" s="339"/>
      <c r="AB67" s="339"/>
      <c r="AC67" s="339"/>
      <c r="AD67" s="340"/>
      <c r="AE67" s="236"/>
      <c r="AF67" s="237"/>
      <c r="AG67" s="218"/>
      <c r="AH67" s="218"/>
      <c r="AI67" s="218"/>
      <c r="AJ67" s="238"/>
      <c r="AK67" s="297"/>
      <c r="AL67" s="298"/>
      <c r="AM67" s="299"/>
      <c r="AN67" s="299"/>
      <c r="AO67" s="299"/>
      <c r="AP67" s="300"/>
      <c r="AQ67" s="249"/>
      <c r="AR67" s="250"/>
      <c r="AS67" s="187"/>
      <c r="AT67" s="187"/>
      <c r="AU67" s="187"/>
      <c r="AV67" s="251"/>
      <c r="AW67" s="110"/>
      <c r="AX67" s="111"/>
      <c r="AY67" s="113"/>
      <c r="AZ67" s="113"/>
      <c r="BA67" s="113"/>
      <c r="BB67" s="139"/>
      <c r="BC67" s="75"/>
      <c r="BD67" s="76"/>
      <c r="BE67" s="78"/>
      <c r="BF67" s="78"/>
      <c r="BG67" s="78"/>
      <c r="BH67" s="104"/>
    </row>
    <row r="72" spans="1:60" x14ac:dyDescent="0.2">
      <c r="G72" s="564">
        <v>45209</v>
      </c>
    </row>
    <row r="73" spans="1:60" x14ac:dyDescent="0.2">
      <c r="G73" s="564">
        <f>G72+45</f>
        <v>45254</v>
      </c>
    </row>
  </sheetData>
  <mergeCells count="18">
    <mergeCell ref="S4:X4"/>
    <mergeCell ref="S6:X6"/>
    <mergeCell ref="Y4:AD4"/>
    <mergeCell ref="Y6:AD6"/>
    <mergeCell ref="A4:F4"/>
    <mergeCell ref="A6:F6"/>
    <mergeCell ref="M4:R4"/>
    <mergeCell ref="M6:R6"/>
    <mergeCell ref="BC4:BH4"/>
    <mergeCell ref="BC6:BH6"/>
    <mergeCell ref="AE4:AJ4"/>
    <mergeCell ref="AE6:AJ6"/>
    <mergeCell ref="AK4:AP4"/>
    <mergeCell ref="AK6:AP6"/>
    <mergeCell ref="AW4:BB4"/>
    <mergeCell ref="AW6:BB6"/>
    <mergeCell ref="AQ4:AV4"/>
    <mergeCell ref="AQ6:AV6"/>
  </mergeCells>
  <pageMargins left="0.7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workbookViewId="0">
      <selection activeCell="K33" sqref="K33"/>
    </sheetView>
  </sheetViews>
  <sheetFormatPr defaultRowHeight="12.75" x14ac:dyDescent="0.2"/>
  <cols>
    <col min="1" max="1" width="18" customWidth="1"/>
    <col min="2" max="2" width="6.7109375" customWidth="1"/>
    <col min="3" max="3" width="10.42578125" bestFit="1" customWidth="1"/>
    <col min="4" max="4" width="10.28515625" bestFit="1" customWidth="1"/>
    <col min="5" max="5" width="9.7109375" bestFit="1" customWidth="1"/>
    <col min="6" max="6" width="11.28515625" bestFit="1" customWidth="1"/>
    <col min="7" max="8" width="9.5703125" bestFit="1" customWidth="1"/>
    <col min="9" max="9" width="11.28515625" bestFit="1" customWidth="1"/>
    <col min="10" max="10" width="3" customWidth="1"/>
    <col min="11" max="11" width="9.5703125" bestFit="1" customWidth="1"/>
    <col min="12" max="12" width="2.7109375" customWidth="1"/>
    <col min="13" max="13" width="11.28515625" bestFit="1" customWidth="1"/>
    <col min="232" max="232" width="18" customWidth="1"/>
    <col min="233" max="233" width="7.85546875" customWidth="1"/>
    <col min="234" max="234" width="11.28515625" bestFit="1" customWidth="1"/>
    <col min="235" max="235" width="10.5703125" bestFit="1" customWidth="1"/>
    <col min="236" max="236" width="10.28515625" customWidth="1"/>
    <col min="237" max="237" width="12.5703125" bestFit="1" customWidth="1"/>
    <col min="238" max="238" width="10.5703125" bestFit="1" customWidth="1"/>
    <col min="239" max="239" width="9.85546875" bestFit="1" customWidth="1"/>
    <col min="240" max="240" width="13" bestFit="1" customWidth="1"/>
    <col min="241" max="241" width="2.140625" customWidth="1"/>
    <col min="242" max="242" width="10.5703125" bestFit="1" customWidth="1"/>
    <col min="243" max="243" width="7.85546875" bestFit="1" customWidth="1"/>
    <col min="244" max="244" width="9.85546875" bestFit="1" customWidth="1"/>
    <col min="245" max="245" width="11.28515625" bestFit="1" customWidth="1"/>
    <col min="246" max="247" width="9.85546875" bestFit="1" customWidth="1"/>
    <col min="248" max="248" width="12" bestFit="1" customWidth="1"/>
    <col min="249" max="249" width="1.85546875" customWidth="1"/>
    <col min="251" max="251" width="3" customWidth="1"/>
    <col min="488" max="488" width="18" customWidth="1"/>
    <col min="489" max="489" width="7.85546875" customWidth="1"/>
    <col min="490" max="490" width="11.28515625" bestFit="1" customWidth="1"/>
    <col min="491" max="491" width="10.5703125" bestFit="1" customWidth="1"/>
    <col min="492" max="492" width="10.28515625" customWidth="1"/>
    <col min="493" max="493" width="12.5703125" bestFit="1" customWidth="1"/>
    <col min="494" max="494" width="10.5703125" bestFit="1" customWidth="1"/>
    <col min="495" max="495" width="9.85546875" bestFit="1" customWidth="1"/>
    <col min="496" max="496" width="13" bestFit="1" customWidth="1"/>
    <col min="497" max="497" width="2.140625" customWidth="1"/>
    <col min="498" max="498" width="10.5703125" bestFit="1" customWidth="1"/>
    <col min="499" max="499" width="7.85546875" bestFit="1" customWidth="1"/>
    <col min="500" max="500" width="9.85546875" bestFit="1" customWidth="1"/>
    <col min="501" max="501" width="11.28515625" bestFit="1" customWidth="1"/>
    <col min="502" max="503" width="9.85546875" bestFit="1" customWidth="1"/>
    <col min="504" max="504" width="12" bestFit="1" customWidth="1"/>
    <col min="505" max="505" width="1.85546875" customWidth="1"/>
    <col min="507" max="507" width="3" customWidth="1"/>
    <col min="744" max="744" width="18" customWidth="1"/>
    <col min="745" max="745" width="7.85546875" customWidth="1"/>
    <col min="746" max="746" width="11.28515625" bestFit="1" customWidth="1"/>
    <col min="747" max="747" width="10.5703125" bestFit="1" customWidth="1"/>
    <col min="748" max="748" width="10.28515625" customWidth="1"/>
    <col min="749" max="749" width="12.5703125" bestFit="1" customWidth="1"/>
    <col min="750" max="750" width="10.5703125" bestFit="1" customWidth="1"/>
    <col min="751" max="751" width="9.85546875" bestFit="1" customWidth="1"/>
    <col min="752" max="752" width="13" bestFit="1" customWidth="1"/>
    <col min="753" max="753" width="2.140625" customWidth="1"/>
    <col min="754" max="754" width="10.5703125" bestFit="1" customWidth="1"/>
    <col min="755" max="755" width="7.85546875" bestFit="1" customWidth="1"/>
    <col min="756" max="756" width="9.85546875" bestFit="1" customWidth="1"/>
    <col min="757" max="757" width="11.28515625" bestFit="1" customWidth="1"/>
    <col min="758" max="759" width="9.85546875" bestFit="1" customWidth="1"/>
    <col min="760" max="760" width="12" bestFit="1" customWidth="1"/>
    <col min="761" max="761" width="1.85546875" customWidth="1"/>
    <col min="763" max="763" width="3" customWidth="1"/>
    <col min="1000" max="1000" width="18" customWidth="1"/>
    <col min="1001" max="1001" width="7.85546875" customWidth="1"/>
    <col min="1002" max="1002" width="11.28515625" bestFit="1" customWidth="1"/>
    <col min="1003" max="1003" width="10.5703125" bestFit="1" customWidth="1"/>
    <col min="1004" max="1004" width="10.28515625" customWidth="1"/>
    <col min="1005" max="1005" width="12.5703125" bestFit="1" customWidth="1"/>
    <col min="1006" max="1006" width="10.5703125" bestFit="1" customWidth="1"/>
    <col min="1007" max="1007" width="9.85546875" bestFit="1" customWidth="1"/>
    <col min="1008" max="1008" width="13" bestFit="1" customWidth="1"/>
    <col min="1009" max="1009" width="2.140625" customWidth="1"/>
    <col min="1010" max="1010" width="10.5703125" bestFit="1" customWidth="1"/>
    <col min="1011" max="1011" width="7.85546875" bestFit="1" customWidth="1"/>
    <col min="1012" max="1012" width="9.85546875" bestFit="1" customWidth="1"/>
    <col min="1013" max="1013" width="11.28515625" bestFit="1" customWidth="1"/>
    <col min="1014" max="1015" width="9.85546875" bestFit="1" customWidth="1"/>
    <col min="1016" max="1016" width="12" bestFit="1" customWidth="1"/>
    <col min="1017" max="1017" width="1.85546875" customWidth="1"/>
    <col min="1019" max="1019" width="3" customWidth="1"/>
    <col min="1256" max="1256" width="18" customWidth="1"/>
    <col min="1257" max="1257" width="7.85546875" customWidth="1"/>
    <col min="1258" max="1258" width="11.28515625" bestFit="1" customWidth="1"/>
    <col min="1259" max="1259" width="10.5703125" bestFit="1" customWidth="1"/>
    <col min="1260" max="1260" width="10.28515625" customWidth="1"/>
    <col min="1261" max="1261" width="12.5703125" bestFit="1" customWidth="1"/>
    <col min="1262" max="1262" width="10.5703125" bestFit="1" customWidth="1"/>
    <col min="1263" max="1263" width="9.85546875" bestFit="1" customWidth="1"/>
    <col min="1264" max="1264" width="13" bestFit="1" customWidth="1"/>
    <col min="1265" max="1265" width="2.140625" customWidth="1"/>
    <col min="1266" max="1266" width="10.5703125" bestFit="1" customWidth="1"/>
    <col min="1267" max="1267" width="7.85546875" bestFit="1" customWidth="1"/>
    <col min="1268" max="1268" width="9.85546875" bestFit="1" customWidth="1"/>
    <col min="1269" max="1269" width="11.28515625" bestFit="1" customWidth="1"/>
    <col min="1270" max="1271" width="9.85546875" bestFit="1" customWidth="1"/>
    <col min="1272" max="1272" width="12" bestFit="1" customWidth="1"/>
    <col min="1273" max="1273" width="1.85546875" customWidth="1"/>
    <col min="1275" max="1275" width="3" customWidth="1"/>
    <col min="1512" max="1512" width="18" customWidth="1"/>
    <col min="1513" max="1513" width="7.85546875" customWidth="1"/>
    <col min="1514" max="1514" width="11.28515625" bestFit="1" customWidth="1"/>
    <col min="1515" max="1515" width="10.5703125" bestFit="1" customWidth="1"/>
    <col min="1516" max="1516" width="10.28515625" customWidth="1"/>
    <col min="1517" max="1517" width="12.5703125" bestFit="1" customWidth="1"/>
    <col min="1518" max="1518" width="10.5703125" bestFit="1" customWidth="1"/>
    <col min="1519" max="1519" width="9.85546875" bestFit="1" customWidth="1"/>
    <col min="1520" max="1520" width="13" bestFit="1" customWidth="1"/>
    <col min="1521" max="1521" width="2.140625" customWidth="1"/>
    <col min="1522" max="1522" width="10.5703125" bestFit="1" customWidth="1"/>
    <col min="1523" max="1523" width="7.85546875" bestFit="1" customWidth="1"/>
    <col min="1524" max="1524" width="9.85546875" bestFit="1" customWidth="1"/>
    <col min="1525" max="1525" width="11.28515625" bestFit="1" customWidth="1"/>
    <col min="1526" max="1527" width="9.85546875" bestFit="1" customWidth="1"/>
    <col min="1528" max="1528" width="12" bestFit="1" customWidth="1"/>
    <col min="1529" max="1529" width="1.85546875" customWidth="1"/>
    <col min="1531" max="1531" width="3" customWidth="1"/>
    <col min="1768" max="1768" width="18" customWidth="1"/>
    <col min="1769" max="1769" width="7.85546875" customWidth="1"/>
    <col min="1770" max="1770" width="11.28515625" bestFit="1" customWidth="1"/>
    <col min="1771" max="1771" width="10.5703125" bestFit="1" customWidth="1"/>
    <col min="1772" max="1772" width="10.28515625" customWidth="1"/>
    <col min="1773" max="1773" width="12.5703125" bestFit="1" customWidth="1"/>
    <col min="1774" max="1774" width="10.5703125" bestFit="1" customWidth="1"/>
    <col min="1775" max="1775" width="9.85546875" bestFit="1" customWidth="1"/>
    <col min="1776" max="1776" width="13" bestFit="1" customWidth="1"/>
    <col min="1777" max="1777" width="2.140625" customWidth="1"/>
    <col min="1778" max="1778" width="10.5703125" bestFit="1" customWidth="1"/>
    <col min="1779" max="1779" width="7.85546875" bestFit="1" customWidth="1"/>
    <col min="1780" max="1780" width="9.85546875" bestFit="1" customWidth="1"/>
    <col min="1781" max="1781" width="11.28515625" bestFit="1" customWidth="1"/>
    <col min="1782" max="1783" width="9.85546875" bestFit="1" customWidth="1"/>
    <col min="1784" max="1784" width="12" bestFit="1" customWidth="1"/>
    <col min="1785" max="1785" width="1.85546875" customWidth="1"/>
    <col min="1787" max="1787" width="3" customWidth="1"/>
    <col min="2024" max="2024" width="18" customWidth="1"/>
    <col min="2025" max="2025" width="7.85546875" customWidth="1"/>
    <col min="2026" max="2026" width="11.28515625" bestFit="1" customWidth="1"/>
    <col min="2027" max="2027" width="10.5703125" bestFit="1" customWidth="1"/>
    <col min="2028" max="2028" width="10.28515625" customWidth="1"/>
    <col min="2029" max="2029" width="12.5703125" bestFit="1" customWidth="1"/>
    <col min="2030" max="2030" width="10.5703125" bestFit="1" customWidth="1"/>
    <col min="2031" max="2031" width="9.85546875" bestFit="1" customWidth="1"/>
    <col min="2032" max="2032" width="13" bestFit="1" customWidth="1"/>
    <col min="2033" max="2033" width="2.140625" customWidth="1"/>
    <col min="2034" max="2034" width="10.5703125" bestFit="1" customWidth="1"/>
    <col min="2035" max="2035" width="7.85546875" bestFit="1" customWidth="1"/>
    <col min="2036" max="2036" width="9.85546875" bestFit="1" customWidth="1"/>
    <col min="2037" max="2037" width="11.28515625" bestFit="1" customWidth="1"/>
    <col min="2038" max="2039" width="9.85546875" bestFit="1" customWidth="1"/>
    <col min="2040" max="2040" width="12" bestFit="1" customWidth="1"/>
    <col min="2041" max="2041" width="1.85546875" customWidth="1"/>
    <col min="2043" max="2043" width="3" customWidth="1"/>
    <col min="2280" max="2280" width="18" customWidth="1"/>
    <col min="2281" max="2281" width="7.85546875" customWidth="1"/>
    <col min="2282" max="2282" width="11.28515625" bestFit="1" customWidth="1"/>
    <col min="2283" max="2283" width="10.5703125" bestFit="1" customWidth="1"/>
    <col min="2284" max="2284" width="10.28515625" customWidth="1"/>
    <col min="2285" max="2285" width="12.5703125" bestFit="1" customWidth="1"/>
    <col min="2286" max="2286" width="10.5703125" bestFit="1" customWidth="1"/>
    <col min="2287" max="2287" width="9.85546875" bestFit="1" customWidth="1"/>
    <col min="2288" max="2288" width="13" bestFit="1" customWidth="1"/>
    <col min="2289" max="2289" width="2.140625" customWidth="1"/>
    <col min="2290" max="2290" width="10.5703125" bestFit="1" customWidth="1"/>
    <col min="2291" max="2291" width="7.85546875" bestFit="1" customWidth="1"/>
    <col min="2292" max="2292" width="9.85546875" bestFit="1" customWidth="1"/>
    <col min="2293" max="2293" width="11.28515625" bestFit="1" customWidth="1"/>
    <col min="2294" max="2295" width="9.85546875" bestFit="1" customWidth="1"/>
    <col min="2296" max="2296" width="12" bestFit="1" customWidth="1"/>
    <col min="2297" max="2297" width="1.85546875" customWidth="1"/>
    <col min="2299" max="2299" width="3" customWidth="1"/>
    <col min="2536" max="2536" width="18" customWidth="1"/>
    <col min="2537" max="2537" width="7.85546875" customWidth="1"/>
    <col min="2538" max="2538" width="11.28515625" bestFit="1" customWidth="1"/>
    <col min="2539" max="2539" width="10.5703125" bestFit="1" customWidth="1"/>
    <col min="2540" max="2540" width="10.28515625" customWidth="1"/>
    <col min="2541" max="2541" width="12.5703125" bestFit="1" customWidth="1"/>
    <col min="2542" max="2542" width="10.5703125" bestFit="1" customWidth="1"/>
    <col min="2543" max="2543" width="9.85546875" bestFit="1" customWidth="1"/>
    <col min="2544" max="2544" width="13" bestFit="1" customWidth="1"/>
    <col min="2545" max="2545" width="2.140625" customWidth="1"/>
    <col min="2546" max="2546" width="10.5703125" bestFit="1" customWidth="1"/>
    <col min="2547" max="2547" width="7.85546875" bestFit="1" customWidth="1"/>
    <col min="2548" max="2548" width="9.85546875" bestFit="1" customWidth="1"/>
    <col min="2549" max="2549" width="11.28515625" bestFit="1" customWidth="1"/>
    <col min="2550" max="2551" width="9.85546875" bestFit="1" customWidth="1"/>
    <col min="2552" max="2552" width="12" bestFit="1" customWidth="1"/>
    <col min="2553" max="2553" width="1.85546875" customWidth="1"/>
    <col min="2555" max="2555" width="3" customWidth="1"/>
    <col min="2792" max="2792" width="18" customWidth="1"/>
    <col min="2793" max="2793" width="7.85546875" customWidth="1"/>
    <col min="2794" max="2794" width="11.28515625" bestFit="1" customWidth="1"/>
    <col min="2795" max="2795" width="10.5703125" bestFit="1" customWidth="1"/>
    <col min="2796" max="2796" width="10.28515625" customWidth="1"/>
    <col min="2797" max="2797" width="12.5703125" bestFit="1" customWidth="1"/>
    <col min="2798" max="2798" width="10.5703125" bestFit="1" customWidth="1"/>
    <col min="2799" max="2799" width="9.85546875" bestFit="1" customWidth="1"/>
    <col min="2800" max="2800" width="13" bestFit="1" customWidth="1"/>
    <col min="2801" max="2801" width="2.140625" customWidth="1"/>
    <col min="2802" max="2802" width="10.5703125" bestFit="1" customWidth="1"/>
    <col min="2803" max="2803" width="7.85546875" bestFit="1" customWidth="1"/>
    <col min="2804" max="2804" width="9.85546875" bestFit="1" customWidth="1"/>
    <col min="2805" max="2805" width="11.28515625" bestFit="1" customWidth="1"/>
    <col min="2806" max="2807" width="9.85546875" bestFit="1" customWidth="1"/>
    <col min="2808" max="2808" width="12" bestFit="1" customWidth="1"/>
    <col min="2809" max="2809" width="1.85546875" customWidth="1"/>
    <col min="2811" max="2811" width="3" customWidth="1"/>
    <col min="3048" max="3048" width="18" customWidth="1"/>
    <col min="3049" max="3049" width="7.85546875" customWidth="1"/>
    <col min="3050" max="3050" width="11.28515625" bestFit="1" customWidth="1"/>
    <col min="3051" max="3051" width="10.5703125" bestFit="1" customWidth="1"/>
    <col min="3052" max="3052" width="10.28515625" customWidth="1"/>
    <col min="3053" max="3053" width="12.5703125" bestFit="1" customWidth="1"/>
    <col min="3054" max="3054" width="10.5703125" bestFit="1" customWidth="1"/>
    <col min="3055" max="3055" width="9.85546875" bestFit="1" customWidth="1"/>
    <col min="3056" max="3056" width="13" bestFit="1" customWidth="1"/>
    <col min="3057" max="3057" width="2.140625" customWidth="1"/>
    <col min="3058" max="3058" width="10.5703125" bestFit="1" customWidth="1"/>
    <col min="3059" max="3059" width="7.85546875" bestFit="1" customWidth="1"/>
    <col min="3060" max="3060" width="9.85546875" bestFit="1" customWidth="1"/>
    <col min="3061" max="3061" width="11.28515625" bestFit="1" customWidth="1"/>
    <col min="3062" max="3063" width="9.85546875" bestFit="1" customWidth="1"/>
    <col min="3064" max="3064" width="12" bestFit="1" customWidth="1"/>
    <col min="3065" max="3065" width="1.85546875" customWidth="1"/>
    <col min="3067" max="3067" width="3" customWidth="1"/>
    <col min="3304" max="3304" width="18" customWidth="1"/>
    <col min="3305" max="3305" width="7.85546875" customWidth="1"/>
    <col min="3306" max="3306" width="11.28515625" bestFit="1" customWidth="1"/>
    <col min="3307" max="3307" width="10.5703125" bestFit="1" customWidth="1"/>
    <col min="3308" max="3308" width="10.28515625" customWidth="1"/>
    <col min="3309" max="3309" width="12.5703125" bestFit="1" customWidth="1"/>
    <col min="3310" max="3310" width="10.5703125" bestFit="1" customWidth="1"/>
    <col min="3311" max="3311" width="9.85546875" bestFit="1" customWidth="1"/>
    <col min="3312" max="3312" width="13" bestFit="1" customWidth="1"/>
    <col min="3313" max="3313" width="2.140625" customWidth="1"/>
    <col min="3314" max="3314" width="10.5703125" bestFit="1" customWidth="1"/>
    <col min="3315" max="3315" width="7.85546875" bestFit="1" customWidth="1"/>
    <col min="3316" max="3316" width="9.85546875" bestFit="1" customWidth="1"/>
    <col min="3317" max="3317" width="11.28515625" bestFit="1" customWidth="1"/>
    <col min="3318" max="3319" width="9.85546875" bestFit="1" customWidth="1"/>
    <col min="3320" max="3320" width="12" bestFit="1" customWidth="1"/>
    <col min="3321" max="3321" width="1.85546875" customWidth="1"/>
    <col min="3323" max="3323" width="3" customWidth="1"/>
    <col min="3560" max="3560" width="18" customWidth="1"/>
    <col min="3561" max="3561" width="7.85546875" customWidth="1"/>
    <col min="3562" max="3562" width="11.28515625" bestFit="1" customWidth="1"/>
    <col min="3563" max="3563" width="10.5703125" bestFit="1" customWidth="1"/>
    <col min="3564" max="3564" width="10.28515625" customWidth="1"/>
    <col min="3565" max="3565" width="12.5703125" bestFit="1" customWidth="1"/>
    <col min="3566" max="3566" width="10.5703125" bestFit="1" customWidth="1"/>
    <col min="3567" max="3567" width="9.85546875" bestFit="1" customWidth="1"/>
    <col min="3568" max="3568" width="13" bestFit="1" customWidth="1"/>
    <col min="3569" max="3569" width="2.140625" customWidth="1"/>
    <col min="3570" max="3570" width="10.5703125" bestFit="1" customWidth="1"/>
    <col min="3571" max="3571" width="7.85546875" bestFit="1" customWidth="1"/>
    <col min="3572" max="3572" width="9.85546875" bestFit="1" customWidth="1"/>
    <col min="3573" max="3573" width="11.28515625" bestFit="1" customWidth="1"/>
    <col min="3574" max="3575" width="9.85546875" bestFit="1" customWidth="1"/>
    <col min="3576" max="3576" width="12" bestFit="1" customWidth="1"/>
    <col min="3577" max="3577" width="1.85546875" customWidth="1"/>
    <col min="3579" max="3579" width="3" customWidth="1"/>
    <col min="3816" max="3816" width="18" customWidth="1"/>
    <col min="3817" max="3817" width="7.85546875" customWidth="1"/>
    <col min="3818" max="3818" width="11.28515625" bestFit="1" customWidth="1"/>
    <col min="3819" max="3819" width="10.5703125" bestFit="1" customWidth="1"/>
    <col min="3820" max="3820" width="10.28515625" customWidth="1"/>
    <col min="3821" max="3821" width="12.5703125" bestFit="1" customWidth="1"/>
    <col min="3822" max="3822" width="10.5703125" bestFit="1" customWidth="1"/>
    <col min="3823" max="3823" width="9.85546875" bestFit="1" customWidth="1"/>
    <col min="3824" max="3824" width="13" bestFit="1" customWidth="1"/>
    <col min="3825" max="3825" width="2.140625" customWidth="1"/>
    <col min="3826" max="3826" width="10.5703125" bestFit="1" customWidth="1"/>
    <col min="3827" max="3827" width="7.85546875" bestFit="1" customWidth="1"/>
    <col min="3828" max="3828" width="9.85546875" bestFit="1" customWidth="1"/>
    <col min="3829" max="3829" width="11.28515625" bestFit="1" customWidth="1"/>
    <col min="3830" max="3831" width="9.85546875" bestFit="1" customWidth="1"/>
    <col min="3832" max="3832" width="12" bestFit="1" customWidth="1"/>
    <col min="3833" max="3833" width="1.85546875" customWidth="1"/>
    <col min="3835" max="3835" width="3" customWidth="1"/>
    <col min="4072" max="4072" width="18" customWidth="1"/>
    <col min="4073" max="4073" width="7.85546875" customWidth="1"/>
    <col min="4074" max="4074" width="11.28515625" bestFit="1" customWidth="1"/>
    <col min="4075" max="4075" width="10.5703125" bestFit="1" customWidth="1"/>
    <col min="4076" max="4076" width="10.28515625" customWidth="1"/>
    <col min="4077" max="4077" width="12.5703125" bestFit="1" customWidth="1"/>
    <col min="4078" max="4078" width="10.5703125" bestFit="1" customWidth="1"/>
    <col min="4079" max="4079" width="9.85546875" bestFit="1" customWidth="1"/>
    <col min="4080" max="4080" width="13" bestFit="1" customWidth="1"/>
    <col min="4081" max="4081" width="2.140625" customWidth="1"/>
    <col min="4082" max="4082" width="10.5703125" bestFit="1" customWidth="1"/>
    <col min="4083" max="4083" width="7.85546875" bestFit="1" customWidth="1"/>
    <col min="4084" max="4084" width="9.85546875" bestFit="1" customWidth="1"/>
    <col min="4085" max="4085" width="11.28515625" bestFit="1" customWidth="1"/>
    <col min="4086" max="4087" width="9.85546875" bestFit="1" customWidth="1"/>
    <col min="4088" max="4088" width="12" bestFit="1" customWidth="1"/>
    <col min="4089" max="4089" width="1.85546875" customWidth="1"/>
    <col min="4091" max="4091" width="3" customWidth="1"/>
    <col min="4328" max="4328" width="18" customWidth="1"/>
    <col min="4329" max="4329" width="7.85546875" customWidth="1"/>
    <col min="4330" max="4330" width="11.28515625" bestFit="1" customWidth="1"/>
    <col min="4331" max="4331" width="10.5703125" bestFit="1" customWidth="1"/>
    <col min="4332" max="4332" width="10.28515625" customWidth="1"/>
    <col min="4333" max="4333" width="12.5703125" bestFit="1" customWidth="1"/>
    <col min="4334" max="4334" width="10.5703125" bestFit="1" customWidth="1"/>
    <col min="4335" max="4335" width="9.85546875" bestFit="1" customWidth="1"/>
    <col min="4336" max="4336" width="13" bestFit="1" customWidth="1"/>
    <col min="4337" max="4337" width="2.140625" customWidth="1"/>
    <col min="4338" max="4338" width="10.5703125" bestFit="1" customWidth="1"/>
    <col min="4339" max="4339" width="7.85546875" bestFit="1" customWidth="1"/>
    <col min="4340" max="4340" width="9.85546875" bestFit="1" customWidth="1"/>
    <col min="4341" max="4341" width="11.28515625" bestFit="1" customWidth="1"/>
    <col min="4342" max="4343" width="9.85546875" bestFit="1" customWidth="1"/>
    <col min="4344" max="4344" width="12" bestFit="1" customWidth="1"/>
    <col min="4345" max="4345" width="1.85546875" customWidth="1"/>
    <col min="4347" max="4347" width="3" customWidth="1"/>
    <col min="4584" max="4584" width="18" customWidth="1"/>
    <col min="4585" max="4585" width="7.85546875" customWidth="1"/>
    <col min="4586" max="4586" width="11.28515625" bestFit="1" customWidth="1"/>
    <col min="4587" max="4587" width="10.5703125" bestFit="1" customWidth="1"/>
    <col min="4588" max="4588" width="10.28515625" customWidth="1"/>
    <col min="4589" max="4589" width="12.5703125" bestFit="1" customWidth="1"/>
    <col min="4590" max="4590" width="10.5703125" bestFit="1" customWidth="1"/>
    <col min="4591" max="4591" width="9.85546875" bestFit="1" customWidth="1"/>
    <col min="4592" max="4592" width="13" bestFit="1" customWidth="1"/>
    <col min="4593" max="4593" width="2.140625" customWidth="1"/>
    <col min="4594" max="4594" width="10.5703125" bestFit="1" customWidth="1"/>
    <col min="4595" max="4595" width="7.85546875" bestFit="1" customWidth="1"/>
    <col min="4596" max="4596" width="9.85546875" bestFit="1" customWidth="1"/>
    <col min="4597" max="4597" width="11.28515625" bestFit="1" customWidth="1"/>
    <col min="4598" max="4599" width="9.85546875" bestFit="1" customWidth="1"/>
    <col min="4600" max="4600" width="12" bestFit="1" customWidth="1"/>
    <col min="4601" max="4601" width="1.85546875" customWidth="1"/>
    <col min="4603" max="4603" width="3" customWidth="1"/>
    <col min="4840" max="4840" width="18" customWidth="1"/>
    <col min="4841" max="4841" width="7.85546875" customWidth="1"/>
    <col min="4842" max="4842" width="11.28515625" bestFit="1" customWidth="1"/>
    <col min="4843" max="4843" width="10.5703125" bestFit="1" customWidth="1"/>
    <col min="4844" max="4844" width="10.28515625" customWidth="1"/>
    <col min="4845" max="4845" width="12.5703125" bestFit="1" customWidth="1"/>
    <col min="4846" max="4846" width="10.5703125" bestFit="1" customWidth="1"/>
    <col min="4847" max="4847" width="9.85546875" bestFit="1" customWidth="1"/>
    <col min="4848" max="4848" width="13" bestFit="1" customWidth="1"/>
    <col min="4849" max="4849" width="2.140625" customWidth="1"/>
    <col min="4850" max="4850" width="10.5703125" bestFit="1" customWidth="1"/>
    <col min="4851" max="4851" width="7.85546875" bestFit="1" customWidth="1"/>
    <col min="4852" max="4852" width="9.85546875" bestFit="1" customWidth="1"/>
    <col min="4853" max="4853" width="11.28515625" bestFit="1" customWidth="1"/>
    <col min="4854" max="4855" width="9.85546875" bestFit="1" customWidth="1"/>
    <col min="4856" max="4856" width="12" bestFit="1" customWidth="1"/>
    <col min="4857" max="4857" width="1.85546875" customWidth="1"/>
    <col min="4859" max="4859" width="3" customWidth="1"/>
    <col min="5096" max="5096" width="18" customWidth="1"/>
    <col min="5097" max="5097" width="7.85546875" customWidth="1"/>
    <col min="5098" max="5098" width="11.28515625" bestFit="1" customWidth="1"/>
    <col min="5099" max="5099" width="10.5703125" bestFit="1" customWidth="1"/>
    <col min="5100" max="5100" width="10.28515625" customWidth="1"/>
    <col min="5101" max="5101" width="12.5703125" bestFit="1" customWidth="1"/>
    <col min="5102" max="5102" width="10.5703125" bestFit="1" customWidth="1"/>
    <col min="5103" max="5103" width="9.85546875" bestFit="1" customWidth="1"/>
    <col min="5104" max="5104" width="13" bestFit="1" customWidth="1"/>
    <col min="5105" max="5105" width="2.140625" customWidth="1"/>
    <col min="5106" max="5106" width="10.5703125" bestFit="1" customWidth="1"/>
    <col min="5107" max="5107" width="7.85546875" bestFit="1" customWidth="1"/>
    <col min="5108" max="5108" width="9.85546875" bestFit="1" customWidth="1"/>
    <col min="5109" max="5109" width="11.28515625" bestFit="1" customWidth="1"/>
    <col min="5110" max="5111" width="9.85546875" bestFit="1" customWidth="1"/>
    <col min="5112" max="5112" width="12" bestFit="1" customWidth="1"/>
    <col min="5113" max="5113" width="1.85546875" customWidth="1"/>
    <col min="5115" max="5115" width="3" customWidth="1"/>
    <col min="5352" max="5352" width="18" customWidth="1"/>
    <col min="5353" max="5353" width="7.85546875" customWidth="1"/>
    <col min="5354" max="5354" width="11.28515625" bestFit="1" customWidth="1"/>
    <col min="5355" max="5355" width="10.5703125" bestFit="1" customWidth="1"/>
    <col min="5356" max="5356" width="10.28515625" customWidth="1"/>
    <col min="5357" max="5357" width="12.5703125" bestFit="1" customWidth="1"/>
    <col min="5358" max="5358" width="10.5703125" bestFit="1" customWidth="1"/>
    <col min="5359" max="5359" width="9.85546875" bestFit="1" customWidth="1"/>
    <col min="5360" max="5360" width="13" bestFit="1" customWidth="1"/>
    <col min="5361" max="5361" width="2.140625" customWidth="1"/>
    <col min="5362" max="5362" width="10.5703125" bestFit="1" customWidth="1"/>
    <col min="5363" max="5363" width="7.85546875" bestFit="1" customWidth="1"/>
    <col min="5364" max="5364" width="9.85546875" bestFit="1" customWidth="1"/>
    <col min="5365" max="5365" width="11.28515625" bestFit="1" customWidth="1"/>
    <col min="5366" max="5367" width="9.85546875" bestFit="1" customWidth="1"/>
    <col min="5368" max="5368" width="12" bestFit="1" customWidth="1"/>
    <col min="5369" max="5369" width="1.85546875" customWidth="1"/>
    <col min="5371" max="5371" width="3" customWidth="1"/>
    <col min="5608" max="5608" width="18" customWidth="1"/>
    <col min="5609" max="5609" width="7.85546875" customWidth="1"/>
    <col min="5610" max="5610" width="11.28515625" bestFit="1" customWidth="1"/>
    <col min="5611" max="5611" width="10.5703125" bestFit="1" customWidth="1"/>
    <col min="5612" max="5612" width="10.28515625" customWidth="1"/>
    <col min="5613" max="5613" width="12.5703125" bestFit="1" customWidth="1"/>
    <col min="5614" max="5614" width="10.5703125" bestFit="1" customWidth="1"/>
    <col min="5615" max="5615" width="9.85546875" bestFit="1" customWidth="1"/>
    <col min="5616" max="5616" width="13" bestFit="1" customWidth="1"/>
    <col min="5617" max="5617" width="2.140625" customWidth="1"/>
    <col min="5618" max="5618" width="10.5703125" bestFit="1" customWidth="1"/>
    <col min="5619" max="5619" width="7.85546875" bestFit="1" customWidth="1"/>
    <col min="5620" max="5620" width="9.85546875" bestFit="1" customWidth="1"/>
    <col min="5621" max="5621" width="11.28515625" bestFit="1" customWidth="1"/>
    <col min="5622" max="5623" width="9.85546875" bestFit="1" customWidth="1"/>
    <col min="5624" max="5624" width="12" bestFit="1" customWidth="1"/>
    <col min="5625" max="5625" width="1.85546875" customWidth="1"/>
    <col min="5627" max="5627" width="3" customWidth="1"/>
    <col min="5864" max="5864" width="18" customWidth="1"/>
    <col min="5865" max="5865" width="7.85546875" customWidth="1"/>
    <col min="5866" max="5866" width="11.28515625" bestFit="1" customWidth="1"/>
    <col min="5867" max="5867" width="10.5703125" bestFit="1" customWidth="1"/>
    <col min="5868" max="5868" width="10.28515625" customWidth="1"/>
    <col min="5869" max="5869" width="12.5703125" bestFit="1" customWidth="1"/>
    <col min="5870" max="5870" width="10.5703125" bestFit="1" customWidth="1"/>
    <col min="5871" max="5871" width="9.85546875" bestFit="1" customWidth="1"/>
    <col min="5872" max="5872" width="13" bestFit="1" customWidth="1"/>
    <col min="5873" max="5873" width="2.140625" customWidth="1"/>
    <col min="5874" max="5874" width="10.5703125" bestFit="1" customWidth="1"/>
    <col min="5875" max="5875" width="7.85546875" bestFit="1" customWidth="1"/>
    <col min="5876" max="5876" width="9.85546875" bestFit="1" customWidth="1"/>
    <col min="5877" max="5877" width="11.28515625" bestFit="1" customWidth="1"/>
    <col min="5878" max="5879" width="9.85546875" bestFit="1" customWidth="1"/>
    <col min="5880" max="5880" width="12" bestFit="1" customWidth="1"/>
    <col min="5881" max="5881" width="1.85546875" customWidth="1"/>
    <col min="5883" max="5883" width="3" customWidth="1"/>
    <col min="6120" max="6120" width="18" customWidth="1"/>
    <col min="6121" max="6121" width="7.85546875" customWidth="1"/>
    <col min="6122" max="6122" width="11.28515625" bestFit="1" customWidth="1"/>
    <col min="6123" max="6123" width="10.5703125" bestFit="1" customWidth="1"/>
    <col min="6124" max="6124" width="10.28515625" customWidth="1"/>
    <col min="6125" max="6125" width="12.5703125" bestFit="1" customWidth="1"/>
    <col min="6126" max="6126" width="10.5703125" bestFit="1" customWidth="1"/>
    <col min="6127" max="6127" width="9.85546875" bestFit="1" customWidth="1"/>
    <col min="6128" max="6128" width="13" bestFit="1" customWidth="1"/>
    <col min="6129" max="6129" width="2.140625" customWidth="1"/>
    <col min="6130" max="6130" width="10.5703125" bestFit="1" customWidth="1"/>
    <col min="6131" max="6131" width="7.85546875" bestFit="1" customWidth="1"/>
    <col min="6132" max="6132" width="9.85546875" bestFit="1" customWidth="1"/>
    <col min="6133" max="6133" width="11.28515625" bestFit="1" customWidth="1"/>
    <col min="6134" max="6135" width="9.85546875" bestFit="1" customWidth="1"/>
    <col min="6136" max="6136" width="12" bestFit="1" customWidth="1"/>
    <col min="6137" max="6137" width="1.85546875" customWidth="1"/>
    <col min="6139" max="6139" width="3" customWidth="1"/>
    <col min="6376" max="6376" width="18" customWidth="1"/>
    <col min="6377" max="6377" width="7.85546875" customWidth="1"/>
    <col min="6378" max="6378" width="11.28515625" bestFit="1" customWidth="1"/>
    <col min="6379" max="6379" width="10.5703125" bestFit="1" customWidth="1"/>
    <col min="6380" max="6380" width="10.28515625" customWidth="1"/>
    <col min="6381" max="6381" width="12.5703125" bestFit="1" customWidth="1"/>
    <col min="6382" max="6382" width="10.5703125" bestFit="1" customWidth="1"/>
    <col min="6383" max="6383" width="9.85546875" bestFit="1" customWidth="1"/>
    <col min="6384" max="6384" width="13" bestFit="1" customWidth="1"/>
    <col min="6385" max="6385" width="2.140625" customWidth="1"/>
    <col min="6386" max="6386" width="10.5703125" bestFit="1" customWidth="1"/>
    <col min="6387" max="6387" width="7.85546875" bestFit="1" customWidth="1"/>
    <col min="6388" max="6388" width="9.85546875" bestFit="1" customWidth="1"/>
    <col min="6389" max="6389" width="11.28515625" bestFit="1" customWidth="1"/>
    <col min="6390" max="6391" width="9.85546875" bestFit="1" customWidth="1"/>
    <col min="6392" max="6392" width="12" bestFit="1" customWidth="1"/>
    <col min="6393" max="6393" width="1.85546875" customWidth="1"/>
    <col min="6395" max="6395" width="3" customWidth="1"/>
    <col min="6632" max="6632" width="18" customWidth="1"/>
    <col min="6633" max="6633" width="7.85546875" customWidth="1"/>
    <col min="6634" max="6634" width="11.28515625" bestFit="1" customWidth="1"/>
    <col min="6635" max="6635" width="10.5703125" bestFit="1" customWidth="1"/>
    <col min="6636" max="6636" width="10.28515625" customWidth="1"/>
    <col min="6637" max="6637" width="12.5703125" bestFit="1" customWidth="1"/>
    <col min="6638" max="6638" width="10.5703125" bestFit="1" customWidth="1"/>
    <col min="6639" max="6639" width="9.85546875" bestFit="1" customWidth="1"/>
    <col min="6640" max="6640" width="13" bestFit="1" customWidth="1"/>
    <col min="6641" max="6641" width="2.140625" customWidth="1"/>
    <col min="6642" max="6642" width="10.5703125" bestFit="1" customWidth="1"/>
    <col min="6643" max="6643" width="7.85546875" bestFit="1" customWidth="1"/>
    <col min="6644" max="6644" width="9.85546875" bestFit="1" customWidth="1"/>
    <col min="6645" max="6645" width="11.28515625" bestFit="1" customWidth="1"/>
    <col min="6646" max="6647" width="9.85546875" bestFit="1" customWidth="1"/>
    <col min="6648" max="6648" width="12" bestFit="1" customWidth="1"/>
    <col min="6649" max="6649" width="1.85546875" customWidth="1"/>
    <col min="6651" max="6651" width="3" customWidth="1"/>
    <col min="6888" max="6888" width="18" customWidth="1"/>
    <col min="6889" max="6889" width="7.85546875" customWidth="1"/>
    <col min="6890" max="6890" width="11.28515625" bestFit="1" customWidth="1"/>
    <col min="6891" max="6891" width="10.5703125" bestFit="1" customWidth="1"/>
    <col min="6892" max="6892" width="10.28515625" customWidth="1"/>
    <col min="6893" max="6893" width="12.5703125" bestFit="1" customWidth="1"/>
    <col min="6894" max="6894" width="10.5703125" bestFit="1" customWidth="1"/>
    <col min="6895" max="6895" width="9.85546875" bestFit="1" customWidth="1"/>
    <col min="6896" max="6896" width="13" bestFit="1" customWidth="1"/>
    <col min="6897" max="6897" width="2.140625" customWidth="1"/>
    <col min="6898" max="6898" width="10.5703125" bestFit="1" customWidth="1"/>
    <col min="6899" max="6899" width="7.85546875" bestFit="1" customWidth="1"/>
    <col min="6900" max="6900" width="9.85546875" bestFit="1" customWidth="1"/>
    <col min="6901" max="6901" width="11.28515625" bestFit="1" customWidth="1"/>
    <col min="6902" max="6903" width="9.85546875" bestFit="1" customWidth="1"/>
    <col min="6904" max="6904" width="12" bestFit="1" customWidth="1"/>
    <col min="6905" max="6905" width="1.85546875" customWidth="1"/>
    <col min="6907" max="6907" width="3" customWidth="1"/>
    <col min="7144" max="7144" width="18" customWidth="1"/>
    <col min="7145" max="7145" width="7.85546875" customWidth="1"/>
    <col min="7146" max="7146" width="11.28515625" bestFit="1" customWidth="1"/>
    <col min="7147" max="7147" width="10.5703125" bestFit="1" customWidth="1"/>
    <col min="7148" max="7148" width="10.28515625" customWidth="1"/>
    <col min="7149" max="7149" width="12.5703125" bestFit="1" customWidth="1"/>
    <col min="7150" max="7150" width="10.5703125" bestFit="1" customWidth="1"/>
    <col min="7151" max="7151" width="9.85546875" bestFit="1" customWidth="1"/>
    <col min="7152" max="7152" width="13" bestFit="1" customWidth="1"/>
    <col min="7153" max="7153" width="2.140625" customWidth="1"/>
    <col min="7154" max="7154" width="10.5703125" bestFit="1" customWidth="1"/>
    <col min="7155" max="7155" width="7.85546875" bestFit="1" customWidth="1"/>
    <col min="7156" max="7156" width="9.85546875" bestFit="1" customWidth="1"/>
    <col min="7157" max="7157" width="11.28515625" bestFit="1" customWidth="1"/>
    <col min="7158" max="7159" width="9.85546875" bestFit="1" customWidth="1"/>
    <col min="7160" max="7160" width="12" bestFit="1" customWidth="1"/>
    <col min="7161" max="7161" width="1.85546875" customWidth="1"/>
    <col min="7163" max="7163" width="3" customWidth="1"/>
    <col min="7400" max="7400" width="18" customWidth="1"/>
    <col min="7401" max="7401" width="7.85546875" customWidth="1"/>
    <col min="7402" max="7402" width="11.28515625" bestFit="1" customWidth="1"/>
    <col min="7403" max="7403" width="10.5703125" bestFit="1" customWidth="1"/>
    <col min="7404" max="7404" width="10.28515625" customWidth="1"/>
    <col min="7405" max="7405" width="12.5703125" bestFit="1" customWidth="1"/>
    <col min="7406" max="7406" width="10.5703125" bestFit="1" customWidth="1"/>
    <col min="7407" max="7407" width="9.85546875" bestFit="1" customWidth="1"/>
    <col min="7408" max="7408" width="13" bestFit="1" customWidth="1"/>
    <col min="7409" max="7409" width="2.140625" customWidth="1"/>
    <col min="7410" max="7410" width="10.5703125" bestFit="1" customWidth="1"/>
    <col min="7411" max="7411" width="7.85546875" bestFit="1" customWidth="1"/>
    <col min="7412" max="7412" width="9.85546875" bestFit="1" customWidth="1"/>
    <col min="7413" max="7413" width="11.28515625" bestFit="1" customWidth="1"/>
    <col min="7414" max="7415" width="9.85546875" bestFit="1" customWidth="1"/>
    <col min="7416" max="7416" width="12" bestFit="1" customWidth="1"/>
    <col min="7417" max="7417" width="1.85546875" customWidth="1"/>
    <col min="7419" max="7419" width="3" customWidth="1"/>
    <col min="7656" max="7656" width="18" customWidth="1"/>
    <col min="7657" max="7657" width="7.85546875" customWidth="1"/>
    <col min="7658" max="7658" width="11.28515625" bestFit="1" customWidth="1"/>
    <col min="7659" max="7659" width="10.5703125" bestFit="1" customWidth="1"/>
    <col min="7660" max="7660" width="10.28515625" customWidth="1"/>
    <col min="7661" max="7661" width="12.5703125" bestFit="1" customWidth="1"/>
    <col min="7662" max="7662" width="10.5703125" bestFit="1" customWidth="1"/>
    <col min="7663" max="7663" width="9.85546875" bestFit="1" customWidth="1"/>
    <col min="7664" max="7664" width="13" bestFit="1" customWidth="1"/>
    <col min="7665" max="7665" width="2.140625" customWidth="1"/>
    <col min="7666" max="7666" width="10.5703125" bestFit="1" customWidth="1"/>
    <col min="7667" max="7667" width="7.85546875" bestFit="1" customWidth="1"/>
    <col min="7668" max="7668" width="9.85546875" bestFit="1" customWidth="1"/>
    <col min="7669" max="7669" width="11.28515625" bestFit="1" customWidth="1"/>
    <col min="7670" max="7671" width="9.85546875" bestFit="1" customWidth="1"/>
    <col min="7672" max="7672" width="12" bestFit="1" customWidth="1"/>
    <col min="7673" max="7673" width="1.85546875" customWidth="1"/>
    <col min="7675" max="7675" width="3" customWidth="1"/>
    <col min="7912" max="7912" width="18" customWidth="1"/>
    <col min="7913" max="7913" width="7.85546875" customWidth="1"/>
    <col min="7914" max="7914" width="11.28515625" bestFit="1" customWidth="1"/>
    <col min="7915" max="7915" width="10.5703125" bestFit="1" customWidth="1"/>
    <col min="7916" max="7916" width="10.28515625" customWidth="1"/>
    <col min="7917" max="7917" width="12.5703125" bestFit="1" customWidth="1"/>
    <col min="7918" max="7918" width="10.5703125" bestFit="1" customWidth="1"/>
    <col min="7919" max="7919" width="9.85546875" bestFit="1" customWidth="1"/>
    <col min="7920" max="7920" width="13" bestFit="1" customWidth="1"/>
    <col min="7921" max="7921" width="2.140625" customWidth="1"/>
    <col min="7922" max="7922" width="10.5703125" bestFit="1" customWidth="1"/>
    <col min="7923" max="7923" width="7.85546875" bestFit="1" customWidth="1"/>
    <col min="7924" max="7924" width="9.85546875" bestFit="1" customWidth="1"/>
    <col min="7925" max="7925" width="11.28515625" bestFit="1" customWidth="1"/>
    <col min="7926" max="7927" width="9.85546875" bestFit="1" customWidth="1"/>
    <col min="7928" max="7928" width="12" bestFit="1" customWidth="1"/>
    <col min="7929" max="7929" width="1.85546875" customWidth="1"/>
    <col min="7931" max="7931" width="3" customWidth="1"/>
    <col min="8168" max="8168" width="18" customWidth="1"/>
    <col min="8169" max="8169" width="7.85546875" customWidth="1"/>
    <col min="8170" max="8170" width="11.28515625" bestFit="1" customWidth="1"/>
    <col min="8171" max="8171" width="10.5703125" bestFit="1" customWidth="1"/>
    <col min="8172" max="8172" width="10.28515625" customWidth="1"/>
    <col min="8173" max="8173" width="12.5703125" bestFit="1" customWidth="1"/>
    <col min="8174" max="8174" width="10.5703125" bestFit="1" customWidth="1"/>
    <col min="8175" max="8175" width="9.85546875" bestFit="1" customWidth="1"/>
    <col min="8176" max="8176" width="13" bestFit="1" customWidth="1"/>
    <col min="8177" max="8177" width="2.140625" customWidth="1"/>
    <col min="8178" max="8178" width="10.5703125" bestFit="1" customWidth="1"/>
    <col min="8179" max="8179" width="7.85546875" bestFit="1" customWidth="1"/>
    <col min="8180" max="8180" width="9.85546875" bestFit="1" customWidth="1"/>
    <col min="8181" max="8181" width="11.28515625" bestFit="1" customWidth="1"/>
    <col min="8182" max="8183" width="9.85546875" bestFit="1" customWidth="1"/>
    <col min="8184" max="8184" width="12" bestFit="1" customWidth="1"/>
    <col min="8185" max="8185" width="1.85546875" customWidth="1"/>
    <col min="8187" max="8187" width="3" customWidth="1"/>
    <col min="8424" max="8424" width="18" customWidth="1"/>
    <col min="8425" max="8425" width="7.85546875" customWidth="1"/>
    <col min="8426" max="8426" width="11.28515625" bestFit="1" customWidth="1"/>
    <col min="8427" max="8427" width="10.5703125" bestFit="1" customWidth="1"/>
    <col min="8428" max="8428" width="10.28515625" customWidth="1"/>
    <col min="8429" max="8429" width="12.5703125" bestFit="1" customWidth="1"/>
    <col min="8430" max="8430" width="10.5703125" bestFit="1" customWidth="1"/>
    <col min="8431" max="8431" width="9.85546875" bestFit="1" customWidth="1"/>
    <col min="8432" max="8432" width="13" bestFit="1" customWidth="1"/>
    <col min="8433" max="8433" width="2.140625" customWidth="1"/>
    <col min="8434" max="8434" width="10.5703125" bestFit="1" customWidth="1"/>
    <col min="8435" max="8435" width="7.85546875" bestFit="1" customWidth="1"/>
    <col min="8436" max="8436" width="9.85546875" bestFit="1" customWidth="1"/>
    <col min="8437" max="8437" width="11.28515625" bestFit="1" customWidth="1"/>
    <col min="8438" max="8439" width="9.85546875" bestFit="1" customWidth="1"/>
    <col min="8440" max="8440" width="12" bestFit="1" customWidth="1"/>
    <col min="8441" max="8441" width="1.85546875" customWidth="1"/>
    <col min="8443" max="8443" width="3" customWidth="1"/>
    <col min="8680" max="8680" width="18" customWidth="1"/>
    <col min="8681" max="8681" width="7.85546875" customWidth="1"/>
    <col min="8682" max="8682" width="11.28515625" bestFit="1" customWidth="1"/>
    <col min="8683" max="8683" width="10.5703125" bestFit="1" customWidth="1"/>
    <col min="8684" max="8684" width="10.28515625" customWidth="1"/>
    <col min="8685" max="8685" width="12.5703125" bestFit="1" customWidth="1"/>
    <col min="8686" max="8686" width="10.5703125" bestFit="1" customWidth="1"/>
    <col min="8687" max="8687" width="9.85546875" bestFit="1" customWidth="1"/>
    <col min="8688" max="8688" width="13" bestFit="1" customWidth="1"/>
    <col min="8689" max="8689" width="2.140625" customWidth="1"/>
    <col min="8690" max="8690" width="10.5703125" bestFit="1" customWidth="1"/>
    <col min="8691" max="8691" width="7.85546875" bestFit="1" customWidth="1"/>
    <col min="8692" max="8692" width="9.85546875" bestFit="1" customWidth="1"/>
    <col min="8693" max="8693" width="11.28515625" bestFit="1" customWidth="1"/>
    <col min="8694" max="8695" width="9.85546875" bestFit="1" customWidth="1"/>
    <col min="8696" max="8696" width="12" bestFit="1" customWidth="1"/>
    <col min="8697" max="8697" width="1.85546875" customWidth="1"/>
    <col min="8699" max="8699" width="3" customWidth="1"/>
    <col min="8936" max="8936" width="18" customWidth="1"/>
    <col min="8937" max="8937" width="7.85546875" customWidth="1"/>
    <col min="8938" max="8938" width="11.28515625" bestFit="1" customWidth="1"/>
    <col min="8939" max="8939" width="10.5703125" bestFit="1" customWidth="1"/>
    <col min="8940" max="8940" width="10.28515625" customWidth="1"/>
    <col min="8941" max="8941" width="12.5703125" bestFit="1" customWidth="1"/>
    <col min="8942" max="8942" width="10.5703125" bestFit="1" customWidth="1"/>
    <col min="8943" max="8943" width="9.85546875" bestFit="1" customWidth="1"/>
    <col min="8944" max="8944" width="13" bestFit="1" customWidth="1"/>
    <col min="8945" max="8945" width="2.140625" customWidth="1"/>
    <col min="8946" max="8946" width="10.5703125" bestFit="1" customWidth="1"/>
    <col min="8947" max="8947" width="7.85546875" bestFit="1" customWidth="1"/>
    <col min="8948" max="8948" width="9.85546875" bestFit="1" customWidth="1"/>
    <col min="8949" max="8949" width="11.28515625" bestFit="1" customWidth="1"/>
    <col min="8950" max="8951" width="9.85546875" bestFit="1" customWidth="1"/>
    <col min="8952" max="8952" width="12" bestFit="1" customWidth="1"/>
    <col min="8953" max="8953" width="1.85546875" customWidth="1"/>
    <col min="8955" max="8955" width="3" customWidth="1"/>
    <col min="9192" max="9192" width="18" customWidth="1"/>
    <col min="9193" max="9193" width="7.85546875" customWidth="1"/>
    <col min="9194" max="9194" width="11.28515625" bestFit="1" customWidth="1"/>
    <col min="9195" max="9195" width="10.5703125" bestFit="1" customWidth="1"/>
    <col min="9196" max="9196" width="10.28515625" customWidth="1"/>
    <col min="9197" max="9197" width="12.5703125" bestFit="1" customWidth="1"/>
    <col min="9198" max="9198" width="10.5703125" bestFit="1" customWidth="1"/>
    <col min="9199" max="9199" width="9.85546875" bestFit="1" customWidth="1"/>
    <col min="9200" max="9200" width="13" bestFit="1" customWidth="1"/>
    <col min="9201" max="9201" width="2.140625" customWidth="1"/>
    <col min="9202" max="9202" width="10.5703125" bestFit="1" customWidth="1"/>
    <col min="9203" max="9203" width="7.85546875" bestFit="1" customWidth="1"/>
    <col min="9204" max="9204" width="9.85546875" bestFit="1" customWidth="1"/>
    <col min="9205" max="9205" width="11.28515625" bestFit="1" customWidth="1"/>
    <col min="9206" max="9207" width="9.85546875" bestFit="1" customWidth="1"/>
    <col min="9208" max="9208" width="12" bestFit="1" customWidth="1"/>
    <col min="9209" max="9209" width="1.85546875" customWidth="1"/>
    <col min="9211" max="9211" width="3" customWidth="1"/>
    <col min="9448" max="9448" width="18" customWidth="1"/>
    <col min="9449" max="9449" width="7.85546875" customWidth="1"/>
    <col min="9450" max="9450" width="11.28515625" bestFit="1" customWidth="1"/>
    <col min="9451" max="9451" width="10.5703125" bestFit="1" customWidth="1"/>
    <col min="9452" max="9452" width="10.28515625" customWidth="1"/>
    <col min="9453" max="9453" width="12.5703125" bestFit="1" customWidth="1"/>
    <col min="9454" max="9454" width="10.5703125" bestFit="1" customWidth="1"/>
    <col min="9455" max="9455" width="9.85546875" bestFit="1" customWidth="1"/>
    <col min="9456" max="9456" width="13" bestFit="1" customWidth="1"/>
    <col min="9457" max="9457" width="2.140625" customWidth="1"/>
    <col min="9458" max="9458" width="10.5703125" bestFit="1" customWidth="1"/>
    <col min="9459" max="9459" width="7.85546875" bestFit="1" customWidth="1"/>
    <col min="9460" max="9460" width="9.85546875" bestFit="1" customWidth="1"/>
    <col min="9461" max="9461" width="11.28515625" bestFit="1" customWidth="1"/>
    <col min="9462" max="9463" width="9.85546875" bestFit="1" customWidth="1"/>
    <col min="9464" max="9464" width="12" bestFit="1" customWidth="1"/>
    <col min="9465" max="9465" width="1.85546875" customWidth="1"/>
    <col min="9467" max="9467" width="3" customWidth="1"/>
    <col min="9704" max="9704" width="18" customWidth="1"/>
    <col min="9705" max="9705" width="7.85546875" customWidth="1"/>
    <col min="9706" max="9706" width="11.28515625" bestFit="1" customWidth="1"/>
    <col min="9707" max="9707" width="10.5703125" bestFit="1" customWidth="1"/>
    <col min="9708" max="9708" width="10.28515625" customWidth="1"/>
    <col min="9709" max="9709" width="12.5703125" bestFit="1" customWidth="1"/>
    <col min="9710" max="9710" width="10.5703125" bestFit="1" customWidth="1"/>
    <col min="9711" max="9711" width="9.85546875" bestFit="1" customWidth="1"/>
    <col min="9712" max="9712" width="13" bestFit="1" customWidth="1"/>
    <col min="9713" max="9713" width="2.140625" customWidth="1"/>
    <col min="9714" max="9714" width="10.5703125" bestFit="1" customWidth="1"/>
    <col min="9715" max="9715" width="7.85546875" bestFit="1" customWidth="1"/>
    <col min="9716" max="9716" width="9.85546875" bestFit="1" customWidth="1"/>
    <col min="9717" max="9717" width="11.28515625" bestFit="1" customWidth="1"/>
    <col min="9718" max="9719" width="9.85546875" bestFit="1" customWidth="1"/>
    <col min="9720" max="9720" width="12" bestFit="1" customWidth="1"/>
    <col min="9721" max="9721" width="1.85546875" customWidth="1"/>
    <col min="9723" max="9723" width="3" customWidth="1"/>
    <col min="9960" max="9960" width="18" customWidth="1"/>
    <col min="9961" max="9961" width="7.85546875" customWidth="1"/>
    <col min="9962" max="9962" width="11.28515625" bestFit="1" customWidth="1"/>
    <col min="9963" max="9963" width="10.5703125" bestFit="1" customWidth="1"/>
    <col min="9964" max="9964" width="10.28515625" customWidth="1"/>
    <col min="9965" max="9965" width="12.5703125" bestFit="1" customWidth="1"/>
    <col min="9966" max="9966" width="10.5703125" bestFit="1" customWidth="1"/>
    <col min="9967" max="9967" width="9.85546875" bestFit="1" customWidth="1"/>
    <col min="9968" max="9968" width="13" bestFit="1" customWidth="1"/>
    <col min="9969" max="9969" width="2.140625" customWidth="1"/>
    <col min="9970" max="9970" width="10.5703125" bestFit="1" customWidth="1"/>
    <col min="9971" max="9971" width="7.85546875" bestFit="1" customWidth="1"/>
    <col min="9972" max="9972" width="9.85546875" bestFit="1" customWidth="1"/>
    <col min="9973" max="9973" width="11.28515625" bestFit="1" customWidth="1"/>
    <col min="9974" max="9975" width="9.85546875" bestFit="1" customWidth="1"/>
    <col min="9976" max="9976" width="12" bestFit="1" customWidth="1"/>
    <col min="9977" max="9977" width="1.85546875" customWidth="1"/>
    <col min="9979" max="9979" width="3" customWidth="1"/>
    <col min="10216" max="10216" width="18" customWidth="1"/>
    <col min="10217" max="10217" width="7.85546875" customWidth="1"/>
    <col min="10218" max="10218" width="11.28515625" bestFit="1" customWidth="1"/>
    <col min="10219" max="10219" width="10.5703125" bestFit="1" customWidth="1"/>
    <col min="10220" max="10220" width="10.28515625" customWidth="1"/>
    <col min="10221" max="10221" width="12.5703125" bestFit="1" customWidth="1"/>
    <col min="10222" max="10222" width="10.5703125" bestFit="1" customWidth="1"/>
    <col min="10223" max="10223" width="9.85546875" bestFit="1" customWidth="1"/>
    <col min="10224" max="10224" width="13" bestFit="1" customWidth="1"/>
    <col min="10225" max="10225" width="2.140625" customWidth="1"/>
    <col min="10226" max="10226" width="10.5703125" bestFit="1" customWidth="1"/>
    <col min="10227" max="10227" width="7.85546875" bestFit="1" customWidth="1"/>
    <col min="10228" max="10228" width="9.85546875" bestFit="1" customWidth="1"/>
    <col min="10229" max="10229" width="11.28515625" bestFit="1" customWidth="1"/>
    <col min="10230" max="10231" width="9.85546875" bestFit="1" customWidth="1"/>
    <col min="10232" max="10232" width="12" bestFit="1" customWidth="1"/>
    <col min="10233" max="10233" width="1.85546875" customWidth="1"/>
    <col min="10235" max="10235" width="3" customWidth="1"/>
    <col min="10472" max="10472" width="18" customWidth="1"/>
    <col min="10473" max="10473" width="7.85546875" customWidth="1"/>
    <col min="10474" max="10474" width="11.28515625" bestFit="1" customWidth="1"/>
    <col min="10475" max="10475" width="10.5703125" bestFit="1" customWidth="1"/>
    <col min="10476" max="10476" width="10.28515625" customWidth="1"/>
    <col min="10477" max="10477" width="12.5703125" bestFit="1" customWidth="1"/>
    <col min="10478" max="10478" width="10.5703125" bestFit="1" customWidth="1"/>
    <col min="10479" max="10479" width="9.85546875" bestFit="1" customWidth="1"/>
    <col min="10480" max="10480" width="13" bestFit="1" customWidth="1"/>
    <col min="10481" max="10481" width="2.140625" customWidth="1"/>
    <col min="10482" max="10482" width="10.5703125" bestFit="1" customWidth="1"/>
    <col min="10483" max="10483" width="7.85546875" bestFit="1" customWidth="1"/>
    <col min="10484" max="10484" width="9.85546875" bestFit="1" customWidth="1"/>
    <col min="10485" max="10485" width="11.28515625" bestFit="1" customWidth="1"/>
    <col min="10486" max="10487" width="9.85546875" bestFit="1" customWidth="1"/>
    <col min="10488" max="10488" width="12" bestFit="1" customWidth="1"/>
    <col min="10489" max="10489" width="1.85546875" customWidth="1"/>
    <col min="10491" max="10491" width="3" customWidth="1"/>
    <col min="10728" max="10728" width="18" customWidth="1"/>
    <col min="10729" max="10729" width="7.85546875" customWidth="1"/>
    <col min="10730" max="10730" width="11.28515625" bestFit="1" customWidth="1"/>
    <col min="10731" max="10731" width="10.5703125" bestFit="1" customWidth="1"/>
    <col min="10732" max="10732" width="10.28515625" customWidth="1"/>
    <col min="10733" max="10733" width="12.5703125" bestFit="1" customWidth="1"/>
    <col min="10734" max="10734" width="10.5703125" bestFit="1" customWidth="1"/>
    <col min="10735" max="10735" width="9.85546875" bestFit="1" customWidth="1"/>
    <col min="10736" max="10736" width="13" bestFit="1" customWidth="1"/>
    <col min="10737" max="10737" width="2.140625" customWidth="1"/>
    <col min="10738" max="10738" width="10.5703125" bestFit="1" customWidth="1"/>
    <col min="10739" max="10739" width="7.85546875" bestFit="1" customWidth="1"/>
    <col min="10740" max="10740" width="9.85546875" bestFit="1" customWidth="1"/>
    <col min="10741" max="10741" width="11.28515625" bestFit="1" customWidth="1"/>
    <col min="10742" max="10743" width="9.85546875" bestFit="1" customWidth="1"/>
    <col min="10744" max="10744" width="12" bestFit="1" customWidth="1"/>
    <col min="10745" max="10745" width="1.85546875" customWidth="1"/>
    <col min="10747" max="10747" width="3" customWidth="1"/>
    <col min="10984" max="10984" width="18" customWidth="1"/>
    <col min="10985" max="10985" width="7.85546875" customWidth="1"/>
    <col min="10986" max="10986" width="11.28515625" bestFit="1" customWidth="1"/>
    <col min="10987" max="10987" width="10.5703125" bestFit="1" customWidth="1"/>
    <col min="10988" max="10988" width="10.28515625" customWidth="1"/>
    <col min="10989" max="10989" width="12.5703125" bestFit="1" customWidth="1"/>
    <col min="10990" max="10990" width="10.5703125" bestFit="1" customWidth="1"/>
    <col min="10991" max="10991" width="9.85546875" bestFit="1" customWidth="1"/>
    <col min="10992" max="10992" width="13" bestFit="1" customWidth="1"/>
    <col min="10993" max="10993" width="2.140625" customWidth="1"/>
    <col min="10994" max="10994" width="10.5703125" bestFit="1" customWidth="1"/>
    <col min="10995" max="10995" width="7.85546875" bestFit="1" customWidth="1"/>
    <col min="10996" max="10996" width="9.85546875" bestFit="1" customWidth="1"/>
    <col min="10997" max="10997" width="11.28515625" bestFit="1" customWidth="1"/>
    <col min="10998" max="10999" width="9.85546875" bestFit="1" customWidth="1"/>
    <col min="11000" max="11000" width="12" bestFit="1" customWidth="1"/>
    <col min="11001" max="11001" width="1.85546875" customWidth="1"/>
    <col min="11003" max="11003" width="3" customWidth="1"/>
    <col min="11240" max="11240" width="18" customWidth="1"/>
    <col min="11241" max="11241" width="7.85546875" customWidth="1"/>
    <col min="11242" max="11242" width="11.28515625" bestFit="1" customWidth="1"/>
    <col min="11243" max="11243" width="10.5703125" bestFit="1" customWidth="1"/>
    <col min="11244" max="11244" width="10.28515625" customWidth="1"/>
    <col min="11245" max="11245" width="12.5703125" bestFit="1" customWidth="1"/>
    <col min="11246" max="11246" width="10.5703125" bestFit="1" customWidth="1"/>
    <col min="11247" max="11247" width="9.85546875" bestFit="1" customWidth="1"/>
    <col min="11248" max="11248" width="13" bestFit="1" customWidth="1"/>
    <col min="11249" max="11249" width="2.140625" customWidth="1"/>
    <col min="11250" max="11250" width="10.5703125" bestFit="1" customWidth="1"/>
    <col min="11251" max="11251" width="7.85546875" bestFit="1" customWidth="1"/>
    <col min="11252" max="11252" width="9.85546875" bestFit="1" customWidth="1"/>
    <col min="11253" max="11253" width="11.28515625" bestFit="1" customWidth="1"/>
    <col min="11254" max="11255" width="9.85546875" bestFit="1" customWidth="1"/>
    <col min="11256" max="11256" width="12" bestFit="1" customWidth="1"/>
    <col min="11257" max="11257" width="1.85546875" customWidth="1"/>
    <col min="11259" max="11259" width="3" customWidth="1"/>
    <col min="11496" max="11496" width="18" customWidth="1"/>
    <col min="11497" max="11497" width="7.85546875" customWidth="1"/>
    <col min="11498" max="11498" width="11.28515625" bestFit="1" customWidth="1"/>
    <col min="11499" max="11499" width="10.5703125" bestFit="1" customWidth="1"/>
    <col min="11500" max="11500" width="10.28515625" customWidth="1"/>
    <col min="11501" max="11501" width="12.5703125" bestFit="1" customWidth="1"/>
    <col min="11502" max="11502" width="10.5703125" bestFit="1" customWidth="1"/>
    <col min="11503" max="11503" width="9.85546875" bestFit="1" customWidth="1"/>
    <col min="11504" max="11504" width="13" bestFit="1" customWidth="1"/>
    <col min="11505" max="11505" width="2.140625" customWidth="1"/>
    <col min="11506" max="11506" width="10.5703125" bestFit="1" customWidth="1"/>
    <col min="11507" max="11507" width="7.85546875" bestFit="1" customWidth="1"/>
    <col min="11508" max="11508" width="9.85546875" bestFit="1" customWidth="1"/>
    <col min="11509" max="11509" width="11.28515625" bestFit="1" customWidth="1"/>
    <col min="11510" max="11511" width="9.85546875" bestFit="1" customWidth="1"/>
    <col min="11512" max="11512" width="12" bestFit="1" customWidth="1"/>
    <col min="11513" max="11513" width="1.85546875" customWidth="1"/>
    <col min="11515" max="11515" width="3" customWidth="1"/>
    <col min="11752" max="11752" width="18" customWidth="1"/>
    <col min="11753" max="11753" width="7.85546875" customWidth="1"/>
    <col min="11754" max="11754" width="11.28515625" bestFit="1" customWidth="1"/>
    <col min="11755" max="11755" width="10.5703125" bestFit="1" customWidth="1"/>
    <col min="11756" max="11756" width="10.28515625" customWidth="1"/>
    <col min="11757" max="11757" width="12.5703125" bestFit="1" customWidth="1"/>
    <col min="11758" max="11758" width="10.5703125" bestFit="1" customWidth="1"/>
    <col min="11759" max="11759" width="9.85546875" bestFit="1" customWidth="1"/>
    <col min="11760" max="11760" width="13" bestFit="1" customWidth="1"/>
    <col min="11761" max="11761" width="2.140625" customWidth="1"/>
    <col min="11762" max="11762" width="10.5703125" bestFit="1" customWidth="1"/>
    <col min="11763" max="11763" width="7.85546875" bestFit="1" customWidth="1"/>
    <col min="11764" max="11764" width="9.85546875" bestFit="1" customWidth="1"/>
    <col min="11765" max="11765" width="11.28515625" bestFit="1" customWidth="1"/>
    <col min="11766" max="11767" width="9.85546875" bestFit="1" customWidth="1"/>
    <col min="11768" max="11768" width="12" bestFit="1" customWidth="1"/>
    <col min="11769" max="11769" width="1.85546875" customWidth="1"/>
    <col min="11771" max="11771" width="3" customWidth="1"/>
    <col min="12008" max="12008" width="18" customWidth="1"/>
    <col min="12009" max="12009" width="7.85546875" customWidth="1"/>
    <col min="12010" max="12010" width="11.28515625" bestFit="1" customWidth="1"/>
    <col min="12011" max="12011" width="10.5703125" bestFit="1" customWidth="1"/>
    <col min="12012" max="12012" width="10.28515625" customWidth="1"/>
    <col min="12013" max="12013" width="12.5703125" bestFit="1" customWidth="1"/>
    <col min="12014" max="12014" width="10.5703125" bestFit="1" customWidth="1"/>
    <col min="12015" max="12015" width="9.85546875" bestFit="1" customWidth="1"/>
    <col min="12016" max="12016" width="13" bestFit="1" customWidth="1"/>
    <col min="12017" max="12017" width="2.140625" customWidth="1"/>
    <col min="12018" max="12018" width="10.5703125" bestFit="1" customWidth="1"/>
    <col min="12019" max="12019" width="7.85546875" bestFit="1" customWidth="1"/>
    <col min="12020" max="12020" width="9.85546875" bestFit="1" customWidth="1"/>
    <col min="12021" max="12021" width="11.28515625" bestFit="1" customWidth="1"/>
    <col min="12022" max="12023" width="9.85546875" bestFit="1" customWidth="1"/>
    <col min="12024" max="12024" width="12" bestFit="1" customWidth="1"/>
    <col min="12025" max="12025" width="1.85546875" customWidth="1"/>
    <col min="12027" max="12027" width="3" customWidth="1"/>
    <col min="12264" max="12264" width="18" customWidth="1"/>
    <col min="12265" max="12265" width="7.85546875" customWidth="1"/>
    <col min="12266" max="12266" width="11.28515625" bestFit="1" customWidth="1"/>
    <col min="12267" max="12267" width="10.5703125" bestFit="1" customWidth="1"/>
    <col min="12268" max="12268" width="10.28515625" customWidth="1"/>
    <col min="12269" max="12269" width="12.5703125" bestFit="1" customWidth="1"/>
    <col min="12270" max="12270" width="10.5703125" bestFit="1" customWidth="1"/>
    <col min="12271" max="12271" width="9.85546875" bestFit="1" customWidth="1"/>
    <col min="12272" max="12272" width="13" bestFit="1" customWidth="1"/>
    <col min="12273" max="12273" width="2.140625" customWidth="1"/>
    <col min="12274" max="12274" width="10.5703125" bestFit="1" customWidth="1"/>
    <col min="12275" max="12275" width="7.85546875" bestFit="1" customWidth="1"/>
    <col min="12276" max="12276" width="9.85546875" bestFit="1" customWidth="1"/>
    <col min="12277" max="12277" width="11.28515625" bestFit="1" customWidth="1"/>
    <col min="12278" max="12279" width="9.85546875" bestFit="1" customWidth="1"/>
    <col min="12280" max="12280" width="12" bestFit="1" customWidth="1"/>
    <col min="12281" max="12281" width="1.85546875" customWidth="1"/>
    <col min="12283" max="12283" width="3" customWidth="1"/>
    <col min="12520" max="12520" width="18" customWidth="1"/>
    <col min="12521" max="12521" width="7.85546875" customWidth="1"/>
    <col min="12522" max="12522" width="11.28515625" bestFit="1" customWidth="1"/>
    <col min="12523" max="12523" width="10.5703125" bestFit="1" customWidth="1"/>
    <col min="12524" max="12524" width="10.28515625" customWidth="1"/>
    <col min="12525" max="12525" width="12.5703125" bestFit="1" customWidth="1"/>
    <col min="12526" max="12526" width="10.5703125" bestFit="1" customWidth="1"/>
    <col min="12527" max="12527" width="9.85546875" bestFit="1" customWidth="1"/>
    <col min="12528" max="12528" width="13" bestFit="1" customWidth="1"/>
    <col min="12529" max="12529" width="2.140625" customWidth="1"/>
    <col min="12530" max="12530" width="10.5703125" bestFit="1" customWidth="1"/>
    <col min="12531" max="12531" width="7.85546875" bestFit="1" customWidth="1"/>
    <col min="12532" max="12532" width="9.85546875" bestFit="1" customWidth="1"/>
    <col min="12533" max="12533" width="11.28515625" bestFit="1" customWidth="1"/>
    <col min="12534" max="12535" width="9.85546875" bestFit="1" customWidth="1"/>
    <col min="12536" max="12536" width="12" bestFit="1" customWidth="1"/>
    <col min="12537" max="12537" width="1.85546875" customWidth="1"/>
    <col min="12539" max="12539" width="3" customWidth="1"/>
    <col min="12776" max="12776" width="18" customWidth="1"/>
    <col min="12777" max="12777" width="7.85546875" customWidth="1"/>
    <col min="12778" max="12778" width="11.28515625" bestFit="1" customWidth="1"/>
    <col min="12779" max="12779" width="10.5703125" bestFit="1" customWidth="1"/>
    <col min="12780" max="12780" width="10.28515625" customWidth="1"/>
    <col min="12781" max="12781" width="12.5703125" bestFit="1" customWidth="1"/>
    <col min="12782" max="12782" width="10.5703125" bestFit="1" customWidth="1"/>
    <col min="12783" max="12783" width="9.85546875" bestFit="1" customWidth="1"/>
    <col min="12784" max="12784" width="13" bestFit="1" customWidth="1"/>
    <col min="12785" max="12785" width="2.140625" customWidth="1"/>
    <col min="12786" max="12786" width="10.5703125" bestFit="1" customWidth="1"/>
    <col min="12787" max="12787" width="7.85546875" bestFit="1" customWidth="1"/>
    <col min="12788" max="12788" width="9.85546875" bestFit="1" customWidth="1"/>
    <col min="12789" max="12789" width="11.28515625" bestFit="1" customWidth="1"/>
    <col min="12790" max="12791" width="9.85546875" bestFit="1" customWidth="1"/>
    <col min="12792" max="12792" width="12" bestFit="1" customWidth="1"/>
    <col min="12793" max="12793" width="1.85546875" customWidth="1"/>
    <col min="12795" max="12795" width="3" customWidth="1"/>
    <col min="13032" max="13032" width="18" customWidth="1"/>
    <col min="13033" max="13033" width="7.85546875" customWidth="1"/>
    <col min="13034" max="13034" width="11.28515625" bestFit="1" customWidth="1"/>
    <col min="13035" max="13035" width="10.5703125" bestFit="1" customWidth="1"/>
    <col min="13036" max="13036" width="10.28515625" customWidth="1"/>
    <col min="13037" max="13037" width="12.5703125" bestFit="1" customWidth="1"/>
    <col min="13038" max="13038" width="10.5703125" bestFit="1" customWidth="1"/>
    <col min="13039" max="13039" width="9.85546875" bestFit="1" customWidth="1"/>
    <col min="13040" max="13040" width="13" bestFit="1" customWidth="1"/>
    <col min="13041" max="13041" width="2.140625" customWidth="1"/>
    <col min="13042" max="13042" width="10.5703125" bestFit="1" customWidth="1"/>
    <col min="13043" max="13043" width="7.85546875" bestFit="1" customWidth="1"/>
    <col min="13044" max="13044" width="9.85546875" bestFit="1" customWidth="1"/>
    <col min="13045" max="13045" width="11.28515625" bestFit="1" customWidth="1"/>
    <col min="13046" max="13047" width="9.85546875" bestFit="1" customWidth="1"/>
    <col min="13048" max="13048" width="12" bestFit="1" customWidth="1"/>
    <col min="13049" max="13049" width="1.85546875" customWidth="1"/>
    <col min="13051" max="13051" width="3" customWidth="1"/>
    <col min="13288" max="13288" width="18" customWidth="1"/>
    <col min="13289" max="13289" width="7.85546875" customWidth="1"/>
    <col min="13290" max="13290" width="11.28515625" bestFit="1" customWidth="1"/>
    <col min="13291" max="13291" width="10.5703125" bestFit="1" customWidth="1"/>
    <col min="13292" max="13292" width="10.28515625" customWidth="1"/>
    <col min="13293" max="13293" width="12.5703125" bestFit="1" customWidth="1"/>
    <col min="13294" max="13294" width="10.5703125" bestFit="1" customWidth="1"/>
    <col min="13295" max="13295" width="9.85546875" bestFit="1" customWidth="1"/>
    <col min="13296" max="13296" width="13" bestFit="1" customWidth="1"/>
    <col min="13297" max="13297" width="2.140625" customWidth="1"/>
    <col min="13298" max="13298" width="10.5703125" bestFit="1" customWidth="1"/>
    <col min="13299" max="13299" width="7.85546875" bestFit="1" customWidth="1"/>
    <col min="13300" max="13300" width="9.85546875" bestFit="1" customWidth="1"/>
    <col min="13301" max="13301" width="11.28515625" bestFit="1" customWidth="1"/>
    <col min="13302" max="13303" width="9.85546875" bestFit="1" customWidth="1"/>
    <col min="13304" max="13304" width="12" bestFit="1" customWidth="1"/>
    <col min="13305" max="13305" width="1.85546875" customWidth="1"/>
    <col min="13307" max="13307" width="3" customWidth="1"/>
    <col min="13544" max="13544" width="18" customWidth="1"/>
    <col min="13545" max="13545" width="7.85546875" customWidth="1"/>
    <col min="13546" max="13546" width="11.28515625" bestFit="1" customWidth="1"/>
    <col min="13547" max="13547" width="10.5703125" bestFit="1" customWidth="1"/>
    <col min="13548" max="13548" width="10.28515625" customWidth="1"/>
    <col min="13549" max="13549" width="12.5703125" bestFit="1" customWidth="1"/>
    <col min="13550" max="13550" width="10.5703125" bestFit="1" customWidth="1"/>
    <col min="13551" max="13551" width="9.85546875" bestFit="1" customWidth="1"/>
    <col min="13552" max="13552" width="13" bestFit="1" customWidth="1"/>
    <col min="13553" max="13553" width="2.140625" customWidth="1"/>
    <col min="13554" max="13554" width="10.5703125" bestFit="1" customWidth="1"/>
    <col min="13555" max="13555" width="7.85546875" bestFit="1" customWidth="1"/>
    <col min="13556" max="13556" width="9.85546875" bestFit="1" customWidth="1"/>
    <col min="13557" max="13557" width="11.28515625" bestFit="1" customWidth="1"/>
    <col min="13558" max="13559" width="9.85546875" bestFit="1" customWidth="1"/>
    <col min="13560" max="13560" width="12" bestFit="1" customWidth="1"/>
    <col min="13561" max="13561" width="1.85546875" customWidth="1"/>
    <col min="13563" max="13563" width="3" customWidth="1"/>
    <col min="13800" max="13800" width="18" customWidth="1"/>
    <col min="13801" max="13801" width="7.85546875" customWidth="1"/>
    <col min="13802" max="13802" width="11.28515625" bestFit="1" customWidth="1"/>
    <col min="13803" max="13803" width="10.5703125" bestFit="1" customWidth="1"/>
    <col min="13804" max="13804" width="10.28515625" customWidth="1"/>
    <col min="13805" max="13805" width="12.5703125" bestFit="1" customWidth="1"/>
    <col min="13806" max="13806" width="10.5703125" bestFit="1" customWidth="1"/>
    <col min="13807" max="13807" width="9.85546875" bestFit="1" customWidth="1"/>
    <col min="13808" max="13808" width="13" bestFit="1" customWidth="1"/>
    <col min="13809" max="13809" width="2.140625" customWidth="1"/>
    <col min="13810" max="13810" width="10.5703125" bestFit="1" customWidth="1"/>
    <col min="13811" max="13811" width="7.85546875" bestFit="1" customWidth="1"/>
    <col min="13812" max="13812" width="9.85546875" bestFit="1" customWidth="1"/>
    <col min="13813" max="13813" width="11.28515625" bestFit="1" customWidth="1"/>
    <col min="13814" max="13815" width="9.85546875" bestFit="1" customWidth="1"/>
    <col min="13816" max="13816" width="12" bestFit="1" customWidth="1"/>
    <col min="13817" max="13817" width="1.85546875" customWidth="1"/>
    <col min="13819" max="13819" width="3" customWidth="1"/>
    <col min="14056" max="14056" width="18" customWidth="1"/>
    <col min="14057" max="14057" width="7.85546875" customWidth="1"/>
    <col min="14058" max="14058" width="11.28515625" bestFit="1" customWidth="1"/>
    <col min="14059" max="14059" width="10.5703125" bestFit="1" customWidth="1"/>
    <col min="14060" max="14060" width="10.28515625" customWidth="1"/>
    <col min="14061" max="14061" width="12.5703125" bestFit="1" customWidth="1"/>
    <col min="14062" max="14062" width="10.5703125" bestFit="1" customWidth="1"/>
    <col min="14063" max="14063" width="9.85546875" bestFit="1" customWidth="1"/>
    <col min="14064" max="14064" width="13" bestFit="1" customWidth="1"/>
    <col min="14065" max="14065" width="2.140625" customWidth="1"/>
    <col min="14066" max="14066" width="10.5703125" bestFit="1" customWidth="1"/>
    <col min="14067" max="14067" width="7.85546875" bestFit="1" customWidth="1"/>
    <col min="14068" max="14068" width="9.85546875" bestFit="1" customWidth="1"/>
    <col min="14069" max="14069" width="11.28515625" bestFit="1" customWidth="1"/>
    <col min="14070" max="14071" width="9.85546875" bestFit="1" customWidth="1"/>
    <col min="14072" max="14072" width="12" bestFit="1" customWidth="1"/>
    <col min="14073" max="14073" width="1.85546875" customWidth="1"/>
    <col min="14075" max="14075" width="3" customWidth="1"/>
    <col min="14312" max="14312" width="18" customWidth="1"/>
    <col min="14313" max="14313" width="7.85546875" customWidth="1"/>
    <col min="14314" max="14314" width="11.28515625" bestFit="1" customWidth="1"/>
    <col min="14315" max="14315" width="10.5703125" bestFit="1" customWidth="1"/>
    <col min="14316" max="14316" width="10.28515625" customWidth="1"/>
    <col min="14317" max="14317" width="12.5703125" bestFit="1" customWidth="1"/>
    <col min="14318" max="14318" width="10.5703125" bestFit="1" customWidth="1"/>
    <col min="14319" max="14319" width="9.85546875" bestFit="1" customWidth="1"/>
    <col min="14320" max="14320" width="13" bestFit="1" customWidth="1"/>
    <col min="14321" max="14321" width="2.140625" customWidth="1"/>
    <col min="14322" max="14322" width="10.5703125" bestFit="1" customWidth="1"/>
    <col min="14323" max="14323" width="7.85546875" bestFit="1" customWidth="1"/>
    <col min="14324" max="14324" width="9.85546875" bestFit="1" customWidth="1"/>
    <col min="14325" max="14325" width="11.28515625" bestFit="1" customWidth="1"/>
    <col min="14326" max="14327" width="9.85546875" bestFit="1" customWidth="1"/>
    <col min="14328" max="14328" width="12" bestFit="1" customWidth="1"/>
    <col min="14329" max="14329" width="1.85546875" customWidth="1"/>
    <col min="14331" max="14331" width="3" customWidth="1"/>
    <col min="14568" max="14568" width="18" customWidth="1"/>
    <col min="14569" max="14569" width="7.85546875" customWidth="1"/>
    <col min="14570" max="14570" width="11.28515625" bestFit="1" customWidth="1"/>
    <col min="14571" max="14571" width="10.5703125" bestFit="1" customWidth="1"/>
    <col min="14572" max="14572" width="10.28515625" customWidth="1"/>
    <col min="14573" max="14573" width="12.5703125" bestFit="1" customWidth="1"/>
    <col min="14574" max="14574" width="10.5703125" bestFit="1" customWidth="1"/>
    <col min="14575" max="14575" width="9.85546875" bestFit="1" customWidth="1"/>
    <col min="14576" max="14576" width="13" bestFit="1" customWidth="1"/>
    <col min="14577" max="14577" width="2.140625" customWidth="1"/>
    <col min="14578" max="14578" width="10.5703125" bestFit="1" customWidth="1"/>
    <col min="14579" max="14579" width="7.85546875" bestFit="1" customWidth="1"/>
    <col min="14580" max="14580" width="9.85546875" bestFit="1" customWidth="1"/>
    <col min="14581" max="14581" width="11.28515625" bestFit="1" customWidth="1"/>
    <col min="14582" max="14583" width="9.85546875" bestFit="1" customWidth="1"/>
    <col min="14584" max="14584" width="12" bestFit="1" customWidth="1"/>
    <col min="14585" max="14585" width="1.85546875" customWidth="1"/>
    <col min="14587" max="14587" width="3" customWidth="1"/>
    <col min="14824" max="14824" width="18" customWidth="1"/>
    <col min="14825" max="14825" width="7.85546875" customWidth="1"/>
    <col min="14826" max="14826" width="11.28515625" bestFit="1" customWidth="1"/>
    <col min="14827" max="14827" width="10.5703125" bestFit="1" customWidth="1"/>
    <col min="14828" max="14828" width="10.28515625" customWidth="1"/>
    <col min="14829" max="14829" width="12.5703125" bestFit="1" customWidth="1"/>
    <col min="14830" max="14830" width="10.5703125" bestFit="1" customWidth="1"/>
    <col min="14831" max="14831" width="9.85546875" bestFit="1" customWidth="1"/>
    <col min="14832" max="14832" width="13" bestFit="1" customWidth="1"/>
    <col min="14833" max="14833" width="2.140625" customWidth="1"/>
    <col min="14834" max="14834" width="10.5703125" bestFit="1" customWidth="1"/>
    <col min="14835" max="14835" width="7.85546875" bestFit="1" customWidth="1"/>
    <col min="14836" max="14836" width="9.85546875" bestFit="1" customWidth="1"/>
    <col min="14837" max="14837" width="11.28515625" bestFit="1" customWidth="1"/>
    <col min="14838" max="14839" width="9.85546875" bestFit="1" customWidth="1"/>
    <col min="14840" max="14840" width="12" bestFit="1" customWidth="1"/>
    <col min="14841" max="14841" width="1.85546875" customWidth="1"/>
    <col min="14843" max="14843" width="3" customWidth="1"/>
    <col min="15080" max="15080" width="18" customWidth="1"/>
    <col min="15081" max="15081" width="7.85546875" customWidth="1"/>
    <col min="15082" max="15082" width="11.28515625" bestFit="1" customWidth="1"/>
    <col min="15083" max="15083" width="10.5703125" bestFit="1" customWidth="1"/>
    <col min="15084" max="15084" width="10.28515625" customWidth="1"/>
    <col min="15085" max="15085" width="12.5703125" bestFit="1" customWidth="1"/>
    <col min="15086" max="15086" width="10.5703125" bestFit="1" customWidth="1"/>
    <col min="15087" max="15087" width="9.85546875" bestFit="1" customWidth="1"/>
    <col min="15088" max="15088" width="13" bestFit="1" customWidth="1"/>
    <col min="15089" max="15089" width="2.140625" customWidth="1"/>
    <col min="15090" max="15090" width="10.5703125" bestFit="1" customWidth="1"/>
    <col min="15091" max="15091" width="7.85546875" bestFit="1" customWidth="1"/>
    <col min="15092" max="15092" width="9.85546875" bestFit="1" customWidth="1"/>
    <col min="15093" max="15093" width="11.28515625" bestFit="1" customWidth="1"/>
    <col min="15094" max="15095" width="9.85546875" bestFit="1" customWidth="1"/>
    <col min="15096" max="15096" width="12" bestFit="1" customWidth="1"/>
    <col min="15097" max="15097" width="1.85546875" customWidth="1"/>
    <col min="15099" max="15099" width="3" customWidth="1"/>
    <col min="15336" max="15336" width="18" customWidth="1"/>
    <col min="15337" max="15337" width="7.85546875" customWidth="1"/>
    <col min="15338" max="15338" width="11.28515625" bestFit="1" customWidth="1"/>
    <col min="15339" max="15339" width="10.5703125" bestFit="1" customWidth="1"/>
    <col min="15340" max="15340" width="10.28515625" customWidth="1"/>
    <col min="15341" max="15341" width="12.5703125" bestFit="1" customWidth="1"/>
    <col min="15342" max="15342" width="10.5703125" bestFit="1" customWidth="1"/>
    <col min="15343" max="15343" width="9.85546875" bestFit="1" customWidth="1"/>
    <col min="15344" max="15344" width="13" bestFit="1" customWidth="1"/>
    <col min="15345" max="15345" width="2.140625" customWidth="1"/>
    <col min="15346" max="15346" width="10.5703125" bestFit="1" customWidth="1"/>
    <col min="15347" max="15347" width="7.85546875" bestFit="1" customWidth="1"/>
    <col min="15348" max="15348" width="9.85546875" bestFit="1" customWidth="1"/>
    <col min="15349" max="15349" width="11.28515625" bestFit="1" customWidth="1"/>
    <col min="15350" max="15351" width="9.85546875" bestFit="1" customWidth="1"/>
    <col min="15352" max="15352" width="12" bestFit="1" customWidth="1"/>
    <col min="15353" max="15353" width="1.85546875" customWidth="1"/>
    <col min="15355" max="15355" width="3" customWidth="1"/>
    <col min="15592" max="15592" width="18" customWidth="1"/>
    <col min="15593" max="15593" width="7.85546875" customWidth="1"/>
    <col min="15594" max="15594" width="11.28515625" bestFit="1" customWidth="1"/>
    <col min="15595" max="15595" width="10.5703125" bestFit="1" customWidth="1"/>
    <col min="15596" max="15596" width="10.28515625" customWidth="1"/>
    <col min="15597" max="15597" width="12.5703125" bestFit="1" customWidth="1"/>
    <col min="15598" max="15598" width="10.5703125" bestFit="1" customWidth="1"/>
    <col min="15599" max="15599" width="9.85546875" bestFit="1" customWidth="1"/>
    <col min="15600" max="15600" width="13" bestFit="1" customWidth="1"/>
    <col min="15601" max="15601" width="2.140625" customWidth="1"/>
    <col min="15602" max="15602" width="10.5703125" bestFit="1" customWidth="1"/>
    <col min="15603" max="15603" width="7.85546875" bestFit="1" customWidth="1"/>
    <col min="15604" max="15604" width="9.85546875" bestFit="1" customWidth="1"/>
    <col min="15605" max="15605" width="11.28515625" bestFit="1" customWidth="1"/>
    <col min="15606" max="15607" width="9.85546875" bestFit="1" customWidth="1"/>
    <col min="15608" max="15608" width="12" bestFit="1" customWidth="1"/>
    <col min="15609" max="15609" width="1.85546875" customWidth="1"/>
    <col min="15611" max="15611" width="3" customWidth="1"/>
    <col min="15848" max="15848" width="18" customWidth="1"/>
    <col min="15849" max="15849" width="7.85546875" customWidth="1"/>
    <col min="15850" max="15850" width="11.28515625" bestFit="1" customWidth="1"/>
    <col min="15851" max="15851" width="10.5703125" bestFit="1" customWidth="1"/>
    <col min="15852" max="15852" width="10.28515625" customWidth="1"/>
    <col min="15853" max="15853" width="12.5703125" bestFit="1" customWidth="1"/>
    <col min="15854" max="15854" width="10.5703125" bestFit="1" customWidth="1"/>
    <col min="15855" max="15855" width="9.85546875" bestFit="1" customWidth="1"/>
    <col min="15856" max="15856" width="13" bestFit="1" customWidth="1"/>
    <col min="15857" max="15857" width="2.140625" customWidth="1"/>
    <col min="15858" max="15858" width="10.5703125" bestFit="1" customWidth="1"/>
    <col min="15859" max="15859" width="7.85546875" bestFit="1" customWidth="1"/>
    <col min="15860" max="15860" width="9.85546875" bestFit="1" customWidth="1"/>
    <col min="15861" max="15861" width="11.28515625" bestFit="1" customWidth="1"/>
    <col min="15862" max="15863" width="9.85546875" bestFit="1" customWidth="1"/>
    <col min="15864" max="15864" width="12" bestFit="1" customWidth="1"/>
    <col min="15865" max="15865" width="1.85546875" customWidth="1"/>
    <col min="15867" max="15867" width="3" customWidth="1"/>
    <col min="16104" max="16104" width="18" customWidth="1"/>
    <col min="16105" max="16105" width="7.85546875" customWidth="1"/>
    <col min="16106" max="16106" width="11.28515625" bestFit="1" customWidth="1"/>
    <col min="16107" max="16107" width="10.5703125" bestFit="1" customWidth="1"/>
    <col min="16108" max="16108" width="10.28515625" customWidth="1"/>
    <col min="16109" max="16109" width="12.5703125" bestFit="1" customWidth="1"/>
    <col min="16110" max="16110" width="10.5703125" bestFit="1" customWidth="1"/>
    <col min="16111" max="16111" width="9.85546875" bestFit="1" customWidth="1"/>
    <col min="16112" max="16112" width="13" bestFit="1" customWidth="1"/>
    <col min="16113" max="16113" width="2.140625" customWidth="1"/>
    <col min="16114" max="16114" width="10.5703125" bestFit="1" customWidth="1"/>
    <col min="16115" max="16115" width="7.85546875" bestFit="1" customWidth="1"/>
    <col min="16116" max="16116" width="9.85546875" bestFit="1" customWidth="1"/>
    <col min="16117" max="16117" width="11.28515625" bestFit="1" customWidth="1"/>
    <col min="16118" max="16119" width="9.85546875" bestFit="1" customWidth="1"/>
    <col min="16120" max="16120" width="12" bestFit="1" customWidth="1"/>
    <col min="16121" max="16121" width="1.85546875" customWidth="1"/>
    <col min="16123" max="16123" width="3" customWidth="1"/>
  </cols>
  <sheetData>
    <row r="1" spans="1:11" ht="26.25" x14ac:dyDescent="0.4">
      <c r="A1" s="7" t="s">
        <v>18</v>
      </c>
    </row>
    <row r="2" spans="1:11" ht="15" x14ac:dyDescent="0.25">
      <c r="A2" s="8" t="s">
        <v>105</v>
      </c>
    </row>
    <row r="6" spans="1:11" ht="15" x14ac:dyDescent="0.2">
      <c r="A6" s="66" t="s">
        <v>19</v>
      </c>
      <c r="B6" s="60"/>
      <c r="C6" s="60"/>
      <c r="D6" s="60"/>
      <c r="E6" s="60"/>
      <c r="F6" s="60"/>
      <c r="G6" s="60"/>
    </row>
    <row r="7" spans="1:11" x14ac:dyDescent="0.2">
      <c r="D7" s="9"/>
      <c r="E7" s="2" t="s">
        <v>21</v>
      </c>
      <c r="F7" s="9"/>
      <c r="H7" s="4"/>
      <c r="I7" s="2" t="s">
        <v>22</v>
      </c>
      <c r="J7" s="4"/>
      <c r="K7" s="2" t="s">
        <v>23</v>
      </c>
    </row>
    <row r="8" spans="1:11" x14ac:dyDescent="0.2">
      <c r="D8" s="2" t="s">
        <v>0</v>
      </c>
      <c r="E8" s="2" t="s">
        <v>25</v>
      </c>
      <c r="F8" s="9"/>
      <c r="G8" s="2" t="s">
        <v>26</v>
      </c>
      <c r="H8" s="11" t="s">
        <v>27</v>
      </c>
      <c r="I8" s="11" t="s">
        <v>28</v>
      </c>
      <c r="J8" s="4"/>
      <c r="K8" s="11" t="s">
        <v>29</v>
      </c>
    </row>
    <row r="9" spans="1:11" x14ac:dyDescent="0.2">
      <c r="C9" s="12" t="s">
        <v>30</v>
      </c>
      <c r="D9" s="10" t="s">
        <v>128</v>
      </c>
      <c r="E9" s="10" t="s">
        <v>31</v>
      </c>
      <c r="F9" s="10" t="s">
        <v>7</v>
      </c>
      <c r="G9" s="10" t="s">
        <v>32</v>
      </c>
      <c r="H9" s="13" t="s">
        <v>32</v>
      </c>
      <c r="I9" s="13" t="s">
        <v>33</v>
      </c>
      <c r="K9" s="13" t="s">
        <v>32</v>
      </c>
    </row>
    <row r="10" spans="1:11" x14ac:dyDescent="0.2">
      <c r="A10" s="14"/>
    </row>
    <row r="11" spans="1:11" x14ac:dyDescent="0.2">
      <c r="A11" s="15" t="s">
        <v>174</v>
      </c>
      <c r="C11" s="16">
        <f>+'Customer Counts'!B9</f>
        <v>50242</v>
      </c>
      <c r="D11" s="17">
        <f>+'Total Company Tonnage'!F10</f>
        <v>702.27</v>
      </c>
      <c r="E11" s="18">
        <f t="shared" ref="E11:E12" si="0">+F11/D11</f>
        <v>26.808727490772693</v>
      </c>
      <c r="F11" s="19">
        <f>+'Reg. Res''l - SS Mix &amp; Prices'!B56</f>
        <v>18826.96505494494</v>
      </c>
      <c r="G11" s="18">
        <f t="shared" ref="G11:G23" si="1">+F11/C11</f>
        <v>0.37472562905427609</v>
      </c>
      <c r="H11" s="18">
        <f>+'Rebate Analysis'!AJ32</f>
        <v>9.9999999999999978E-2</v>
      </c>
      <c r="I11" s="20">
        <f t="shared" ref="I11:I18" si="2">+H11*C11</f>
        <v>5024.1999999999989</v>
      </c>
      <c r="K11" s="21">
        <f t="shared" ref="K11:K23" si="3">+D11*2000/C11</f>
        <v>27.955495402253096</v>
      </c>
    </row>
    <row r="12" spans="1:11" x14ac:dyDescent="0.2">
      <c r="A12" s="15" t="s">
        <v>35</v>
      </c>
      <c r="C12" s="16">
        <f>+'Customer Counts'!B10</f>
        <v>50200</v>
      </c>
      <c r="D12" s="17">
        <f>+'Total Company Tonnage'!F11</f>
        <v>754.32</v>
      </c>
      <c r="E12" s="18">
        <f t="shared" si="0"/>
        <v>12.377784432926257</v>
      </c>
      <c r="F12" s="19">
        <f>+'Reg. Res''l - SS Mix &amp; Prices'!B57</f>
        <v>9336.8103534449347</v>
      </c>
      <c r="G12" s="18">
        <f t="shared" ref="G12" si="4">+F12/C12</f>
        <v>0.18599223811643295</v>
      </c>
      <c r="H12" s="18">
        <f>+H11</f>
        <v>9.9999999999999978E-2</v>
      </c>
      <c r="I12" s="20">
        <f t="shared" ref="I12" si="5">+H12*C12</f>
        <v>5019.9999999999991</v>
      </c>
      <c r="K12" s="21">
        <f t="shared" si="3"/>
        <v>30.052589641434263</v>
      </c>
    </row>
    <row r="13" spans="1:11" x14ac:dyDescent="0.2">
      <c r="A13" s="15" t="s">
        <v>36</v>
      </c>
      <c r="C13" s="16">
        <f>+'Customer Counts'!B11</f>
        <v>50198</v>
      </c>
      <c r="D13" s="17">
        <f>+'Total Company Tonnage'!F12</f>
        <v>765.94</v>
      </c>
      <c r="E13" s="18">
        <f t="shared" ref="E13:E18" si="6">+F13/D13</f>
        <v>18.13673617127429</v>
      </c>
      <c r="F13" s="19">
        <f>+'Reg. Res''l - SS Mix &amp; Prices'!B58</f>
        <v>13891.651703025831</v>
      </c>
      <c r="G13" s="18">
        <f t="shared" si="1"/>
        <v>0.27673715492700568</v>
      </c>
      <c r="H13" s="18">
        <f>+'Rebate Analysis'!AD32</f>
        <v>0.13</v>
      </c>
      <c r="I13" s="20">
        <f t="shared" si="2"/>
        <v>6525.74</v>
      </c>
      <c r="K13" s="21">
        <f t="shared" si="3"/>
        <v>30.516753655524123</v>
      </c>
    </row>
    <row r="14" spans="1:11" x14ac:dyDescent="0.2">
      <c r="A14" s="15" t="s">
        <v>37</v>
      </c>
      <c r="C14" s="16">
        <f>+'Customer Counts'!B12</f>
        <v>50162</v>
      </c>
      <c r="D14" s="17">
        <f>+'Total Company Tonnage'!F13</f>
        <v>762.23</v>
      </c>
      <c r="E14" s="18">
        <f t="shared" si="6"/>
        <v>22.439796934687902</v>
      </c>
      <c r="F14" s="19">
        <f>+'Reg. Res''l - SS Mix &amp; Prices'!B59</f>
        <v>17104.286417527161</v>
      </c>
      <c r="G14" s="18">
        <f t="shared" si="1"/>
        <v>0.34098095007230894</v>
      </c>
      <c r="H14" s="18">
        <f>+H13</f>
        <v>0.13</v>
      </c>
      <c r="I14" s="20">
        <f t="shared" si="2"/>
        <v>6521.06</v>
      </c>
      <c r="K14" s="21">
        <f t="shared" si="3"/>
        <v>30.390734021769468</v>
      </c>
    </row>
    <row r="15" spans="1:11" x14ac:dyDescent="0.2">
      <c r="A15" s="15" t="s">
        <v>175</v>
      </c>
      <c r="C15" s="16">
        <f>+'Customer Counts'!B13</f>
        <v>50140</v>
      </c>
      <c r="D15" s="17">
        <f>+'Total Company Tonnage'!F14</f>
        <v>929.92</v>
      </c>
      <c r="E15" s="18">
        <f t="shared" si="6"/>
        <v>32.419032168155447</v>
      </c>
      <c r="F15" s="19">
        <f>+'Reg. Res''l - SS Mix &amp; Prices'!B60</f>
        <v>30147.106393811115</v>
      </c>
      <c r="G15" s="18">
        <f t="shared" si="1"/>
        <v>0.60125860378562257</v>
      </c>
      <c r="H15" s="18">
        <f t="shared" ref="H15:H22" si="7">+H14</f>
        <v>0.13</v>
      </c>
      <c r="I15" s="20">
        <f t="shared" si="2"/>
        <v>6518.2</v>
      </c>
      <c r="K15" s="21">
        <f t="shared" si="3"/>
        <v>37.092939768647788</v>
      </c>
    </row>
    <row r="16" spans="1:11" x14ac:dyDescent="0.2">
      <c r="A16" s="15" t="s">
        <v>38</v>
      </c>
      <c r="C16" s="16">
        <f>+'Customer Counts'!B14</f>
        <v>50161</v>
      </c>
      <c r="D16" s="17">
        <f>+'Total Company Tonnage'!F15</f>
        <v>641.76</v>
      </c>
      <c r="E16" s="18">
        <f t="shared" si="6"/>
        <v>42.381270896689024</v>
      </c>
      <c r="F16" s="19">
        <f>+'Reg. Res''l - SS Mix &amp; Prices'!B61</f>
        <v>27198.604410659147</v>
      </c>
      <c r="G16" s="18">
        <f t="shared" si="1"/>
        <v>0.54222612010644022</v>
      </c>
      <c r="H16" s="18">
        <f t="shared" si="7"/>
        <v>0.13</v>
      </c>
      <c r="I16" s="20">
        <f t="shared" si="2"/>
        <v>6520.93</v>
      </c>
      <c r="K16" s="21">
        <f t="shared" si="3"/>
        <v>25.588006618687825</v>
      </c>
    </row>
    <row r="17" spans="1:14" x14ac:dyDescent="0.2">
      <c r="A17" s="15" t="s">
        <v>39</v>
      </c>
      <c r="C17" s="16">
        <f>+'Customer Counts'!B15</f>
        <v>50436</v>
      </c>
      <c r="D17" s="17">
        <f>+'Total Company Tonnage'!F16</f>
        <v>789.24</v>
      </c>
      <c r="E17" s="18">
        <f t="shared" si="6"/>
        <v>46.746947142223561</v>
      </c>
      <c r="F17" s="19">
        <f>+'Reg. Res''l - SS Mix &amp; Prices'!B62</f>
        <v>36894.560562528524</v>
      </c>
      <c r="G17" s="18">
        <f t="shared" si="1"/>
        <v>0.7315124229226847</v>
      </c>
      <c r="H17" s="18">
        <f t="shared" si="7"/>
        <v>0.13</v>
      </c>
      <c r="I17" s="20">
        <f t="shared" si="2"/>
        <v>6556.68</v>
      </c>
      <c r="K17" s="21">
        <f t="shared" si="3"/>
        <v>31.296692838448728</v>
      </c>
    </row>
    <row r="18" spans="1:14" x14ac:dyDescent="0.2">
      <c r="A18" s="15" t="s">
        <v>40</v>
      </c>
      <c r="C18" s="16">
        <f>+'Customer Counts'!B16</f>
        <v>50458</v>
      </c>
      <c r="D18" s="17">
        <f>+'Total Company Tonnage'!F17</f>
        <v>669.04</v>
      </c>
      <c r="E18" s="18">
        <f t="shared" si="6"/>
        <v>46.324536306508541</v>
      </c>
      <c r="F18" s="19">
        <f>+'Reg. Res''l - SS Mix &amp; Prices'!B63</f>
        <v>30992.967770506471</v>
      </c>
      <c r="G18" s="18">
        <f t="shared" si="1"/>
        <v>0.61423298130140858</v>
      </c>
      <c r="H18" s="18">
        <f t="shared" si="7"/>
        <v>0.13</v>
      </c>
      <c r="I18" s="20">
        <f t="shared" si="2"/>
        <v>6559.54</v>
      </c>
      <c r="K18" s="21">
        <f t="shared" si="3"/>
        <v>26.518688810495856</v>
      </c>
    </row>
    <row r="19" spans="1:14" x14ac:dyDescent="0.2">
      <c r="A19" s="15" t="s">
        <v>10</v>
      </c>
      <c r="C19" s="16">
        <f>+'Customer Counts'!B17</f>
        <v>50628</v>
      </c>
      <c r="D19" s="17">
        <f>+'Total Company Tonnage'!F18</f>
        <v>887.4</v>
      </c>
      <c r="E19" s="18">
        <f t="shared" ref="E19:E20" si="8">+F19/D19</f>
        <v>44.640565635892287</v>
      </c>
      <c r="F19" s="19">
        <f>+'Reg. Res''l - SS Mix &amp; Prices'!B64</f>
        <v>39614.037945290816</v>
      </c>
      <c r="G19" s="18">
        <f t="shared" ref="G19:G20" si="9">+F19/C19</f>
        <v>0.78245314737478899</v>
      </c>
      <c r="H19" s="18">
        <f t="shared" si="7"/>
        <v>0.13</v>
      </c>
      <c r="I19" s="20">
        <f t="shared" ref="I19:I20" si="10">+H19*C19</f>
        <v>6581.64</v>
      </c>
      <c r="K19" s="21">
        <f t="shared" ref="K19:K20" si="11">+D19*2000/C19</f>
        <v>35.055700402939088</v>
      </c>
    </row>
    <row r="20" spans="1:14" x14ac:dyDescent="0.2">
      <c r="A20" s="15" t="s">
        <v>41</v>
      </c>
      <c r="C20" s="16">
        <f>+'Customer Counts'!B18</f>
        <v>50753</v>
      </c>
      <c r="D20" s="17">
        <f>+'Total Company Tonnage'!F19</f>
        <v>845.15</v>
      </c>
      <c r="E20" s="18">
        <f t="shared" si="8"/>
        <v>47.457538295854995</v>
      </c>
      <c r="F20" s="19">
        <f>+'Reg. Res''l - SS Mix &amp; Prices'!B65</f>
        <v>40108.738490741845</v>
      </c>
      <c r="G20" s="18">
        <f t="shared" si="9"/>
        <v>0.79027325460055253</v>
      </c>
      <c r="H20" s="18">
        <f t="shared" si="7"/>
        <v>0.13</v>
      </c>
      <c r="I20" s="20">
        <f t="shared" si="10"/>
        <v>6597.89</v>
      </c>
      <c r="K20" s="21">
        <f t="shared" si="11"/>
        <v>33.304435205800644</v>
      </c>
    </row>
    <row r="21" spans="1:14" x14ac:dyDescent="0.2">
      <c r="A21" s="15" t="s">
        <v>42</v>
      </c>
      <c r="C21" s="16">
        <f>+'Customer Counts'!B19</f>
        <v>50815</v>
      </c>
      <c r="D21" s="17">
        <f>+'Total Company Tonnage'!F20</f>
        <v>731</v>
      </c>
      <c r="E21" s="18">
        <f t="shared" ref="E21:E22" si="12">+F21/D21</f>
        <v>46.638197635961433</v>
      </c>
      <c r="F21" s="19">
        <f>+'Reg. Res''l - SS Mix &amp; Prices'!B66</f>
        <v>34092.522471887809</v>
      </c>
      <c r="G21" s="18">
        <f t="shared" ref="G21:G22" si="13">+F21/C21</f>
        <v>0.67091454239669013</v>
      </c>
      <c r="H21" s="18">
        <f t="shared" si="7"/>
        <v>0.13</v>
      </c>
      <c r="I21" s="20">
        <f t="shared" ref="I21:I22" si="14">+H21*C21</f>
        <v>6605.95</v>
      </c>
      <c r="K21" s="21">
        <f t="shared" ref="K21:K22" si="15">+D21*2000/C21</f>
        <v>28.771032175538718</v>
      </c>
    </row>
    <row r="22" spans="1:14" ht="15" x14ac:dyDescent="0.35">
      <c r="A22" s="15" t="s">
        <v>43</v>
      </c>
      <c r="C22" s="23">
        <f>+'Customer Counts'!B20</f>
        <v>50898</v>
      </c>
      <c r="D22" s="24">
        <f>+'Total Company Tonnage'!F21</f>
        <v>770.6</v>
      </c>
      <c r="E22" s="25">
        <f t="shared" si="12"/>
        <v>56.632254210378797</v>
      </c>
      <c r="F22" s="26">
        <f>+'Reg. Res''l - SS Mix &amp; Prices'!B67</f>
        <v>43640.8150945179</v>
      </c>
      <c r="G22" s="25">
        <f t="shared" si="13"/>
        <v>0.85741709093712726</v>
      </c>
      <c r="H22" s="25">
        <f t="shared" si="7"/>
        <v>0.13</v>
      </c>
      <c r="I22" s="27">
        <f t="shared" si="14"/>
        <v>6616.74</v>
      </c>
      <c r="J22" s="29"/>
      <c r="K22" s="28">
        <f t="shared" si="15"/>
        <v>30.280168179496247</v>
      </c>
    </row>
    <row r="23" spans="1:14" ht="15" x14ac:dyDescent="0.35">
      <c r="A23" s="11" t="s">
        <v>44</v>
      </c>
      <c r="C23" s="30">
        <f>SUM(C11:C22)</f>
        <v>605091</v>
      </c>
      <c r="D23" s="31">
        <f>SUM(D11:D22)</f>
        <v>9248.8700000000008</v>
      </c>
      <c r="E23" s="32">
        <f>+F23/D23</f>
        <v>36.961171112675004</v>
      </c>
      <c r="F23" s="33">
        <f>SUM(F11:F22)</f>
        <v>341849.06666888652</v>
      </c>
      <c r="G23" s="34">
        <f t="shared" si="1"/>
        <v>0.56495480294515454</v>
      </c>
      <c r="H23" s="34">
        <f>+I23/C23</f>
        <v>0.1250201539933663</v>
      </c>
      <c r="I23" s="33">
        <f>SUM(I11:I22)</f>
        <v>75648.570000000007</v>
      </c>
      <c r="J23" s="35"/>
      <c r="K23" s="36">
        <f t="shared" si="3"/>
        <v>30.570178700393825</v>
      </c>
      <c r="M23" s="220"/>
      <c r="N23" s="17"/>
    </row>
    <row r="24" spans="1:14" x14ac:dyDescent="0.2">
      <c r="E24" s="15"/>
      <c r="F24" s="15"/>
    </row>
    <row r="25" spans="1:14" x14ac:dyDescent="0.2">
      <c r="A25" s="6"/>
    </row>
    <row r="26" spans="1:14" x14ac:dyDescent="0.2">
      <c r="E26" s="15"/>
      <c r="F26" s="15"/>
    </row>
    <row r="27" spans="1:14" x14ac:dyDescent="0.2">
      <c r="E27" s="15"/>
      <c r="F27" s="15"/>
    </row>
    <row r="28" spans="1:14" ht="15" x14ac:dyDescent="0.2">
      <c r="A28" s="66" t="s">
        <v>20</v>
      </c>
      <c r="C28" s="65"/>
      <c r="D28" s="65"/>
      <c r="E28" s="65"/>
      <c r="F28" s="65"/>
      <c r="G28" s="65"/>
    </row>
    <row r="29" spans="1:14" x14ac:dyDescent="0.2">
      <c r="C29" s="10"/>
      <c r="D29" s="10"/>
      <c r="E29" s="2" t="s">
        <v>21</v>
      </c>
      <c r="H29" s="4"/>
      <c r="I29" s="2" t="s">
        <v>22</v>
      </c>
      <c r="K29" s="2" t="s">
        <v>24</v>
      </c>
    </row>
    <row r="30" spans="1:14" x14ac:dyDescent="0.2">
      <c r="C30" s="10"/>
      <c r="D30" s="347" t="s">
        <v>0</v>
      </c>
      <c r="E30" s="2" t="s">
        <v>25</v>
      </c>
      <c r="G30" s="2" t="s">
        <v>26</v>
      </c>
      <c r="H30" s="11" t="s">
        <v>27</v>
      </c>
      <c r="I30" s="11" t="s">
        <v>28</v>
      </c>
      <c r="K30" s="11" t="s">
        <v>29</v>
      </c>
    </row>
    <row r="31" spans="1:14" x14ac:dyDescent="0.2">
      <c r="C31" s="12" t="s">
        <v>30</v>
      </c>
      <c r="D31" s="348" t="s">
        <v>128</v>
      </c>
      <c r="E31" s="10" t="s">
        <v>31</v>
      </c>
      <c r="F31" s="10" t="s">
        <v>7</v>
      </c>
      <c r="G31" s="10" t="s">
        <v>32</v>
      </c>
      <c r="H31" s="13" t="s">
        <v>32</v>
      </c>
      <c r="I31" s="13" t="s">
        <v>33</v>
      </c>
      <c r="K31" s="13" t="s">
        <v>34</v>
      </c>
    </row>
    <row r="32" spans="1:14" x14ac:dyDescent="0.2">
      <c r="A32" s="14"/>
    </row>
    <row r="33" spans="1:14" x14ac:dyDescent="0.2">
      <c r="A33" s="15" t="s">
        <v>176</v>
      </c>
      <c r="C33" s="16">
        <f>+'Customer Counts'!I9</f>
        <v>5729.2704545454517</v>
      </c>
      <c r="D33" s="17">
        <f>+'Total Company Tonnage'!H10</f>
        <v>33.89</v>
      </c>
      <c r="E33" s="18">
        <f>+F33/D33</f>
        <v>26.808727490772696</v>
      </c>
      <c r="F33" s="19">
        <f>+'Reg. MF - SS Mix &amp; Prices'!B56</f>
        <v>908.54777466228666</v>
      </c>
      <c r="G33" s="18">
        <f t="shared" ref="G33:G45" si="16">+F33/C33</f>
        <v>0.15858001151638232</v>
      </c>
      <c r="H33" s="18">
        <f>+'Rebate Analysis'!AJ66</f>
        <v>0.18999999999999997</v>
      </c>
      <c r="I33" s="20">
        <f>+H33*C33</f>
        <v>1088.5613863636356</v>
      </c>
      <c r="K33" s="21">
        <f t="shared" ref="K33:K45" si="17">+D33*2000/C33</f>
        <v>11.83047659169679</v>
      </c>
    </row>
    <row r="34" spans="1:14" x14ac:dyDescent="0.2">
      <c r="A34" s="15" t="s">
        <v>35</v>
      </c>
      <c r="C34" s="16">
        <f>+'Customer Counts'!I10</f>
        <v>5729.2704545454517</v>
      </c>
      <c r="D34" s="17">
        <f>+'Total Company Tonnage'!H11</f>
        <v>38.92</v>
      </c>
      <c r="E34" s="18">
        <f t="shared" ref="E34:E44" si="18">+F34/D34</f>
        <v>12.377784432926257</v>
      </c>
      <c r="F34" s="19">
        <f>+'Reg. MF - SS Mix &amp; Prices'!B57</f>
        <v>481.74337012948996</v>
      </c>
      <c r="G34" s="18">
        <f t="shared" si="16"/>
        <v>8.4084592262054503E-2</v>
      </c>
      <c r="H34" s="18">
        <f>+H33</f>
        <v>0.18999999999999997</v>
      </c>
      <c r="I34" s="20">
        <f t="shared" ref="I34:I44" si="19">+H34*C34</f>
        <v>1088.5613863636356</v>
      </c>
      <c r="K34" s="21">
        <f t="shared" si="17"/>
        <v>13.586372055144263</v>
      </c>
    </row>
    <row r="35" spans="1:14" x14ac:dyDescent="0.2">
      <c r="A35" s="15" t="s">
        <v>36</v>
      </c>
      <c r="C35" s="16">
        <f>+'Customer Counts'!I11</f>
        <v>5741.6181818181794</v>
      </c>
      <c r="D35" s="17">
        <f>+'Total Company Tonnage'!H12</f>
        <v>41.02</v>
      </c>
      <c r="E35" s="18">
        <f t="shared" si="18"/>
        <v>18.136736171274286</v>
      </c>
      <c r="F35" s="19">
        <f>+'Reg. MF - SS Mix &amp; Prices'!B58</f>
        <v>743.96891774567132</v>
      </c>
      <c r="G35" s="18">
        <f t="shared" si="16"/>
        <v>0.12957478086954244</v>
      </c>
      <c r="H35" s="22">
        <f>+'Rebate Analysis'!AD66</f>
        <v>0.31</v>
      </c>
      <c r="I35" s="20">
        <f t="shared" si="19"/>
        <v>1779.9016363636356</v>
      </c>
      <c r="K35" s="21">
        <f t="shared" si="17"/>
        <v>14.288654766315489</v>
      </c>
    </row>
    <row r="36" spans="1:14" x14ac:dyDescent="0.2">
      <c r="A36" s="15" t="s">
        <v>37</v>
      </c>
      <c r="C36" s="16">
        <f>+'Customer Counts'!I12</f>
        <v>5760.2818181818157</v>
      </c>
      <c r="D36" s="17">
        <f>+'Total Company Tonnage'!H13</f>
        <v>40.82</v>
      </c>
      <c r="E36" s="18">
        <f t="shared" si="18"/>
        <v>22.439796934687905</v>
      </c>
      <c r="F36" s="19">
        <f>+'Reg. MF - SS Mix &amp; Prices'!B59</f>
        <v>915.99251087396033</v>
      </c>
      <c r="G36" s="18">
        <f t="shared" si="16"/>
        <v>0.15901869731142523</v>
      </c>
      <c r="H36" s="18">
        <f>+H35</f>
        <v>0.31</v>
      </c>
      <c r="I36" s="20">
        <f t="shared" si="19"/>
        <v>1785.6873636363628</v>
      </c>
      <c r="K36" s="21">
        <f t="shared" si="17"/>
        <v>14.172917676060679</v>
      </c>
    </row>
    <row r="37" spans="1:14" x14ac:dyDescent="0.2">
      <c r="A37" s="15" t="s">
        <v>175</v>
      </c>
      <c r="C37" s="16">
        <f>+'Customer Counts'!I13</f>
        <v>5784.3068181818144</v>
      </c>
      <c r="D37" s="17">
        <f>+'Total Company Tonnage'!H14</f>
        <v>51.11</v>
      </c>
      <c r="E37" s="18">
        <f t="shared" si="18"/>
        <v>32.419032168155461</v>
      </c>
      <c r="F37" s="19">
        <f>+'Reg. MF - SS Mix &amp; Prices'!B60</f>
        <v>1656.9367341144255</v>
      </c>
      <c r="G37" s="18">
        <f t="shared" si="16"/>
        <v>0.28645381135491904</v>
      </c>
      <c r="H37" s="18">
        <f t="shared" ref="H37:H44" si="20">+H36</f>
        <v>0.31</v>
      </c>
      <c r="I37" s="20">
        <f t="shared" si="19"/>
        <v>1793.1351136363623</v>
      </c>
      <c r="K37" s="21">
        <f t="shared" si="17"/>
        <v>17.671953306261663</v>
      </c>
    </row>
    <row r="38" spans="1:14" x14ac:dyDescent="0.2">
      <c r="A38" s="15" t="s">
        <v>38</v>
      </c>
      <c r="C38" s="16">
        <f>+'Customer Counts'!I14</f>
        <v>5669.3068181818144</v>
      </c>
      <c r="D38" s="17">
        <f>+'Total Company Tonnage'!H15</f>
        <v>33.950000000000003</v>
      </c>
      <c r="E38" s="18">
        <f t="shared" si="18"/>
        <v>42.381270896689024</v>
      </c>
      <c r="F38" s="19">
        <f>+'Reg. MF - SS Mix &amp; Prices'!B61</f>
        <v>1438.8441469425925</v>
      </c>
      <c r="G38" s="18">
        <f t="shared" si="16"/>
        <v>0.25379542739301586</v>
      </c>
      <c r="H38" s="18">
        <f t="shared" si="20"/>
        <v>0.31</v>
      </c>
      <c r="I38" s="20">
        <f t="shared" si="19"/>
        <v>1757.4851136363625</v>
      </c>
      <c r="K38" s="21">
        <f t="shared" si="17"/>
        <v>11.976772853824128</v>
      </c>
    </row>
    <row r="39" spans="1:14" x14ac:dyDescent="0.2">
      <c r="A39" s="15" t="s">
        <v>39</v>
      </c>
      <c r="C39" s="16">
        <f>+'Customer Counts'!I15</f>
        <v>5385.6818181818153</v>
      </c>
      <c r="D39" s="17">
        <f>+'Total Company Tonnage'!H16</f>
        <v>42.5</v>
      </c>
      <c r="E39" s="18">
        <f t="shared" si="18"/>
        <v>46.746947142223561</v>
      </c>
      <c r="F39" s="19">
        <f>+'Reg. MF - SS Mix &amp; Prices'!B62</f>
        <v>1986.7452535445013</v>
      </c>
      <c r="G39" s="18">
        <f t="shared" si="16"/>
        <v>0.36889391549967548</v>
      </c>
      <c r="H39" s="18">
        <f t="shared" si="20"/>
        <v>0.31</v>
      </c>
      <c r="I39" s="20">
        <f t="shared" si="19"/>
        <v>1669.5613636363628</v>
      </c>
      <c r="K39" s="21">
        <f t="shared" si="17"/>
        <v>15.782588513313931</v>
      </c>
    </row>
    <row r="40" spans="1:14" x14ac:dyDescent="0.2">
      <c r="A40" s="15" t="s">
        <v>40</v>
      </c>
      <c r="C40" s="16">
        <f>+'Customer Counts'!I16</f>
        <v>5385.904545454543</v>
      </c>
      <c r="D40" s="17">
        <f>+'Total Company Tonnage'!H17</f>
        <v>36.61</v>
      </c>
      <c r="E40" s="18">
        <f t="shared" si="18"/>
        <v>46.324536306508541</v>
      </c>
      <c r="F40" s="19">
        <f>+'Reg. MF - SS Mix &amp; Prices'!B63</f>
        <v>1695.9412741812775</v>
      </c>
      <c r="G40" s="18">
        <f t="shared" si="16"/>
        <v>0.31488513393958578</v>
      </c>
      <c r="H40" s="18">
        <f t="shared" si="20"/>
        <v>0.31</v>
      </c>
      <c r="I40" s="20">
        <f t="shared" si="19"/>
        <v>1669.6304090909084</v>
      </c>
      <c r="K40" s="21">
        <f t="shared" si="17"/>
        <v>13.594745206131499</v>
      </c>
    </row>
    <row r="41" spans="1:14" x14ac:dyDescent="0.2">
      <c r="A41" s="15" t="s">
        <v>10</v>
      </c>
      <c r="C41" s="16">
        <f>+'Customer Counts'!I17</f>
        <v>5386.2272727272702</v>
      </c>
      <c r="D41" s="17">
        <f>+'Total Company Tonnage'!H18</f>
        <v>43.69</v>
      </c>
      <c r="E41" s="18">
        <f>+E19</f>
        <v>44.640565635892287</v>
      </c>
      <c r="F41" s="19">
        <f>+'Reg. MF - SS Mix &amp; Prices'!B64</f>
        <v>1950.3463126321344</v>
      </c>
      <c r="G41" s="18">
        <f t="shared" si="16"/>
        <v>0.36209877784169198</v>
      </c>
      <c r="H41" s="18">
        <f t="shared" si="20"/>
        <v>0.31</v>
      </c>
      <c r="I41" s="20">
        <f t="shared" si="19"/>
        <v>1669.7304545454538</v>
      </c>
      <c r="K41" s="21">
        <f t="shared" si="17"/>
        <v>16.222857962648852</v>
      </c>
    </row>
    <row r="42" spans="1:14" x14ac:dyDescent="0.2">
      <c r="A42" s="15" t="s">
        <v>41</v>
      </c>
      <c r="C42" s="16">
        <f>+'Customer Counts'!I18</f>
        <v>5404.2704545454517</v>
      </c>
      <c r="D42" s="17">
        <f>+'Total Company Tonnage'!H19</f>
        <v>38.99</v>
      </c>
      <c r="E42" s="18">
        <f>+E20</f>
        <v>47.457538295854995</v>
      </c>
      <c r="F42" s="19">
        <f>+'Reg. MF - SS Mix &amp; Prices'!B65</f>
        <v>1850.3694181553865</v>
      </c>
      <c r="G42" s="18">
        <f t="shared" si="16"/>
        <v>0.34239023263520579</v>
      </c>
      <c r="H42" s="18">
        <f t="shared" si="20"/>
        <v>0.31</v>
      </c>
      <c r="I42" s="20">
        <f t="shared" si="19"/>
        <v>1675.32384090909</v>
      </c>
      <c r="K42" s="21">
        <f t="shared" si="17"/>
        <v>14.429329667321179</v>
      </c>
    </row>
    <row r="43" spans="1:14" x14ac:dyDescent="0.2">
      <c r="A43" s="15" t="s">
        <v>42</v>
      </c>
      <c r="C43" s="16">
        <f>+'Customer Counts'!I19</f>
        <v>5441.2818181818157</v>
      </c>
      <c r="D43" s="17">
        <f>+'Total Company Tonnage'!H20</f>
        <v>40.43</v>
      </c>
      <c r="E43" s="18">
        <f>+E21</f>
        <v>46.638197635961433</v>
      </c>
      <c r="F43" s="19">
        <f>+'Reg. MF - SS Mix &amp; Prices'!B66</f>
        <v>1885.5823304219207</v>
      </c>
      <c r="G43" s="18">
        <f t="shared" si="16"/>
        <v>0.346532746038135</v>
      </c>
      <c r="H43" s="18">
        <f t="shared" si="20"/>
        <v>0.31</v>
      </c>
      <c r="I43" s="20">
        <f t="shared" si="19"/>
        <v>1686.7973636363629</v>
      </c>
      <c r="K43" s="21">
        <f t="shared" si="17"/>
        <v>14.860469040550278</v>
      </c>
    </row>
    <row r="44" spans="1:14" ht="15" x14ac:dyDescent="0.35">
      <c r="A44" s="15" t="s">
        <v>43</v>
      </c>
      <c r="C44" s="23">
        <f>+'Customer Counts'!I20</f>
        <v>5447.2636363636339</v>
      </c>
      <c r="D44" s="24">
        <f>+'Total Company Tonnage'!H21</f>
        <v>41.11</v>
      </c>
      <c r="E44" s="25">
        <f t="shared" si="18"/>
        <v>56.632254210378768</v>
      </c>
      <c r="F44" s="26">
        <f>+'Reg. MF - SS Mix &amp; Prices'!B67</f>
        <v>2328.1519705886712</v>
      </c>
      <c r="G44" s="25">
        <f t="shared" si="16"/>
        <v>0.42739843818957302</v>
      </c>
      <c r="H44" s="25">
        <f t="shared" si="20"/>
        <v>0.31</v>
      </c>
      <c r="I44" s="27">
        <f t="shared" si="19"/>
        <v>1688.6517272727265</v>
      </c>
      <c r="K44" s="28">
        <f t="shared" si="17"/>
        <v>15.09381691224452</v>
      </c>
      <c r="L44" s="29"/>
    </row>
    <row r="45" spans="1:14" ht="15" x14ac:dyDescent="0.35">
      <c r="A45" s="11" t="s">
        <v>44</v>
      </c>
      <c r="C45" s="30">
        <f>SUM(C33:C44)</f>
        <v>66864.684090909053</v>
      </c>
      <c r="D45" s="31">
        <f>SUM(D33:D44)</f>
        <v>483.04</v>
      </c>
      <c r="E45" s="32">
        <f>AVERAGE(E33:E44)</f>
        <v>36.916948943443771</v>
      </c>
      <c r="F45" s="33">
        <f>SUM(F33:F44)</f>
        <v>17843.17001399232</v>
      </c>
      <c r="G45" s="34">
        <f t="shared" si="16"/>
        <v>0.26685492134731081</v>
      </c>
      <c r="H45" s="34">
        <f>+I45/C45</f>
        <v>0.28943570768656551</v>
      </c>
      <c r="I45" s="33">
        <f>SUM(I33:I44)</f>
        <v>19353.0271590909</v>
      </c>
      <c r="K45" s="36">
        <f t="shared" si="17"/>
        <v>14.44828481783478</v>
      </c>
      <c r="L45" s="37"/>
      <c r="N45" s="17"/>
    </row>
    <row r="46" spans="1:14" x14ac:dyDescent="0.2">
      <c r="A46" s="15"/>
    </row>
    <row r="47" spans="1:14" ht="15" x14ac:dyDescent="0.35">
      <c r="A47" s="6"/>
      <c r="B47" s="15"/>
      <c r="F47" s="259"/>
    </row>
  </sheetData>
  <pageMargins left="0.45" right="0.45" top="0.5" bottom="0.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6"/>
  <sheetViews>
    <sheetView workbookViewId="0">
      <pane xSplit="2" ySplit="7" topLeftCell="C17" activePane="bottomRight" state="frozen"/>
      <selection pane="topRight" activeCell="C1" sqref="C1"/>
      <selection pane="bottomLeft" activeCell="A9" sqref="A9"/>
      <selection pane="bottomRight" activeCell="D43" sqref="D43"/>
    </sheetView>
  </sheetViews>
  <sheetFormatPr defaultRowHeight="12.75" x14ac:dyDescent="0.2"/>
  <cols>
    <col min="2" max="2" width="11.28515625" bestFit="1" customWidth="1"/>
    <col min="3" max="3" width="11.140625" customWidth="1"/>
    <col min="4" max="5" width="9.7109375" bestFit="1" customWidth="1"/>
    <col min="6" max="6" width="10.28515625" bestFit="1" customWidth="1"/>
    <col min="7" max="7" width="10.7109375" bestFit="1" customWidth="1"/>
    <col min="8" max="12" width="10.28515625" bestFit="1" customWidth="1"/>
  </cols>
  <sheetData>
    <row r="1" spans="1:26" ht="26.25" x14ac:dyDescent="0.4">
      <c r="A1" s="7" t="s">
        <v>18</v>
      </c>
    </row>
    <row r="2" spans="1:26" ht="18" x14ac:dyDescent="0.25">
      <c r="A2" s="5" t="s">
        <v>88</v>
      </c>
    </row>
    <row r="3" spans="1:26" x14ac:dyDescent="0.2">
      <c r="A3" s="6" t="s">
        <v>87</v>
      </c>
    </row>
    <row r="4" spans="1:26" x14ac:dyDescent="0.2"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26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26" x14ac:dyDescent="0.2">
      <c r="C6" s="2"/>
      <c r="D6" s="41" t="s">
        <v>46</v>
      </c>
      <c r="E6" s="41"/>
      <c r="F6" s="41" t="s">
        <v>1</v>
      </c>
      <c r="G6" s="41" t="s">
        <v>47</v>
      </c>
      <c r="H6" s="41"/>
      <c r="I6" s="41"/>
      <c r="J6" s="41" t="s">
        <v>2</v>
      </c>
      <c r="K6" s="41" t="s">
        <v>2</v>
      </c>
      <c r="L6" s="41" t="s">
        <v>48</v>
      </c>
    </row>
    <row r="7" spans="1:26" x14ac:dyDescent="0.2">
      <c r="B7" s="10" t="s">
        <v>22</v>
      </c>
      <c r="C7" s="10" t="s">
        <v>92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4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86</v>
      </c>
    </row>
    <row r="8" spans="1:26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26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26" s="4" customFormat="1" x14ac:dyDescent="0.2">
      <c r="A10" s="4" t="s">
        <v>58</v>
      </c>
      <c r="B10" s="63">
        <f t="shared" ref="B10:B21" si="0">SUM(C10:M10)</f>
        <v>1</v>
      </c>
      <c r="C10" s="70">
        <f>+'Total Company Tonnage'!J10</f>
        <v>0</v>
      </c>
      <c r="D10" s="70">
        <f>+'Total Company Tonnage'!K10</f>
        <v>0.33314255367009049</v>
      </c>
      <c r="E10" s="70">
        <f>+'Total Company Tonnage'!L10</f>
        <v>0.2250556699494079</v>
      </c>
      <c r="F10" s="70">
        <f>+'Total Company Tonnage'!M10</f>
        <v>6.6697457616966792E-3</v>
      </c>
      <c r="G10" s="70">
        <f>+'Total Company Tonnage'!O10</f>
        <v>7.361876632996275E-3</v>
      </c>
      <c r="H10" s="70">
        <f>+'Total Company Tonnage'!N10</f>
        <v>0.21989530189550688</v>
      </c>
      <c r="I10" s="70">
        <f>+'Total Company Tonnage'!P10</f>
        <v>6.7762274342043089E-3</v>
      </c>
      <c r="J10" s="70">
        <f>+'Total Company Tonnage'!Q10</f>
        <v>1.0326060191427427E-2</v>
      </c>
      <c r="K10" s="70">
        <f>+'Total Company Tonnage'!R10</f>
        <v>7.0810312217574009E-4</v>
      </c>
      <c r="L10" s="70">
        <f>+'Total Company Tonnage'!S10</f>
        <v>1.2658008819344526E-3</v>
      </c>
      <c r="M10" s="70">
        <f t="shared" ref="M10:M21" si="1">1-SUM(C10:L10)</f>
        <v>0.18879866046055982</v>
      </c>
    </row>
    <row r="11" spans="1:26" s="4" customFormat="1" x14ac:dyDescent="0.2">
      <c r="A11" s="4" t="s">
        <v>35</v>
      </c>
      <c r="B11" s="63">
        <f t="shared" si="0"/>
        <v>1</v>
      </c>
      <c r="C11" s="70">
        <f>+'Total Company Tonnage'!J11</f>
        <v>0</v>
      </c>
      <c r="D11" s="70">
        <f>+'Total Company Tonnage'!K11</f>
        <v>0.34451473439966246</v>
      </c>
      <c r="E11" s="70">
        <f>+'Total Company Tonnage'!L11</f>
        <v>0.19061939503231459</v>
      </c>
      <c r="F11" s="70">
        <f>+'Total Company Tonnage'!M11</f>
        <v>5.9803659933584117E-3</v>
      </c>
      <c r="G11" s="70">
        <f>+'Total Company Tonnage'!O11</f>
        <v>9.4698167033580045E-3</v>
      </c>
      <c r="H11" s="70">
        <f>+'Total Company Tonnage'!N11</f>
        <v>0.21112917662969571</v>
      </c>
      <c r="I11" s="70">
        <f>+'Total Company Tonnage'!P11</f>
        <v>6.9692890107884292E-3</v>
      </c>
      <c r="J11" s="70">
        <f>+'Total Company Tonnage'!Q11</f>
        <v>1.0015985456419092E-2</v>
      </c>
      <c r="K11" s="70">
        <f>+'Total Company Tonnage'!R11</f>
        <v>1.3894825065715588E-3</v>
      </c>
      <c r="L11" s="70">
        <f>+'Total Company Tonnage'!S11</f>
        <v>2.1307048216271259E-3</v>
      </c>
      <c r="M11" s="70">
        <f t="shared" si="1"/>
        <v>0.21778104944620458</v>
      </c>
      <c r="Q11" s="70"/>
      <c r="R11" s="61"/>
      <c r="S11" s="62"/>
      <c r="T11" s="62"/>
      <c r="U11" s="62"/>
      <c r="V11" s="62"/>
      <c r="W11" s="62"/>
      <c r="X11" s="62"/>
      <c r="Y11" s="62"/>
      <c r="Z11" s="62"/>
    </row>
    <row r="12" spans="1:26" s="4" customFormat="1" x14ac:dyDescent="0.2">
      <c r="A12" s="4" t="s">
        <v>36</v>
      </c>
      <c r="B12" s="63">
        <f t="shared" si="0"/>
        <v>1</v>
      </c>
      <c r="C12" s="70">
        <f>+'Total Company Tonnage'!J12</f>
        <v>0</v>
      </c>
      <c r="D12" s="70">
        <f>+'Total Company Tonnage'!K12</f>
        <v>0.38993981205758893</v>
      </c>
      <c r="E12" s="70">
        <f>+'Total Company Tonnage'!L12</f>
        <v>0.17698939384752213</v>
      </c>
      <c r="F12" s="70">
        <f>+'Total Company Tonnage'!M12</f>
        <v>5.7995084347954671E-3</v>
      </c>
      <c r="G12" s="70">
        <f>+'Total Company Tonnage'!O12</f>
        <v>8.7703846475307903E-3</v>
      </c>
      <c r="H12" s="70">
        <f>+'Total Company Tonnage'!N12</f>
        <v>0.22449791936539026</v>
      </c>
      <c r="I12" s="70">
        <f>+'Total Company Tonnage'!P12</f>
        <v>2.5408891223468614E-4</v>
      </c>
      <c r="J12" s="70">
        <f>+'Total Company Tonnage'!Q12</f>
        <v>1.4600988848837468E-2</v>
      </c>
      <c r="K12" s="70">
        <f>+'Total Company Tonnage'!R12</f>
        <v>5.1716594346182731E-4</v>
      </c>
      <c r="L12" s="70">
        <f>+'Total Company Tonnage'!S12</f>
        <v>4.1848321335904359E-3</v>
      </c>
      <c r="M12" s="70">
        <f t="shared" si="1"/>
        <v>0.17444590580904806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s="4" customFormat="1" x14ac:dyDescent="0.2">
      <c r="A13" s="4" t="s">
        <v>37</v>
      </c>
      <c r="B13" s="63">
        <f t="shared" si="0"/>
        <v>1</v>
      </c>
      <c r="C13" s="70">
        <f>+'Total Company Tonnage'!J13</f>
        <v>0</v>
      </c>
      <c r="D13" s="70">
        <f>+'Total Company Tonnage'!K13</f>
        <v>0.37140199789171413</v>
      </c>
      <c r="E13" s="70">
        <f>+'Total Company Tonnage'!L13</f>
        <v>0.19763744831626137</v>
      </c>
      <c r="F13" s="70">
        <f>+'Total Company Tonnage'!M13</f>
        <v>5.9831560127837514E-3</v>
      </c>
      <c r="G13" s="70">
        <f>+'Total Company Tonnage'!O13</f>
        <v>1.0757445754263024E-2</v>
      </c>
      <c r="H13" s="70">
        <f>+'Total Company Tonnage'!N13</f>
        <v>0.24965387401783901</v>
      </c>
      <c r="I13" s="70">
        <f>+'Total Company Tonnage'!P13</f>
        <v>1.4759852609654881E-3</v>
      </c>
      <c r="J13" s="70">
        <f>+'Total Company Tonnage'!Q13</f>
        <v>1.2306440588051543E-2</v>
      </c>
      <c r="K13" s="70">
        <f>+'Total Company Tonnage'!R13</f>
        <v>3.272373833169167E-4</v>
      </c>
      <c r="L13" s="70">
        <f>+'Total Company Tonnage'!S13</f>
        <v>4.0985195148939791E-3</v>
      </c>
      <c r="M13" s="70">
        <f t="shared" si="1"/>
        <v>0.14635789525991072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x14ac:dyDescent="0.2">
      <c r="A14" s="4" t="s">
        <v>45</v>
      </c>
      <c r="B14" s="63">
        <f t="shared" si="0"/>
        <v>1</v>
      </c>
      <c r="C14" s="70">
        <f>+'Total Company Tonnage'!J14</f>
        <v>0</v>
      </c>
      <c r="D14" s="70">
        <f>+'Total Company Tonnage'!K14</f>
        <v>0.39301886674384967</v>
      </c>
      <c r="E14" s="70">
        <f>+'Total Company Tonnage'!L14</f>
        <v>0.19288530693299835</v>
      </c>
      <c r="F14" s="70">
        <f>+'Total Company Tonnage'!M14</f>
        <v>5.1630132467083987E-3</v>
      </c>
      <c r="G14" s="70">
        <f>+'Total Company Tonnage'!O14</f>
        <v>1.0110991806111747E-2</v>
      </c>
      <c r="H14" s="70">
        <f>+'Total Company Tonnage'!N14</f>
        <v>0.2212600097029204</v>
      </c>
      <c r="I14" s="70">
        <f>+'Total Company Tonnage'!P14</f>
        <v>3.5002955571066317E-3</v>
      </c>
      <c r="J14" s="70">
        <f>+'Total Company Tonnage'!Q14</f>
        <v>1.2321057188454798E-2</v>
      </c>
      <c r="K14" s="70">
        <f>+'Total Company Tonnage'!R14</f>
        <v>4.2492663877160023E-4</v>
      </c>
      <c r="L14" s="70">
        <f>+'Total Company Tonnage'!S14</f>
        <v>3.4973939979399218E-3</v>
      </c>
      <c r="M14" s="70">
        <f t="shared" si="1"/>
        <v>0.15781813818513857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x14ac:dyDescent="0.2">
      <c r="A15" s="4" t="s">
        <v>38</v>
      </c>
      <c r="B15" s="63">
        <f t="shared" si="0"/>
        <v>1</v>
      </c>
      <c r="C15" s="70">
        <f>+'Total Company Tonnage'!J15</f>
        <v>0</v>
      </c>
      <c r="D15" s="70">
        <f>+'Total Company Tonnage'!K15</f>
        <v>0.37329750017776259</v>
      </c>
      <c r="E15" s="70">
        <f>+'Total Company Tonnage'!L15</f>
        <v>0.22658534958973167</v>
      </c>
      <c r="F15" s="70">
        <f>+'Total Company Tonnage'!M15</f>
        <v>6.752226522682675E-3</v>
      </c>
      <c r="G15" s="70">
        <f>+'Total Company Tonnage'!O15</f>
        <v>1.0684261597059671E-2</v>
      </c>
      <c r="H15" s="70">
        <f>+'Total Company Tonnage'!N15</f>
        <v>0.22229960153608702</v>
      </c>
      <c r="I15" s="70">
        <f>+'Total Company Tonnage'!P15</f>
        <v>6.2479502347632257E-3</v>
      </c>
      <c r="J15" s="70">
        <f>+'Total Company Tonnage'!Q15</f>
        <v>1.0861543345892035E-2</v>
      </c>
      <c r="K15" s="70">
        <f>+'Total Company Tonnage'!R15</f>
        <v>5.9247095817473118E-4</v>
      </c>
      <c r="L15" s="70">
        <f>+'Total Company Tonnage'!S15</f>
        <v>1.0342282598841821E-2</v>
      </c>
      <c r="M15" s="70">
        <f t="shared" si="1"/>
        <v>0.13233681343900439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" t="s">
        <v>39</v>
      </c>
      <c r="B16" s="63">
        <f t="shared" si="0"/>
        <v>1</v>
      </c>
      <c r="C16" s="70">
        <f>+'Total Company Tonnage'!J16</f>
        <v>0</v>
      </c>
      <c r="D16" s="70">
        <f>+'Total Company Tonnage'!K16</f>
        <v>0.41003541068917587</v>
      </c>
      <c r="E16" s="70">
        <f>+'Total Company Tonnage'!L16</f>
        <v>0.180445094319683</v>
      </c>
      <c r="F16" s="70">
        <f>+'Total Company Tonnage'!M16</f>
        <v>4.9297948595097649E-3</v>
      </c>
      <c r="G16" s="70">
        <f>+'Total Company Tonnage'!O16</f>
        <v>6.5517014813198243E-3</v>
      </c>
      <c r="H16" s="70">
        <f>+'Total Company Tonnage'!N16</f>
        <v>0.21240877162020805</v>
      </c>
      <c r="I16" s="70">
        <f>+'Total Company Tonnage'!P16</f>
        <v>4.4010579296255821E-3</v>
      </c>
      <c r="J16" s="70">
        <f>+'Total Company Tonnage'!Q16</f>
        <v>1.5948294494911436E-2</v>
      </c>
      <c r="K16" s="70">
        <f>+'Total Company Tonnage'!R16</f>
        <v>2.8226687988120343E-3</v>
      </c>
      <c r="L16" s="70">
        <f>+'Total Company Tonnage'!S16</f>
        <v>5.118199066450474E-3</v>
      </c>
      <c r="M16" s="70">
        <f t="shared" si="1"/>
        <v>0.15733900674030421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x14ac:dyDescent="0.2">
      <c r="A17" s="4" t="s">
        <v>40</v>
      </c>
      <c r="B17" s="63">
        <f t="shared" si="0"/>
        <v>1</v>
      </c>
      <c r="C17" s="70">
        <f>+'Total Company Tonnage'!J17</f>
        <v>0</v>
      </c>
      <c r="D17" s="70">
        <f>+'Total Company Tonnage'!K17</f>
        <v>0.42369203654325316</v>
      </c>
      <c r="E17" s="70">
        <f>+'Total Company Tonnage'!L17</f>
        <v>0.20471746696021817</v>
      </c>
      <c r="F17" s="70">
        <f>+'Total Company Tonnage'!M17</f>
        <v>4.4582556313537769E-3</v>
      </c>
      <c r="G17" s="70">
        <f>+'Total Company Tonnage'!O17</f>
        <v>4.9692266455568955E-3</v>
      </c>
      <c r="H17" s="70">
        <f>+'Total Company Tonnage'!N17</f>
        <v>0.19807368670938816</v>
      </c>
      <c r="I17" s="70">
        <f>+'Total Company Tonnage'!P17</f>
        <v>7.4789701730690614E-3</v>
      </c>
      <c r="J17" s="70">
        <f>+'Total Company Tonnage'!Q17</f>
        <v>1.0942393629644023E-2</v>
      </c>
      <c r="K17" s="70">
        <f>+'Total Company Tonnage'!R17</f>
        <v>1.1473890852125642E-3</v>
      </c>
      <c r="L17" s="70">
        <f>+'Total Company Tonnage'!S17</f>
        <v>2.5535478776841807E-3</v>
      </c>
      <c r="M17" s="70">
        <f t="shared" si="1"/>
        <v>0.14196702674461992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" t="s">
        <v>10</v>
      </c>
      <c r="B18" s="63">
        <f t="shared" si="0"/>
        <v>1</v>
      </c>
      <c r="C18" s="70">
        <f>+'Total Company Tonnage'!J18</f>
        <v>0</v>
      </c>
      <c r="D18" s="70">
        <f>+'Total Company Tonnage'!K18</f>
        <v>0.48051031095582108</v>
      </c>
      <c r="E18" s="70">
        <f>+'Total Company Tonnage'!L18</f>
        <v>0.16755061895505494</v>
      </c>
      <c r="F18" s="70">
        <f>+'Total Company Tonnage'!M18</f>
        <v>4.2942582017795735E-3</v>
      </c>
      <c r="G18" s="70">
        <f>+'Total Company Tonnage'!O18</f>
        <v>5.8181517238117238E-3</v>
      </c>
      <c r="H18" s="70">
        <f>+'Total Company Tonnage'!N18</f>
        <v>0.20051502492818421</v>
      </c>
      <c r="I18" s="70">
        <f>+'Total Company Tonnage'!P18</f>
        <v>6.6758077713021504E-3</v>
      </c>
      <c r="J18" s="70">
        <f>+'Total Company Tonnage'!Q18</f>
        <v>1.1926686134958502E-2</v>
      </c>
      <c r="K18" s="70">
        <f>+'Total Company Tonnage'!R18</f>
        <v>1.6738140773935818E-3</v>
      </c>
      <c r="L18" s="70">
        <f>+'Total Company Tonnage'!S18</f>
        <v>7.7464747705162612E-4</v>
      </c>
      <c r="M18" s="70">
        <f t="shared" si="1"/>
        <v>0.12026067977464272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x14ac:dyDescent="0.2">
      <c r="A19" s="4" t="s">
        <v>41</v>
      </c>
      <c r="B19" s="63">
        <f t="shared" si="0"/>
        <v>1</v>
      </c>
      <c r="C19" s="70">
        <f>+'Total Company Tonnage'!J19</f>
        <v>0</v>
      </c>
      <c r="D19" s="70">
        <f>+'Total Company Tonnage'!K19</f>
        <v>0.42148185091608609</v>
      </c>
      <c r="E19" s="70">
        <f>+'Total Company Tonnage'!L19</f>
        <v>0.19934396939619972</v>
      </c>
      <c r="F19" s="70">
        <f>+'Total Company Tonnage'!M19</f>
        <v>5.7341020820887746E-3</v>
      </c>
      <c r="G19" s="70">
        <f>+'Total Company Tonnage'!O19</f>
        <v>2.9677574933821469E-3</v>
      </c>
      <c r="H19" s="70">
        <f>+'Total Company Tonnage'!N19</f>
        <v>0.24610601717627326</v>
      </c>
      <c r="I19" s="70">
        <f>+'Total Company Tonnage'!P19</f>
        <v>2.3539276886567536E-3</v>
      </c>
      <c r="J19" s="70">
        <f>+'Total Company Tonnage'!Q19</f>
        <v>1.6859767292736527E-2</v>
      </c>
      <c r="K19" s="70">
        <f>+'Total Company Tonnage'!R19</f>
        <v>9.8651218616581057E-5</v>
      </c>
      <c r="L19" s="70">
        <f>+'Total Company Tonnage'!S19</f>
        <v>4.6379774307934293E-3</v>
      </c>
      <c r="M19" s="70">
        <f t="shared" si="1"/>
        <v>0.10041597930516666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x14ac:dyDescent="0.2">
      <c r="A20" s="4" t="s">
        <v>42</v>
      </c>
      <c r="B20" s="63">
        <f t="shared" si="0"/>
        <v>1</v>
      </c>
      <c r="C20" s="70">
        <f>+'Total Company Tonnage'!J20</f>
        <v>0</v>
      </c>
      <c r="D20" s="70">
        <f>+'Total Company Tonnage'!K20</f>
        <v>0.35023837510677608</v>
      </c>
      <c r="E20" s="70">
        <f>+'Total Company Tonnage'!L20</f>
        <v>0.29998758843241902</v>
      </c>
      <c r="F20" s="70">
        <f>+'Total Company Tonnage'!M20</f>
        <v>9.2327460958319049E-3</v>
      </c>
      <c r="G20" s="70">
        <f>+'Total Company Tonnage'!O20</f>
        <v>7.6586672896786882E-3</v>
      </c>
      <c r="H20" s="70">
        <f>+'Total Company Tonnage'!N20</f>
        <v>0.20667742335857023</v>
      </c>
      <c r="I20" s="70">
        <f>+'Total Company Tonnage'!P20</f>
        <v>1.296935802991918E-2</v>
      </c>
      <c r="J20" s="70">
        <f>+'Total Company Tonnage'!Q20</f>
        <v>1.2161876044944479E-2</v>
      </c>
      <c r="K20" s="70">
        <f>+'Total Company Tonnage'!R20</f>
        <v>1.1915104877746061E-3</v>
      </c>
      <c r="L20" s="70">
        <f>+'Total Company Tonnage'!S20</f>
        <v>2.2997904635355449E-3</v>
      </c>
      <c r="M20" s="70">
        <f t="shared" si="1"/>
        <v>9.7582664690550214E-2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x14ac:dyDescent="0.2">
      <c r="A21" s="4" t="s">
        <v>43</v>
      </c>
      <c r="B21" s="63">
        <f t="shared" si="0"/>
        <v>1</v>
      </c>
      <c r="C21" s="70">
        <f>+'Total Company Tonnage'!J21</f>
        <v>0</v>
      </c>
      <c r="D21" s="70">
        <f>+'Total Company Tonnage'!K21</f>
        <v>0.31733506205052459</v>
      </c>
      <c r="E21" s="70">
        <f>+'Total Company Tonnage'!L21</f>
        <v>0.30845337315492688</v>
      </c>
      <c r="F21" s="70">
        <f>+'Total Company Tonnage'!M21</f>
        <v>1.0268526205699376E-2</v>
      </c>
      <c r="G21" s="70">
        <f>+'Total Company Tonnage'!O21</f>
        <v>5.2238886432984357E-3</v>
      </c>
      <c r="H21" s="70">
        <f>+'Total Company Tonnage'!N21</f>
        <v>0.21255404487476684</v>
      </c>
      <c r="I21" s="70">
        <f>+'Total Company Tonnage'!P21</f>
        <v>1.0504382891090817E-2</v>
      </c>
      <c r="J21" s="70">
        <f>+'Total Company Tonnage'!Q21</f>
        <v>1.298424746892083E-2</v>
      </c>
      <c r="K21" s="70">
        <f>+'Total Company Tonnage'!R21</f>
        <v>4.1376001380098547E-4</v>
      </c>
      <c r="L21" s="70">
        <f>+'Total Company Tonnage'!S21</f>
        <v>1.0647244654813634E-4</v>
      </c>
      <c r="M21" s="70">
        <f t="shared" si="1"/>
        <v>0.1221562422504231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x14ac:dyDescent="0.2">
      <c r="C22" s="4"/>
    </row>
    <row r="24" spans="1:26" x14ac:dyDescent="0.2">
      <c r="A24" s="12" t="s">
        <v>59</v>
      </c>
    </row>
    <row r="25" spans="1:26" x14ac:dyDescent="0.2">
      <c r="A25" s="4" t="s">
        <v>58</v>
      </c>
      <c r="B25" s="17">
        <f>+'Calculation of Revenue'!D11</f>
        <v>702.27</v>
      </c>
      <c r="C25" s="21">
        <f t="shared" ref="C25:M25" si="2">+$B25*C10</f>
        <v>0</v>
      </c>
      <c r="D25" s="21">
        <f t="shared" si="2"/>
        <v>233.95602116589444</v>
      </c>
      <c r="E25" s="21">
        <f t="shared" si="2"/>
        <v>158.04984533537069</v>
      </c>
      <c r="F25" s="21">
        <f t="shared" si="2"/>
        <v>4.6839623560667265</v>
      </c>
      <c r="G25" s="21">
        <f t="shared" si="2"/>
        <v>5.1700251030542939</v>
      </c>
      <c r="H25" s="21">
        <f t="shared" si="2"/>
        <v>154.42587366215761</v>
      </c>
      <c r="I25" s="21">
        <f t="shared" si="2"/>
        <v>4.7587412402186597</v>
      </c>
      <c r="J25" s="21">
        <f t="shared" si="2"/>
        <v>7.251682290633739</v>
      </c>
      <c r="K25" s="21">
        <f t="shared" si="2"/>
        <v>0.49727957961035696</v>
      </c>
      <c r="L25" s="21">
        <f t="shared" si="2"/>
        <v>0.88893398535610801</v>
      </c>
      <c r="M25" s="21">
        <f t="shared" si="2"/>
        <v>132.58763528163735</v>
      </c>
      <c r="O25" s="17"/>
      <c r="P25" s="17"/>
    </row>
    <row r="26" spans="1:26" x14ac:dyDescent="0.2">
      <c r="A26" s="4" t="s">
        <v>35</v>
      </c>
      <c r="B26" s="17">
        <f>+'Calculation of Revenue'!D12</f>
        <v>754.32</v>
      </c>
      <c r="C26" s="21">
        <f t="shared" ref="C26:M26" si="3">+$B26*C11</f>
        <v>0</v>
      </c>
      <c r="D26" s="21">
        <f t="shared" si="3"/>
        <v>259.87435445235343</v>
      </c>
      <c r="E26" s="21">
        <f t="shared" si="3"/>
        <v>143.78802206077555</v>
      </c>
      <c r="F26" s="21">
        <f t="shared" si="3"/>
        <v>4.5111096761101175</v>
      </c>
      <c r="G26" s="21">
        <f t="shared" si="3"/>
        <v>7.1432721356770106</v>
      </c>
      <c r="H26" s="21">
        <f t="shared" si="3"/>
        <v>159.25896051531208</v>
      </c>
      <c r="I26" s="21">
        <f t="shared" si="3"/>
        <v>5.2570740866179282</v>
      </c>
      <c r="J26" s="21">
        <f t="shared" si="3"/>
        <v>7.5552581494860496</v>
      </c>
      <c r="K26" s="21">
        <f t="shared" si="3"/>
        <v>1.0481144443570583</v>
      </c>
      <c r="L26" s="21">
        <f t="shared" si="3"/>
        <v>1.6072332610497737</v>
      </c>
      <c r="M26" s="21">
        <f t="shared" si="3"/>
        <v>164.27660121826105</v>
      </c>
      <c r="O26" s="17"/>
      <c r="P26" s="17"/>
    </row>
    <row r="27" spans="1:26" x14ac:dyDescent="0.2">
      <c r="A27" s="4" t="s">
        <v>36</v>
      </c>
      <c r="B27" s="17">
        <f>+'Calculation of Revenue'!D13</f>
        <v>765.94</v>
      </c>
      <c r="C27" s="21">
        <f t="shared" ref="C27:M27" si="4">+$B27*C12</f>
        <v>0</v>
      </c>
      <c r="D27" s="21">
        <f t="shared" si="4"/>
        <v>298.6704996473897</v>
      </c>
      <c r="E27" s="21">
        <f t="shared" si="4"/>
        <v>135.56325632357112</v>
      </c>
      <c r="F27" s="21">
        <f t="shared" si="4"/>
        <v>4.4420754905472402</v>
      </c>
      <c r="G27" s="21">
        <f t="shared" si="4"/>
        <v>6.7175884169297344</v>
      </c>
      <c r="H27" s="21">
        <f t="shared" si="4"/>
        <v>171.95193635872704</v>
      </c>
      <c r="I27" s="21">
        <f t="shared" si="4"/>
        <v>0.19461686143703552</v>
      </c>
      <c r="J27" s="21">
        <f t="shared" si="4"/>
        <v>11.183481398878572</v>
      </c>
      <c r="K27" s="21">
        <f t="shared" si="4"/>
        <v>0.39611808273515203</v>
      </c>
      <c r="L27" s="21">
        <f t="shared" si="4"/>
        <v>3.2053303244022588</v>
      </c>
      <c r="M27" s="21">
        <f t="shared" si="4"/>
        <v>133.61509709538228</v>
      </c>
      <c r="O27" s="17"/>
      <c r="P27" s="17"/>
      <c r="R27" s="17"/>
      <c r="T27" s="69"/>
    </row>
    <row r="28" spans="1:26" x14ac:dyDescent="0.2">
      <c r="A28" s="4" t="s">
        <v>37</v>
      </c>
      <c r="B28" s="17">
        <f>+'Calculation of Revenue'!D14</f>
        <v>762.23</v>
      </c>
      <c r="C28" s="21">
        <f t="shared" ref="C28:M28" si="5">+$B28*C13</f>
        <v>0</v>
      </c>
      <c r="D28" s="21">
        <f t="shared" si="5"/>
        <v>283.09374485300128</v>
      </c>
      <c r="E28" s="21">
        <f t="shared" si="5"/>
        <v>150.6451922301039</v>
      </c>
      <c r="F28" s="21">
        <f t="shared" si="5"/>
        <v>4.5605410076241588</v>
      </c>
      <c r="G28" s="21">
        <f t="shared" si="5"/>
        <v>8.1996478772719055</v>
      </c>
      <c r="H28" s="21">
        <f t="shared" si="5"/>
        <v>190.29367239261742</v>
      </c>
      <c r="I28" s="21">
        <f t="shared" si="5"/>
        <v>1.125040245465724</v>
      </c>
      <c r="J28" s="21">
        <f t="shared" si="5"/>
        <v>9.3803382094305281</v>
      </c>
      <c r="K28" s="21">
        <f t="shared" si="5"/>
        <v>0.24943015068565341</v>
      </c>
      <c r="L28" s="21">
        <f t="shared" si="5"/>
        <v>3.1240145298376376</v>
      </c>
      <c r="M28" s="21">
        <f t="shared" si="5"/>
        <v>111.55837850396175</v>
      </c>
      <c r="O28" s="17"/>
      <c r="P28" s="17"/>
      <c r="R28" s="17"/>
      <c r="T28" s="69"/>
    </row>
    <row r="29" spans="1:26" x14ac:dyDescent="0.2">
      <c r="A29" s="4" t="s">
        <v>45</v>
      </c>
      <c r="B29" s="17">
        <f>+'Calculation of Revenue'!D15</f>
        <v>929.92</v>
      </c>
      <c r="C29" s="21">
        <f t="shared" ref="C29:M29" si="6">+$B29*C14</f>
        <v>0</v>
      </c>
      <c r="D29" s="21">
        <f t="shared" si="6"/>
        <v>365.4761045624407</v>
      </c>
      <c r="E29" s="21">
        <f t="shared" si="6"/>
        <v>179.36790462313382</v>
      </c>
      <c r="F29" s="21">
        <f t="shared" si="6"/>
        <v>4.8011892783790735</v>
      </c>
      <c r="G29" s="21">
        <f t="shared" si="6"/>
        <v>9.4024135003394349</v>
      </c>
      <c r="H29" s="21">
        <f t="shared" si="6"/>
        <v>205.75410822293972</v>
      </c>
      <c r="I29" s="21">
        <f t="shared" si="6"/>
        <v>3.2549948444645986</v>
      </c>
      <c r="J29" s="21">
        <f t="shared" si="6"/>
        <v>11.457597500687886</v>
      </c>
      <c r="K29" s="21">
        <f t="shared" si="6"/>
        <v>0.39514777992648648</v>
      </c>
      <c r="L29" s="21">
        <f t="shared" si="6"/>
        <v>3.2522966265642919</v>
      </c>
      <c r="M29" s="21">
        <f t="shared" si="6"/>
        <v>146.75824306112406</v>
      </c>
      <c r="O29" s="17"/>
      <c r="P29" s="17"/>
      <c r="R29" s="17"/>
      <c r="T29" s="69"/>
    </row>
    <row r="30" spans="1:26" x14ac:dyDescent="0.2">
      <c r="A30" s="4" t="s">
        <v>38</v>
      </c>
      <c r="B30" s="17">
        <f>+'Calculation of Revenue'!D16</f>
        <v>641.76</v>
      </c>
      <c r="C30" s="21">
        <f t="shared" ref="C30:M30" si="7">+$B30*C15</f>
        <v>0</v>
      </c>
      <c r="D30" s="21">
        <f t="shared" si="7"/>
        <v>239.56740371408091</v>
      </c>
      <c r="E30" s="21">
        <f t="shared" si="7"/>
        <v>145.41341395270621</v>
      </c>
      <c r="F30" s="21">
        <f t="shared" si="7"/>
        <v>4.3333088931968335</v>
      </c>
      <c r="G30" s="21">
        <f t="shared" si="7"/>
        <v>6.8567317225290143</v>
      </c>
      <c r="H30" s="21">
        <f t="shared" si="7"/>
        <v>142.66299228179921</v>
      </c>
      <c r="I30" s="21">
        <f t="shared" si="7"/>
        <v>4.0096845426616481</v>
      </c>
      <c r="J30" s="21">
        <f t="shared" si="7"/>
        <v>6.9705040576596726</v>
      </c>
      <c r="K30" s="21">
        <f t="shared" si="7"/>
        <v>0.38022416211821547</v>
      </c>
      <c r="L30" s="21">
        <f t="shared" si="7"/>
        <v>6.6372632806327267</v>
      </c>
      <c r="M30" s="21">
        <f t="shared" si="7"/>
        <v>84.928473392615459</v>
      </c>
      <c r="O30" s="17"/>
      <c r="P30" s="17"/>
      <c r="R30" s="17"/>
      <c r="T30" s="69"/>
    </row>
    <row r="31" spans="1:26" x14ac:dyDescent="0.2">
      <c r="A31" s="4" t="s">
        <v>39</v>
      </c>
      <c r="B31" s="17">
        <f>+'Calculation of Revenue'!D17</f>
        <v>789.24</v>
      </c>
      <c r="C31" s="21">
        <f t="shared" ref="C31:M31" si="8">+$B31*C16</f>
        <v>0</v>
      </c>
      <c r="D31" s="21">
        <f t="shared" si="8"/>
        <v>323.61634753232516</v>
      </c>
      <c r="E31" s="21">
        <f t="shared" si="8"/>
        <v>142.41448624086661</v>
      </c>
      <c r="F31" s="21">
        <f t="shared" si="8"/>
        <v>3.8907912949194867</v>
      </c>
      <c r="G31" s="21">
        <f t="shared" si="8"/>
        <v>5.1708648771168582</v>
      </c>
      <c r="H31" s="21">
        <f t="shared" si="8"/>
        <v>167.64149891353301</v>
      </c>
      <c r="I31" s="21">
        <f t="shared" si="8"/>
        <v>3.4734909603776947</v>
      </c>
      <c r="J31" s="21">
        <f t="shared" si="8"/>
        <v>12.587031947163903</v>
      </c>
      <c r="K31" s="21">
        <f t="shared" si="8"/>
        <v>2.2277631227744101</v>
      </c>
      <c r="L31" s="21">
        <f t="shared" si="8"/>
        <v>4.0394874312053721</v>
      </c>
      <c r="M31" s="21">
        <f t="shared" si="8"/>
        <v>124.1782376797177</v>
      </c>
      <c r="O31" s="17"/>
      <c r="P31" s="17"/>
      <c r="R31" s="17"/>
      <c r="T31" s="69"/>
    </row>
    <row r="32" spans="1:26" x14ac:dyDescent="0.2">
      <c r="A32" s="4" t="s">
        <v>40</v>
      </c>
      <c r="B32" s="17">
        <f>+'Calculation of Revenue'!D18</f>
        <v>669.04</v>
      </c>
      <c r="C32" s="21">
        <f t="shared" ref="C32:M32" si="9">+$B32*C17</f>
        <v>0</v>
      </c>
      <c r="D32" s="21">
        <f t="shared" si="9"/>
        <v>283.4669201288981</v>
      </c>
      <c r="E32" s="21">
        <f t="shared" si="9"/>
        <v>136.96417409506435</v>
      </c>
      <c r="F32" s="21">
        <f t="shared" si="9"/>
        <v>2.9827513476009306</v>
      </c>
      <c r="G32" s="21">
        <f t="shared" si="9"/>
        <v>3.3246113949433851</v>
      </c>
      <c r="H32" s="21">
        <f t="shared" si="9"/>
        <v>132.51921935604904</v>
      </c>
      <c r="I32" s="21">
        <f t="shared" si="9"/>
        <v>5.0037302045901244</v>
      </c>
      <c r="J32" s="21">
        <f t="shared" si="9"/>
        <v>7.3208990339770361</v>
      </c>
      <c r="K32" s="21">
        <f t="shared" si="9"/>
        <v>0.7676491935706139</v>
      </c>
      <c r="L32" s="21">
        <f t="shared" si="9"/>
        <v>1.7084256720858242</v>
      </c>
      <c r="M32" s="21">
        <f t="shared" si="9"/>
        <v>94.981619573220499</v>
      </c>
      <c r="O32" s="17"/>
      <c r="P32" s="17"/>
      <c r="R32" s="17"/>
      <c r="T32" s="69"/>
    </row>
    <row r="33" spans="1:20" x14ac:dyDescent="0.2">
      <c r="A33" s="4" t="s">
        <v>10</v>
      </c>
      <c r="B33" s="17">
        <f>+'Calculation of Revenue'!D19</f>
        <v>887.4</v>
      </c>
      <c r="C33" s="21">
        <f t="shared" ref="C33:M33" si="10">+$B33*C18</f>
        <v>0</v>
      </c>
      <c r="D33" s="21">
        <f t="shared" si="10"/>
        <v>426.4048499421956</v>
      </c>
      <c r="E33" s="21">
        <f t="shared" si="10"/>
        <v>148.68441926071574</v>
      </c>
      <c r="F33" s="21">
        <f t="shared" si="10"/>
        <v>3.8107247282591934</v>
      </c>
      <c r="G33" s="21">
        <f t="shared" si="10"/>
        <v>5.1630278397105238</v>
      </c>
      <c r="H33" s="21">
        <f t="shared" si="10"/>
        <v>177.93703312127067</v>
      </c>
      <c r="I33" s="21">
        <f t="shared" si="10"/>
        <v>5.9241118162535278</v>
      </c>
      <c r="J33" s="21">
        <f t="shared" si="10"/>
        <v>10.583741276162174</v>
      </c>
      <c r="K33" s="21">
        <f t="shared" si="10"/>
        <v>1.4853426122790645</v>
      </c>
      <c r="L33" s="21">
        <f t="shared" si="10"/>
        <v>0.68742217113561299</v>
      </c>
      <c r="M33" s="21">
        <f t="shared" si="10"/>
        <v>106.71932723201795</v>
      </c>
      <c r="O33" s="17"/>
      <c r="P33" s="17"/>
      <c r="R33" s="17"/>
      <c r="T33" s="69"/>
    </row>
    <row r="34" spans="1:20" x14ac:dyDescent="0.2">
      <c r="A34" s="4" t="s">
        <v>41</v>
      </c>
      <c r="B34" s="17">
        <f>+'Calculation of Revenue'!D20</f>
        <v>845.15</v>
      </c>
      <c r="C34" s="21">
        <f t="shared" ref="C34:M34" si="11">+$B34*C19</f>
        <v>0</v>
      </c>
      <c r="D34" s="21">
        <f t="shared" si="11"/>
        <v>356.21538630173012</v>
      </c>
      <c r="E34" s="21">
        <f t="shared" si="11"/>
        <v>168.47555573519818</v>
      </c>
      <c r="F34" s="21">
        <f t="shared" si="11"/>
        <v>4.8461763746773281</v>
      </c>
      <c r="G34" s="21">
        <f t="shared" si="11"/>
        <v>2.5082002455319214</v>
      </c>
      <c r="H34" s="21">
        <f t="shared" si="11"/>
        <v>207.99650041652734</v>
      </c>
      <c r="I34" s="21">
        <f t="shared" si="11"/>
        <v>1.9894219860682552</v>
      </c>
      <c r="J34" s="21">
        <f t="shared" si="11"/>
        <v>14.249032327456275</v>
      </c>
      <c r="K34" s="21">
        <f t="shared" si="11"/>
        <v>8.3375077413803483E-2</v>
      </c>
      <c r="L34" s="21">
        <f t="shared" si="11"/>
        <v>3.9197866256350666</v>
      </c>
      <c r="M34" s="21">
        <f t="shared" si="11"/>
        <v>84.866564909761593</v>
      </c>
      <c r="O34" s="17"/>
      <c r="P34" s="17"/>
      <c r="R34" s="17"/>
      <c r="T34" s="69"/>
    </row>
    <row r="35" spans="1:20" x14ac:dyDescent="0.2">
      <c r="A35" s="4" t="s">
        <v>42</v>
      </c>
      <c r="B35" s="17">
        <f>+'Calculation of Revenue'!D21</f>
        <v>731</v>
      </c>
      <c r="C35" s="344">
        <f t="shared" ref="C35:M35" si="12">+$B35*C20</f>
        <v>0</v>
      </c>
      <c r="D35" s="344">
        <f t="shared" si="12"/>
        <v>256.02425220305332</v>
      </c>
      <c r="E35" s="344">
        <f t="shared" si="12"/>
        <v>219.2909271440983</v>
      </c>
      <c r="F35" s="344">
        <f t="shared" si="12"/>
        <v>6.7491373960531229</v>
      </c>
      <c r="G35" s="344">
        <f t="shared" si="12"/>
        <v>5.5984857887551209</v>
      </c>
      <c r="H35" s="344">
        <f t="shared" si="12"/>
        <v>151.08119647511484</v>
      </c>
      <c r="I35" s="344">
        <f t="shared" si="12"/>
        <v>9.480600719870921</v>
      </c>
      <c r="J35" s="344">
        <f t="shared" si="12"/>
        <v>8.8903313888544133</v>
      </c>
      <c r="K35" s="344">
        <f t="shared" si="12"/>
        <v>0.87099416656323703</v>
      </c>
      <c r="L35" s="344">
        <f t="shared" si="12"/>
        <v>1.6811468288444833</v>
      </c>
      <c r="M35" s="344">
        <f t="shared" si="12"/>
        <v>71.332927888792213</v>
      </c>
      <c r="O35" s="17"/>
      <c r="P35" s="17"/>
      <c r="R35" s="17"/>
      <c r="T35" s="69"/>
    </row>
    <row r="36" spans="1:20" ht="15" x14ac:dyDescent="0.35">
      <c r="A36" s="4" t="s">
        <v>43</v>
      </c>
      <c r="B36" s="24">
        <f>+'Calculation of Revenue'!D22</f>
        <v>770.6</v>
      </c>
      <c r="C36" s="28">
        <f t="shared" ref="C36:M36" si="13">+$B36*C21</f>
        <v>0</v>
      </c>
      <c r="D36" s="28">
        <f t="shared" si="13"/>
        <v>244.53839881613425</v>
      </c>
      <c r="E36" s="28">
        <f t="shared" si="13"/>
        <v>237.69416935318665</v>
      </c>
      <c r="F36" s="28">
        <f t="shared" si="13"/>
        <v>7.9129262941119389</v>
      </c>
      <c r="G36" s="28">
        <f t="shared" si="13"/>
        <v>4.0255285885257743</v>
      </c>
      <c r="H36" s="28">
        <f t="shared" si="13"/>
        <v>163.79414698049533</v>
      </c>
      <c r="I36" s="28">
        <f t="shared" si="13"/>
        <v>8.0946774558745833</v>
      </c>
      <c r="J36" s="28">
        <f t="shared" si="13"/>
        <v>10.005661099550393</v>
      </c>
      <c r="K36" s="28">
        <f t="shared" si="13"/>
        <v>0.31884346663503943</v>
      </c>
      <c r="L36" s="28">
        <f t="shared" si="13"/>
        <v>8.2047667309993869E-2</v>
      </c>
      <c r="M36" s="28">
        <f t="shared" si="13"/>
        <v>94.133600278176047</v>
      </c>
      <c r="O36" s="17"/>
      <c r="P36" s="17"/>
      <c r="R36" s="17"/>
      <c r="T36" s="69"/>
    </row>
    <row r="37" spans="1:20" ht="15" x14ac:dyDescent="0.35">
      <c r="B37" s="31">
        <f>SUM(B25:B36)</f>
        <v>9248.8700000000008</v>
      </c>
      <c r="C37" s="31">
        <f>SUM(C25:C36)</f>
        <v>0</v>
      </c>
      <c r="D37" s="31">
        <f t="shared" ref="D37:L37" si="14">SUM(D25:D36)</f>
        <v>3570.9042833194972</v>
      </c>
      <c r="E37" s="31">
        <f t="shared" si="14"/>
        <v>1966.3513663547913</v>
      </c>
      <c r="F37" s="31">
        <f t="shared" si="14"/>
        <v>57.524694137546156</v>
      </c>
      <c r="G37" s="31">
        <f t="shared" si="14"/>
        <v>69.280397490384971</v>
      </c>
      <c r="H37" s="31">
        <f t="shared" si="14"/>
        <v>2025.3171386965432</v>
      </c>
      <c r="I37" s="31">
        <f t="shared" si="14"/>
        <v>52.566184963900703</v>
      </c>
      <c r="J37" s="31">
        <f t="shared" si="14"/>
        <v>117.43555867994064</v>
      </c>
      <c r="K37" s="31">
        <f t="shared" si="14"/>
        <v>8.7202818386690915</v>
      </c>
      <c r="L37" s="31">
        <f t="shared" si="14"/>
        <v>30.833388404059146</v>
      </c>
      <c r="M37" s="31">
        <f t="shared" ref="M37" si="15">SUM(M25:M36)</f>
        <v>1349.9367061146681</v>
      </c>
    </row>
    <row r="38" spans="1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40" spans="1:20" x14ac:dyDescent="0.2">
      <c r="A40" s="12" t="s">
        <v>57</v>
      </c>
    </row>
    <row r="41" spans="1:20" x14ac:dyDescent="0.2">
      <c r="A41" s="4" t="s">
        <v>58</v>
      </c>
      <c r="C41" s="38">
        <f>+'Commodity Prices - JMK'!B9</f>
        <v>0</v>
      </c>
      <c r="D41" s="38">
        <f>+'Commodity Prices - JMK'!C9</f>
        <v>7.29</v>
      </c>
      <c r="E41" s="38">
        <f>+'Commodity Prices - JMK'!D9</f>
        <v>92.43</v>
      </c>
      <c r="F41" s="38">
        <f>+'Commodity Prices - JMK'!E9</f>
        <v>1328.12</v>
      </c>
      <c r="G41" s="38">
        <f>+'Commodity Prices - JMK'!G9</f>
        <v>173.73</v>
      </c>
      <c r="H41" s="38">
        <f>+'Commodity Prices - JMK'!F9</f>
        <v>-63.5</v>
      </c>
      <c r="I41" s="38">
        <f>+'Commodity Prices - JMK'!H9</f>
        <v>80</v>
      </c>
      <c r="J41" s="38">
        <f>+'Commodity Prices - JMK'!I9</f>
        <v>680</v>
      </c>
      <c r="K41" s="38">
        <f>+'Commodity Prices - JMK'!J9</f>
        <v>110</v>
      </c>
      <c r="L41" s="38">
        <f>+'Commodity Prices - JMK'!K9</f>
        <v>-187.5</v>
      </c>
    </row>
    <row r="42" spans="1:20" x14ac:dyDescent="0.2">
      <c r="A42" s="4" t="s">
        <v>35</v>
      </c>
      <c r="C42" s="38">
        <f>+'Commodity Prices - JMK'!B10</f>
        <v>0</v>
      </c>
      <c r="D42" s="38">
        <f>+'Commodity Prices - JMK'!C10</f>
        <v>-6.75</v>
      </c>
      <c r="E42" s="38">
        <f>+'Commodity Prices - JMK'!D10</f>
        <v>56.95</v>
      </c>
      <c r="F42" s="38">
        <f>+'Commodity Prices - JMK'!E10</f>
        <v>1267.69</v>
      </c>
      <c r="G42" s="38">
        <f>+'Commodity Prices - JMK'!G10</f>
        <v>160.69999999999999</v>
      </c>
      <c r="H42" s="38">
        <f>+'Commodity Prices - JMK'!F10</f>
        <v>-63.5</v>
      </c>
      <c r="I42" s="38">
        <f>+'Commodity Prices - JMK'!H10</f>
        <v>80</v>
      </c>
      <c r="J42" s="38">
        <f>+'Commodity Prices - JMK'!I10</f>
        <v>780</v>
      </c>
      <c r="K42" s="38">
        <f>+'Commodity Prices - JMK'!J10</f>
        <v>130</v>
      </c>
      <c r="L42" s="38">
        <f>+'Commodity Prices - JMK'!K10</f>
        <v>-187.5</v>
      </c>
    </row>
    <row r="43" spans="1:20" x14ac:dyDescent="0.2">
      <c r="A43" s="4" t="s">
        <v>36</v>
      </c>
      <c r="C43" s="38">
        <f>+'Commodity Prices - JMK'!B11</f>
        <v>0</v>
      </c>
      <c r="D43" s="38">
        <f>+'Commodity Prices - JMK'!C11</f>
        <v>-1.48</v>
      </c>
      <c r="E43" s="38">
        <f>+'Commodity Prices - JMK'!D11</f>
        <v>49.61</v>
      </c>
      <c r="F43" s="38">
        <f>+'Commodity Prices - JMK'!E11</f>
        <v>1316.23</v>
      </c>
      <c r="G43" s="38">
        <f>+'Commodity Prices - JMK'!G11</f>
        <v>150.69</v>
      </c>
      <c r="H43" s="38">
        <f>+'Commodity Prices - JMK'!F11</f>
        <v>-63.5</v>
      </c>
      <c r="I43" s="38">
        <f>+'Commodity Prices - JMK'!H11</f>
        <v>81.69</v>
      </c>
      <c r="J43" s="38">
        <f>+'Commodity Prices - JMK'!I11</f>
        <v>1090</v>
      </c>
      <c r="K43" s="38">
        <f>+'Commodity Prices - JMK'!J11</f>
        <v>160</v>
      </c>
      <c r="L43" s="38">
        <f>+'Commodity Prices - JMK'!K11</f>
        <v>-187.5</v>
      </c>
      <c r="M43" s="67"/>
    </row>
    <row r="44" spans="1:20" x14ac:dyDescent="0.2">
      <c r="A44" s="4" t="s">
        <v>37</v>
      </c>
      <c r="C44" s="38">
        <f>+'Commodity Prices - JMK'!B12</f>
        <v>0</v>
      </c>
      <c r="D44" s="38">
        <f>+'Commodity Prices - JMK'!C12</f>
        <v>7.13</v>
      </c>
      <c r="E44" s="38">
        <f>+'Commodity Prices - JMK'!D12</f>
        <v>66.06</v>
      </c>
      <c r="F44" s="38">
        <f>+'Commodity Prices - JMK'!E12</f>
        <v>1341.18</v>
      </c>
      <c r="G44" s="38">
        <f>+'Commodity Prices - JMK'!G12</f>
        <v>164.25</v>
      </c>
      <c r="H44" s="38">
        <f>+'Commodity Prices - JMK'!F12</f>
        <v>-63.5</v>
      </c>
      <c r="I44" s="38">
        <f>+'Commodity Prices - JMK'!H12</f>
        <v>85.14</v>
      </c>
      <c r="J44" s="38">
        <f>+'Commodity Prices - JMK'!I12</f>
        <v>1090</v>
      </c>
      <c r="K44" s="38">
        <f>+'Commodity Prices - JMK'!J12</f>
        <v>80</v>
      </c>
      <c r="L44" s="38">
        <f>+'Commodity Prices - JMK'!K12</f>
        <v>-187.5</v>
      </c>
      <c r="M44" s="22"/>
    </row>
    <row r="45" spans="1:20" x14ac:dyDescent="0.2">
      <c r="A45" s="4" t="s">
        <v>45</v>
      </c>
      <c r="C45" s="38">
        <f>+'Commodity Prices - JMK'!B13</f>
        <v>0</v>
      </c>
      <c r="D45" s="38">
        <f>+'Commodity Prices - JMK'!C13</f>
        <v>22.2</v>
      </c>
      <c r="E45" s="38">
        <f>+'Commodity Prices - JMK'!D13</f>
        <v>72.540000000000006</v>
      </c>
      <c r="F45" s="38">
        <f>+'Commodity Prices - JMK'!E13</f>
        <v>1593.44</v>
      </c>
      <c r="G45" s="38">
        <f>+'Commodity Prices - JMK'!G13</f>
        <v>194.83</v>
      </c>
      <c r="H45" s="38">
        <f>+'Commodity Prices - JMK'!F13</f>
        <v>-63.5</v>
      </c>
      <c r="I45" s="38">
        <f>+'Commodity Prices - JMK'!H13</f>
        <v>117.54</v>
      </c>
      <c r="J45" s="38">
        <f>+'Commodity Prices - JMK'!I13</f>
        <v>1120</v>
      </c>
      <c r="K45" s="38">
        <f>+'Commodity Prices - JMK'!J13</f>
        <v>0</v>
      </c>
      <c r="L45" s="38">
        <f>+'Commodity Prices - JMK'!K13</f>
        <v>-187.5</v>
      </c>
      <c r="M45" s="22"/>
    </row>
    <row r="46" spans="1:20" x14ac:dyDescent="0.2">
      <c r="A46" s="4" t="s">
        <v>38</v>
      </c>
      <c r="C46" s="38">
        <f>+'Commodity Prices - JMK'!B14</f>
        <v>0</v>
      </c>
      <c r="D46" s="38">
        <f>+'Commodity Prices - JMK'!C14</f>
        <v>29.15</v>
      </c>
      <c r="E46" s="38">
        <f>+'Commodity Prices - JMK'!D14</f>
        <v>93.76</v>
      </c>
      <c r="F46" s="38">
        <f>+'Commodity Prices - JMK'!E14</f>
        <v>1514.29</v>
      </c>
      <c r="G46" s="38">
        <f>+'Commodity Prices - JMK'!G14</f>
        <v>216.74</v>
      </c>
      <c r="H46" s="38">
        <f>+'Commodity Prices - JMK'!F14</f>
        <v>-63.5</v>
      </c>
      <c r="I46" s="38">
        <f>+'Commodity Prices - JMK'!H14</f>
        <v>117.77</v>
      </c>
      <c r="J46" s="38">
        <f>+'Commodity Prices - JMK'!I14</f>
        <v>1200</v>
      </c>
      <c r="K46" s="38">
        <f>+'Commodity Prices - JMK'!J14</f>
        <v>0</v>
      </c>
      <c r="L46" s="38">
        <f>+'Commodity Prices - JMK'!K14</f>
        <v>-187.5</v>
      </c>
      <c r="M46" s="18"/>
    </row>
    <row r="47" spans="1:20" x14ac:dyDescent="0.2">
      <c r="A47" s="4" t="s">
        <v>39</v>
      </c>
      <c r="C47" s="38">
        <f>+'Commodity Prices - JMK'!B15</f>
        <v>0</v>
      </c>
      <c r="D47" s="38">
        <f>+'Commodity Prices - JMK'!C15</f>
        <v>33.89</v>
      </c>
      <c r="E47" s="38">
        <f>+'Commodity Prices - JMK'!D15</f>
        <v>97.41</v>
      </c>
      <c r="F47" s="38">
        <f>+'Commodity Prices - JMK'!E15</f>
        <v>1436.01</v>
      </c>
      <c r="G47" s="38">
        <f>+'Commodity Prices - JMK'!G15</f>
        <v>245.44</v>
      </c>
      <c r="H47" s="38">
        <f>+'Commodity Prices - JMK'!F15</f>
        <v>-63.5</v>
      </c>
      <c r="I47" s="38">
        <f>+'Commodity Prices - JMK'!H15</f>
        <v>177.16</v>
      </c>
      <c r="J47" s="38">
        <f>+'Commodity Prices - JMK'!I15</f>
        <v>1270</v>
      </c>
      <c r="K47" s="38">
        <f>+'Commodity Prices - JMK'!J15</f>
        <v>0</v>
      </c>
      <c r="L47" s="38">
        <f>+'Commodity Prices - JMK'!K15</f>
        <v>-187.5</v>
      </c>
      <c r="M47" s="18"/>
    </row>
    <row r="48" spans="1:20" x14ac:dyDescent="0.2">
      <c r="A48" s="4" t="s">
        <v>40</v>
      </c>
      <c r="C48" s="38">
        <f>+'Commodity Prices - JMK'!B16</f>
        <v>0</v>
      </c>
      <c r="D48" s="38">
        <f>+'Commodity Prices - JMK'!C16</f>
        <v>31.79</v>
      </c>
      <c r="E48" s="38">
        <f>+'Commodity Prices - JMK'!D16</f>
        <v>111.36</v>
      </c>
      <c r="F48" s="38">
        <f>+'Commodity Prices - JMK'!E16</f>
        <v>1456.28</v>
      </c>
      <c r="G48" s="38">
        <f>+'Commodity Prices - JMK'!G16</f>
        <v>240.11</v>
      </c>
      <c r="H48" s="38">
        <f>+'Commodity Prices - JMK'!F16</f>
        <v>-63.5</v>
      </c>
      <c r="I48" s="38">
        <f>+'Commodity Prices - JMK'!H16</f>
        <v>200</v>
      </c>
      <c r="J48" s="38">
        <f>+'Commodity Prices - JMK'!I16</f>
        <v>1245</v>
      </c>
      <c r="K48" s="38">
        <f>+'Commodity Prices - JMK'!J16</f>
        <v>270</v>
      </c>
      <c r="L48" s="38">
        <f>+'Commodity Prices - JMK'!K16</f>
        <v>-187.5</v>
      </c>
      <c r="M48" s="18"/>
    </row>
    <row r="49" spans="1:13" x14ac:dyDescent="0.2">
      <c r="A49" s="4" t="s">
        <v>10</v>
      </c>
      <c r="C49" s="38">
        <f>+'Commodity Prices - JMK'!B17</f>
        <v>0</v>
      </c>
      <c r="D49" s="38">
        <f>+'Commodity Prices - JMK'!C17</f>
        <v>29.51</v>
      </c>
      <c r="E49" s="38">
        <f>+'Commodity Prices - JMK'!D17</f>
        <v>107.18</v>
      </c>
      <c r="F49" s="38">
        <f>+'Commodity Prices - JMK'!E17</f>
        <v>1489.45</v>
      </c>
      <c r="G49" s="38">
        <f>+'Commodity Prices - JMK'!G17</f>
        <v>204.62</v>
      </c>
      <c r="H49" s="38">
        <f>+'Commodity Prices - JMK'!F17</f>
        <v>-63.5</v>
      </c>
      <c r="I49" s="38">
        <f>+'Commodity Prices - JMK'!H17</f>
        <v>200</v>
      </c>
      <c r="J49" s="38">
        <f>+'Commodity Prices - JMK'!I17</f>
        <v>1380</v>
      </c>
      <c r="K49" s="38">
        <f>+'Commodity Prices - JMK'!J17</f>
        <v>0</v>
      </c>
      <c r="L49" s="38">
        <f>+'Commodity Prices - JMK'!K17</f>
        <v>-187.5</v>
      </c>
      <c r="M49" s="18"/>
    </row>
    <row r="50" spans="1:13" x14ac:dyDescent="0.2">
      <c r="A50" s="4" t="s">
        <v>41</v>
      </c>
      <c r="C50" s="38">
        <f>+'Commodity Prices - JMK'!B18</f>
        <v>0</v>
      </c>
      <c r="D50" s="38">
        <f>+'Commodity Prices - JMK'!C18</f>
        <v>40.299999999999997</v>
      </c>
      <c r="E50" s="38">
        <f>+'Commodity Prices - JMK'!D18</f>
        <v>96.36</v>
      </c>
      <c r="F50" s="38">
        <f>+'Commodity Prices - JMK'!E18</f>
        <v>1422.54</v>
      </c>
      <c r="G50" s="38">
        <f>+'Commodity Prices - JMK'!G18</f>
        <v>182.84</v>
      </c>
      <c r="H50" s="38">
        <f>+'Commodity Prices - JMK'!F18</f>
        <v>-63.5</v>
      </c>
      <c r="I50" s="38">
        <f>+'Commodity Prices - JMK'!H18</f>
        <v>136.56</v>
      </c>
      <c r="J50" s="38">
        <f>+'Commodity Prices - JMK'!I18</f>
        <v>1112.08</v>
      </c>
      <c r="K50" s="38">
        <f>+'Commodity Prices - JMK'!J18</f>
        <v>-102.27</v>
      </c>
      <c r="L50" s="38">
        <f>+'Commodity Prices - JMK'!K18</f>
        <v>-187.5</v>
      </c>
      <c r="M50" s="18"/>
    </row>
    <row r="51" spans="1:13" x14ac:dyDescent="0.2">
      <c r="A51" s="4" t="s">
        <v>42</v>
      </c>
      <c r="C51" s="38">
        <f>+'Commodity Prices - JMK'!B19</f>
        <v>0</v>
      </c>
      <c r="D51" s="38">
        <f>+'Commodity Prices - JMK'!C19</f>
        <v>36.71</v>
      </c>
      <c r="E51" s="38">
        <f>+'Commodity Prices - JMK'!D19</f>
        <v>98.6</v>
      </c>
      <c r="F51" s="38">
        <f>+'Commodity Prices - JMK'!E19</f>
        <v>1396.05</v>
      </c>
      <c r="G51" s="38">
        <f>+'Commodity Prices - JMK'!G19</f>
        <v>181.18</v>
      </c>
      <c r="H51" s="38">
        <f>+'Commodity Prices - JMK'!F19</f>
        <v>-63.5</v>
      </c>
      <c r="I51" s="38">
        <f>+'Commodity Prices - JMK'!H19</f>
        <v>37.75</v>
      </c>
      <c r="J51" s="38">
        <f>+'Commodity Prices - JMK'!I19</f>
        <v>260</v>
      </c>
      <c r="K51" s="38">
        <f>+'Commodity Prices - JMK'!J19</f>
        <v>-143.72999999999999</v>
      </c>
      <c r="L51" s="38">
        <f>+'Commodity Prices - JMK'!K19</f>
        <v>-187.5</v>
      </c>
    </row>
    <row r="52" spans="1:13" x14ac:dyDescent="0.2">
      <c r="A52" s="4" t="s">
        <v>43</v>
      </c>
      <c r="C52" s="38">
        <f>+'Commodity Prices - JMK'!B20</f>
        <v>0</v>
      </c>
      <c r="D52" s="38">
        <f>+'Commodity Prices - JMK'!C20</f>
        <v>42.07</v>
      </c>
      <c r="E52" s="38">
        <f>+'Commodity Prices - JMK'!D20</f>
        <v>113.03</v>
      </c>
      <c r="F52" s="38">
        <f>+'Commodity Prices - JMK'!E20</f>
        <v>1378.89</v>
      </c>
      <c r="G52" s="38">
        <f>+'Commodity Prices - JMK'!G20</f>
        <v>175.76</v>
      </c>
      <c r="H52" s="38">
        <f>+'Commodity Prices - JMK'!F20</f>
        <v>-63.5</v>
      </c>
      <c r="I52" s="38">
        <f>+'Commodity Prices - JMK'!H20</f>
        <v>50.69</v>
      </c>
      <c r="J52" s="38">
        <f>+'Commodity Prices - JMK'!I20</f>
        <v>483.93</v>
      </c>
      <c r="K52" s="38">
        <f>+'Commodity Prices - JMK'!J20</f>
        <v>100</v>
      </c>
      <c r="L52" s="38">
        <f>+'Commodity Prices - JMK'!K20</f>
        <v>-187.5</v>
      </c>
    </row>
    <row r="55" spans="1:13" x14ac:dyDescent="0.2">
      <c r="A55" s="12" t="s">
        <v>60</v>
      </c>
    </row>
    <row r="56" spans="1:13" x14ac:dyDescent="0.2">
      <c r="A56" s="4" t="s">
        <v>58</v>
      </c>
      <c r="B56" s="20">
        <f t="shared" ref="B56:B67" si="16">SUM(C56:L56)</f>
        <v>18826.96505494494</v>
      </c>
      <c r="C56" s="20">
        <f t="shared" ref="C56:L56" si="17">+C41*C25</f>
        <v>0</v>
      </c>
      <c r="D56" s="20">
        <f t="shared" si="17"/>
        <v>1705.5393942993705</v>
      </c>
      <c r="E56" s="20">
        <f t="shared" si="17"/>
        <v>14608.547204348313</v>
      </c>
      <c r="F56" s="20">
        <f t="shared" si="17"/>
        <v>6220.8640843393405</v>
      </c>
      <c r="G56" s="20">
        <f t="shared" si="17"/>
        <v>898.18846115362237</v>
      </c>
      <c r="H56" s="20">
        <f t="shared" si="17"/>
        <v>-9806.0429775470093</v>
      </c>
      <c r="I56" s="20">
        <f t="shared" si="17"/>
        <v>380.69929921749281</v>
      </c>
      <c r="J56" s="20">
        <f t="shared" si="17"/>
        <v>4931.1439576309422</v>
      </c>
      <c r="K56" s="20">
        <f t="shared" si="17"/>
        <v>54.700753757139267</v>
      </c>
      <c r="L56" s="20">
        <f t="shared" si="17"/>
        <v>-166.67512225427026</v>
      </c>
    </row>
    <row r="57" spans="1:13" x14ac:dyDescent="0.2">
      <c r="A57" s="4" t="s">
        <v>35</v>
      </c>
      <c r="B57" s="20">
        <f t="shared" si="16"/>
        <v>9336.8103534449347</v>
      </c>
      <c r="C57" s="20">
        <f t="shared" ref="C57:L57" si="18">+C42*C26</f>
        <v>0</v>
      </c>
      <c r="D57" s="20">
        <f t="shared" si="18"/>
        <v>-1754.1518925533856</v>
      </c>
      <c r="E57" s="20">
        <f t="shared" si="18"/>
        <v>8188.7278563611681</v>
      </c>
      <c r="F57" s="20">
        <f t="shared" si="18"/>
        <v>5718.6886253080347</v>
      </c>
      <c r="G57" s="20">
        <f t="shared" si="18"/>
        <v>1147.9238322032954</v>
      </c>
      <c r="H57" s="20">
        <f t="shared" si="18"/>
        <v>-10112.943992722317</v>
      </c>
      <c r="I57" s="20">
        <f t="shared" si="18"/>
        <v>420.56592692943423</v>
      </c>
      <c r="J57" s="20">
        <f t="shared" si="18"/>
        <v>5893.1013565991188</v>
      </c>
      <c r="K57" s="20">
        <f t="shared" si="18"/>
        <v>136.25487776641756</v>
      </c>
      <c r="L57" s="20">
        <f t="shared" si="18"/>
        <v>-301.35623644683255</v>
      </c>
    </row>
    <row r="58" spans="1:13" x14ac:dyDescent="0.2">
      <c r="A58" s="4" t="s">
        <v>36</v>
      </c>
      <c r="B58" s="20">
        <f t="shared" si="16"/>
        <v>13891.651703025831</v>
      </c>
      <c r="C58" s="20">
        <f t="shared" ref="C58:L58" si="19">+C43*C27</f>
        <v>0</v>
      </c>
      <c r="D58" s="20">
        <f t="shared" si="19"/>
        <v>-442.03233947813675</v>
      </c>
      <c r="E58" s="20">
        <f t="shared" si="19"/>
        <v>6725.2931462123634</v>
      </c>
      <c r="F58" s="20">
        <f t="shared" si="19"/>
        <v>5846.7930229229942</v>
      </c>
      <c r="G58" s="20">
        <f t="shared" si="19"/>
        <v>1012.2733985471417</v>
      </c>
      <c r="H58" s="20">
        <f t="shared" si="19"/>
        <v>-10918.947958779167</v>
      </c>
      <c r="I58" s="20">
        <f t="shared" si="19"/>
        <v>15.898251410791431</v>
      </c>
      <c r="J58" s="20">
        <f t="shared" si="19"/>
        <v>12189.994724777644</v>
      </c>
      <c r="K58" s="20">
        <f t="shared" si="19"/>
        <v>63.378893237624325</v>
      </c>
      <c r="L58" s="20">
        <f t="shared" si="19"/>
        <v>-600.99943582542357</v>
      </c>
    </row>
    <row r="59" spans="1:13" x14ac:dyDescent="0.2">
      <c r="A59" s="4" t="s">
        <v>37</v>
      </c>
      <c r="B59" s="20">
        <f t="shared" si="16"/>
        <v>17104.286417527161</v>
      </c>
      <c r="C59" s="20">
        <f t="shared" ref="C59:L59" si="20">+C44*C28</f>
        <v>0</v>
      </c>
      <c r="D59" s="20">
        <f t="shared" si="20"/>
        <v>2018.4584008018992</v>
      </c>
      <c r="E59" s="20">
        <f t="shared" si="20"/>
        <v>9951.6213987206647</v>
      </c>
      <c r="F59" s="20">
        <f t="shared" si="20"/>
        <v>6116.5063886053695</v>
      </c>
      <c r="G59" s="20">
        <f t="shared" si="20"/>
        <v>1346.7921638419105</v>
      </c>
      <c r="H59" s="20">
        <f t="shared" si="20"/>
        <v>-12083.648196931206</v>
      </c>
      <c r="I59" s="20">
        <f t="shared" si="20"/>
        <v>95.785926498951738</v>
      </c>
      <c r="J59" s="20">
        <f t="shared" si="20"/>
        <v>10224.568648279275</v>
      </c>
      <c r="K59" s="20">
        <f t="shared" si="20"/>
        <v>19.954412054852273</v>
      </c>
      <c r="L59" s="20">
        <f t="shared" si="20"/>
        <v>-585.75272434455701</v>
      </c>
    </row>
    <row r="60" spans="1:13" x14ac:dyDescent="0.2">
      <c r="A60" s="4" t="s">
        <v>45</v>
      </c>
      <c r="B60" s="20">
        <f t="shared" si="16"/>
        <v>30147.106393811115</v>
      </c>
      <c r="C60" s="20">
        <f t="shared" ref="C60:L60" si="21">+C45*C29</f>
        <v>0</v>
      </c>
      <c r="D60" s="20">
        <f t="shared" si="21"/>
        <v>8113.5695212861829</v>
      </c>
      <c r="E60" s="20">
        <f t="shared" si="21"/>
        <v>13011.347801362128</v>
      </c>
      <c r="F60" s="20">
        <f t="shared" si="21"/>
        <v>7650.4070437403516</v>
      </c>
      <c r="G60" s="20">
        <f t="shared" si="21"/>
        <v>1831.8722222711322</v>
      </c>
      <c r="H60" s="20">
        <f t="shared" si="21"/>
        <v>-13065.385872156672</v>
      </c>
      <c r="I60" s="20">
        <f t="shared" si="21"/>
        <v>382.59209401836893</v>
      </c>
      <c r="J60" s="20">
        <f t="shared" si="21"/>
        <v>12832.509200770432</v>
      </c>
      <c r="K60" s="20">
        <f t="shared" si="21"/>
        <v>0</v>
      </c>
      <c r="L60" s="20">
        <f t="shared" si="21"/>
        <v>-609.8056174808047</v>
      </c>
    </row>
    <row r="61" spans="1:13" x14ac:dyDescent="0.2">
      <c r="A61" s="4" t="s">
        <v>38</v>
      </c>
      <c r="B61" s="20">
        <f t="shared" si="16"/>
        <v>27198.604410659147</v>
      </c>
      <c r="C61" s="20">
        <f t="shared" ref="C61:L61" si="22">+C46*C30</f>
        <v>0</v>
      </c>
      <c r="D61" s="20">
        <f t="shared" si="22"/>
        <v>6983.3898182654584</v>
      </c>
      <c r="E61" s="20">
        <f t="shared" si="22"/>
        <v>13633.961692205734</v>
      </c>
      <c r="F61" s="20">
        <f t="shared" si="22"/>
        <v>6561.8863238790327</v>
      </c>
      <c r="G61" s="20">
        <f t="shared" si="22"/>
        <v>1486.1280335409385</v>
      </c>
      <c r="H61" s="20">
        <f t="shared" si="22"/>
        <v>-9059.1000098942495</v>
      </c>
      <c r="I61" s="20">
        <f t="shared" si="22"/>
        <v>472.22054858926231</v>
      </c>
      <c r="J61" s="20">
        <f t="shared" si="22"/>
        <v>8364.6048691916076</v>
      </c>
      <c r="K61" s="20">
        <f t="shared" si="22"/>
        <v>0</v>
      </c>
      <c r="L61" s="20">
        <f t="shared" si="22"/>
        <v>-1244.4868651186362</v>
      </c>
    </row>
    <row r="62" spans="1:13" x14ac:dyDescent="0.2">
      <c r="A62" s="4" t="s">
        <v>39</v>
      </c>
      <c r="B62" s="20">
        <f t="shared" si="16"/>
        <v>36894.560562528524</v>
      </c>
      <c r="C62" s="20">
        <f t="shared" ref="C62:L62" si="23">+C47*C31</f>
        <v>0</v>
      </c>
      <c r="D62" s="20">
        <f t="shared" si="23"/>
        <v>10967.3580178705</v>
      </c>
      <c r="E62" s="20">
        <f t="shared" si="23"/>
        <v>13872.595104722815</v>
      </c>
      <c r="F62" s="20">
        <f t="shared" si="23"/>
        <v>5587.2152074173318</v>
      </c>
      <c r="G62" s="20">
        <f t="shared" si="23"/>
        <v>1269.1370754395616</v>
      </c>
      <c r="H62" s="20">
        <f t="shared" si="23"/>
        <v>-10645.235181009346</v>
      </c>
      <c r="I62" s="20">
        <f t="shared" si="23"/>
        <v>615.36365854051235</v>
      </c>
      <c r="J62" s="20">
        <f t="shared" si="23"/>
        <v>15985.530572898157</v>
      </c>
      <c r="K62" s="20">
        <f t="shared" si="23"/>
        <v>0</v>
      </c>
      <c r="L62" s="20">
        <f t="shared" si="23"/>
        <v>-757.40389335100724</v>
      </c>
    </row>
    <row r="63" spans="1:13" x14ac:dyDescent="0.2">
      <c r="A63" s="4" t="s">
        <v>40</v>
      </c>
      <c r="B63" s="20">
        <f t="shared" si="16"/>
        <v>30992.967770506471</v>
      </c>
      <c r="C63" s="20">
        <f t="shared" ref="C63:L63" si="24">+C48*C32</f>
        <v>0</v>
      </c>
      <c r="D63" s="20">
        <f t="shared" si="24"/>
        <v>9011.413390897671</v>
      </c>
      <c r="E63" s="20">
        <f t="shared" si="24"/>
        <v>15252.330427226367</v>
      </c>
      <c r="F63" s="20">
        <f t="shared" si="24"/>
        <v>4343.7211324842829</v>
      </c>
      <c r="G63" s="20">
        <f t="shared" si="24"/>
        <v>798.27244203985629</v>
      </c>
      <c r="H63" s="20">
        <f t="shared" si="24"/>
        <v>-8414.970429109113</v>
      </c>
      <c r="I63" s="20">
        <f t="shared" si="24"/>
        <v>1000.7460409180248</v>
      </c>
      <c r="J63" s="20">
        <f t="shared" si="24"/>
        <v>9114.5192973014091</v>
      </c>
      <c r="K63" s="20">
        <f t="shared" si="24"/>
        <v>207.26528226406575</v>
      </c>
      <c r="L63" s="20">
        <f t="shared" si="24"/>
        <v>-320.32981351609203</v>
      </c>
    </row>
    <row r="64" spans="1:13" x14ac:dyDescent="0.2">
      <c r="A64" s="4" t="s">
        <v>10</v>
      </c>
      <c r="B64" s="20">
        <f t="shared" si="16"/>
        <v>39614.037945290816</v>
      </c>
      <c r="C64" s="20">
        <f t="shared" ref="C64:L64" si="25">+C49*C33</f>
        <v>0</v>
      </c>
      <c r="D64" s="20">
        <f t="shared" si="25"/>
        <v>12583.207121794192</v>
      </c>
      <c r="E64" s="20">
        <f t="shared" si="25"/>
        <v>15935.996056363514</v>
      </c>
      <c r="F64" s="20">
        <f t="shared" si="25"/>
        <v>5675.8839465056553</v>
      </c>
      <c r="G64" s="20">
        <f t="shared" si="25"/>
        <v>1056.4587565615675</v>
      </c>
      <c r="H64" s="20">
        <f t="shared" si="25"/>
        <v>-11299.001603200688</v>
      </c>
      <c r="I64" s="20">
        <f t="shared" si="25"/>
        <v>1184.8223632507056</v>
      </c>
      <c r="J64" s="20">
        <f t="shared" si="25"/>
        <v>14605.5629611038</v>
      </c>
      <c r="K64" s="20">
        <f t="shared" si="25"/>
        <v>0</v>
      </c>
      <c r="L64" s="20">
        <f t="shared" si="25"/>
        <v>-128.89165708792743</v>
      </c>
    </row>
    <row r="65" spans="1:13" x14ac:dyDescent="0.2">
      <c r="A65" s="4" t="s">
        <v>41</v>
      </c>
      <c r="B65" s="20">
        <f t="shared" si="16"/>
        <v>40108.738490741845</v>
      </c>
      <c r="C65" s="20">
        <f t="shared" ref="C65:L65" si="26">+C50*C34</f>
        <v>0</v>
      </c>
      <c r="D65" s="20">
        <f t="shared" si="26"/>
        <v>14355.480067959723</v>
      </c>
      <c r="E65" s="20">
        <f t="shared" si="26"/>
        <v>16234.304550643697</v>
      </c>
      <c r="F65" s="20">
        <f t="shared" si="26"/>
        <v>6893.8797400334861</v>
      </c>
      <c r="G65" s="20">
        <f t="shared" si="26"/>
        <v>458.5993328930565</v>
      </c>
      <c r="H65" s="20">
        <f t="shared" si="26"/>
        <v>-13207.777776449486</v>
      </c>
      <c r="I65" s="20">
        <f t="shared" si="26"/>
        <v>271.67546641748095</v>
      </c>
      <c r="J65" s="20">
        <f t="shared" si="26"/>
        <v>15846.063870717573</v>
      </c>
      <c r="K65" s="20">
        <f t="shared" si="26"/>
        <v>-8.5267691671096824</v>
      </c>
      <c r="L65" s="20">
        <f t="shared" si="26"/>
        <v>-734.95999230657503</v>
      </c>
    </row>
    <row r="66" spans="1:13" x14ac:dyDescent="0.2">
      <c r="A66" s="4" t="s">
        <v>42</v>
      </c>
      <c r="B66" s="20">
        <f t="shared" si="16"/>
        <v>34092.522471887809</v>
      </c>
      <c r="C66" s="20">
        <f t="shared" ref="C66:L66" si="27">+C51*C35</f>
        <v>0</v>
      </c>
      <c r="D66" s="20">
        <f t="shared" si="27"/>
        <v>9398.6502983740884</v>
      </c>
      <c r="E66" s="20">
        <f t="shared" si="27"/>
        <v>21622.085416408092</v>
      </c>
      <c r="F66" s="20">
        <f t="shared" si="27"/>
        <v>9422.1332617599619</v>
      </c>
      <c r="G66" s="20">
        <f t="shared" si="27"/>
        <v>1014.3336552066528</v>
      </c>
      <c r="H66" s="20">
        <f t="shared" si="27"/>
        <v>-9593.6559761697918</v>
      </c>
      <c r="I66" s="20">
        <f t="shared" si="27"/>
        <v>357.89267717512729</v>
      </c>
      <c r="J66" s="20">
        <f t="shared" si="27"/>
        <v>2311.4861611021474</v>
      </c>
      <c r="K66" s="20">
        <f t="shared" si="27"/>
        <v>-125.18799156013405</v>
      </c>
      <c r="L66" s="20">
        <f t="shared" si="27"/>
        <v>-315.21503040834062</v>
      </c>
    </row>
    <row r="67" spans="1:13" ht="15" x14ac:dyDescent="0.35">
      <c r="A67" s="4" t="s">
        <v>43</v>
      </c>
      <c r="B67" s="27">
        <f t="shared" si="16"/>
        <v>43640.8150945179</v>
      </c>
      <c r="C67" s="27">
        <f t="shared" ref="C67:L67" si="28">+C52*C36</f>
        <v>0</v>
      </c>
      <c r="D67" s="27">
        <f t="shared" si="28"/>
        <v>10287.730438194767</v>
      </c>
      <c r="E67" s="27">
        <f t="shared" si="28"/>
        <v>26866.571961990689</v>
      </c>
      <c r="F67" s="27">
        <f t="shared" si="28"/>
        <v>10911.054937688012</v>
      </c>
      <c r="G67" s="27">
        <f t="shared" si="28"/>
        <v>707.52690471929009</v>
      </c>
      <c r="H67" s="27">
        <f t="shared" si="28"/>
        <v>-10400.928333261454</v>
      </c>
      <c r="I67" s="27">
        <f t="shared" si="28"/>
        <v>410.31920023828263</v>
      </c>
      <c r="J67" s="27">
        <f t="shared" si="28"/>
        <v>4842.0395759054218</v>
      </c>
      <c r="K67" s="27">
        <f t="shared" si="28"/>
        <v>31.884346663503944</v>
      </c>
      <c r="L67" s="27">
        <f t="shared" si="28"/>
        <v>-15.383937620623851</v>
      </c>
    </row>
    <row r="68" spans="1:13" ht="15" x14ac:dyDescent="0.35">
      <c r="B68" s="39">
        <f t="shared" ref="B68" si="29">SUM(B56:B67)</f>
        <v>341849.06666888652</v>
      </c>
      <c r="C68" s="39">
        <f t="shared" ref="C68" si="30">SUM(C56:C67)</f>
        <v>0</v>
      </c>
      <c r="D68" s="39">
        <f>SUM(D56:D67)</f>
        <v>83228.612237712325</v>
      </c>
      <c r="E68" s="39">
        <f t="shared" ref="E68:L68" si="31">SUM(E56:E67)</f>
        <v>175903.3826165655</v>
      </c>
      <c r="F68" s="39">
        <f t="shared" si="31"/>
        <v>80949.033714683857</v>
      </c>
      <c r="G68" s="39">
        <f t="shared" si="31"/>
        <v>13027.506278418025</v>
      </c>
      <c r="H68" s="39">
        <f t="shared" si="31"/>
        <v>-128607.6383072305</v>
      </c>
      <c r="I68" s="39">
        <f t="shared" si="31"/>
        <v>5608.5814532044351</v>
      </c>
      <c r="J68" s="39">
        <f t="shared" si="31"/>
        <v>117141.12519627753</v>
      </c>
      <c r="K68" s="39">
        <f t="shared" si="31"/>
        <v>379.72380501635939</v>
      </c>
      <c r="L68" s="39">
        <f t="shared" si="31"/>
        <v>-5781.2603257610908</v>
      </c>
    </row>
    <row r="70" spans="1:13" s="6" customFormat="1" ht="15" x14ac:dyDescent="0.35">
      <c r="A70" s="6" t="s">
        <v>110</v>
      </c>
      <c r="C70" s="34" t="e">
        <f t="shared" ref="C70:L70" si="32">+C68/C37</f>
        <v>#DIV/0!</v>
      </c>
      <c r="D70" s="34">
        <f t="shared" si="32"/>
        <v>23.307432973348522</v>
      </c>
      <c r="E70" s="34">
        <f t="shared" si="32"/>
        <v>89.456739841289902</v>
      </c>
      <c r="F70" s="34">
        <f t="shared" si="32"/>
        <v>1407.2049391714838</v>
      </c>
      <c r="G70" s="34">
        <f t="shared" si="32"/>
        <v>188.040293507641</v>
      </c>
      <c r="H70" s="34">
        <f t="shared" si="32"/>
        <v>-63.500000000000007</v>
      </c>
      <c r="I70" s="34">
        <f t="shared" si="32"/>
        <v>106.69561538574793</v>
      </c>
      <c r="J70" s="34">
        <f t="shared" si="32"/>
        <v>997.49280808153208</v>
      </c>
      <c r="K70" s="34">
        <f t="shared" si="32"/>
        <v>43.544900502242676</v>
      </c>
      <c r="L70" s="34">
        <f t="shared" si="32"/>
        <v>-187.50000000000003</v>
      </c>
      <c r="M70" s="252"/>
    </row>
    <row r="72" spans="1:13" x14ac:dyDescent="0.2">
      <c r="I72" s="220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3" x14ac:dyDescent="0.2">
      <c r="I74" s="17"/>
    </row>
    <row r="76" spans="1:13" x14ac:dyDescent="0.2">
      <c r="B76" s="2"/>
    </row>
    <row r="77" spans="1:13" x14ac:dyDescent="0.2">
      <c r="B77" s="2"/>
    </row>
    <row r="78" spans="1:13" x14ac:dyDescent="0.2">
      <c r="B78" s="41"/>
    </row>
    <row r="79" spans="1:13" x14ac:dyDescent="0.2">
      <c r="B79" s="41"/>
    </row>
    <row r="80" spans="1:13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CFAC-4FCF-4519-B0B0-1C3A9A3581EA}">
  <dimension ref="A1:AA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RowHeight="12.75" x14ac:dyDescent="0.2"/>
  <cols>
    <col min="1" max="1" width="19.85546875" bestFit="1" customWidth="1"/>
    <col min="2" max="17" width="9.28515625" bestFit="1" customWidth="1"/>
    <col min="18" max="18" width="9.85546875" bestFit="1" customWidth="1"/>
    <col min="19" max="25" width="9.28515625" bestFit="1" customWidth="1"/>
    <col min="26" max="26" width="10.28515625" bestFit="1" customWidth="1"/>
    <col min="27" max="27" width="9.28515625" bestFit="1" customWidth="1"/>
  </cols>
  <sheetData>
    <row r="1" spans="1:27" ht="20.25" x14ac:dyDescent="0.3">
      <c r="A1" s="425" t="s">
        <v>153</v>
      </c>
    </row>
    <row r="2" spans="1:27" x14ac:dyDescent="0.2">
      <c r="A2" s="351"/>
    </row>
    <row r="3" spans="1:27" x14ac:dyDescent="0.2">
      <c r="A3" s="351"/>
      <c r="B3" s="611">
        <v>44440</v>
      </c>
      <c r="C3" s="611"/>
      <c r="D3" s="611">
        <v>44470</v>
      </c>
      <c r="E3" s="611"/>
      <c r="F3" s="611">
        <v>44501</v>
      </c>
      <c r="G3" s="611"/>
      <c r="H3" s="611">
        <v>44531</v>
      </c>
      <c r="I3" s="611"/>
      <c r="J3" s="611">
        <v>44562</v>
      </c>
      <c r="K3" s="611"/>
      <c r="L3" s="611">
        <v>44593</v>
      </c>
      <c r="M3" s="611"/>
      <c r="N3" s="611">
        <v>44621</v>
      </c>
      <c r="O3" s="611"/>
      <c r="P3" s="611">
        <v>44652</v>
      </c>
      <c r="Q3" s="611"/>
      <c r="R3" s="611">
        <v>44682</v>
      </c>
      <c r="S3" s="611"/>
      <c r="T3" s="611">
        <v>44713</v>
      </c>
      <c r="U3" s="611"/>
      <c r="V3" s="611">
        <v>44743</v>
      </c>
      <c r="W3" s="611"/>
      <c r="X3" s="611">
        <v>44774</v>
      </c>
      <c r="Y3" s="611"/>
      <c r="Z3" s="611" t="s">
        <v>22</v>
      </c>
      <c r="AA3" s="611"/>
    </row>
    <row r="4" spans="1:27" x14ac:dyDescent="0.2">
      <c r="A4" s="351"/>
      <c r="B4" s="415" t="s">
        <v>0</v>
      </c>
      <c r="C4" s="415" t="s">
        <v>93</v>
      </c>
      <c r="D4" s="415" t="s">
        <v>0</v>
      </c>
      <c r="E4" s="415" t="s">
        <v>93</v>
      </c>
      <c r="F4" s="415" t="s">
        <v>0</v>
      </c>
      <c r="G4" s="415" t="s">
        <v>93</v>
      </c>
      <c r="H4" s="415" t="s">
        <v>0</v>
      </c>
      <c r="I4" s="415" t="s">
        <v>93</v>
      </c>
      <c r="J4" s="415" t="s">
        <v>0</v>
      </c>
      <c r="K4" s="415" t="s">
        <v>93</v>
      </c>
      <c r="L4" s="415" t="s">
        <v>0</v>
      </c>
      <c r="M4" s="415" t="s">
        <v>93</v>
      </c>
      <c r="N4" s="415" t="s">
        <v>0</v>
      </c>
      <c r="O4" s="415" t="s">
        <v>93</v>
      </c>
      <c r="P4" s="415" t="s">
        <v>0</v>
      </c>
      <c r="Q4" s="415" t="s">
        <v>93</v>
      </c>
      <c r="R4" s="415" t="s">
        <v>0</v>
      </c>
      <c r="S4" s="415" t="s">
        <v>93</v>
      </c>
      <c r="T4" s="415" t="s">
        <v>0</v>
      </c>
      <c r="U4" s="415" t="s">
        <v>93</v>
      </c>
      <c r="V4" s="415" t="s">
        <v>0</v>
      </c>
      <c r="W4" s="415" t="s">
        <v>93</v>
      </c>
      <c r="X4" s="415" t="s">
        <v>0</v>
      </c>
      <c r="Y4" s="415" t="s">
        <v>93</v>
      </c>
      <c r="Z4" s="415" t="s">
        <v>0</v>
      </c>
      <c r="AA4" s="415" t="s">
        <v>93</v>
      </c>
    </row>
    <row r="5" spans="1:27" s="417" customFormat="1" x14ac:dyDescent="0.2">
      <c r="A5" s="413" t="s">
        <v>98</v>
      </c>
      <c r="B5" s="504">
        <v>0</v>
      </c>
      <c r="C5" s="414">
        <f>+B5/B$16</f>
        <v>0</v>
      </c>
      <c r="D5" s="506">
        <v>0</v>
      </c>
      <c r="E5" s="414">
        <f>+D5/D$16</f>
        <v>0</v>
      </c>
      <c r="F5" s="509">
        <v>0</v>
      </c>
      <c r="G5" s="414">
        <f>+F5/F$16</f>
        <v>0</v>
      </c>
      <c r="H5" s="509">
        <v>0</v>
      </c>
      <c r="I5" s="414">
        <f>+H5/H$16</f>
        <v>0</v>
      </c>
      <c r="J5" s="509">
        <v>0</v>
      </c>
      <c r="K5" s="414">
        <f>+J5/J$16</f>
        <v>0</v>
      </c>
      <c r="L5" s="509">
        <v>0</v>
      </c>
      <c r="M5" s="414">
        <f>+L5/L$16</f>
        <v>0</v>
      </c>
      <c r="N5" s="509">
        <v>0</v>
      </c>
      <c r="O5" s="414">
        <f>+N5/N$16</f>
        <v>0</v>
      </c>
      <c r="P5" s="509">
        <v>0</v>
      </c>
      <c r="Q5" s="414">
        <f>+P5/P$16</f>
        <v>0</v>
      </c>
      <c r="R5" s="509">
        <v>0</v>
      </c>
      <c r="S5" s="414">
        <f>+R5/R$16</f>
        <v>0</v>
      </c>
      <c r="T5" s="513">
        <v>0</v>
      </c>
      <c r="U5" s="414">
        <f>+T5/T$16</f>
        <v>0</v>
      </c>
      <c r="V5" s="513">
        <v>0</v>
      </c>
      <c r="W5" s="414">
        <f>+V5/V$16</f>
        <v>0</v>
      </c>
      <c r="X5" s="513">
        <v>0</v>
      </c>
      <c r="Y5" s="414">
        <f>+X5/X$16</f>
        <v>0</v>
      </c>
      <c r="Z5" s="416">
        <f>+X5+V5+T5+R5+P5+N5+L5+J5+H5+F5+D5+B5</f>
        <v>0</v>
      </c>
      <c r="AA5" s="414">
        <f>+Z5/Z$16</f>
        <v>0</v>
      </c>
    </row>
    <row r="6" spans="1:27" s="417" customFormat="1" x14ac:dyDescent="0.2">
      <c r="A6" s="413" t="s">
        <v>134</v>
      </c>
      <c r="B6" s="504">
        <v>2502.91</v>
      </c>
      <c r="C6" s="414">
        <f t="shared" ref="C6:E15" si="0">+B6/B$16</f>
        <v>0.33314255367009049</v>
      </c>
      <c r="D6" s="506">
        <v>2441.9130176074977</v>
      </c>
      <c r="E6" s="414">
        <f t="shared" si="0"/>
        <v>0.34451473439966246</v>
      </c>
      <c r="F6" s="509">
        <v>3081.4085125228521</v>
      </c>
      <c r="G6" s="414">
        <f t="shared" ref="G6" si="1">+F6/F$16</f>
        <v>0.38993981205758893</v>
      </c>
      <c r="H6" s="509">
        <v>2443.5568093903544</v>
      </c>
      <c r="I6" s="414">
        <f t="shared" ref="I6" si="2">+H6/H$16</f>
        <v>0.37140199789171413</v>
      </c>
      <c r="J6" s="509">
        <v>3235.897584144433</v>
      </c>
      <c r="K6" s="414">
        <f t="shared" ref="K6" si="3">+J6/J$16</f>
        <v>0.39301886674384967</v>
      </c>
      <c r="L6" s="509">
        <v>2438.6944393746421</v>
      </c>
      <c r="M6" s="414">
        <f t="shared" ref="M6" si="4">+L6/L$16</f>
        <v>0.37329750017776259</v>
      </c>
      <c r="N6" s="509">
        <v>3193.3149408131139</v>
      </c>
      <c r="O6" s="414">
        <f t="shared" ref="O6" si="5">+N6/N$16</f>
        <v>0.41003541068917587</v>
      </c>
      <c r="P6" s="509">
        <v>2971.212408820496</v>
      </c>
      <c r="Q6" s="414">
        <f t="shared" ref="Q6:U6" si="6">+P6/P$16</f>
        <v>0.42369203654325316</v>
      </c>
      <c r="R6" s="509">
        <v>3489.5096546703803</v>
      </c>
      <c r="S6" s="414">
        <f t="shared" si="6"/>
        <v>0.48051031095582108</v>
      </c>
      <c r="T6" s="513">
        <v>3076.16</v>
      </c>
      <c r="U6" s="414">
        <f t="shared" si="6"/>
        <v>0.42148185091608609</v>
      </c>
      <c r="V6" s="513">
        <v>2398.59</v>
      </c>
      <c r="W6" s="414">
        <f t="shared" ref="W6:W15" si="7">+V6/V$16</f>
        <v>0.35023837510677608</v>
      </c>
      <c r="X6" s="513">
        <v>2354.5500000000002</v>
      </c>
      <c r="Y6" s="414">
        <f t="shared" ref="Y6:Y15" si="8">+X6/X$16</f>
        <v>0.31733506205052459</v>
      </c>
      <c r="Z6" s="416">
        <f t="shared" ref="Z6:Z15" si="9">+X6+V6+T6+R6+P6+N6+L6+J6+H6+F6+D6+B6</f>
        <v>33627.717367343765</v>
      </c>
      <c r="AA6" s="414">
        <f t="shared" ref="AA6:AA15" si="10">+Z6/Z$16</f>
        <v>0.38441276530873464</v>
      </c>
    </row>
    <row r="7" spans="1:27" s="417" customFormat="1" x14ac:dyDescent="0.2">
      <c r="A7" s="413" t="s">
        <v>50</v>
      </c>
      <c r="B7" s="504">
        <v>1690.85</v>
      </c>
      <c r="C7" s="414">
        <f t="shared" si="0"/>
        <v>0.2250556699494079</v>
      </c>
      <c r="D7" s="506">
        <v>1351.1061666172122</v>
      </c>
      <c r="E7" s="414">
        <f t="shared" si="0"/>
        <v>0.19061939503231459</v>
      </c>
      <c r="F7" s="509">
        <v>1398.617448037005</v>
      </c>
      <c r="G7" s="414">
        <f t="shared" ref="G7" si="11">+F7/F$16</f>
        <v>0.17698939384752213</v>
      </c>
      <c r="H7" s="509">
        <v>1300.3116175065384</v>
      </c>
      <c r="I7" s="414">
        <f t="shared" ref="I7" si="12">+H7/H$16</f>
        <v>0.19763744831626137</v>
      </c>
      <c r="J7" s="509">
        <v>1588.1097614793177</v>
      </c>
      <c r="K7" s="414">
        <f t="shared" ref="K7" si="13">+J7/J$16</f>
        <v>0.19288530693299835</v>
      </c>
      <c r="L7" s="509">
        <v>1480.2468053632974</v>
      </c>
      <c r="M7" s="414">
        <f t="shared" ref="M7" si="14">+L7/L$16</f>
        <v>0.22658534958973167</v>
      </c>
      <c r="N7" s="509">
        <v>1405.2884230632285</v>
      </c>
      <c r="O7" s="414">
        <f t="shared" ref="O7" si="15">+N7/N$16</f>
        <v>0.180445094319683</v>
      </c>
      <c r="P7" s="509">
        <v>1435.6160269073293</v>
      </c>
      <c r="Q7" s="414">
        <f t="shared" ref="Q7:U7" si="16">+P7/P$16</f>
        <v>0.20471746696021817</v>
      </c>
      <c r="R7" s="509">
        <v>1216.7678594173137</v>
      </c>
      <c r="S7" s="414">
        <f t="shared" si="16"/>
        <v>0.16755061895505494</v>
      </c>
      <c r="T7" s="513">
        <v>1454.9</v>
      </c>
      <c r="U7" s="414">
        <f t="shared" si="16"/>
        <v>0.19934396939619972</v>
      </c>
      <c r="V7" s="513">
        <v>2054.4499999999998</v>
      </c>
      <c r="W7" s="414">
        <f t="shared" si="7"/>
        <v>0.29998758843241902</v>
      </c>
      <c r="X7" s="513">
        <v>2288.65</v>
      </c>
      <c r="Y7" s="414">
        <f t="shared" si="8"/>
        <v>0.30845337315492688</v>
      </c>
      <c r="Z7" s="416">
        <f t="shared" si="9"/>
        <v>18664.914108391244</v>
      </c>
      <c r="AA7" s="414">
        <f t="shared" si="10"/>
        <v>0.21336658591119367</v>
      </c>
    </row>
    <row r="8" spans="1:27" s="417" customFormat="1" x14ac:dyDescent="0.2">
      <c r="A8" s="413" t="s">
        <v>51</v>
      </c>
      <c r="B8" s="504">
        <v>50.11</v>
      </c>
      <c r="C8" s="414">
        <f t="shared" si="0"/>
        <v>6.6697457616966792E-3</v>
      </c>
      <c r="D8" s="507">
        <v>42.388705361721698</v>
      </c>
      <c r="E8" s="414">
        <f t="shared" si="0"/>
        <v>5.9803659933584117E-3</v>
      </c>
      <c r="F8" s="509">
        <v>45.829264175743042</v>
      </c>
      <c r="G8" s="414">
        <f t="shared" ref="G8" si="17">+F8/F$16</f>
        <v>5.7995084347954671E-3</v>
      </c>
      <c r="H8" s="511">
        <v>39.364843753331762</v>
      </c>
      <c r="I8" s="414">
        <f t="shared" ref="I8" si="18">+H8/H$16</f>
        <v>5.9831560127837514E-3</v>
      </c>
      <c r="J8" s="509">
        <v>42.509364067802373</v>
      </c>
      <c r="K8" s="414">
        <f t="shared" ref="K8" si="19">+J8/J$16</f>
        <v>5.1630132467083987E-3</v>
      </c>
      <c r="L8" s="509">
        <v>44.111244426825486</v>
      </c>
      <c r="M8" s="414">
        <f t="shared" ref="M8" si="20">+L8/L$16</f>
        <v>6.752226522682675E-3</v>
      </c>
      <c r="N8" s="511">
        <v>38.392751381049891</v>
      </c>
      <c r="O8" s="414">
        <f t="shared" ref="O8" si="21">+N8/N$16</f>
        <v>4.9297948595097649E-3</v>
      </c>
      <c r="P8" s="509">
        <v>31.264275254368435</v>
      </c>
      <c r="Q8" s="414">
        <f t="shared" ref="Q8:U8" si="22">+P8/P$16</f>
        <v>4.4582556313537769E-3</v>
      </c>
      <c r="R8" s="509">
        <v>31.185294286296845</v>
      </c>
      <c r="S8" s="414">
        <f t="shared" si="22"/>
        <v>4.2942582017795735E-3</v>
      </c>
      <c r="T8" s="513">
        <v>41.85</v>
      </c>
      <c r="U8" s="414">
        <f t="shared" si="22"/>
        <v>5.7341020820887746E-3</v>
      </c>
      <c r="V8" s="513">
        <v>63.23</v>
      </c>
      <c r="W8" s="414">
        <f t="shared" si="7"/>
        <v>9.2327460958319049E-3</v>
      </c>
      <c r="X8" s="513">
        <v>76.19</v>
      </c>
      <c r="Y8" s="414">
        <f t="shared" si="8"/>
        <v>1.0268526205699376E-2</v>
      </c>
      <c r="Z8" s="416">
        <f t="shared" si="9"/>
        <v>546.42574270713953</v>
      </c>
      <c r="AA8" s="414">
        <f t="shared" si="10"/>
        <v>6.2464254857189736E-3</v>
      </c>
    </row>
    <row r="9" spans="1:27" s="417" customFormat="1" x14ac:dyDescent="0.2">
      <c r="A9" s="413" t="s">
        <v>4</v>
      </c>
      <c r="B9" s="504">
        <v>1652.08</v>
      </c>
      <c r="C9" s="414">
        <f t="shared" si="0"/>
        <v>0.21989530189550688</v>
      </c>
      <c r="D9" s="507">
        <v>1496.4790568600765</v>
      </c>
      <c r="E9" s="414">
        <f t="shared" si="0"/>
        <v>0.21112917662969571</v>
      </c>
      <c r="F9" s="509">
        <v>1774.0425019080053</v>
      </c>
      <c r="G9" s="414">
        <f t="shared" ref="G9" si="23">+F9/F$16</f>
        <v>0.22449791936539026</v>
      </c>
      <c r="H9" s="511">
        <v>1642.5421169243045</v>
      </c>
      <c r="I9" s="414">
        <f t="shared" ref="I9" si="24">+H9/H$16</f>
        <v>0.24965387401783901</v>
      </c>
      <c r="J9" s="509">
        <v>1821.7311977851969</v>
      </c>
      <c r="K9" s="414">
        <f t="shared" ref="K9" si="25">+J9/J$16</f>
        <v>0.2212600097029204</v>
      </c>
      <c r="L9" s="509">
        <v>1452.2486806986349</v>
      </c>
      <c r="M9" s="414">
        <f t="shared" ref="M9" si="26">+L9/L$16</f>
        <v>0.22229960153608702</v>
      </c>
      <c r="N9" s="511">
        <v>1654.2183584450022</v>
      </c>
      <c r="O9" s="414">
        <f t="shared" ref="O9" si="27">+N9/N$16</f>
        <v>0.21240877162020805</v>
      </c>
      <c r="P9" s="509">
        <v>1389.0253888490956</v>
      </c>
      <c r="Q9" s="414">
        <f t="shared" ref="Q9:U9" si="28">+P9/P$16</f>
        <v>0.19807368670938816</v>
      </c>
      <c r="R9" s="509">
        <v>1456.1583787901322</v>
      </c>
      <c r="S9" s="414">
        <f t="shared" si="28"/>
        <v>0.20051502492818421</v>
      </c>
      <c r="T9" s="513">
        <v>1796.19</v>
      </c>
      <c r="U9" s="414">
        <f t="shared" si="28"/>
        <v>0.24610601717627326</v>
      </c>
      <c r="V9" s="513">
        <v>1415.42</v>
      </c>
      <c r="W9" s="414">
        <f t="shared" si="7"/>
        <v>0.20667742335857023</v>
      </c>
      <c r="X9" s="513">
        <v>1577.1</v>
      </c>
      <c r="Y9" s="414">
        <f t="shared" si="8"/>
        <v>0.21255404487476684</v>
      </c>
      <c r="Z9" s="416">
        <f t="shared" si="9"/>
        <v>19127.235680260448</v>
      </c>
      <c r="AA9" s="414">
        <f t="shared" si="10"/>
        <v>0.21865158078499708</v>
      </c>
    </row>
    <row r="10" spans="1:27" s="417" customFormat="1" x14ac:dyDescent="0.2">
      <c r="A10" s="413" t="s">
        <v>3</v>
      </c>
      <c r="B10" s="504">
        <v>50.91</v>
      </c>
      <c r="C10" s="414">
        <f t="shared" si="0"/>
        <v>6.7762274342043089E-3</v>
      </c>
      <c r="D10" s="507">
        <v>49.398170410820661</v>
      </c>
      <c r="E10" s="414">
        <f t="shared" si="0"/>
        <v>6.9692890107884292E-3</v>
      </c>
      <c r="F10" s="509">
        <v>2.0078784286381155</v>
      </c>
      <c r="G10" s="414">
        <f t="shared" ref="G10" si="29">+F10/F$16</f>
        <v>2.5408891223468614E-4</v>
      </c>
      <c r="H10" s="511">
        <v>9.7109166225960184</v>
      </c>
      <c r="I10" s="414">
        <f t="shared" ref="I10" si="30">+H10/H$16</f>
        <v>1.4759852609654881E-3</v>
      </c>
      <c r="J10" s="509">
        <v>28.819476354591803</v>
      </c>
      <c r="K10" s="414">
        <f t="shared" ref="K10" si="31">+J10/J$16</f>
        <v>3.5002955571066317E-3</v>
      </c>
      <c r="L10" s="509">
        <v>40.816885962940695</v>
      </c>
      <c r="M10" s="414">
        <f t="shared" ref="M10" si="32">+L10/L$16</f>
        <v>6.2479502347632257E-3</v>
      </c>
      <c r="N10" s="511">
        <v>34.275000830869452</v>
      </c>
      <c r="O10" s="414">
        <f t="shared" ref="O10" si="33">+N10/N$16</f>
        <v>4.4010579296255821E-3</v>
      </c>
      <c r="P10" s="509">
        <v>52.447549320773334</v>
      </c>
      <c r="Q10" s="414">
        <f t="shared" ref="Q10:U10" si="34">+P10/P$16</f>
        <v>7.4789701730690614E-3</v>
      </c>
      <c r="R10" s="509">
        <v>48.480324229346692</v>
      </c>
      <c r="S10" s="414">
        <f t="shared" si="34"/>
        <v>6.6758077713021504E-3</v>
      </c>
      <c r="T10" s="513">
        <v>17.18</v>
      </c>
      <c r="U10" s="414">
        <f t="shared" si="34"/>
        <v>2.3539276886567536E-3</v>
      </c>
      <c r="V10" s="513">
        <v>88.82</v>
      </c>
      <c r="W10" s="414">
        <f t="shared" si="7"/>
        <v>1.296935802991918E-2</v>
      </c>
      <c r="X10" s="513">
        <v>77.94</v>
      </c>
      <c r="Y10" s="414">
        <f t="shared" si="8"/>
        <v>1.0504382891090817E-2</v>
      </c>
      <c r="Z10" s="416">
        <f t="shared" si="9"/>
        <v>500.80620216057685</v>
      </c>
      <c r="AA10" s="414">
        <f t="shared" si="10"/>
        <v>5.7249290801779833E-3</v>
      </c>
    </row>
    <row r="11" spans="1:27" s="417" customFormat="1" x14ac:dyDescent="0.2">
      <c r="A11" s="413" t="s">
        <v>135</v>
      </c>
      <c r="B11" s="504">
        <v>77.58</v>
      </c>
      <c r="C11" s="414">
        <f t="shared" si="0"/>
        <v>1.0326060191427427E-2</v>
      </c>
      <c r="D11" s="507">
        <v>70.993089200718714</v>
      </c>
      <c r="E11" s="414">
        <f t="shared" si="0"/>
        <v>1.0015985456419092E-2</v>
      </c>
      <c r="F11" s="509">
        <v>115.38091248660281</v>
      </c>
      <c r="G11" s="414">
        <f t="shared" ref="G11" si="35">+F11/F$16</f>
        <v>1.4600988848837468E-2</v>
      </c>
      <c r="H11" s="511">
        <v>80.967487706026887</v>
      </c>
      <c r="I11" s="414">
        <f t="shared" ref="I11" si="36">+H11/H$16</f>
        <v>1.2306440588051543E-2</v>
      </c>
      <c r="J11" s="509">
        <v>101.4446953158902</v>
      </c>
      <c r="K11" s="414">
        <f t="shared" ref="K11" si="37">+J11/J$16</f>
        <v>1.2321057188454798E-2</v>
      </c>
      <c r="L11" s="509">
        <v>70.956771336641935</v>
      </c>
      <c r="M11" s="414">
        <f t="shared" ref="M11" si="38">+L11/L$16</f>
        <v>1.0861543345892035E-2</v>
      </c>
      <c r="N11" s="511">
        <v>124.20372914985565</v>
      </c>
      <c r="O11" s="414">
        <f t="shared" ref="O11" si="39">+N11/N$16</f>
        <v>1.5948294494911436E-2</v>
      </c>
      <c r="P11" s="509">
        <v>76.735394886936035</v>
      </c>
      <c r="Q11" s="414">
        <f t="shared" ref="Q11:U11" si="40">+P11/P$16</f>
        <v>1.0942393629644023E-2</v>
      </c>
      <c r="R11" s="509">
        <v>86.612681283310707</v>
      </c>
      <c r="S11" s="414">
        <f t="shared" si="40"/>
        <v>1.1926686134958502E-2</v>
      </c>
      <c r="T11" s="513">
        <v>123.05</v>
      </c>
      <c r="U11" s="414">
        <f t="shared" si="40"/>
        <v>1.6859767292736527E-2</v>
      </c>
      <c r="V11" s="513">
        <v>83.29</v>
      </c>
      <c r="W11" s="414">
        <f t="shared" si="7"/>
        <v>1.2161876044944479E-2</v>
      </c>
      <c r="X11" s="513">
        <v>96.34</v>
      </c>
      <c r="Y11" s="414">
        <f t="shared" si="8"/>
        <v>1.298424746892083E-2</v>
      </c>
      <c r="Z11" s="416">
        <f t="shared" si="9"/>
        <v>1107.5547613659828</v>
      </c>
      <c r="AA11" s="414">
        <f t="shared" si="10"/>
        <v>1.266093038360705E-2</v>
      </c>
    </row>
    <row r="12" spans="1:27" s="417" customFormat="1" x14ac:dyDescent="0.2">
      <c r="A12" s="413" t="s">
        <v>136</v>
      </c>
      <c r="B12" s="504">
        <v>5.32</v>
      </c>
      <c r="C12" s="414">
        <f t="shared" si="0"/>
        <v>7.0810312217574009E-4</v>
      </c>
      <c r="D12" s="507">
        <v>9.8486220812804497</v>
      </c>
      <c r="E12" s="414">
        <f t="shared" si="0"/>
        <v>1.3894825065715588E-3</v>
      </c>
      <c r="F12" s="509">
        <v>4.0867833734679886</v>
      </c>
      <c r="G12" s="414">
        <f t="shared" ref="G12" si="41">+F12/F$16</f>
        <v>5.1716594346182731E-4</v>
      </c>
      <c r="H12" s="511">
        <v>2.1529855542787666</v>
      </c>
      <c r="I12" s="414">
        <f t="shared" ref="I12" si="42">+H12/H$16</f>
        <v>3.272373833169167E-4</v>
      </c>
      <c r="J12" s="509">
        <v>3.4986083371305559</v>
      </c>
      <c r="K12" s="414">
        <f t="shared" ref="K12" si="43">+J12/J$16</f>
        <v>4.2492663877160023E-4</v>
      </c>
      <c r="L12" s="509">
        <v>3.8705205111302634</v>
      </c>
      <c r="M12" s="414">
        <f t="shared" ref="M12" si="44">+L12/L$16</f>
        <v>5.9247095817473118E-4</v>
      </c>
      <c r="N12" s="511">
        <v>21.982663480365154</v>
      </c>
      <c r="O12" s="414">
        <f t="shared" ref="O12" si="45">+N12/N$16</f>
        <v>2.8226687988120343E-3</v>
      </c>
      <c r="P12" s="509">
        <v>8.046260948264818</v>
      </c>
      <c r="Q12" s="414">
        <f t="shared" ref="Q12:U12" si="46">+P12/P$16</f>
        <v>1.1473890852125642E-3</v>
      </c>
      <c r="R12" s="509">
        <v>12.155390321530708</v>
      </c>
      <c r="S12" s="414">
        <f t="shared" si="46"/>
        <v>1.6738140773935818E-3</v>
      </c>
      <c r="T12" s="513">
        <v>0.72</v>
      </c>
      <c r="U12" s="414">
        <f t="shared" si="46"/>
        <v>9.8651218616581057E-5</v>
      </c>
      <c r="V12" s="513">
        <v>8.16</v>
      </c>
      <c r="W12" s="414">
        <f t="shared" si="7"/>
        <v>1.1915104877746061E-3</v>
      </c>
      <c r="X12" s="513">
        <v>3.07</v>
      </c>
      <c r="Y12" s="414">
        <f t="shared" si="8"/>
        <v>4.1376001380098547E-4</v>
      </c>
      <c r="Z12" s="416">
        <f t="shared" si="9"/>
        <v>82.911834607448725</v>
      </c>
      <c r="AA12" s="414">
        <f t="shared" si="10"/>
        <v>9.4780050843478912E-4</v>
      </c>
    </row>
    <row r="13" spans="1:27" s="417" customFormat="1" x14ac:dyDescent="0.2">
      <c r="A13" s="413" t="s">
        <v>137</v>
      </c>
      <c r="B13" s="504">
        <v>9.51</v>
      </c>
      <c r="C13" s="414">
        <f t="shared" si="0"/>
        <v>1.2658008819344526E-3</v>
      </c>
      <c r="D13" s="507">
        <v>15.102389886681834</v>
      </c>
      <c r="E13" s="414">
        <f t="shared" si="0"/>
        <v>2.1307048216271259E-3</v>
      </c>
      <c r="F13" s="509">
        <v>33.069660909669551</v>
      </c>
      <c r="G13" s="414">
        <f t="shared" ref="G13" si="47">+F13/F$16</f>
        <v>4.1848321335904359E-3</v>
      </c>
      <c r="H13" s="511">
        <v>26.965297240965292</v>
      </c>
      <c r="I13" s="414">
        <f t="shared" ref="I13" si="48">+H13/H$16</f>
        <v>4.0985195148939791E-3</v>
      </c>
      <c r="J13" s="509">
        <v>28.795586538879906</v>
      </c>
      <c r="K13" s="414">
        <f t="shared" ref="K13" si="49">+J13/J$16</f>
        <v>3.4973939979399218E-3</v>
      </c>
      <c r="L13" s="509">
        <v>67.564521734611745</v>
      </c>
      <c r="M13" s="414">
        <f t="shared" ref="M13" si="50">+L13/L$16</f>
        <v>1.0342282598841821E-2</v>
      </c>
      <c r="N13" s="511">
        <v>39.860024580514796</v>
      </c>
      <c r="O13" s="414">
        <f t="shared" ref="O13" si="51">+N13/N$16</f>
        <v>5.118199066450474E-3</v>
      </c>
      <c r="P13" s="509">
        <v>17.907188444213151</v>
      </c>
      <c r="Q13" s="414">
        <f t="shared" ref="Q13:U13" si="52">+P13/P$16</f>
        <v>2.5535478776841807E-3</v>
      </c>
      <c r="R13" s="509">
        <v>5.6255605519903868</v>
      </c>
      <c r="S13" s="414">
        <f t="shared" si="52"/>
        <v>7.7464747705162612E-4</v>
      </c>
      <c r="T13" s="513">
        <v>33.85</v>
      </c>
      <c r="U13" s="414">
        <f t="shared" si="52"/>
        <v>4.6379774307934293E-3</v>
      </c>
      <c r="V13" s="513">
        <v>15.75</v>
      </c>
      <c r="W13" s="414">
        <f t="shared" si="7"/>
        <v>2.2997904635355449E-3</v>
      </c>
      <c r="X13" s="513">
        <v>0.79</v>
      </c>
      <c r="Y13" s="414">
        <f t="shared" si="8"/>
        <v>1.0647244654813634E-4</v>
      </c>
      <c r="Z13" s="416">
        <f t="shared" si="9"/>
        <v>294.79022988752672</v>
      </c>
      <c r="AA13" s="414">
        <f t="shared" si="10"/>
        <v>3.3698727219323276E-3</v>
      </c>
    </row>
    <row r="14" spans="1:27" s="417" customFormat="1" x14ac:dyDescent="0.2">
      <c r="A14" s="413" t="s">
        <v>138</v>
      </c>
      <c r="B14" s="504">
        <v>55.31</v>
      </c>
      <c r="C14" s="414">
        <f t="shared" si="0"/>
        <v>7.361876632996275E-3</v>
      </c>
      <c r="D14" s="507">
        <v>67.121856841863675</v>
      </c>
      <c r="E14" s="414">
        <f t="shared" si="0"/>
        <v>9.4698167033580045E-3</v>
      </c>
      <c r="F14" s="509">
        <v>69.305921261022348</v>
      </c>
      <c r="G14" s="414">
        <f t="shared" ref="G14" si="53">+F14/F$16</f>
        <v>8.7703846475307903E-3</v>
      </c>
      <c r="H14" s="511">
        <v>70.776220843434544</v>
      </c>
      <c r="I14" s="414">
        <f t="shared" ref="I14" si="54">+H14/H$16</f>
        <v>1.0757445754263024E-2</v>
      </c>
      <c r="J14" s="509">
        <v>83.248252761425888</v>
      </c>
      <c r="K14" s="414">
        <f t="shared" ref="K14" si="55">+J14/J$16</f>
        <v>1.0110991806111747E-2</v>
      </c>
      <c r="L14" s="509">
        <v>69.79861727754907</v>
      </c>
      <c r="M14" s="414">
        <f t="shared" ref="M14" si="56">+L14/L$16</f>
        <v>1.0684261597059671E-2</v>
      </c>
      <c r="N14" s="511">
        <v>51.023998617293799</v>
      </c>
      <c r="O14" s="414">
        <f t="shared" ref="O14" si="57">+N14/N$16</f>
        <v>6.5517014813198243E-3</v>
      </c>
      <c r="P14" s="509">
        <v>34.847546326287464</v>
      </c>
      <c r="Q14" s="414">
        <f t="shared" ref="Q14:U14" si="58">+P14/P$16</f>
        <v>4.9692266455568955E-3</v>
      </c>
      <c r="R14" s="509">
        <v>42.251947876400038</v>
      </c>
      <c r="S14" s="414">
        <f t="shared" si="58"/>
        <v>5.8181517238117238E-3</v>
      </c>
      <c r="T14" s="513">
        <v>21.66</v>
      </c>
      <c r="U14" s="414">
        <f t="shared" si="58"/>
        <v>2.9677574933821469E-3</v>
      </c>
      <c r="V14" s="513">
        <v>52.45</v>
      </c>
      <c r="W14" s="414">
        <f t="shared" si="7"/>
        <v>7.6586672896786882E-3</v>
      </c>
      <c r="X14" s="513">
        <v>38.76</v>
      </c>
      <c r="Y14" s="414">
        <f t="shared" si="8"/>
        <v>5.2238886432984357E-3</v>
      </c>
      <c r="Z14" s="416">
        <f t="shared" si="9"/>
        <v>656.55436180527681</v>
      </c>
      <c r="AA14" s="414">
        <f t="shared" si="10"/>
        <v>7.5053526541820669E-3</v>
      </c>
    </row>
    <row r="15" spans="1:27" s="417" customFormat="1" ht="15" x14ac:dyDescent="0.35">
      <c r="A15" s="413" t="s">
        <v>86</v>
      </c>
      <c r="B15" s="505">
        <f>0.21+1418.24</f>
        <v>1418.45</v>
      </c>
      <c r="C15" s="420">
        <f t="shared" si="0"/>
        <v>0.18879866046055988</v>
      </c>
      <c r="D15" s="508">
        <v>1543.62738812204</v>
      </c>
      <c r="E15" s="420">
        <f t="shared" si="0"/>
        <v>0.21778104944620466</v>
      </c>
      <c r="F15" s="510">
        <v>1378.5181264214518</v>
      </c>
      <c r="G15" s="420">
        <f t="shared" ref="G15" si="59">+F15/F$16</f>
        <v>0.17444590580904812</v>
      </c>
      <c r="H15" s="512">
        <v>962.92920770627359</v>
      </c>
      <c r="I15" s="420">
        <f t="shared" ref="I15" si="60">+H15/H$16</f>
        <v>0.14635789525991083</v>
      </c>
      <c r="J15" s="510">
        <v>1299.3863025418061</v>
      </c>
      <c r="K15" s="420">
        <f t="shared" ref="K15" si="61">+J15/J$16</f>
        <v>0.1578181381851384</v>
      </c>
      <c r="L15" s="510">
        <v>864.53579492114955</v>
      </c>
      <c r="M15" s="420">
        <f t="shared" ref="M15" si="62">+L15/L$16</f>
        <v>0.13233681343900461</v>
      </c>
      <c r="N15" s="512">
        <v>1225.3405142546917</v>
      </c>
      <c r="O15" s="420">
        <f t="shared" ref="O15" si="63">+N15/N$16</f>
        <v>0.15733900674030415</v>
      </c>
      <c r="P15" s="510">
        <v>995.56790103583694</v>
      </c>
      <c r="Q15" s="420">
        <f t="shared" ref="Q15:U15" si="64">+P15/P$16</f>
        <v>0.14196702674461983</v>
      </c>
      <c r="R15" s="510">
        <v>873.34401277691222</v>
      </c>
      <c r="S15" s="420">
        <f t="shared" si="64"/>
        <v>0.12026067977464271</v>
      </c>
      <c r="T15" s="514">
        <f>732.54+0.34</f>
        <v>732.88</v>
      </c>
      <c r="U15" s="420">
        <f t="shared" si="64"/>
        <v>0.10041597930516656</v>
      </c>
      <c r="V15" s="514">
        <f>668.04+0.25</f>
        <v>668.29</v>
      </c>
      <c r="W15" s="420">
        <f t="shared" si="7"/>
        <v>9.7582664690550422E-2</v>
      </c>
      <c r="X15" s="514">
        <f>906.11+0.26</f>
        <v>906.37</v>
      </c>
      <c r="Y15" s="420">
        <f t="shared" si="8"/>
        <v>0.12215624225042321</v>
      </c>
      <c r="Z15" s="418">
        <f t="shared" si="9"/>
        <v>12869.239247780162</v>
      </c>
      <c r="AA15" s="420">
        <f t="shared" si="10"/>
        <v>0.14711375716102137</v>
      </c>
    </row>
    <row r="16" spans="1:27" s="417" customFormat="1" ht="15" x14ac:dyDescent="0.35">
      <c r="A16" s="419"/>
      <c r="B16" s="421">
        <f t="shared" ref="B16:C16" si="65">SUM(B5:B15)</f>
        <v>7513.03</v>
      </c>
      <c r="C16" s="422">
        <f t="shared" si="65"/>
        <v>1</v>
      </c>
      <c r="D16" s="423">
        <f t="shared" ref="D16:T16" si="66">SUM(D5:D15)</f>
        <v>7087.9784629899132</v>
      </c>
      <c r="E16" s="422">
        <f t="shared" ref="E16" si="67">SUM(E5:E15)</f>
        <v>1</v>
      </c>
      <c r="F16" s="423">
        <f t="shared" si="66"/>
        <v>7902.2670095244575</v>
      </c>
      <c r="G16" s="422">
        <f t="shared" ref="G16" si="68">SUM(G5:G15)</f>
        <v>1.0000000000000002</v>
      </c>
      <c r="H16" s="423">
        <f t="shared" si="66"/>
        <v>6579.277503248104</v>
      </c>
      <c r="I16" s="422">
        <f t="shared" ref="I16" si="69">SUM(I5:I15)</f>
        <v>1</v>
      </c>
      <c r="J16" s="423">
        <f t="shared" si="66"/>
        <v>8233.4408293264751</v>
      </c>
      <c r="K16" s="422">
        <f t="shared" ref="K16" si="70">SUM(K5:K15)</f>
        <v>0.99999999999999978</v>
      </c>
      <c r="L16" s="423">
        <f t="shared" si="66"/>
        <v>6532.844281607423</v>
      </c>
      <c r="M16" s="422">
        <f t="shared" ref="M16" si="71">SUM(M5:M15)</f>
        <v>1.0000000000000002</v>
      </c>
      <c r="N16" s="423">
        <f t="shared" si="66"/>
        <v>7787.9004046159835</v>
      </c>
      <c r="O16" s="422">
        <f t="shared" ref="O16" si="72">SUM(O5:O15)</f>
        <v>1</v>
      </c>
      <c r="P16" s="423">
        <f t="shared" si="66"/>
        <v>7012.6699407936021</v>
      </c>
      <c r="Q16" s="422">
        <f t="shared" ref="Q16:R16" si="73">SUM(Q5:Q15)</f>
        <v>0.99999999999999989</v>
      </c>
      <c r="R16" s="424">
        <f t="shared" si="73"/>
        <v>7262.0911042036132</v>
      </c>
      <c r="S16" s="422">
        <f t="shared" ref="S16:V16" si="74">SUM(S5:S15)</f>
        <v>1</v>
      </c>
      <c r="T16" s="424">
        <f t="shared" si="66"/>
        <v>7298.4400000000014</v>
      </c>
      <c r="U16" s="422">
        <f t="shared" si="74"/>
        <v>0.99999999999999989</v>
      </c>
      <c r="V16" s="424">
        <f t="shared" si="74"/>
        <v>6848.4499999999989</v>
      </c>
      <c r="W16" s="422">
        <f t="shared" ref="W16:X16" si="75">SUM(W5:W15)</f>
        <v>1.0000000000000002</v>
      </c>
      <c r="X16" s="424">
        <f t="shared" si="75"/>
        <v>7419.7599999999993</v>
      </c>
      <c r="Y16" s="422">
        <f t="shared" ref="Y16:Z16" si="76">SUM(Y5:Y15)</f>
        <v>1</v>
      </c>
      <c r="Z16" s="424">
        <f t="shared" si="76"/>
        <v>87478.149536309575</v>
      </c>
      <c r="AA16" s="422">
        <f t="shared" ref="AA16" si="77">SUM(AA5:AA15)</f>
        <v>0.99999999999999989</v>
      </c>
    </row>
    <row r="17" spans="2:2" s="417" customFormat="1" x14ac:dyDescent="0.2"/>
    <row r="18" spans="2:2" s="417" customFormat="1" x14ac:dyDescent="0.2"/>
    <row r="19" spans="2:2" s="417" customFormat="1" x14ac:dyDescent="0.2">
      <c r="B19" s="417" t="s">
        <v>178</v>
      </c>
    </row>
    <row r="20" spans="2:2" s="417" customFormat="1" x14ac:dyDescent="0.2"/>
  </sheetData>
  <mergeCells count="13">
    <mergeCell ref="B3:C3"/>
    <mergeCell ref="D3:E3"/>
    <mergeCell ref="F3:G3"/>
    <mergeCell ref="H3:I3"/>
    <mergeCell ref="J3:K3"/>
    <mergeCell ref="X3:Y3"/>
    <mergeCell ref="Z3:AA3"/>
    <mergeCell ref="L3:M3"/>
    <mergeCell ref="N3:O3"/>
    <mergeCell ref="P3:Q3"/>
    <mergeCell ref="R3:S3"/>
    <mergeCell ref="V3:W3"/>
    <mergeCell ref="T3:U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workbookViewId="0">
      <selection activeCell="B31" sqref="B31"/>
    </sheetView>
  </sheetViews>
  <sheetFormatPr defaultRowHeight="12.75" x14ac:dyDescent="0.2"/>
  <cols>
    <col min="2" max="2" width="9.7109375" bestFit="1" customWidth="1"/>
    <col min="3" max="3" width="9.7109375" customWidth="1"/>
    <col min="4" max="4" width="11.28515625" bestFit="1" customWidth="1"/>
    <col min="5" max="5" width="8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9" width="8.7109375" bestFit="1" customWidth="1"/>
    <col min="10" max="11" width="10.28515625" bestFit="1" customWidth="1"/>
    <col min="12" max="12" width="9.28515625" bestFit="1" customWidth="1"/>
  </cols>
  <sheetData>
    <row r="1" spans="1:13" ht="26.25" x14ac:dyDescent="0.4">
      <c r="A1" s="7" t="s">
        <v>18</v>
      </c>
    </row>
    <row r="2" spans="1:13" ht="18" x14ac:dyDescent="0.25">
      <c r="A2" s="5" t="s">
        <v>89</v>
      </c>
    </row>
    <row r="3" spans="1:13" x14ac:dyDescent="0.2">
      <c r="A3" s="6" t="s">
        <v>87</v>
      </c>
    </row>
    <row r="5" spans="1:13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13" x14ac:dyDescent="0.2">
      <c r="C6" s="2"/>
      <c r="D6" s="41" t="s">
        <v>46</v>
      </c>
      <c r="E6" s="41"/>
      <c r="F6" s="41" t="s">
        <v>1</v>
      </c>
      <c r="G6" s="41"/>
      <c r="H6" s="41" t="s">
        <v>47</v>
      </c>
      <c r="I6" s="41"/>
      <c r="J6" s="41" t="s">
        <v>2</v>
      </c>
      <c r="K6" s="41" t="s">
        <v>2</v>
      </c>
      <c r="L6" s="41" t="s">
        <v>48</v>
      </c>
    </row>
    <row r="7" spans="1:13" x14ac:dyDescent="0.2">
      <c r="B7" s="10" t="s">
        <v>22</v>
      </c>
      <c r="C7" s="10" t="s">
        <v>92</v>
      </c>
      <c r="D7" s="42" t="s">
        <v>49</v>
      </c>
      <c r="E7" s="42" t="s">
        <v>50</v>
      </c>
      <c r="F7" s="42" t="s">
        <v>51</v>
      </c>
      <c r="G7" s="42" t="s">
        <v>4</v>
      </c>
      <c r="H7" s="42" t="s">
        <v>52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86</v>
      </c>
    </row>
    <row r="8" spans="1:13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13" x14ac:dyDescent="0.2">
      <c r="A10" s="4" t="s">
        <v>58</v>
      </c>
      <c r="B10" s="63">
        <f t="shared" ref="B10:B21" si="0">SUM(C10:M10)</f>
        <v>1</v>
      </c>
      <c r="C10" s="58">
        <f>+'Reg. Res''l - SS Mix &amp; Prices'!C10</f>
        <v>0</v>
      </c>
      <c r="D10" s="58">
        <f>+'Reg. Res''l - SS Mix &amp; Prices'!D10</f>
        <v>0.33314255367009049</v>
      </c>
      <c r="E10" s="58">
        <f>+'Reg. Res''l - SS Mix &amp; Prices'!E10</f>
        <v>0.2250556699494079</v>
      </c>
      <c r="F10" s="58">
        <f>+'Reg. Res''l - SS Mix &amp; Prices'!F10</f>
        <v>6.6697457616966792E-3</v>
      </c>
      <c r="G10" s="58">
        <f>+'Reg. Res''l - SS Mix &amp; Prices'!H10</f>
        <v>0.21989530189550688</v>
      </c>
      <c r="H10" s="58">
        <f>+'Reg. Res''l - SS Mix &amp; Prices'!G10</f>
        <v>7.361876632996275E-3</v>
      </c>
      <c r="I10" s="58">
        <f>+'Reg. Res''l - SS Mix &amp; Prices'!I10</f>
        <v>6.7762274342043089E-3</v>
      </c>
      <c r="J10" s="58">
        <f>+'Reg. Res''l - SS Mix &amp; Prices'!J10</f>
        <v>1.0326060191427427E-2</v>
      </c>
      <c r="K10" s="58">
        <f>+'Reg. Res''l - SS Mix &amp; Prices'!K10</f>
        <v>7.0810312217574009E-4</v>
      </c>
      <c r="L10" s="58">
        <f>+'Reg. Res''l - SS Mix &amp; Prices'!L10</f>
        <v>1.2658008819344526E-3</v>
      </c>
      <c r="M10" s="58">
        <f>+'Reg. Res''l - SS Mix &amp; Prices'!M10</f>
        <v>0.18879866046055982</v>
      </c>
    </row>
    <row r="11" spans="1:13" x14ac:dyDescent="0.2">
      <c r="A11" s="4" t="s">
        <v>35</v>
      </c>
      <c r="B11" s="63">
        <f t="shared" si="0"/>
        <v>1</v>
      </c>
      <c r="C11" s="58">
        <f>+'Reg. Res''l - SS Mix &amp; Prices'!C11</f>
        <v>0</v>
      </c>
      <c r="D11" s="58">
        <f>+'Reg. Res''l - SS Mix &amp; Prices'!D11</f>
        <v>0.34451473439966246</v>
      </c>
      <c r="E11" s="58">
        <f>+'Reg. Res''l - SS Mix &amp; Prices'!E11</f>
        <v>0.19061939503231459</v>
      </c>
      <c r="F11" s="58">
        <f>+'Reg. Res''l - SS Mix &amp; Prices'!F11</f>
        <v>5.9803659933584117E-3</v>
      </c>
      <c r="G11" s="58">
        <f>+'Reg. Res''l - SS Mix &amp; Prices'!H11</f>
        <v>0.21112917662969571</v>
      </c>
      <c r="H11" s="58">
        <f>+'Reg. Res''l - SS Mix &amp; Prices'!G11</f>
        <v>9.4698167033580045E-3</v>
      </c>
      <c r="I11" s="58">
        <f>+'Reg. Res''l - SS Mix &amp; Prices'!I11</f>
        <v>6.9692890107884292E-3</v>
      </c>
      <c r="J11" s="58">
        <f>+'Reg. Res''l - SS Mix &amp; Prices'!J11</f>
        <v>1.0015985456419092E-2</v>
      </c>
      <c r="K11" s="58">
        <f>+'Reg. Res''l - SS Mix &amp; Prices'!K11</f>
        <v>1.3894825065715588E-3</v>
      </c>
      <c r="L11" s="58">
        <f>+'Reg. Res''l - SS Mix &amp; Prices'!L11</f>
        <v>2.1307048216271259E-3</v>
      </c>
      <c r="M11" s="58">
        <f>+'Reg. Res''l - SS Mix &amp; Prices'!M11</f>
        <v>0.21778104944620458</v>
      </c>
    </row>
    <row r="12" spans="1:13" x14ac:dyDescent="0.2">
      <c r="A12" s="4" t="s">
        <v>36</v>
      </c>
      <c r="B12" s="63">
        <f t="shared" si="0"/>
        <v>1</v>
      </c>
      <c r="C12" s="58">
        <f>+'Reg. Res''l - SS Mix &amp; Prices'!C12</f>
        <v>0</v>
      </c>
      <c r="D12" s="58">
        <f>+'Reg. Res''l - SS Mix &amp; Prices'!D12</f>
        <v>0.38993981205758893</v>
      </c>
      <c r="E12" s="58">
        <f>+'Reg. Res''l - SS Mix &amp; Prices'!E12</f>
        <v>0.17698939384752213</v>
      </c>
      <c r="F12" s="58">
        <f>+'Reg. Res''l - SS Mix &amp; Prices'!F12</f>
        <v>5.7995084347954671E-3</v>
      </c>
      <c r="G12" s="58">
        <f>+'Reg. Res''l - SS Mix &amp; Prices'!H12</f>
        <v>0.22449791936539026</v>
      </c>
      <c r="H12" s="58">
        <f>+'Reg. Res''l - SS Mix &amp; Prices'!G12</f>
        <v>8.7703846475307903E-3</v>
      </c>
      <c r="I12" s="58">
        <f>+'Reg. Res''l - SS Mix &amp; Prices'!I12</f>
        <v>2.5408891223468614E-4</v>
      </c>
      <c r="J12" s="58">
        <f>+'Reg. Res''l - SS Mix &amp; Prices'!J12</f>
        <v>1.4600988848837468E-2</v>
      </c>
      <c r="K12" s="58">
        <f>+'Reg. Res''l - SS Mix &amp; Prices'!K12</f>
        <v>5.1716594346182731E-4</v>
      </c>
      <c r="L12" s="58">
        <f>+'Reg. Res''l - SS Mix &amp; Prices'!L12</f>
        <v>4.1848321335904359E-3</v>
      </c>
      <c r="M12" s="58">
        <f>+'Reg. Res''l - SS Mix &amp; Prices'!M12</f>
        <v>0.17444590580904806</v>
      </c>
    </row>
    <row r="13" spans="1:13" x14ac:dyDescent="0.2">
      <c r="A13" s="4" t="s">
        <v>37</v>
      </c>
      <c r="B13" s="63">
        <f t="shared" si="0"/>
        <v>1</v>
      </c>
      <c r="C13" s="58">
        <f>+'Reg. Res''l - SS Mix &amp; Prices'!C13</f>
        <v>0</v>
      </c>
      <c r="D13" s="58">
        <f>+'Reg. Res''l - SS Mix &amp; Prices'!D13</f>
        <v>0.37140199789171413</v>
      </c>
      <c r="E13" s="58">
        <f>+'Reg. Res''l - SS Mix &amp; Prices'!E13</f>
        <v>0.19763744831626137</v>
      </c>
      <c r="F13" s="58">
        <f>+'Reg. Res''l - SS Mix &amp; Prices'!F13</f>
        <v>5.9831560127837514E-3</v>
      </c>
      <c r="G13" s="58">
        <f>+'Reg. Res''l - SS Mix &amp; Prices'!H13</f>
        <v>0.24965387401783901</v>
      </c>
      <c r="H13" s="58">
        <f>+'Reg. Res''l - SS Mix &amp; Prices'!G13</f>
        <v>1.0757445754263024E-2</v>
      </c>
      <c r="I13" s="58">
        <f>+'Reg. Res''l - SS Mix &amp; Prices'!I13</f>
        <v>1.4759852609654881E-3</v>
      </c>
      <c r="J13" s="58">
        <f>+'Reg. Res''l - SS Mix &amp; Prices'!J13</f>
        <v>1.2306440588051543E-2</v>
      </c>
      <c r="K13" s="58">
        <f>+'Reg. Res''l - SS Mix &amp; Prices'!K13</f>
        <v>3.272373833169167E-4</v>
      </c>
      <c r="L13" s="58">
        <f>+'Reg. Res''l - SS Mix &amp; Prices'!L13</f>
        <v>4.0985195148939791E-3</v>
      </c>
      <c r="M13" s="58">
        <f>+'Reg. Res''l - SS Mix &amp; Prices'!M13</f>
        <v>0.14635789525991072</v>
      </c>
    </row>
    <row r="14" spans="1:13" x14ac:dyDescent="0.2">
      <c r="A14" s="4" t="s">
        <v>45</v>
      </c>
      <c r="B14" s="63">
        <f t="shared" si="0"/>
        <v>1</v>
      </c>
      <c r="C14" s="58">
        <f>+'Reg. Res''l - SS Mix &amp; Prices'!C14</f>
        <v>0</v>
      </c>
      <c r="D14" s="58">
        <f>+'Reg. Res''l - SS Mix &amp; Prices'!D14</f>
        <v>0.39301886674384967</v>
      </c>
      <c r="E14" s="58">
        <f>+'Reg. Res''l - SS Mix &amp; Prices'!E14</f>
        <v>0.19288530693299835</v>
      </c>
      <c r="F14" s="58">
        <f>+'Reg. Res''l - SS Mix &amp; Prices'!F14</f>
        <v>5.1630132467083987E-3</v>
      </c>
      <c r="G14" s="58">
        <f>+'Reg. Res''l - SS Mix &amp; Prices'!H14</f>
        <v>0.2212600097029204</v>
      </c>
      <c r="H14" s="58">
        <f>+'Reg. Res''l - SS Mix &amp; Prices'!G14</f>
        <v>1.0110991806111747E-2</v>
      </c>
      <c r="I14" s="58">
        <f>+'Reg. Res''l - SS Mix &amp; Prices'!I14</f>
        <v>3.5002955571066317E-3</v>
      </c>
      <c r="J14" s="58">
        <f>+'Reg. Res''l - SS Mix &amp; Prices'!J14</f>
        <v>1.2321057188454798E-2</v>
      </c>
      <c r="K14" s="58">
        <f>+'Reg. Res''l - SS Mix &amp; Prices'!K14</f>
        <v>4.2492663877160023E-4</v>
      </c>
      <c r="L14" s="58">
        <f>+'Reg. Res''l - SS Mix &amp; Prices'!L14</f>
        <v>3.4973939979399218E-3</v>
      </c>
      <c r="M14" s="58">
        <f>+'Reg. Res''l - SS Mix &amp; Prices'!M14</f>
        <v>0.15781813818513857</v>
      </c>
    </row>
    <row r="15" spans="1:13" x14ac:dyDescent="0.2">
      <c r="A15" s="4" t="s">
        <v>38</v>
      </c>
      <c r="B15" s="63">
        <f t="shared" si="0"/>
        <v>1</v>
      </c>
      <c r="C15" s="58">
        <f>+'Reg. Res''l - SS Mix &amp; Prices'!C15</f>
        <v>0</v>
      </c>
      <c r="D15" s="58">
        <f>+'Reg. Res''l - SS Mix &amp; Prices'!D15</f>
        <v>0.37329750017776259</v>
      </c>
      <c r="E15" s="58">
        <f>+'Reg. Res''l - SS Mix &amp; Prices'!E15</f>
        <v>0.22658534958973167</v>
      </c>
      <c r="F15" s="58">
        <f>+'Reg. Res''l - SS Mix &amp; Prices'!F15</f>
        <v>6.752226522682675E-3</v>
      </c>
      <c r="G15" s="58">
        <f>+'Reg. Res''l - SS Mix &amp; Prices'!H15</f>
        <v>0.22229960153608702</v>
      </c>
      <c r="H15" s="58">
        <f>+'Reg. Res''l - SS Mix &amp; Prices'!G15</f>
        <v>1.0684261597059671E-2</v>
      </c>
      <c r="I15" s="58">
        <f>+'Reg. Res''l - SS Mix &amp; Prices'!I15</f>
        <v>6.2479502347632257E-3</v>
      </c>
      <c r="J15" s="58">
        <f>+'Reg. Res''l - SS Mix &amp; Prices'!J15</f>
        <v>1.0861543345892035E-2</v>
      </c>
      <c r="K15" s="58">
        <f>+'Reg. Res''l - SS Mix &amp; Prices'!K15</f>
        <v>5.9247095817473118E-4</v>
      </c>
      <c r="L15" s="58">
        <f>+'Reg. Res''l - SS Mix &amp; Prices'!L15</f>
        <v>1.0342282598841821E-2</v>
      </c>
      <c r="M15" s="58">
        <f>+'Reg. Res''l - SS Mix &amp; Prices'!M15</f>
        <v>0.13233681343900439</v>
      </c>
    </row>
    <row r="16" spans="1:13" x14ac:dyDescent="0.2">
      <c r="A16" s="4" t="s">
        <v>39</v>
      </c>
      <c r="B16" s="63">
        <f t="shared" si="0"/>
        <v>1</v>
      </c>
      <c r="C16" s="58">
        <f>+'Reg. Res''l - SS Mix &amp; Prices'!C16</f>
        <v>0</v>
      </c>
      <c r="D16" s="58">
        <f>+'Reg. Res''l - SS Mix &amp; Prices'!D16</f>
        <v>0.41003541068917587</v>
      </c>
      <c r="E16" s="58">
        <f>+'Reg. Res''l - SS Mix &amp; Prices'!E16</f>
        <v>0.180445094319683</v>
      </c>
      <c r="F16" s="58">
        <f>+'Reg. Res''l - SS Mix &amp; Prices'!F16</f>
        <v>4.9297948595097649E-3</v>
      </c>
      <c r="G16" s="58">
        <f>+'Reg. Res''l - SS Mix &amp; Prices'!H16</f>
        <v>0.21240877162020805</v>
      </c>
      <c r="H16" s="58">
        <f>+'Reg. Res''l - SS Mix &amp; Prices'!G16</f>
        <v>6.5517014813198243E-3</v>
      </c>
      <c r="I16" s="58">
        <f>+'Reg. Res''l - SS Mix &amp; Prices'!I16</f>
        <v>4.4010579296255821E-3</v>
      </c>
      <c r="J16" s="58">
        <f>+'Reg. Res''l - SS Mix &amp; Prices'!J16</f>
        <v>1.5948294494911436E-2</v>
      </c>
      <c r="K16" s="58">
        <f>+'Reg. Res''l - SS Mix &amp; Prices'!K16</f>
        <v>2.8226687988120343E-3</v>
      </c>
      <c r="L16" s="58">
        <f>+'Reg. Res''l - SS Mix &amp; Prices'!L16</f>
        <v>5.118199066450474E-3</v>
      </c>
      <c r="M16" s="58">
        <f>+'Reg. Res''l - SS Mix &amp; Prices'!M16</f>
        <v>0.15733900674030421</v>
      </c>
    </row>
    <row r="17" spans="1:17" x14ac:dyDescent="0.2">
      <c r="A17" s="4" t="s">
        <v>40</v>
      </c>
      <c r="B17" s="63">
        <f t="shared" si="0"/>
        <v>1</v>
      </c>
      <c r="C17" s="58">
        <f>+'Reg. Res''l - SS Mix &amp; Prices'!C17</f>
        <v>0</v>
      </c>
      <c r="D17" s="58">
        <f>+'Reg. Res''l - SS Mix &amp; Prices'!D17</f>
        <v>0.42369203654325316</v>
      </c>
      <c r="E17" s="58">
        <f>+'Reg. Res''l - SS Mix &amp; Prices'!E17</f>
        <v>0.20471746696021817</v>
      </c>
      <c r="F17" s="58">
        <f>+'Reg. Res''l - SS Mix &amp; Prices'!F17</f>
        <v>4.4582556313537769E-3</v>
      </c>
      <c r="G17" s="58">
        <f>+'Reg. Res''l - SS Mix &amp; Prices'!H17</f>
        <v>0.19807368670938816</v>
      </c>
      <c r="H17" s="58">
        <f>+'Reg. Res''l - SS Mix &amp; Prices'!G17</f>
        <v>4.9692266455568955E-3</v>
      </c>
      <c r="I17" s="58">
        <f>+'Reg. Res''l - SS Mix &amp; Prices'!I17</f>
        <v>7.4789701730690614E-3</v>
      </c>
      <c r="J17" s="58">
        <f>+'Reg. Res''l - SS Mix &amp; Prices'!J17</f>
        <v>1.0942393629644023E-2</v>
      </c>
      <c r="K17" s="58">
        <f>+'Reg. Res''l - SS Mix &amp; Prices'!K17</f>
        <v>1.1473890852125642E-3</v>
      </c>
      <c r="L17" s="58">
        <f>+'Reg. Res''l - SS Mix &amp; Prices'!L17</f>
        <v>2.5535478776841807E-3</v>
      </c>
      <c r="M17" s="58">
        <f>+'Reg. Res''l - SS Mix &amp; Prices'!M17</f>
        <v>0.14196702674461992</v>
      </c>
    </row>
    <row r="18" spans="1:17" x14ac:dyDescent="0.2">
      <c r="A18" s="4" t="s">
        <v>10</v>
      </c>
      <c r="B18" s="63">
        <f t="shared" si="0"/>
        <v>1</v>
      </c>
      <c r="C18" s="58">
        <f>+'Reg. Res''l - SS Mix &amp; Prices'!C18</f>
        <v>0</v>
      </c>
      <c r="D18" s="58">
        <f>+'Reg. Res''l - SS Mix &amp; Prices'!D18</f>
        <v>0.48051031095582108</v>
      </c>
      <c r="E18" s="58">
        <f>+'Reg. Res''l - SS Mix &amp; Prices'!E18</f>
        <v>0.16755061895505494</v>
      </c>
      <c r="F18" s="58">
        <f>+'Reg. Res''l - SS Mix &amp; Prices'!F18</f>
        <v>4.2942582017795735E-3</v>
      </c>
      <c r="G18" s="58">
        <f>+'Reg. Res''l - SS Mix &amp; Prices'!H18</f>
        <v>0.20051502492818421</v>
      </c>
      <c r="H18" s="58">
        <f>+'Reg. Res''l - SS Mix &amp; Prices'!G18</f>
        <v>5.8181517238117238E-3</v>
      </c>
      <c r="I18" s="58">
        <f>+'Reg. Res''l - SS Mix &amp; Prices'!I18</f>
        <v>6.6758077713021504E-3</v>
      </c>
      <c r="J18" s="58">
        <f>+'Reg. Res''l - SS Mix &amp; Prices'!J18</f>
        <v>1.1926686134958502E-2</v>
      </c>
      <c r="K18" s="58">
        <f>+'Reg. Res''l - SS Mix &amp; Prices'!K18</f>
        <v>1.6738140773935818E-3</v>
      </c>
      <c r="L18" s="58">
        <f>+'Reg. Res''l - SS Mix &amp; Prices'!L18</f>
        <v>7.7464747705162612E-4</v>
      </c>
      <c r="M18" s="58">
        <f>+'Reg. Res''l - SS Mix &amp; Prices'!M18</f>
        <v>0.12026067977464272</v>
      </c>
    </row>
    <row r="19" spans="1:17" x14ac:dyDescent="0.2">
      <c r="A19" s="4" t="s">
        <v>41</v>
      </c>
      <c r="B19" s="63">
        <f t="shared" si="0"/>
        <v>1</v>
      </c>
      <c r="C19" s="58">
        <f>+'Reg. Res''l - SS Mix &amp; Prices'!C19</f>
        <v>0</v>
      </c>
      <c r="D19" s="58">
        <f>+'Reg. Res''l - SS Mix &amp; Prices'!D19</f>
        <v>0.42148185091608609</v>
      </c>
      <c r="E19" s="58">
        <f>+'Reg. Res''l - SS Mix &amp; Prices'!E19</f>
        <v>0.19934396939619972</v>
      </c>
      <c r="F19" s="58">
        <f>+'Reg. Res''l - SS Mix &amp; Prices'!F19</f>
        <v>5.7341020820887746E-3</v>
      </c>
      <c r="G19" s="58">
        <f>+'Reg. Res''l - SS Mix &amp; Prices'!H19</f>
        <v>0.24610601717627326</v>
      </c>
      <c r="H19" s="58">
        <f>+'Reg. Res''l - SS Mix &amp; Prices'!G19</f>
        <v>2.9677574933821469E-3</v>
      </c>
      <c r="I19" s="58">
        <f>+'Reg. Res''l - SS Mix &amp; Prices'!I19</f>
        <v>2.3539276886567536E-3</v>
      </c>
      <c r="J19" s="58">
        <f>+'Reg. Res''l - SS Mix &amp; Prices'!J19</f>
        <v>1.6859767292736527E-2</v>
      </c>
      <c r="K19" s="58">
        <f>+'Reg. Res''l - SS Mix &amp; Prices'!K19</f>
        <v>9.8651218616581057E-5</v>
      </c>
      <c r="L19" s="58">
        <f>+'Reg. Res''l - SS Mix &amp; Prices'!L19</f>
        <v>4.6379774307934293E-3</v>
      </c>
      <c r="M19" s="58">
        <f>+'Reg. Res''l - SS Mix &amp; Prices'!M19</f>
        <v>0.10041597930516666</v>
      </c>
    </row>
    <row r="20" spans="1:17" x14ac:dyDescent="0.2">
      <c r="A20" s="4" t="s">
        <v>42</v>
      </c>
      <c r="B20" s="63">
        <f t="shared" si="0"/>
        <v>1</v>
      </c>
      <c r="C20" s="58">
        <f>+'Reg. Res''l - SS Mix &amp; Prices'!C20</f>
        <v>0</v>
      </c>
      <c r="D20" s="58">
        <f>+'Reg. Res''l - SS Mix &amp; Prices'!D20</f>
        <v>0.35023837510677608</v>
      </c>
      <c r="E20" s="58">
        <f>+'Reg. Res''l - SS Mix &amp; Prices'!E20</f>
        <v>0.29998758843241902</v>
      </c>
      <c r="F20" s="58">
        <f>+'Reg. Res''l - SS Mix &amp; Prices'!F20</f>
        <v>9.2327460958319049E-3</v>
      </c>
      <c r="G20" s="58">
        <f>+'Reg. Res''l - SS Mix &amp; Prices'!H20</f>
        <v>0.20667742335857023</v>
      </c>
      <c r="H20" s="58">
        <f>+'Reg. Res''l - SS Mix &amp; Prices'!G20</f>
        <v>7.6586672896786882E-3</v>
      </c>
      <c r="I20" s="58">
        <f>+'Reg. Res''l - SS Mix &amp; Prices'!I20</f>
        <v>1.296935802991918E-2</v>
      </c>
      <c r="J20" s="58">
        <f>+'Reg. Res''l - SS Mix &amp; Prices'!J20</f>
        <v>1.2161876044944479E-2</v>
      </c>
      <c r="K20" s="58">
        <f>+'Reg. Res''l - SS Mix &amp; Prices'!K20</f>
        <v>1.1915104877746061E-3</v>
      </c>
      <c r="L20" s="58">
        <f>+'Reg. Res''l - SS Mix &amp; Prices'!L20</f>
        <v>2.2997904635355449E-3</v>
      </c>
      <c r="M20" s="58">
        <f>+'Reg. Res''l - SS Mix &amp; Prices'!M20</f>
        <v>9.7582664690550214E-2</v>
      </c>
    </row>
    <row r="21" spans="1:17" x14ac:dyDescent="0.2">
      <c r="A21" s="4" t="s">
        <v>43</v>
      </c>
      <c r="B21" s="63">
        <f t="shared" si="0"/>
        <v>1</v>
      </c>
      <c r="C21" s="58">
        <f>+'Reg. Res''l - SS Mix &amp; Prices'!C21</f>
        <v>0</v>
      </c>
      <c r="D21" s="58">
        <f>+'Reg. Res''l - SS Mix &amp; Prices'!D21</f>
        <v>0.31733506205052459</v>
      </c>
      <c r="E21" s="58">
        <f>+'Reg. Res''l - SS Mix &amp; Prices'!E21</f>
        <v>0.30845337315492688</v>
      </c>
      <c r="F21" s="58">
        <f>+'Reg. Res''l - SS Mix &amp; Prices'!F21</f>
        <v>1.0268526205699376E-2</v>
      </c>
      <c r="G21" s="58">
        <f>+'Reg. Res''l - SS Mix &amp; Prices'!H21</f>
        <v>0.21255404487476684</v>
      </c>
      <c r="H21" s="58">
        <f>+'Reg. Res''l - SS Mix &amp; Prices'!G21</f>
        <v>5.2238886432984357E-3</v>
      </c>
      <c r="I21" s="58">
        <f>+'Reg. Res''l - SS Mix &amp; Prices'!I21</f>
        <v>1.0504382891090817E-2</v>
      </c>
      <c r="J21" s="58">
        <f>+'Reg. Res''l - SS Mix &amp; Prices'!J21</f>
        <v>1.298424746892083E-2</v>
      </c>
      <c r="K21" s="58">
        <f>+'Reg. Res''l - SS Mix &amp; Prices'!K21</f>
        <v>4.1376001380098547E-4</v>
      </c>
      <c r="L21" s="58">
        <f>+'Reg. Res''l - SS Mix &amp; Prices'!L21</f>
        <v>1.0647244654813634E-4</v>
      </c>
      <c r="M21" s="58">
        <f>+'Reg. Res''l - SS Mix &amp; Prices'!M21</f>
        <v>0.1221562422504231</v>
      </c>
    </row>
    <row r="24" spans="1:17" x14ac:dyDescent="0.2">
      <c r="A24" s="12" t="s">
        <v>59</v>
      </c>
    </row>
    <row r="25" spans="1:17" x14ac:dyDescent="0.2">
      <c r="A25" s="4" t="s">
        <v>58</v>
      </c>
      <c r="B25" s="68">
        <f>+'Calculation of Revenue'!D33</f>
        <v>33.89</v>
      </c>
      <c r="C25" s="21">
        <f t="shared" ref="C25:M25" si="1">+$B25*C10</f>
        <v>0</v>
      </c>
      <c r="D25" s="21">
        <f t="shared" si="1"/>
        <v>11.290201143879367</v>
      </c>
      <c r="E25" s="21">
        <f t="shared" si="1"/>
        <v>7.627136654585434</v>
      </c>
      <c r="F25" s="21">
        <f t="shared" si="1"/>
        <v>0.22603768386390047</v>
      </c>
      <c r="G25" s="21">
        <f t="shared" si="1"/>
        <v>7.4522517812387283</v>
      </c>
      <c r="H25" s="21">
        <f t="shared" si="1"/>
        <v>0.24949399909224376</v>
      </c>
      <c r="I25" s="21">
        <f t="shared" si="1"/>
        <v>0.22964634774518403</v>
      </c>
      <c r="J25" s="21">
        <f t="shared" si="1"/>
        <v>0.34995017988747551</v>
      </c>
      <c r="K25" s="21">
        <f t="shared" si="1"/>
        <v>2.3997614810535833E-2</v>
      </c>
      <c r="L25" s="21">
        <f t="shared" si="1"/>
        <v>4.2897991888758598E-2</v>
      </c>
      <c r="M25" s="21">
        <f t="shared" si="1"/>
        <v>6.3983866030083725</v>
      </c>
      <c r="O25" s="68"/>
      <c r="Q25" s="69"/>
    </row>
    <row r="26" spans="1:17" x14ac:dyDescent="0.2">
      <c r="A26" s="4" t="s">
        <v>35</v>
      </c>
      <c r="B26" s="68">
        <f>+'Calculation of Revenue'!D34</f>
        <v>38.92</v>
      </c>
      <c r="C26" s="21">
        <f t="shared" ref="C26:M26" si="2">+$B26*C11</f>
        <v>0</v>
      </c>
      <c r="D26" s="21">
        <f t="shared" si="2"/>
        <v>13.408513462834863</v>
      </c>
      <c r="E26" s="21">
        <f t="shared" si="2"/>
        <v>7.418906854657684</v>
      </c>
      <c r="F26" s="21">
        <f t="shared" si="2"/>
        <v>0.2327558444615094</v>
      </c>
      <c r="G26" s="21">
        <f t="shared" si="2"/>
        <v>8.2171475544277577</v>
      </c>
      <c r="H26" s="21">
        <f t="shared" si="2"/>
        <v>0.36856526609469353</v>
      </c>
      <c r="I26" s="21">
        <f t="shared" si="2"/>
        <v>0.27124472829988566</v>
      </c>
      <c r="J26" s="21">
        <f t="shared" si="2"/>
        <v>0.38982215396383108</v>
      </c>
      <c r="K26" s="21">
        <f t="shared" si="2"/>
        <v>5.4078659155765069E-2</v>
      </c>
      <c r="L26" s="21">
        <f t="shared" si="2"/>
        <v>8.2927031657727746E-2</v>
      </c>
      <c r="M26" s="21">
        <f t="shared" si="2"/>
        <v>8.4760384444462833</v>
      </c>
      <c r="O26" s="68"/>
      <c r="Q26" s="69"/>
    </row>
    <row r="27" spans="1:17" x14ac:dyDescent="0.2">
      <c r="A27" s="4" t="s">
        <v>36</v>
      </c>
      <c r="B27" s="68">
        <f>+'Calculation of Revenue'!D35</f>
        <v>41.02</v>
      </c>
      <c r="C27" s="21">
        <f t="shared" ref="C27:M27" si="3">+$B27*C12</f>
        <v>0</v>
      </c>
      <c r="D27" s="21">
        <f t="shared" si="3"/>
        <v>15.995331090602299</v>
      </c>
      <c r="E27" s="21">
        <f t="shared" si="3"/>
        <v>7.2601049356253586</v>
      </c>
      <c r="F27" s="21">
        <f t="shared" si="3"/>
        <v>0.23789583599531008</v>
      </c>
      <c r="G27" s="21">
        <f t="shared" si="3"/>
        <v>9.2089046523683091</v>
      </c>
      <c r="H27" s="21">
        <f t="shared" si="3"/>
        <v>0.35976117824171305</v>
      </c>
      <c r="I27" s="21">
        <f t="shared" si="3"/>
        <v>1.0422727179866826E-2</v>
      </c>
      <c r="J27" s="21">
        <f t="shared" si="3"/>
        <v>0.59893256257931293</v>
      </c>
      <c r="K27" s="21">
        <f t="shared" si="3"/>
        <v>2.1214147000804158E-2</v>
      </c>
      <c r="L27" s="21">
        <f t="shared" si="3"/>
        <v>0.17166181411987969</v>
      </c>
      <c r="M27" s="21">
        <f t="shared" si="3"/>
        <v>7.1557710562871524</v>
      </c>
      <c r="O27" s="68"/>
      <c r="Q27" s="69"/>
    </row>
    <row r="28" spans="1:17" x14ac:dyDescent="0.2">
      <c r="A28" s="4" t="s">
        <v>37</v>
      </c>
      <c r="B28" s="68">
        <f>+'Calculation of Revenue'!D36</f>
        <v>40.82</v>
      </c>
      <c r="C28" s="21">
        <f t="shared" ref="C28:M28" si="4">+$B28*C13</f>
        <v>0</v>
      </c>
      <c r="D28" s="21">
        <f t="shared" si="4"/>
        <v>15.160629553939771</v>
      </c>
      <c r="E28" s="21">
        <f t="shared" si="4"/>
        <v>8.0675606402697895</v>
      </c>
      <c r="F28" s="21">
        <f t="shared" si="4"/>
        <v>0.24423242844183274</v>
      </c>
      <c r="G28" s="21">
        <f t="shared" si="4"/>
        <v>10.190871137408188</v>
      </c>
      <c r="H28" s="21">
        <f t="shared" si="4"/>
        <v>0.43911893568901667</v>
      </c>
      <c r="I28" s="21">
        <f t="shared" si="4"/>
        <v>6.0249718352611226E-2</v>
      </c>
      <c r="J28" s="21">
        <f t="shared" si="4"/>
        <v>0.50234890480426397</v>
      </c>
      <c r="K28" s="21">
        <f t="shared" si="4"/>
        <v>1.335782998699654E-2</v>
      </c>
      <c r="L28" s="21">
        <f t="shared" si="4"/>
        <v>0.16730156659797224</v>
      </c>
      <c r="M28" s="21">
        <f t="shared" si="4"/>
        <v>5.9743292845095555</v>
      </c>
      <c r="O28" s="68"/>
      <c r="Q28" s="69"/>
    </row>
    <row r="29" spans="1:17" x14ac:dyDescent="0.2">
      <c r="A29" s="4" t="s">
        <v>45</v>
      </c>
      <c r="B29" s="68">
        <f>+'Calculation of Revenue'!D37</f>
        <v>51.11</v>
      </c>
      <c r="C29" s="21">
        <f t="shared" ref="C29:M29" si="5">+$B29*C14</f>
        <v>0</v>
      </c>
      <c r="D29" s="21">
        <f t="shared" si="5"/>
        <v>20.087194279278158</v>
      </c>
      <c r="E29" s="21">
        <f t="shared" si="5"/>
        <v>9.8583680373455458</v>
      </c>
      <c r="F29" s="21">
        <f t="shared" si="5"/>
        <v>0.26388160703926627</v>
      </c>
      <c r="G29" s="21">
        <f t="shared" si="5"/>
        <v>11.308599095916261</v>
      </c>
      <c r="H29" s="21">
        <f t="shared" si="5"/>
        <v>0.51677279121037134</v>
      </c>
      <c r="I29" s="21">
        <f t="shared" si="5"/>
        <v>0.17890010592371994</v>
      </c>
      <c r="J29" s="21">
        <f t="shared" si="5"/>
        <v>0.62972923290192473</v>
      </c>
      <c r="K29" s="21">
        <f t="shared" si="5"/>
        <v>2.1718000507616488E-2</v>
      </c>
      <c r="L29" s="21">
        <f t="shared" si="5"/>
        <v>0.1787518072347094</v>
      </c>
      <c r="M29" s="21">
        <f t="shared" si="5"/>
        <v>8.0660850426424329</v>
      </c>
      <c r="O29" s="68"/>
      <c r="Q29" s="69"/>
    </row>
    <row r="30" spans="1:17" x14ac:dyDescent="0.2">
      <c r="A30" s="4" t="s">
        <v>38</v>
      </c>
      <c r="B30" s="68">
        <f>+'Calculation of Revenue'!D38</f>
        <v>33.950000000000003</v>
      </c>
      <c r="C30" s="21">
        <f t="shared" ref="C30:M30" si="6">+$B30*C15</f>
        <v>0</v>
      </c>
      <c r="D30" s="21">
        <f t="shared" si="6"/>
        <v>12.673450131035041</v>
      </c>
      <c r="E30" s="21">
        <f t="shared" si="6"/>
        <v>7.6925726185713907</v>
      </c>
      <c r="F30" s="21">
        <f t="shared" si="6"/>
        <v>0.22923809044507684</v>
      </c>
      <c r="G30" s="21">
        <f t="shared" si="6"/>
        <v>7.5470714721501553</v>
      </c>
      <c r="H30" s="21">
        <f t="shared" si="6"/>
        <v>0.36273068122017588</v>
      </c>
      <c r="I30" s="21">
        <f t="shared" si="6"/>
        <v>0.21211791047021153</v>
      </c>
      <c r="J30" s="21">
        <f t="shared" si="6"/>
        <v>0.36874939659303463</v>
      </c>
      <c r="K30" s="21">
        <f t="shared" si="6"/>
        <v>2.0114389030032126E-2</v>
      </c>
      <c r="L30" s="21">
        <f t="shared" si="6"/>
        <v>0.35112049423067987</v>
      </c>
      <c r="M30" s="21">
        <f t="shared" si="6"/>
        <v>4.4928348162541996</v>
      </c>
      <c r="O30" s="68"/>
      <c r="Q30" s="69"/>
    </row>
    <row r="31" spans="1:17" x14ac:dyDescent="0.2">
      <c r="A31" s="4" t="s">
        <v>39</v>
      </c>
      <c r="B31" s="68">
        <f>+'Calculation of Revenue'!D39</f>
        <v>42.5</v>
      </c>
      <c r="C31" s="21">
        <f t="shared" ref="C31:M31" si="7">+$B31*C16</f>
        <v>0</v>
      </c>
      <c r="D31" s="21">
        <f t="shared" si="7"/>
        <v>17.426504954289975</v>
      </c>
      <c r="E31" s="21">
        <f t="shared" si="7"/>
        <v>7.6689165085865278</v>
      </c>
      <c r="F31" s="21">
        <f t="shared" si="7"/>
        <v>0.20951628152916502</v>
      </c>
      <c r="G31" s="21">
        <f t="shared" si="7"/>
        <v>9.0273727938588415</v>
      </c>
      <c r="H31" s="21">
        <f t="shared" si="7"/>
        <v>0.27844731295609254</v>
      </c>
      <c r="I31" s="21">
        <f t="shared" si="7"/>
        <v>0.18704496200908724</v>
      </c>
      <c r="J31" s="21">
        <f t="shared" si="7"/>
        <v>0.67780251603373609</v>
      </c>
      <c r="K31" s="21">
        <f t="shared" si="7"/>
        <v>0.11996342394951146</v>
      </c>
      <c r="L31" s="21">
        <f t="shared" si="7"/>
        <v>0.21752346032414516</v>
      </c>
      <c r="M31" s="21">
        <f t="shared" si="7"/>
        <v>6.6869077864629292</v>
      </c>
      <c r="O31" s="68"/>
      <c r="Q31" s="69"/>
    </row>
    <row r="32" spans="1:17" x14ac:dyDescent="0.2">
      <c r="A32" s="4" t="s">
        <v>40</v>
      </c>
      <c r="B32" s="68">
        <f>+'Calculation of Revenue'!D40</f>
        <v>36.61</v>
      </c>
      <c r="C32" s="21">
        <f t="shared" ref="C32:M32" si="8">+$B32*C17</f>
        <v>0</v>
      </c>
      <c r="D32" s="21">
        <f t="shared" si="8"/>
        <v>15.511365457848498</v>
      </c>
      <c r="E32" s="21">
        <f t="shared" si="8"/>
        <v>7.4947064654135866</v>
      </c>
      <c r="F32" s="21">
        <f t="shared" si="8"/>
        <v>0.16321673866386177</v>
      </c>
      <c r="G32" s="21">
        <f t="shared" si="8"/>
        <v>7.2514776704307007</v>
      </c>
      <c r="H32" s="21">
        <f t="shared" si="8"/>
        <v>0.18192338749383793</v>
      </c>
      <c r="I32" s="21">
        <f t="shared" si="8"/>
        <v>0.27380509803605835</v>
      </c>
      <c r="J32" s="21">
        <f t="shared" si="8"/>
        <v>0.40060103078126769</v>
      </c>
      <c r="K32" s="21">
        <f t="shared" si="8"/>
        <v>4.2005914409631973E-2</v>
      </c>
      <c r="L32" s="21">
        <f t="shared" si="8"/>
        <v>9.3485387802017858E-2</v>
      </c>
      <c r="M32" s="21">
        <f t="shared" si="8"/>
        <v>5.1974128491205347</v>
      </c>
      <c r="O32" s="68"/>
      <c r="Q32" s="69"/>
    </row>
    <row r="33" spans="1:17" x14ac:dyDescent="0.2">
      <c r="A33" s="4" t="s">
        <v>10</v>
      </c>
      <c r="B33" s="68">
        <f>+'Calculation of Revenue'!D41</f>
        <v>43.69</v>
      </c>
      <c r="C33" s="21">
        <f t="shared" ref="C33:M33" si="9">+$B33*C18</f>
        <v>0</v>
      </c>
      <c r="D33" s="21">
        <f t="shared" si="9"/>
        <v>20.993495485659821</v>
      </c>
      <c r="E33" s="21">
        <f t="shared" si="9"/>
        <v>7.3202865421463494</v>
      </c>
      <c r="F33" s="21">
        <f t="shared" si="9"/>
        <v>0.18761614083574957</v>
      </c>
      <c r="G33" s="21">
        <f t="shared" si="9"/>
        <v>8.7605014391123674</v>
      </c>
      <c r="H33" s="21">
        <f t="shared" si="9"/>
        <v>0.25419504881333421</v>
      </c>
      <c r="I33" s="21">
        <f t="shared" si="9"/>
        <v>0.29166604152819092</v>
      </c>
      <c r="J33" s="21">
        <f t="shared" si="9"/>
        <v>0.52107691723633687</v>
      </c>
      <c r="K33" s="21">
        <f t="shared" si="9"/>
        <v>7.3128937041325587E-2</v>
      </c>
      <c r="L33" s="21">
        <f t="shared" si="9"/>
        <v>3.3844348272385541E-2</v>
      </c>
      <c r="M33" s="21">
        <f t="shared" si="9"/>
        <v>5.2541890993541402</v>
      </c>
      <c r="O33" s="68"/>
      <c r="Q33" s="69"/>
    </row>
    <row r="34" spans="1:17" x14ac:dyDescent="0.2">
      <c r="A34" s="4" t="s">
        <v>41</v>
      </c>
      <c r="B34" s="68">
        <f>+'Calculation of Revenue'!D42</f>
        <v>38.99</v>
      </c>
      <c r="C34" s="21">
        <f t="shared" ref="C34:M34" si="10">+$B34*C19</f>
        <v>0</v>
      </c>
      <c r="D34" s="21">
        <f t="shared" si="10"/>
        <v>16.433577367218199</v>
      </c>
      <c r="E34" s="21">
        <f t="shared" si="10"/>
        <v>7.7724213667578272</v>
      </c>
      <c r="F34" s="21">
        <f t="shared" si="10"/>
        <v>0.22357264018064132</v>
      </c>
      <c r="G34" s="21">
        <f t="shared" si="10"/>
        <v>9.5956736097028941</v>
      </c>
      <c r="H34" s="21">
        <f t="shared" si="10"/>
        <v>0.11571286466696991</v>
      </c>
      <c r="I34" s="21">
        <f t="shared" si="10"/>
        <v>9.1779640580726823E-2</v>
      </c>
      <c r="J34" s="21">
        <f t="shared" si="10"/>
        <v>0.65736232674379724</v>
      </c>
      <c r="K34" s="21">
        <f t="shared" si="10"/>
        <v>3.8464110138604958E-3</v>
      </c>
      <c r="L34" s="21">
        <f t="shared" si="10"/>
        <v>0.18083474002663583</v>
      </c>
      <c r="M34" s="21">
        <f t="shared" si="10"/>
        <v>3.915219033108448</v>
      </c>
      <c r="O34" s="68"/>
      <c r="Q34" s="69"/>
    </row>
    <row r="35" spans="1:17" x14ac:dyDescent="0.2">
      <c r="A35" s="4" t="s">
        <v>42</v>
      </c>
      <c r="B35" s="68">
        <f>+'Calculation of Revenue'!D43</f>
        <v>40.43</v>
      </c>
      <c r="C35" s="21">
        <f t="shared" ref="C35:M35" si="11">+$B35*C20</f>
        <v>0</v>
      </c>
      <c r="D35" s="21">
        <f t="shared" si="11"/>
        <v>14.160137505566956</v>
      </c>
      <c r="E35" s="21">
        <f t="shared" si="11"/>
        <v>12.128498200322701</v>
      </c>
      <c r="F35" s="21">
        <f t="shared" si="11"/>
        <v>0.3732799246544839</v>
      </c>
      <c r="G35" s="21">
        <f t="shared" si="11"/>
        <v>8.3559682263869934</v>
      </c>
      <c r="H35" s="21">
        <f t="shared" si="11"/>
        <v>0.30963991852170936</v>
      </c>
      <c r="I35" s="21">
        <f t="shared" si="11"/>
        <v>0.52435114514963244</v>
      </c>
      <c r="J35" s="21">
        <f t="shared" si="11"/>
        <v>0.49170464849710527</v>
      </c>
      <c r="K35" s="21">
        <f t="shared" si="11"/>
        <v>4.8172769020727327E-2</v>
      </c>
      <c r="L35" s="21">
        <f t="shared" si="11"/>
        <v>9.2980528440742075E-2</v>
      </c>
      <c r="M35" s="21">
        <f t="shared" si="11"/>
        <v>3.9452671334389451</v>
      </c>
      <c r="O35" s="68"/>
      <c r="Q35" s="69"/>
    </row>
    <row r="36" spans="1:17" ht="15" x14ac:dyDescent="0.35">
      <c r="A36" s="4" t="s">
        <v>43</v>
      </c>
      <c r="B36" s="71">
        <f>+'Calculation of Revenue'!D44</f>
        <v>41.11</v>
      </c>
      <c r="C36" s="28">
        <f t="shared" ref="C36:M36" si="12">+$B36*C21</f>
        <v>0</v>
      </c>
      <c r="D36" s="28">
        <f t="shared" si="12"/>
        <v>13.045644400897066</v>
      </c>
      <c r="E36" s="28">
        <f t="shared" si="12"/>
        <v>12.680518170399043</v>
      </c>
      <c r="F36" s="28">
        <f t="shared" si="12"/>
        <v>0.42213911231630136</v>
      </c>
      <c r="G36" s="28">
        <f t="shared" si="12"/>
        <v>8.7380967848016642</v>
      </c>
      <c r="H36" s="28">
        <f t="shared" si="12"/>
        <v>0.21475406212599868</v>
      </c>
      <c r="I36" s="28">
        <f t="shared" si="12"/>
        <v>0.43183518065274351</v>
      </c>
      <c r="J36" s="28">
        <f t="shared" si="12"/>
        <v>0.53378241344733535</v>
      </c>
      <c r="K36" s="28">
        <f t="shared" si="12"/>
        <v>1.7009674167358511E-2</v>
      </c>
      <c r="L36" s="28">
        <f t="shared" si="12"/>
        <v>4.3770822775938845E-3</v>
      </c>
      <c r="M36" s="28">
        <f t="shared" si="12"/>
        <v>5.0218431189148935</v>
      </c>
      <c r="O36" s="71"/>
      <c r="Q36" s="69"/>
    </row>
    <row r="37" spans="1:17" ht="15" x14ac:dyDescent="0.35">
      <c r="B37" s="31">
        <f>SUM(B25:B36)</f>
        <v>483.04</v>
      </c>
      <c r="C37" s="31">
        <f>SUM(C25:C36)</f>
        <v>0</v>
      </c>
      <c r="D37" s="31">
        <f t="shared" ref="D37:L37" si="13">SUM(D25:D36)</f>
        <v>186.18604483305</v>
      </c>
      <c r="E37" s="31">
        <f t="shared" si="13"/>
        <v>102.98999699468123</v>
      </c>
      <c r="F37" s="31">
        <f t="shared" si="13"/>
        <v>3.0133823284270984</v>
      </c>
      <c r="G37" s="31">
        <f>SUM(G25:G36)</f>
        <v>105.65393621780287</v>
      </c>
      <c r="H37" s="31">
        <f t="shared" si="13"/>
        <v>3.6511154461261563</v>
      </c>
      <c r="I37" s="31">
        <f t="shared" si="13"/>
        <v>2.7630636059279179</v>
      </c>
      <c r="J37" s="31">
        <f t="shared" si="13"/>
        <v>6.1218622834694214</v>
      </c>
      <c r="K37" s="31">
        <f t="shared" si="13"/>
        <v>0.45860777009416559</v>
      </c>
      <c r="L37" s="31">
        <f t="shared" si="13"/>
        <v>1.617706252873248</v>
      </c>
      <c r="M37" s="31">
        <f t="shared" ref="M37" si="14">SUM(M25:M36)</f>
        <v>70.584284267547886</v>
      </c>
      <c r="O37" s="31"/>
      <c r="Q37" s="69"/>
    </row>
    <row r="40" spans="1:17" x14ac:dyDescent="0.2">
      <c r="A40" s="12" t="s">
        <v>57</v>
      </c>
    </row>
    <row r="41" spans="1:17" x14ac:dyDescent="0.2">
      <c r="A41" s="4" t="s">
        <v>58</v>
      </c>
      <c r="C41" s="18">
        <f>+'Reg. Res''l - SS Mix &amp; Prices'!C41</f>
        <v>0</v>
      </c>
      <c r="D41" s="18">
        <f>+'Reg. Res''l - SS Mix &amp; Prices'!D41</f>
        <v>7.29</v>
      </c>
      <c r="E41" s="18">
        <f>+'Reg. Res''l - SS Mix &amp; Prices'!E41</f>
        <v>92.43</v>
      </c>
      <c r="F41" s="18">
        <f>+'Reg. Res''l - SS Mix &amp; Prices'!F41</f>
        <v>1328.12</v>
      </c>
      <c r="G41" s="18">
        <f>+'Reg. Res''l - SS Mix &amp; Prices'!H41</f>
        <v>-63.5</v>
      </c>
      <c r="H41" s="18">
        <f>+'Reg. Res''l - SS Mix &amp; Prices'!G41</f>
        <v>173.73</v>
      </c>
      <c r="I41" s="18">
        <f>+'Reg. Res''l - SS Mix &amp; Prices'!I41</f>
        <v>80</v>
      </c>
      <c r="J41" s="18">
        <f>+'Reg. Res''l - SS Mix &amp; Prices'!J41</f>
        <v>680</v>
      </c>
      <c r="K41" s="18">
        <f>+'Reg. Res''l - SS Mix &amp; Prices'!K41</f>
        <v>110</v>
      </c>
      <c r="L41" s="18">
        <f>+'Reg. Res''l - SS Mix &amp; Prices'!L41</f>
        <v>-187.5</v>
      </c>
    </row>
    <row r="42" spans="1:17" x14ac:dyDescent="0.2">
      <c r="A42" s="4" t="s">
        <v>35</v>
      </c>
      <c r="C42" s="18">
        <f>+'Reg. Res''l - SS Mix &amp; Prices'!C42</f>
        <v>0</v>
      </c>
      <c r="D42" s="18">
        <f>+'Reg. Res''l - SS Mix &amp; Prices'!D42</f>
        <v>-6.75</v>
      </c>
      <c r="E42" s="18">
        <f>+'Reg. Res''l - SS Mix &amp; Prices'!E42</f>
        <v>56.95</v>
      </c>
      <c r="F42" s="18">
        <f>+'Reg. Res''l - SS Mix &amp; Prices'!F42</f>
        <v>1267.69</v>
      </c>
      <c r="G42" s="18">
        <f>+'Reg. Res''l - SS Mix &amp; Prices'!H42</f>
        <v>-63.5</v>
      </c>
      <c r="H42" s="18">
        <f>+'Reg. Res''l - SS Mix &amp; Prices'!G42</f>
        <v>160.69999999999999</v>
      </c>
      <c r="I42" s="18">
        <f>+'Reg. Res''l - SS Mix &amp; Prices'!I42</f>
        <v>80</v>
      </c>
      <c r="J42" s="18">
        <f>+'Reg. Res''l - SS Mix &amp; Prices'!J42</f>
        <v>780</v>
      </c>
      <c r="K42" s="18">
        <f>+'Reg. Res''l - SS Mix &amp; Prices'!K42</f>
        <v>130</v>
      </c>
      <c r="L42" s="18">
        <f>+'Reg. Res''l - SS Mix &amp; Prices'!L42</f>
        <v>-187.5</v>
      </c>
    </row>
    <row r="43" spans="1:17" x14ac:dyDescent="0.2">
      <c r="A43" s="4" t="s">
        <v>36</v>
      </c>
      <c r="C43" s="18">
        <f>+'Reg. Res''l - SS Mix &amp; Prices'!C43</f>
        <v>0</v>
      </c>
      <c r="D43" s="18">
        <f>+'Reg. Res''l - SS Mix &amp; Prices'!D43</f>
        <v>-1.48</v>
      </c>
      <c r="E43" s="18">
        <f>+'Reg. Res''l - SS Mix &amp; Prices'!E43</f>
        <v>49.61</v>
      </c>
      <c r="F43" s="18">
        <f>+'Reg. Res''l - SS Mix &amp; Prices'!F43</f>
        <v>1316.23</v>
      </c>
      <c r="G43" s="18">
        <f>+'Reg. Res''l - SS Mix &amp; Prices'!H43</f>
        <v>-63.5</v>
      </c>
      <c r="H43" s="18">
        <f>+'Reg. Res''l - SS Mix &amp; Prices'!G43</f>
        <v>150.69</v>
      </c>
      <c r="I43" s="18">
        <f>+'Reg. Res''l - SS Mix &amp; Prices'!I43</f>
        <v>81.69</v>
      </c>
      <c r="J43" s="18">
        <f>+'Reg. Res''l - SS Mix &amp; Prices'!J43</f>
        <v>1090</v>
      </c>
      <c r="K43" s="18">
        <f>+'Reg. Res''l - SS Mix &amp; Prices'!K43</f>
        <v>160</v>
      </c>
      <c r="L43" s="18">
        <f>+'Reg. Res''l - SS Mix &amp; Prices'!L43</f>
        <v>-187.5</v>
      </c>
    </row>
    <row r="44" spans="1:17" x14ac:dyDescent="0.2">
      <c r="A44" s="4" t="s">
        <v>37</v>
      </c>
      <c r="C44" s="18">
        <f>+'Reg. Res''l - SS Mix &amp; Prices'!C44</f>
        <v>0</v>
      </c>
      <c r="D44" s="18">
        <f>+'Reg. Res''l - SS Mix &amp; Prices'!D44</f>
        <v>7.13</v>
      </c>
      <c r="E44" s="18">
        <f>+'Reg. Res''l - SS Mix &amp; Prices'!E44</f>
        <v>66.06</v>
      </c>
      <c r="F44" s="18">
        <f>+'Reg. Res''l - SS Mix &amp; Prices'!F44</f>
        <v>1341.18</v>
      </c>
      <c r="G44" s="18">
        <f>+'Reg. Res''l - SS Mix &amp; Prices'!H44</f>
        <v>-63.5</v>
      </c>
      <c r="H44" s="18">
        <f>+'Reg. Res''l - SS Mix &amp; Prices'!G44</f>
        <v>164.25</v>
      </c>
      <c r="I44" s="18">
        <f>+'Reg. Res''l - SS Mix &amp; Prices'!I44</f>
        <v>85.14</v>
      </c>
      <c r="J44" s="18">
        <f>+'Reg. Res''l - SS Mix &amp; Prices'!J44</f>
        <v>1090</v>
      </c>
      <c r="K44" s="18">
        <f>+'Reg. Res''l - SS Mix &amp; Prices'!K44</f>
        <v>80</v>
      </c>
      <c r="L44" s="18">
        <f>+'Reg. Res''l - SS Mix &amp; Prices'!L44</f>
        <v>-187.5</v>
      </c>
    </row>
    <row r="45" spans="1:17" x14ac:dyDescent="0.2">
      <c r="A45" s="4" t="s">
        <v>45</v>
      </c>
      <c r="C45" s="18">
        <f>+'Reg. Res''l - SS Mix &amp; Prices'!C45</f>
        <v>0</v>
      </c>
      <c r="D45" s="18">
        <f>+'Reg. Res''l - SS Mix &amp; Prices'!D45</f>
        <v>22.2</v>
      </c>
      <c r="E45" s="18">
        <f>+'Reg. Res''l - SS Mix &amp; Prices'!E45</f>
        <v>72.540000000000006</v>
      </c>
      <c r="F45" s="18">
        <f>+'Reg. Res''l - SS Mix &amp; Prices'!F45</f>
        <v>1593.44</v>
      </c>
      <c r="G45" s="18">
        <f>+'Reg. Res''l - SS Mix &amp; Prices'!H45</f>
        <v>-63.5</v>
      </c>
      <c r="H45" s="18">
        <f>+'Reg. Res''l - SS Mix &amp; Prices'!G45</f>
        <v>194.83</v>
      </c>
      <c r="I45" s="18">
        <f>+'Reg. Res''l - SS Mix &amp; Prices'!I45</f>
        <v>117.54</v>
      </c>
      <c r="J45" s="18">
        <f>+'Reg. Res''l - SS Mix &amp; Prices'!J45</f>
        <v>1120</v>
      </c>
      <c r="K45" s="18">
        <f>+'Reg. Res''l - SS Mix &amp; Prices'!K45</f>
        <v>0</v>
      </c>
      <c r="L45" s="18">
        <f>+'Reg. Res''l - SS Mix &amp; Prices'!L45</f>
        <v>-187.5</v>
      </c>
    </row>
    <row r="46" spans="1:17" x14ac:dyDescent="0.2">
      <c r="A46" s="4" t="s">
        <v>38</v>
      </c>
      <c r="C46" s="18">
        <f>+'Reg. Res''l - SS Mix &amp; Prices'!C46</f>
        <v>0</v>
      </c>
      <c r="D46" s="18">
        <f>+'Reg. Res''l - SS Mix &amp; Prices'!D46</f>
        <v>29.15</v>
      </c>
      <c r="E46" s="18">
        <f>+'Reg. Res''l - SS Mix &amp; Prices'!E46</f>
        <v>93.76</v>
      </c>
      <c r="F46" s="18">
        <f>+'Reg. Res''l - SS Mix &amp; Prices'!F46</f>
        <v>1514.29</v>
      </c>
      <c r="G46" s="18">
        <f>+'Reg. Res''l - SS Mix &amp; Prices'!H46</f>
        <v>-63.5</v>
      </c>
      <c r="H46" s="18">
        <f>+'Reg. Res''l - SS Mix &amp; Prices'!G46</f>
        <v>216.74</v>
      </c>
      <c r="I46" s="18">
        <f>+'Reg. Res''l - SS Mix &amp; Prices'!I46</f>
        <v>117.77</v>
      </c>
      <c r="J46" s="18">
        <f>+'Reg. Res''l - SS Mix &amp; Prices'!J46</f>
        <v>1200</v>
      </c>
      <c r="K46" s="18">
        <f>+'Reg. Res''l - SS Mix &amp; Prices'!K46</f>
        <v>0</v>
      </c>
      <c r="L46" s="18">
        <f>+'Reg. Res''l - SS Mix &amp; Prices'!L46</f>
        <v>-187.5</v>
      </c>
    </row>
    <row r="47" spans="1:17" x14ac:dyDescent="0.2">
      <c r="A47" s="4" t="s">
        <v>39</v>
      </c>
      <c r="C47" s="18">
        <f>+'Reg. Res''l - SS Mix &amp; Prices'!C47</f>
        <v>0</v>
      </c>
      <c r="D47" s="18">
        <f>+'Reg. Res''l - SS Mix &amp; Prices'!D47</f>
        <v>33.89</v>
      </c>
      <c r="E47" s="18">
        <f>+'Reg. Res''l - SS Mix &amp; Prices'!E47</f>
        <v>97.41</v>
      </c>
      <c r="F47" s="18">
        <f>+'Reg. Res''l - SS Mix &amp; Prices'!F47</f>
        <v>1436.01</v>
      </c>
      <c r="G47" s="18">
        <f>+'Reg. Res''l - SS Mix &amp; Prices'!H47</f>
        <v>-63.5</v>
      </c>
      <c r="H47" s="18">
        <f>+'Reg. Res''l - SS Mix &amp; Prices'!G47</f>
        <v>245.44</v>
      </c>
      <c r="I47" s="18">
        <f>+'Reg. Res''l - SS Mix &amp; Prices'!I47</f>
        <v>177.16</v>
      </c>
      <c r="J47" s="18">
        <f>+'Reg. Res''l - SS Mix &amp; Prices'!J47</f>
        <v>1270</v>
      </c>
      <c r="K47" s="18">
        <f>+'Reg. Res''l - SS Mix &amp; Prices'!K47</f>
        <v>0</v>
      </c>
      <c r="L47" s="18">
        <f>+'Reg. Res''l - SS Mix &amp; Prices'!L47</f>
        <v>-187.5</v>
      </c>
      <c r="M47" s="38"/>
    </row>
    <row r="48" spans="1:17" x14ac:dyDescent="0.2">
      <c r="A48" s="4" t="s">
        <v>40</v>
      </c>
      <c r="C48" s="18">
        <f>+'Reg. Res''l - SS Mix &amp; Prices'!C48</f>
        <v>0</v>
      </c>
      <c r="D48" s="18">
        <f>+'Reg. Res''l - SS Mix &amp; Prices'!D48</f>
        <v>31.79</v>
      </c>
      <c r="E48" s="18">
        <f>+'Reg. Res''l - SS Mix &amp; Prices'!E48</f>
        <v>111.36</v>
      </c>
      <c r="F48" s="18">
        <f>+'Reg. Res''l - SS Mix &amp; Prices'!F48</f>
        <v>1456.28</v>
      </c>
      <c r="G48" s="18">
        <f>+'Reg. Res''l - SS Mix &amp; Prices'!H48</f>
        <v>-63.5</v>
      </c>
      <c r="H48" s="18">
        <f>+'Reg. Res''l - SS Mix &amp; Prices'!G48</f>
        <v>240.11</v>
      </c>
      <c r="I48" s="18">
        <f>+'Reg. Res''l - SS Mix &amp; Prices'!I48</f>
        <v>200</v>
      </c>
      <c r="J48" s="18">
        <f>+'Reg. Res''l - SS Mix &amp; Prices'!J48</f>
        <v>1245</v>
      </c>
      <c r="K48" s="18">
        <f>+'Reg. Res''l - SS Mix &amp; Prices'!K48</f>
        <v>270</v>
      </c>
      <c r="L48" s="18">
        <f>+'Reg. Res''l - SS Mix &amp; Prices'!L48</f>
        <v>-187.5</v>
      </c>
    </row>
    <row r="49" spans="1:12" x14ac:dyDescent="0.2">
      <c r="A49" s="4" t="s">
        <v>10</v>
      </c>
      <c r="C49" s="18">
        <f>+'Reg. Res''l - SS Mix &amp; Prices'!C49</f>
        <v>0</v>
      </c>
      <c r="D49" s="18">
        <f>+'Reg. Res''l - SS Mix &amp; Prices'!D49</f>
        <v>29.51</v>
      </c>
      <c r="E49" s="18">
        <f>+'Reg. Res''l - SS Mix &amp; Prices'!E49</f>
        <v>107.18</v>
      </c>
      <c r="F49" s="18">
        <f>+'Reg. Res''l - SS Mix &amp; Prices'!F49</f>
        <v>1489.45</v>
      </c>
      <c r="G49" s="18">
        <f>+'Reg. Res''l - SS Mix &amp; Prices'!H49</f>
        <v>-63.5</v>
      </c>
      <c r="H49" s="18">
        <f>+'Reg. Res''l - SS Mix &amp; Prices'!G49</f>
        <v>204.62</v>
      </c>
      <c r="I49" s="18">
        <f>+'Reg. Res''l - SS Mix &amp; Prices'!I49</f>
        <v>200</v>
      </c>
      <c r="J49" s="18">
        <f>+'Reg. Res''l - SS Mix &amp; Prices'!J49</f>
        <v>1380</v>
      </c>
      <c r="K49" s="18">
        <f>+'Reg. Res''l - SS Mix &amp; Prices'!K49</f>
        <v>0</v>
      </c>
      <c r="L49" s="18">
        <f>+'Reg. Res''l - SS Mix &amp; Prices'!L49</f>
        <v>-187.5</v>
      </c>
    </row>
    <row r="50" spans="1:12" x14ac:dyDescent="0.2">
      <c r="A50" s="4" t="s">
        <v>41</v>
      </c>
      <c r="C50" s="18">
        <f>+'Reg. Res''l - SS Mix &amp; Prices'!C50</f>
        <v>0</v>
      </c>
      <c r="D50" s="18">
        <f>+'Reg. Res''l - SS Mix &amp; Prices'!D50</f>
        <v>40.299999999999997</v>
      </c>
      <c r="E50" s="18">
        <f>+'Reg. Res''l - SS Mix &amp; Prices'!E50</f>
        <v>96.36</v>
      </c>
      <c r="F50" s="18">
        <f>+'Reg. Res''l - SS Mix &amp; Prices'!F50</f>
        <v>1422.54</v>
      </c>
      <c r="G50" s="18">
        <f>+'Reg. Res''l - SS Mix &amp; Prices'!H50</f>
        <v>-63.5</v>
      </c>
      <c r="H50" s="18">
        <f>+'Reg. Res''l - SS Mix &amp; Prices'!G50</f>
        <v>182.84</v>
      </c>
      <c r="I50" s="18">
        <f>+'Reg. Res''l - SS Mix &amp; Prices'!I50</f>
        <v>136.56</v>
      </c>
      <c r="J50" s="18">
        <f>+'Reg. Res''l - SS Mix &amp; Prices'!J50</f>
        <v>1112.08</v>
      </c>
      <c r="K50" s="18">
        <f>+'Reg. Res''l - SS Mix &amp; Prices'!K50</f>
        <v>-102.27</v>
      </c>
      <c r="L50" s="18">
        <f>+'Reg. Res''l - SS Mix &amp; Prices'!L50</f>
        <v>-187.5</v>
      </c>
    </row>
    <row r="51" spans="1:12" x14ac:dyDescent="0.2">
      <c r="A51" s="4" t="s">
        <v>42</v>
      </c>
      <c r="C51" s="18">
        <f>+'Reg. Res''l - SS Mix &amp; Prices'!C51</f>
        <v>0</v>
      </c>
      <c r="D51" s="18">
        <f>+'Reg. Res''l - SS Mix &amp; Prices'!D51</f>
        <v>36.71</v>
      </c>
      <c r="E51" s="18">
        <f>+'Reg. Res''l - SS Mix &amp; Prices'!E51</f>
        <v>98.6</v>
      </c>
      <c r="F51" s="18">
        <f>+'Reg. Res''l - SS Mix &amp; Prices'!F51</f>
        <v>1396.05</v>
      </c>
      <c r="G51" s="18">
        <f>+'Reg. Res''l - SS Mix &amp; Prices'!H51</f>
        <v>-63.5</v>
      </c>
      <c r="H51" s="18">
        <f>+'Reg. Res''l - SS Mix &amp; Prices'!G51</f>
        <v>181.18</v>
      </c>
      <c r="I51" s="18">
        <f>+'Reg. Res''l - SS Mix &amp; Prices'!I51</f>
        <v>37.75</v>
      </c>
      <c r="J51" s="18">
        <f>+'Reg. Res''l - SS Mix &amp; Prices'!J51</f>
        <v>260</v>
      </c>
      <c r="K51" s="18">
        <f>+'Reg. Res''l - SS Mix &amp; Prices'!K51</f>
        <v>-143.72999999999999</v>
      </c>
      <c r="L51" s="18">
        <f>+'Reg. Res''l - SS Mix &amp; Prices'!L51</f>
        <v>-187.5</v>
      </c>
    </row>
    <row r="52" spans="1:12" x14ac:dyDescent="0.2">
      <c r="A52" s="4" t="s">
        <v>43</v>
      </c>
      <c r="C52" s="18">
        <f>+'Reg. Res''l - SS Mix &amp; Prices'!C52</f>
        <v>0</v>
      </c>
      <c r="D52" s="18">
        <f>+'Reg. Res''l - SS Mix &amp; Prices'!D52</f>
        <v>42.07</v>
      </c>
      <c r="E52" s="18">
        <f>+'Reg. Res''l - SS Mix &amp; Prices'!E52</f>
        <v>113.03</v>
      </c>
      <c r="F52" s="18">
        <f>+'Reg. Res''l - SS Mix &amp; Prices'!F52</f>
        <v>1378.89</v>
      </c>
      <c r="G52" s="18">
        <f>+'Reg. Res''l - SS Mix &amp; Prices'!H52</f>
        <v>-63.5</v>
      </c>
      <c r="H52" s="18">
        <f>+'Reg. Res''l - SS Mix &amp; Prices'!G52</f>
        <v>175.76</v>
      </c>
      <c r="I52" s="18">
        <f>+'Reg. Res''l - SS Mix &amp; Prices'!I52</f>
        <v>50.69</v>
      </c>
      <c r="J52" s="18">
        <f>+'Reg. Res''l - SS Mix &amp; Prices'!J52</f>
        <v>483.93</v>
      </c>
      <c r="K52" s="18">
        <f>+'Reg. Res''l - SS Mix &amp; Prices'!K52</f>
        <v>100</v>
      </c>
      <c r="L52" s="18">
        <f>+'Reg. Res''l - SS Mix &amp; Prices'!L52</f>
        <v>-187.5</v>
      </c>
    </row>
    <row r="55" spans="1:12" x14ac:dyDescent="0.2">
      <c r="A55" s="12" t="s">
        <v>60</v>
      </c>
    </row>
    <row r="56" spans="1:12" x14ac:dyDescent="0.2">
      <c r="A56" s="4" t="s">
        <v>58</v>
      </c>
      <c r="B56" s="20">
        <f t="shared" ref="B56:B67" si="15">SUM(C56:L56)</f>
        <v>908.54777466228666</v>
      </c>
      <c r="C56" s="20">
        <f t="shared" ref="C56:L56" si="16">+C41*C25</f>
        <v>0</v>
      </c>
      <c r="D56" s="20">
        <f t="shared" si="16"/>
        <v>82.305566338880581</v>
      </c>
      <c r="E56" s="20">
        <f t="shared" si="16"/>
        <v>704.97624098333176</v>
      </c>
      <c r="F56" s="20">
        <f t="shared" si="16"/>
        <v>300.20516869332346</v>
      </c>
      <c r="G56" s="20">
        <f t="shared" si="16"/>
        <v>-473.21798810865926</v>
      </c>
      <c r="H56" s="20">
        <f t="shared" si="16"/>
        <v>43.344592462295509</v>
      </c>
      <c r="I56" s="20">
        <f t="shared" si="16"/>
        <v>18.371707819614723</v>
      </c>
      <c r="J56" s="20">
        <f t="shared" si="16"/>
        <v>237.96612232348335</v>
      </c>
      <c r="K56" s="20">
        <f t="shared" si="16"/>
        <v>2.6397376291589416</v>
      </c>
      <c r="L56" s="20">
        <f t="shared" si="16"/>
        <v>-8.0433734791422378</v>
      </c>
    </row>
    <row r="57" spans="1:12" x14ac:dyDescent="0.2">
      <c r="A57" s="4" t="s">
        <v>35</v>
      </c>
      <c r="B57" s="20">
        <f t="shared" si="15"/>
        <v>481.74337012948996</v>
      </c>
      <c r="C57" s="20">
        <f t="shared" ref="C57:L57" si="17">+C42*C26</f>
        <v>0</v>
      </c>
      <c r="D57" s="20">
        <f t="shared" si="17"/>
        <v>-90.50746587413532</v>
      </c>
      <c r="E57" s="20">
        <f t="shared" si="17"/>
        <v>422.50674537275512</v>
      </c>
      <c r="F57" s="20">
        <f t="shared" si="17"/>
        <v>295.06225646541088</v>
      </c>
      <c r="G57" s="20">
        <f t="shared" si="17"/>
        <v>-521.78886970616259</v>
      </c>
      <c r="H57" s="20">
        <f t="shared" si="17"/>
        <v>59.228438261417246</v>
      </c>
      <c r="I57" s="20">
        <f t="shared" si="17"/>
        <v>21.699578263990851</v>
      </c>
      <c r="J57" s="20">
        <f t="shared" si="17"/>
        <v>304.06128009178826</v>
      </c>
      <c r="K57" s="20">
        <f t="shared" si="17"/>
        <v>7.0302256902494591</v>
      </c>
      <c r="L57" s="20">
        <f t="shared" si="17"/>
        <v>-15.548818435823952</v>
      </c>
    </row>
    <row r="58" spans="1:12" x14ac:dyDescent="0.2">
      <c r="A58" s="4" t="s">
        <v>36</v>
      </c>
      <c r="B58" s="20">
        <f t="shared" si="15"/>
        <v>743.96891774567132</v>
      </c>
      <c r="C58" s="20">
        <f t="shared" ref="C58:L58" si="18">+C43*C27</f>
        <v>0</v>
      </c>
      <c r="D58" s="20">
        <f t="shared" si="18"/>
        <v>-23.673090014091404</v>
      </c>
      <c r="E58" s="20">
        <f t="shared" si="18"/>
        <v>360.17380585637403</v>
      </c>
      <c r="F58" s="20">
        <f t="shared" si="18"/>
        <v>313.125636212107</v>
      </c>
      <c r="G58" s="20">
        <f t="shared" si="18"/>
        <v>-584.76544542538761</v>
      </c>
      <c r="H58" s="20">
        <f t="shared" si="18"/>
        <v>54.212411949243737</v>
      </c>
      <c r="I58" s="20">
        <f t="shared" si="18"/>
        <v>0.85143258332332095</v>
      </c>
      <c r="J58" s="20">
        <f t="shared" si="18"/>
        <v>652.83649321145106</v>
      </c>
      <c r="K58" s="20">
        <f t="shared" si="18"/>
        <v>3.3942635201286651</v>
      </c>
      <c r="L58" s="20">
        <f t="shared" si="18"/>
        <v>-32.186590147477439</v>
      </c>
    </row>
    <row r="59" spans="1:12" x14ac:dyDescent="0.2">
      <c r="A59" s="4" t="s">
        <v>37</v>
      </c>
      <c r="B59" s="20">
        <f t="shared" si="15"/>
        <v>915.99251087396033</v>
      </c>
      <c r="C59" s="20">
        <f t="shared" ref="C59:L59" si="19">+C44*C28</f>
        <v>0</v>
      </c>
      <c r="D59" s="20">
        <f t="shared" si="19"/>
        <v>108.09528871959056</v>
      </c>
      <c r="E59" s="20">
        <f t="shared" si="19"/>
        <v>532.94305589622229</v>
      </c>
      <c r="F59" s="20">
        <f t="shared" si="19"/>
        <v>327.55964837761724</v>
      </c>
      <c r="G59" s="20">
        <f t="shared" si="19"/>
        <v>-647.12031722541985</v>
      </c>
      <c r="H59" s="20">
        <f t="shared" si="19"/>
        <v>72.125285186920991</v>
      </c>
      <c r="I59" s="20">
        <f t="shared" si="19"/>
        <v>5.1296610205413202</v>
      </c>
      <c r="J59" s="20">
        <f t="shared" si="19"/>
        <v>547.56030623664776</v>
      </c>
      <c r="K59" s="20">
        <f t="shared" si="19"/>
        <v>1.0686263989597231</v>
      </c>
      <c r="L59" s="20">
        <f t="shared" si="19"/>
        <v>-31.369043737119796</v>
      </c>
    </row>
    <row r="60" spans="1:12" x14ac:dyDescent="0.2">
      <c r="A60" s="4" t="s">
        <v>45</v>
      </c>
      <c r="B60" s="20">
        <f t="shared" si="15"/>
        <v>1656.9367341144255</v>
      </c>
      <c r="C60" s="20">
        <f t="shared" ref="C60:L60" si="20">+C45*C29</f>
        <v>0</v>
      </c>
      <c r="D60" s="20">
        <f t="shared" si="20"/>
        <v>445.93571299997512</v>
      </c>
      <c r="E60" s="20">
        <f t="shared" si="20"/>
        <v>715.12601742904599</v>
      </c>
      <c r="F60" s="20">
        <f t="shared" si="20"/>
        <v>420.47950792064847</v>
      </c>
      <c r="G60" s="20">
        <f t="shared" si="20"/>
        <v>-718.0960425906826</v>
      </c>
      <c r="H60" s="20">
        <f t="shared" si="20"/>
        <v>100.68284291151666</v>
      </c>
      <c r="I60" s="20">
        <f t="shared" si="20"/>
        <v>21.027918450274043</v>
      </c>
      <c r="J60" s="20">
        <f t="shared" si="20"/>
        <v>705.29674085015574</v>
      </c>
      <c r="K60" s="20">
        <f t="shared" si="20"/>
        <v>0</v>
      </c>
      <c r="L60" s="20">
        <f t="shared" si="20"/>
        <v>-33.515963856508016</v>
      </c>
    </row>
    <row r="61" spans="1:12" x14ac:dyDescent="0.2">
      <c r="A61" s="4" t="s">
        <v>38</v>
      </c>
      <c r="B61" s="20">
        <f t="shared" si="15"/>
        <v>1438.8441469425925</v>
      </c>
      <c r="C61" s="20">
        <f t="shared" ref="C61:L61" si="21">+C46*C30</f>
        <v>0</v>
      </c>
      <c r="D61" s="20">
        <f t="shared" si="21"/>
        <v>369.43107131967145</v>
      </c>
      <c r="E61" s="20">
        <f t="shared" si="21"/>
        <v>721.25560871725361</v>
      </c>
      <c r="F61" s="20">
        <f t="shared" si="21"/>
        <v>347.13294798007541</v>
      </c>
      <c r="G61" s="20">
        <f t="shared" si="21"/>
        <v>-479.23903848153486</v>
      </c>
      <c r="H61" s="20">
        <f t="shared" si="21"/>
        <v>78.618247847660925</v>
      </c>
      <c r="I61" s="20">
        <f t="shared" si="21"/>
        <v>24.981126316076811</v>
      </c>
      <c r="J61" s="20">
        <f t="shared" si="21"/>
        <v>442.49927591164158</v>
      </c>
      <c r="K61" s="20">
        <f t="shared" si="21"/>
        <v>0</v>
      </c>
      <c r="L61" s="20">
        <f t="shared" si="21"/>
        <v>-65.835092668252472</v>
      </c>
    </row>
    <row r="62" spans="1:12" x14ac:dyDescent="0.2">
      <c r="A62" s="4" t="s">
        <v>39</v>
      </c>
      <c r="B62" s="20">
        <f t="shared" si="15"/>
        <v>1986.7452535445013</v>
      </c>
      <c r="C62" s="20">
        <f t="shared" ref="C62:L62" si="22">+C47*C31</f>
        <v>0</v>
      </c>
      <c r="D62" s="20">
        <f t="shared" si="22"/>
        <v>590.58425290088724</v>
      </c>
      <c r="E62" s="20">
        <f t="shared" si="22"/>
        <v>747.0291571014136</v>
      </c>
      <c r="F62" s="20">
        <f t="shared" si="22"/>
        <v>300.86747543869626</v>
      </c>
      <c r="G62" s="20">
        <f t="shared" si="22"/>
        <v>-573.23817241003644</v>
      </c>
      <c r="H62" s="20">
        <f t="shared" si="22"/>
        <v>68.34210849194335</v>
      </c>
      <c r="I62" s="20">
        <f t="shared" si="22"/>
        <v>33.136885469529894</v>
      </c>
      <c r="J62" s="20">
        <f t="shared" si="22"/>
        <v>860.80919536284489</v>
      </c>
      <c r="K62" s="20">
        <f t="shared" si="22"/>
        <v>0</v>
      </c>
      <c r="L62" s="20">
        <f t="shared" si="22"/>
        <v>-40.785648810777218</v>
      </c>
    </row>
    <row r="63" spans="1:12" x14ac:dyDescent="0.2">
      <c r="A63" s="4" t="s">
        <v>40</v>
      </c>
      <c r="B63" s="20">
        <f t="shared" si="15"/>
        <v>1695.9412741812775</v>
      </c>
      <c r="C63" s="20">
        <f t="shared" ref="C63:L63" si="23">+C48*C32</f>
        <v>0</v>
      </c>
      <c r="D63" s="20">
        <f t="shared" si="23"/>
        <v>493.10630790500375</v>
      </c>
      <c r="E63" s="20">
        <f t="shared" si="23"/>
        <v>834.61051198845701</v>
      </c>
      <c r="F63" s="20">
        <f t="shared" si="23"/>
        <v>237.68927218140863</v>
      </c>
      <c r="G63" s="20">
        <f t="shared" si="23"/>
        <v>-460.46883207234947</v>
      </c>
      <c r="H63" s="20">
        <f t="shared" si="23"/>
        <v>43.681624571145427</v>
      </c>
      <c r="I63" s="20">
        <f t="shared" si="23"/>
        <v>54.761019607211672</v>
      </c>
      <c r="J63" s="20">
        <f t="shared" si="23"/>
        <v>498.74828332267828</v>
      </c>
      <c r="K63" s="20">
        <f t="shared" si="23"/>
        <v>11.341596890600632</v>
      </c>
      <c r="L63" s="20">
        <f t="shared" si="23"/>
        <v>-17.528510212878349</v>
      </c>
    </row>
    <row r="64" spans="1:12" x14ac:dyDescent="0.2">
      <c r="A64" s="4" t="s">
        <v>10</v>
      </c>
      <c r="B64" s="20">
        <f t="shared" si="15"/>
        <v>1950.3463126321344</v>
      </c>
      <c r="C64" s="20">
        <f t="shared" ref="C64:L64" si="24">+C49*C33</f>
        <v>0</v>
      </c>
      <c r="D64" s="20">
        <f t="shared" si="24"/>
        <v>619.51805178182133</v>
      </c>
      <c r="E64" s="20">
        <f t="shared" si="24"/>
        <v>784.58831158724581</v>
      </c>
      <c r="F64" s="20">
        <f t="shared" si="24"/>
        <v>279.44486096780719</v>
      </c>
      <c r="G64" s="20">
        <f t="shared" si="24"/>
        <v>-556.2918413836353</v>
      </c>
      <c r="H64" s="20">
        <f t="shared" si="24"/>
        <v>52.013390888184446</v>
      </c>
      <c r="I64" s="20">
        <f t="shared" si="24"/>
        <v>58.333208305638188</v>
      </c>
      <c r="J64" s="20">
        <f t="shared" si="24"/>
        <v>719.08614578614493</v>
      </c>
      <c r="K64" s="20">
        <f t="shared" si="24"/>
        <v>0</v>
      </c>
      <c r="L64" s="20">
        <f t="shared" si="24"/>
        <v>-6.3458153010722889</v>
      </c>
    </row>
    <row r="65" spans="1:12" x14ac:dyDescent="0.2">
      <c r="A65" s="4" t="s">
        <v>41</v>
      </c>
      <c r="B65" s="20">
        <f t="shared" si="15"/>
        <v>1850.3694181553865</v>
      </c>
      <c r="C65" s="20">
        <f t="shared" ref="C65:L65" si="25">+C50*C34</f>
        <v>0</v>
      </c>
      <c r="D65" s="20">
        <f t="shared" si="25"/>
        <v>662.27316789889335</v>
      </c>
      <c r="E65" s="20">
        <f t="shared" si="25"/>
        <v>748.95052290078422</v>
      </c>
      <c r="F65" s="20">
        <f t="shared" si="25"/>
        <v>318.04102356256948</v>
      </c>
      <c r="G65" s="20">
        <f t="shared" si="25"/>
        <v>-609.32527421613372</v>
      </c>
      <c r="H65" s="20">
        <f t="shared" si="25"/>
        <v>21.15694017570878</v>
      </c>
      <c r="I65" s="20">
        <f t="shared" si="25"/>
        <v>12.533427717704056</v>
      </c>
      <c r="J65" s="20">
        <f t="shared" si="25"/>
        <v>731.039496325242</v>
      </c>
      <c r="K65" s="20">
        <f t="shared" si="25"/>
        <v>-0.39337245438751289</v>
      </c>
      <c r="L65" s="20">
        <f t="shared" si="25"/>
        <v>-33.906513754994215</v>
      </c>
    </row>
    <row r="66" spans="1:12" x14ac:dyDescent="0.2">
      <c r="A66" s="4" t="s">
        <v>42</v>
      </c>
      <c r="B66" s="20">
        <f t="shared" si="15"/>
        <v>1885.5823304219207</v>
      </c>
      <c r="C66" s="20">
        <f t="shared" ref="C66:L66" si="26">+C51*C35</f>
        <v>0</v>
      </c>
      <c r="D66" s="20">
        <f t="shared" si="26"/>
        <v>519.81864782936293</v>
      </c>
      <c r="E66" s="20">
        <f t="shared" si="26"/>
        <v>1195.8699225518183</v>
      </c>
      <c r="F66" s="20">
        <f t="shared" si="26"/>
        <v>521.11743881389225</v>
      </c>
      <c r="G66" s="20">
        <f t="shared" si="26"/>
        <v>-530.60398237557411</v>
      </c>
      <c r="H66" s="20">
        <f t="shared" si="26"/>
        <v>56.100560437763306</v>
      </c>
      <c r="I66" s="20">
        <f t="shared" si="26"/>
        <v>19.794255729398625</v>
      </c>
      <c r="J66" s="20">
        <f t="shared" si="26"/>
        <v>127.84320860924737</v>
      </c>
      <c r="K66" s="20">
        <f t="shared" si="26"/>
        <v>-6.9238720913491383</v>
      </c>
      <c r="L66" s="20">
        <f t="shared" si="26"/>
        <v>-17.433849082639139</v>
      </c>
    </row>
    <row r="67" spans="1:12" ht="15" x14ac:dyDescent="0.35">
      <c r="A67" s="4" t="s">
        <v>43</v>
      </c>
      <c r="B67" s="27">
        <f t="shared" si="15"/>
        <v>2328.1519705886712</v>
      </c>
      <c r="C67" s="27">
        <f t="shared" ref="C67:L67" si="27">+C52*C36</f>
        <v>0</v>
      </c>
      <c r="D67" s="27">
        <f t="shared" si="27"/>
        <v>548.83025994573961</v>
      </c>
      <c r="E67" s="27">
        <f t="shared" si="27"/>
        <v>1433.278968800204</v>
      </c>
      <c r="F67" s="27">
        <f t="shared" si="27"/>
        <v>582.08340058182478</v>
      </c>
      <c r="G67" s="27">
        <f t="shared" si="27"/>
        <v>-554.86914583490568</v>
      </c>
      <c r="H67" s="27">
        <f t="shared" si="27"/>
        <v>37.745173959265529</v>
      </c>
      <c r="I67" s="27">
        <f t="shared" si="27"/>
        <v>21.889725307287566</v>
      </c>
      <c r="J67" s="27">
        <f t="shared" si="27"/>
        <v>258.31332333956902</v>
      </c>
      <c r="K67" s="27">
        <f t="shared" si="27"/>
        <v>1.7009674167358511</v>
      </c>
      <c r="L67" s="27">
        <f t="shared" si="27"/>
        <v>-0.82070292704885339</v>
      </c>
    </row>
    <row r="68" spans="1:12" ht="15" x14ac:dyDescent="0.35">
      <c r="B68" s="39">
        <f t="shared" ref="B68" si="28">SUM(B56:B67)</f>
        <v>17843.17001399232</v>
      </c>
      <c r="C68" s="39">
        <f t="shared" ref="C68" si="29">SUM(C56:C67)</f>
        <v>0</v>
      </c>
      <c r="D68" s="39">
        <f>SUM(D56:D67)</f>
        <v>4325.7177717515988</v>
      </c>
      <c r="E68" s="39">
        <f t="shared" ref="E68:L68" si="30">SUM(E56:E67)</f>
        <v>9201.3088691849043</v>
      </c>
      <c r="F68" s="39">
        <f t="shared" si="30"/>
        <v>4242.8086371953814</v>
      </c>
      <c r="G68" s="39">
        <f>SUM(G56:G67)</f>
        <v>-6709.024949830482</v>
      </c>
      <c r="H68" s="39">
        <f t="shared" si="30"/>
        <v>687.25161714306591</v>
      </c>
      <c r="I68" s="39">
        <f t="shared" si="30"/>
        <v>292.50994659059103</v>
      </c>
      <c r="J68" s="39">
        <f t="shared" si="30"/>
        <v>6086.0598713708941</v>
      </c>
      <c r="K68" s="39">
        <f t="shared" si="30"/>
        <v>19.858173000096617</v>
      </c>
      <c r="L68" s="39">
        <f t="shared" si="30"/>
        <v>-303.31992241373399</v>
      </c>
    </row>
  </sheetData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J61"/>
  <sheetViews>
    <sheetView workbookViewId="0">
      <selection activeCell="B10" sqref="B10:B21"/>
    </sheetView>
  </sheetViews>
  <sheetFormatPr defaultRowHeight="12.75" x14ac:dyDescent="0.2"/>
  <cols>
    <col min="1" max="1" width="9.140625" style="147"/>
    <col min="2" max="2" width="10.42578125" style="147" bestFit="1" customWidth="1"/>
    <col min="3" max="3" width="9.28515625" style="147" bestFit="1" customWidth="1"/>
    <col min="4" max="4" width="10.42578125" style="147" bestFit="1" customWidth="1"/>
    <col min="5" max="5" width="4.85546875" style="147" customWidth="1"/>
    <col min="6" max="9" width="10.42578125" style="147" customWidth="1"/>
    <col min="10" max="10" width="11.140625" style="147" bestFit="1" customWidth="1"/>
    <col min="11" max="12" width="9.28515625" style="147" bestFit="1" customWidth="1"/>
    <col min="13" max="13" width="10.28515625" style="147" bestFit="1" customWidth="1"/>
    <col min="14" max="14" width="9.28515625" style="147" bestFit="1" customWidth="1"/>
    <col min="15" max="15" width="10.7109375" style="147" bestFit="1" customWidth="1"/>
    <col min="16" max="17" width="7.7109375" style="147" bestFit="1" customWidth="1"/>
    <col min="18" max="18" width="8.140625" style="147" bestFit="1" customWidth="1"/>
    <col min="19" max="19" width="7.85546875" style="147" bestFit="1" customWidth="1"/>
    <col min="20" max="20" width="9.28515625" style="147" bestFit="1" customWidth="1"/>
    <col min="21" max="21" width="3.5703125" style="147" customWidth="1"/>
    <col min="22" max="22" width="11.140625" style="147" bestFit="1" customWidth="1"/>
    <col min="23" max="23" width="11.140625" style="147" customWidth="1"/>
    <col min="24" max="24" width="12.42578125" style="147" bestFit="1" customWidth="1"/>
    <col min="25" max="16384" width="9.140625" style="147"/>
  </cols>
  <sheetData>
    <row r="1" spans="1:36" ht="26.25" x14ac:dyDescent="0.4">
      <c r="A1" s="146" t="s">
        <v>18</v>
      </c>
    </row>
    <row r="2" spans="1:36" ht="15" x14ac:dyDescent="0.25">
      <c r="A2" s="148" t="s">
        <v>169</v>
      </c>
    </row>
    <row r="5" spans="1:36" x14ac:dyDescent="0.2">
      <c r="B5" s="613" t="s">
        <v>127</v>
      </c>
      <c r="C5" s="613"/>
      <c r="D5" s="613"/>
      <c r="E5" s="10"/>
      <c r="F5" s="613" t="s">
        <v>90</v>
      </c>
      <c r="G5" s="613"/>
      <c r="H5" s="613"/>
      <c r="I5" s="613"/>
    </row>
    <row r="6" spans="1:36" x14ac:dyDescent="0.2">
      <c r="B6" s="2" t="s">
        <v>22</v>
      </c>
      <c r="D6" s="2" t="s">
        <v>101</v>
      </c>
      <c r="E6" s="343"/>
      <c r="F6" s="343" t="s">
        <v>101</v>
      </c>
      <c r="G6" s="343"/>
      <c r="H6" s="343"/>
      <c r="I6" s="343"/>
      <c r="X6" s="342" t="s">
        <v>90</v>
      </c>
    </row>
    <row r="7" spans="1:36" x14ac:dyDescent="0.2">
      <c r="B7" s="2" t="s">
        <v>99</v>
      </c>
      <c r="C7" s="2" t="s">
        <v>24</v>
      </c>
      <c r="D7" s="2" t="s">
        <v>102</v>
      </c>
      <c r="E7" s="343"/>
      <c r="F7" s="343" t="s">
        <v>102</v>
      </c>
      <c r="G7" s="343"/>
      <c r="H7" s="343" t="s">
        <v>24</v>
      </c>
      <c r="I7" s="343"/>
      <c r="J7" s="257" t="s">
        <v>98</v>
      </c>
      <c r="K7" s="41" t="s">
        <v>46</v>
      </c>
      <c r="L7" s="41"/>
      <c r="M7" s="41" t="s">
        <v>1</v>
      </c>
      <c r="N7" s="41"/>
      <c r="O7" s="41"/>
      <c r="P7" s="41"/>
      <c r="Q7" s="41" t="s">
        <v>2</v>
      </c>
      <c r="R7" s="41" t="s">
        <v>2</v>
      </c>
      <c r="S7" s="41" t="s">
        <v>48</v>
      </c>
      <c r="X7" s="342" t="s">
        <v>24</v>
      </c>
      <c r="Y7" s="2"/>
    </row>
    <row r="8" spans="1:36" x14ac:dyDescent="0.2">
      <c r="B8" s="10" t="s">
        <v>0</v>
      </c>
      <c r="C8" s="10" t="s">
        <v>0</v>
      </c>
      <c r="D8" s="10" t="s">
        <v>0</v>
      </c>
      <c r="E8" s="10"/>
      <c r="F8" s="10" t="s">
        <v>0</v>
      </c>
      <c r="G8" s="10" t="s">
        <v>93</v>
      </c>
      <c r="H8" s="10" t="s">
        <v>0</v>
      </c>
      <c r="I8" s="10" t="s">
        <v>93</v>
      </c>
      <c r="J8" s="42" t="s">
        <v>92</v>
      </c>
      <c r="K8" s="42" t="s">
        <v>49</v>
      </c>
      <c r="L8" s="42" t="s">
        <v>50</v>
      </c>
      <c r="M8" s="42" t="s">
        <v>51</v>
      </c>
      <c r="N8" s="42" t="s">
        <v>4</v>
      </c>
      <c r="O8" s="42" t="s">
        <v>52</v>
      </c>
      <c r="P8" s="42" t="s">
        <v>3</v>
      </c>
      <c r="Q8" s="42" t="s">
        <v>53</v>
      </c>
      <c r="R8" s="42" t="s">
        <v>54</v>
      </c>
      <c r="S8" s="42" t="s">
        <v>55</v>
      </c>
      <c r="T8" s="59" t="s">
        <v>86</v>
      </c>
      <c r="X8" s="10" t="s">
        <v>0</v>
      </c>
      <c r="Y8" s="10" t="s">
        <v>93</v>
      </c>
    </row>
    <row r="9" spans="1:36" x14ac:dyDescent="0.2">
      <c r="B9" s="10"/>
      <c r="C9" s="10"/>
      <c r="D9" s="10"/>
      <c r="E9" s="10"/>
      <c r="F9" s="10"/>
      <c r="G9" s="10"/>
      <c r="H9" s="10"/>
      <c r="I9" s="10"/>
      <c r="J9" s="42"/>
      <c r="K9" s="42"/>
      <c r="L9" s="42"/>
      <c r="M9" s="42"/>
      <c r="N9" s="42"/>
      <c r="O9" s="42"/>
      <c r="P9" s="42"/>
      <c r="Q9" s="42"/>
      <c r="R9" s="42"/>
      <c r="S9" s="42"/>
      <c r="T9" s="59"/>
      <c r="X9" s="10"/>
      <c r="Y9" s="10"/>
    </row>
    <row r="10" spans="1:36" x14ac:dyDescent="0.2">
      <c r="A10" s="149" t="s">
        <v>172</v>
      </c>
      <c r="B10" s="515">
        <v>987.83</v>
      </c>
      <c r="C10" s="516">
        <v>66.14</v>
      </c>
      <c r="D10" s="150">
        <f>+B10-C10</f>
        <v>921.69</v>
      </c>
      <c r="E10" s="150"/>
      <c r="F10" s="517">
        <v>702.27</v>
      </c>
      <c r="G10" s="219">
        <f>+F10/D10</f>
        <v>0.76193731080949123</v>
      </c>
      <c r="H10" s="516">
        <v>33.89</v>
      </c>
      <c r="I10" s="345">
        <f>+H10/C10</f>
        <v>0.51239794375566983</v>
      </c>
      <c r="J10" s="140">
        <v>0</v>
      </c>
      <c r="K10" s="140">
        <f>+'Composition - CRC'!C$6</f>
        <v>0.33314255367009049</v>
      </c>
      <c r="L10" s="140">
        <f>+'Composition - CRC'!C$7</f>
        <v>0.2250556699494079</v>
      </c>
      <c r="M10" s="140">
        <f>+'Composition - CRC'!C$8</f>
        <v>6.6697457616966792E-3</v>
      </c>
      <c r="N10" s="140">
        <f>+'Composition - CRC'!C$9</f>
        <v>0.21989530189550688</v>
      </c>
      <c r="O10" s="140">
        <f>+'Composition - CRC'!C$14</f>
        <v>7.361876632996275E-3</v>
      </c>
      <c r="P10" s="140">
        <f>+'Composition - CRC'!C$10</f>
        <v>6.7762274342043089E-3</v>
      </c>
      <c r="Q10" s="140">
        <f>+'Composition - CRC'!C$11</f>
        <v>1.0326060191427427E-2</v>
      </c>
      <c r="R10" s="140">
        <f>+'Composition - CRC'!C$12</f>
        <v>7.0810312217574009E-4</v>
      </c>
      <c r="S10" s="140">
        <f>+'Composition - CRC'!C$13</f>
        <v>1.2658008819344526E-3</v>
      </c>
      <c r="T10" s="140">
        <f>1-SUM(J10:S10)</f>
        <v>0.18879866046055982</v>
      </c>
      <c r="V10" s="157"/>
      <c r="W10" s="158">
        <v>751.99</v>
      </c>
      <c r="X10" s="188">
        <v>46.59</v>
      </c>
      <c r="Y10" s="345">
        <f t="shared" ref="Y10:Y19" si="0">+X10/C10</f>
        <v>0.70441487753250687</v>
      </c>
      <c r="AA10" s="15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1:36" x14ac:dyDescent="0.2">
      <c r="A11" s="149" t="s">
        <v>35</v>
      </c>
      <c r="B11" s="515">
        <v>1059.67</v>
      </c>
      <c r="C11" s="516">
        <v>72.42</v>
      </c>
      <c r="D11" s="150">
        <f t="shared" ref="D11:D21" si="1">+B11-C11</f>
        <v>987.25000000000011</v>
      </c>
      <c r="E11" s="150"/>
      <c r="F11" s="517">
        <v>754.32</v>
      </c>
      <c r="G11" s="219">
        <f t="shared" ref="G11:G22" si="2">+F11/D11</f>
        <v>0.76406178779437828</v>
      </c>
      <c r="H11" s="516">
        <v>38.92</v>
      </c>
      <c r="I11" s="345">
        <f t="shared" ref="I11:I22" si="3">+H11/C11</f>
        <v>0.5374206020436344</v>
      </c>
      <c r="J11" s="140">
        <v>0</v>
      </c>
      <c r="K11" s="140">
        <f>+'Composition - CRC'!E$6</f>
        <v>0.34451473439966246</v>
      </c>
      <c r="L11" s="140">
        <f>+'Composition - CRC'!E$7</f>
        <v>0.19061939503231459</v>
      </c>
      <c r="M11" s="140">
        <f>+'Composition - CRC'!E$8</f>
        <v>5.9803659933584117E-3</v>
      </c>
      <c r="N11" s="140">
        <f>+'Composition - CRC'!E$9</f>
        <v>0.21112917662969571</v>
      </c>
      <c r="O11" s="140">
        <f>+'Composition - CRC'!E$14</f>
        <v>9.4698167033580045E-3</v>
      </c>
      <c r="P11" s="140">
        <f>+'Composition - CRC'!E$10</f>
        <v>6.9692890107884292E-3</v>
      </c>
      <c r="Q11" s="140">
        <f>+'Composition - CRC'!E$11</f>
        <v>1.0015985456419092E-2</v>
      </c>
      <c r="R11" s="140">
        <f>+'Composition - CRC'!E$12</f>
        <v>1.3894825065715588E-3</v>
      </c>
      <c r="S11" s="140">
        <f>+'Composition - CRC'!E$13</f>
        <v>2.1307048216271259E-3</v>
      </c>
      <c r="T11" s="140">
        <f t="shared" ref="T11:T21" si="4">1-SUM(J11:S11)</f>
        <v>0.21778104944620458</v>
      </c>
      <c r="U11" s="352" t="s">
        <v>139</v>
      </c>
      <c r="V11" s="157"/>
      <c r="W11" s="157"/>
      <c r="X11" s="188">
        <v>55.76</v>
      </c>
      <c r="Y11" s="345">
        <f t="shared" si="0"/>
        <v>0.76995305164319239</v>
      </c>
      <c r="AA11" s="150"/>
      <c r="AB11" s="140"/>
      <c r="AC11" s="140"/>
      <c r="AD11" s="140"/>
      <c r="AE11" s="140"/>
      <c r="AF11" s="140"/>
      <c r="AG11" s="140"/>
      <c r="AH11" s="140"/>
      <c r="AI11" s="140"/>
      <c r="AJ11" s="140"/>
    </row>
    <row r="12" spans="1:36" x14ac:dyDescent="0.2">
      <c r="A12" s="149" t="s">
        <v>36</v>
      </c>
      <c r="B12" s="515">
        <v>1072.1199999999999</v>
      </c>
      <c r="C12" s="516">
        <v>78.38</v>
      </c>
      <c r="D12" s="150">
        <f t="shared" si="1"/>
        <v>993.7399999999999</v>
      </c>
      <c r="E12" s="150"/>
      <c r="F12" s="517">
        <v>765.94</v>
      </c>
      <c r="G12" s="219">
        <f t="shared" si="2"/>
        <v>0.77076498883007638</v>
      </c>
      <c r="H12" s="516">
        <v>41.02</v>
      </c>
      <c r="I12" s="345">
        <f t="shared" si="3"/>
        <v>0.52334779280428689</v>
      </c>
      <c r="J12" s="140">
        <v>0</v>
      </c>
      <c r="K12" s="140">
        <f>+'Composition - CRC'!G$6</f>
        <v>0.38993981205758893</v>
      </c>
      <c r="L12" s="140">
        <f>+'Composition - CRC'!G$7</f>
        <v>0.17698939384752213</v>
      </c>
      <c r="M12" s="140">
        <f>+'Composition - CRC'!G$8</f>
        <v>5.7995084347954671E-3</v>
      </c>
      <c r="N12" s="140">
        <f>+'Composition - CRC'!G$9</f>
        <v>0.22449791936539026</v>
      </c>
      <c r="O12" s="140">
        <f>+'Composition - CRC'!G$14</f>
        <v>8.7703846475307903E-3</v>
      </c>
      <c r="P12" s="140">
        <f>+'Composition - CRC'!G$10</f>
        <v>2.5408891223468614E-4</v>
      </c>
      <c r="Q12" s="140">
        <f>+'Composition - CRC'!G$11</f>
        <v>1.4600988848837468E-2</v>
      </c>
      <c r="R12" s="140">
        <f>+'Composition - CRC'!G$12</f>
        <v>5.1716594346182731E-4</v>
      </c>
      <c r="S12" s="140">
        <f>+'Composition - CRC'!G$13</f>
        <v>4.1848321335904359E-3</v>
      </c>
      <c r="T12" s="140">
        <f t="shared" si="4"/>
        <v>0.17444590580904795</v>
      </c>
      <c r="U12" s="352" t="s">
        <v>140</v>
      </c>
      <c r="V12" s="157"/>
      <c r="W12" s="157"/>
      <c r="X12" s="188">
        <v>51.05</v>
      </c>
      <c r="Y12" s="345">
        <f t="shared" si="0"/>
        <v>0.65131411074253631</v>
      </c>
      <c r="AA12" s="150"/>
      <c r="AB12" s="140"/>
      <c r="AC12" s="140"/>
      <c r="AD12" s="140"/>
      <c r="AE12" s="140"/>
      <c r="AF12" s="140"/>
      <c r="AG12" s="140"/>
      <c r="AH12" s="140"/>
      <c r="AI12" s="140"/>
      <c r="AJ12" s="140"/>
    </row>
    <row r="13" spans="1:36" x14ac:dyDescent="0.2">
      <c r="A13" s="149" t="s">
        <v>37</v>
      </c>
      <c r="B13" s="515">
        <v>1026.03</v>
      </c>
      <c r="C13" s="516">
        <v>74.91</v>
      </c>
      <c r="D13" s="150">
        <f t="shared" si="1"/>
        <v>951.12</v>
      </c>
      <c r="E13" s="150"/>
      <c r="F13" s="517">
        <v>762.23</v>
      </c>
      <c r="G13" s="219">
        <f t="shared" si="2"/>
        <v>0.80140255698544871</v>
      </c>
      <c r="H13" s="516">
        <v>40.82</v>
      </c>
      <c r="I13" s="345">
        <f t="shared" si="3"/>
        <v>0.54492057135228944</v>
      </c>
      <c r="J13" s="140">
        <v>0</v>
      </c>
      <c r="K13" s="140">
        <f>+'Composition - CRC'!I$6</f>
        <v>0.37140199789171413</v>
      </c>
      <c r="L13" s="140">
        <f>+'Composition - CRC'!I$7</f>
        <v>0.19763744831626137</v>
      </c>
      <c r="M13" s="140">
        <f>+'Composition - CRC'!I$8</f>
        <v>5.9831560127837514E-3</v>
      </c>
      <c r="N13" s="140">
        <f>+'Composition - CRC'!I$9</f>
        <v>0.24965387401783901</v>
      </c>
      <c r="O13" s="140">
        <f>+'Composition - CRC'!I$14</f>
        <v>1.0757445754263024E-2</v>
      </c>
      <c r="P13" s="140">
        <f>+'Composition - CRC'!I$10</f>
        <v>1.4759852609654881E-3</v>
      </c>
      <c r="Q13" s="140">
        <f>+'Composition - CRC'!I$11</f>
        <v>1.2306440588051543E-2</v>
      </c>
      <c r="R13" s="140">
        <f>+'Composition - CRC'!I$12</f>
        <v>3.272373833169167E-4</v>
      </c>
      <c r="S13" s="140">
        <f>+'Composition - CRC'!I$13</f>
        <v>4.0985195148939791E-3</v>
      </c>
      <c r="T13" s="140">
        <f t="shared" si="4"/>
        <v>0.14635789525991072</v>
      </c>
      <c r="U13" s="352" t="s">
        <v>141</v>
      </c>
      <c r="V13" s="157"/>
      <c r="W13" s="157"/>
      <c r="X13" s="188">
        <v>55.96</v>
      </c>
      <c r="Y13" s="345">
        <f t="shared" si="0"/>
        <v>0.74702976905620078</v>
      </c>
      <c r="AA13" s="150"/>
      <c r="AB13" s="140"/>
      <c r="AC13" s="140"/>
      <c r="AD13" s="140"/>
      <c r="AE13" s="140"/>
      <c r="AF13" s="140"/>
      <c r="AG13" s="140"/>
      <c r="AH13" s="140"/>
      <c r="AI13" s="140"/>
      <c r="AJ13" s="140"/>
    </row>
    <row r="14" spans="1:36" x14ac:dyDescent="0.2">
      <c r="A14" s="149" t="s">
        <v>173</v>
      </c>
      <c r="B14" s="515">
        <v>1325.89</v>
      </c>
      <c r="C14" s="516">
        <v>101.29</v>
      </c>
      <c r="D14" s="150">
        <f t="shared" si="1"/>
        <v>1224.6000000000001</v>
      </c>
      <c r="E14" s="150"/>
      <c r="F14" s="517">
        <v>929.92</v>
      </c>
      <c r="G14" s="219">
        <f t="shared" si="2"/>
        <v>0.75936632369753376</v>
      </c>
      <c r="H14" s="516">
        <v>51.11</v>
      </c>
      <c r="I14" s="345">
        <f t="shared" si="3"/>
        <v>0.50459077895152527</v>
      </c>
      <c r="J14" s="140">
        <v>0</v>
      </c>
      <c r="K14" s="140">
        <f>+'Composition - CRC'!K$6</f>
        <v>0.39301886674384967</v>
      </c>
      <c r="L14" s="140">
        <f>+'Composition - CRC'!K$7</f>
        <v>0.19288530693299835</v>
      </c>
      <c r="M14" s="140">
        <f>+'Composition - CRC'!K$8</f>
        <v>5.1630132467083987E-3</v>
      </c>
      <c r="N14" s="140">
        <f>+'Composition - CRC'!K$9</f>
        <v>0.2212600097029204</v>
      </c>
      <c r="O14" s="140">
        <f>+'Composition - CRC'!K$14</f>
        <v>1.0110991806111747E-2</v>
      </c>
      <c r="P14" s="140">
        <f>+'Composition - CRC'!K$10</f>
        <v>3.5002955571066317E-3</v>
      </c>
      <c r="Q14" s="140">
        <f>+'Composition - CRC'!K$11</f>
        <v>1.2321057188454798E-2</v>
      </c>
      <c r="R14" s="140">
        <f>+'Composition - CRC'!K$12</f>
        <v>4.2492663877160023E-4</v>
      </c>
      <c r="S14" s="140">
        <f>+'Composition - CRC'!K$13</f>
        <v>3.4973939979399218E-3</v>
      </c>
      <c r="T14" s="140">
        <f t="shared" si="4"/>
        <v>0.15781813818513857</v>
      </c>
      <c r="U14" s="352" t="s">
        <v>142</v>
      </c>
      <c r="V14" s="157"/>
      <c r="W14" s="157"/>
      <c r="X14" s="188">
        <v>61.72</v>
      </c>
      <c r="Y14" s="345">
        <f t="shared" si="0"/>
        <v>0.60933952018955473</v>
      </c>
      <c r="AA14" s="150"/>
      <c r="AB14" s="140"/>
      <c r="AC14" s="140"/>
      <c r="AD14" s="140"/>
      <c r="AE14" s="140"/>
      <c r="AF14" s="140"/>
      <c r="AG14" s="140"/>
      <c r="AH14" s="140"/>
      <c r="AI14" s="140"/>
      <c r="AJ14" s="140"/>
    </row>
    <row r="15" spans="1:36" x14ac:dyDescent="0.2">
      <c r="A15" s="149" t="s">
        <v>38</v>
      </c>
      <c r="B15" s="515">
        <v>908.65</v>
      </c>
      <c r="C15" s="516">
        <v>65.67</v>
      </c>
      <c r="D15" s="150">
        <f t="shared" si="1"/>
        <v>842.98</v>
      </c>
      <c r="E15" s="150"/>
      <c r="F15" s="517">
        <v>641.76</v>
      </c>
      <c r="G15" s="219">
        <f t="shared" si="2"/>
        <v>0.76129920045552679</v>
      </c>
      <c r="H15" s="518">
        <v>33.950000000000003</v>
      </c>
      <c r="I15" s="345">
        <f t="shared" si="3"/>
        <v>0.51697883356174812</v>
      </c>
      <c r="J15" s="140">
        <v>0</v>
      </c>
      <c r="K15" s="140">
        <f>+'Composition - CRC'!M$6</f>
        <v>0.37329750017776259</v>
      </c>
      <c r="L15" s="140">
        <f>+'Composition - CRC'!M$7</f>
        <v>0.22658534958973167</v>
      </c>
      <c r="M15" s="140">
        <f>+'Composition - CRC'!M$8</f>
        <v>6.752226522682675E-3</v>
      </c>
      <c r="N15" s="140">
        <f>+'Composition - CRC'!M$9</f>
        <v>0.22229960153608702</v>
      </c>
      <c r="O15" s="140">
        <f>+'Composition - CRC'!M$14</f>
        <v>1.0684261597059671E-2</v>
      </c>
      <c r="P15" s="140">
        <f>+'Composition - CRC'!M$10</f>
        <v>6.2479502347632257E-3</v>
      </c>
      <c r="Q15" s="140">
        <f>+'Composition - CRC'!M$11</f>
        <v>1.0861543345892035E-2</v>
      </c>
      <c r="R15" s="140">
        <f>+'Composition - CRC'!M$12</f>
        <v>5.9247095817473118E-4</v>
      </c>
      <c r="S15" s="140">
        <f>+'Composition - CRC'!M$13</f>
        <v>1.0342282598841821E-2</v>
      </c>
      <c r="T15" s="140">
        <f t="shared" si="4"/>
        <v>0.13233681343900439</v>
      </c>
      <c r="U15" s="352" t="s">
        <v>143</v>
      </c>
      <c r="V15" s="157"/>
      <c r="W15" s="157"/>
      <c r="X15" s="151">
        <v>41.19</v>
      </c>
      <c r="Y15" s="345">
        <f t="shared" si="0"/>
        <v>0.62722704431247145</v>
      </c>
      <c r="AA15" s="150"/>
      <c r="AB15" s="140"/>
      <c r="AC15" s="140"/>
      <c r="AD15" s="140"/>
      <c r="AE15" s="140"/>
      <c r="AF15" s="140"/>
      <c r="AG15" s="140"/>
      <c r="AH15" s="140"/>
      <c r="AI15" s="140"/>
      <c r="AJ15" s="140"/>
    </row>
    <row r="16" spans="1:36" x14ac:dyDescent="0.2">
      <c r="A16" s="149" t="s">
        <v>39</v>
      </c>
      <c r="B16" s="515">
        <v>1124.8599999999999</v>
      </c>
      <c r="C16" s="516">
        <v>82.23</v>
      </c>
      <c r="D16" s="150">
        <f t="shared" si="1"/>
        <v>1042.6299999999999</v>
      </c>
      <c r="E16" s="150"/>
      <c r="F16" s="517">
        <v>789.24</v>
      </c>
      <c r="G16" s="219">
        <f t="shared" si="2"/>
        <v>0.75697035381679034</v>
      </c>
      <c r="H16" s="518">
        <v>42.5</v>
      </c>
      <c r="I16" s="345">
        <f t="shared" si="3"/>
        <v>0.51684300133771133</v>
      </c>
      <c r="J16" s="140">
        <v>0</v>
      </c>
      <c r="K16" s="140">
        <f>+'Composition - CRC'!O$6</f>
        <v>0.41003541068917587</v>
      </c>
      <c r="L16" s="140">
        <f>+'Composition - CRC'!O$7</f>
        <v>0.180445094319683</v>
      </c>
      <c r="M16" s="140">
        <f>+'Composition - CRC'!O$8</f>
        <v>4.9297948595097649E-3</v>
      </c>
      <c r="N16" s="140">
        <f>+'Composition - CRC'!O$9</f>
        <v>0.21240877162020805</v>
      </c>
      <c r="O16" s="140">
        <f>+'Composition - CRC'!O$14</f>
        <v>6.5517014813198243E-3</v>
      </c>
      <c r="P16" s="140">
        <f>+'Composition - CRC'!O$10</f>
        <v>4.4010579296255821E-3</v>
      </c>
      <c r="Q16" s="140">
        <f>+'Composition - CRC'!O$11</f>
        <v>1.5948294494911436E-2</v>
      </c>
      <c r="R16" s="140">
        <f>+'Composition - CRC'!O$12</f>
        <v>2.8226687988120343E-3</v>
      </c>
      <c r="S16" s="140">
        <f>+'Composition - CRC'!O$13</f>
        <v>5.118199066450474E-3</v>
      </c>
      <c r="T16" s="140">
        <f t="shared" si="4"/>
        <v>0.1573390067403041</v>
      </c>
      <c r="U16" s="352" t="s">
        <v>144</v>
      </c>
      <c r="V16" s="157"/>
      <c r="W16" s="157"/>
      <c r="X16" s="151">
        <v>42.81</v>
      </c>
      <c r="Y16" s="345">
        <f t="shared" si="0"/>
        <v>0.52061291499452755</v>
      </c>
      <c r="AA16" s="150"/>
      <c r="AB16" s="140"/>
      <c r="AC16" s="140"/>
      <c r="AD16" s="140"/>
      <c r="AE16" s="140"/>
      <c r="AF16" s="140"/>
      <c r="AG16" s="140"/>
      <c r="AH16" s="140"/>
      <c r="AI16" s="140"/>
      <c r="AJ16" s="140"/>
    </row>
    <row r="17" spans="1:36" x14ac:dyDescent="0.2">
      <c r="A17" s="149" t="s">
        <v>40</v>
      </c>
      <c r="B17" s="515">
        <v>952.69</v>
      </c>
      <c r="C17" s="516">
        <v>70.27</v>
      </c>
      <c r="D17" s="150">
        <f t="shared" si="1"/>
        <v>882.42000000000007</v>
      </c>
      <c r="E17" s="150"/>
      <c r="F17" s="517">
        <v>669.04</v>
      </c>
      <c r="G17" s="219">
        <f t="shared" si="2"/>
        <v>0.7581877110672921</v>
      </c>
      <c r="H17" s="518">
        <v>36.61</v>
      </c>
      <c r="I17" s="345">
        <f t="shared" si="3"/>
        <v>0.52099046534794369</v>
      </c>
      <c r="J17" s="140">
        <v>0</v>
      </c>
      <c r="K17" s="140">
        <f>+'Composition - CRC'!Q$6</f>
        <v>0.42369203654325316</v>
      </c>
      <c r="L17" s="140">
        <f>+'Composition - CRC'!Q$7</f>
        <v>0.20471746696021817</v>
      </c>
      <c r="M17" s="140">
        <f>+'Composition - CRC'!Q$8</f>
        <v>4.4582556313537769E-3</v>
      </c>
      <c r="N17" s="140">
        <f>+'Composition - CRC'!Q$9</f>
        <v>0.19807368670938816</v>
      </c>
      <c r="O17" s="140">
        <f>+'Composition - CRC'!Q$14</f>
        <v>4.9692266455568955E-3</v>
      </c>
      <c r="P17" s="140">
        <f>+'Composition - CRC'!Q$10</f>
        <v>7.4789701730690614E-3</v>
      </c>
      <c r="Q17" s="140">
        <f>+'Composition - CRC'!Q$11</f>
        <v>1.0942393629644023E-2</v>
      </c>
      <c r="R17" s="140">
        <f>+'Composition - CRC'!Q$12</f>
        <v>1.1473890852125642E-3</v>
      </c>
      <c r="S17" s="140">
        <f>+'Composition - CRC'!Q$13</f>
        <v>2.5535478776841807E-3</v>
      </c>
      <c r="T17" s="140">
        <f t="shared" si="4"/>
        <v>0.14196702674461992</v>
      </c>
      <c r="U17" s="352" t="s">
        <v>145</v>
      </c>
      <c r="V17" s="157"/>
      <c r="W17" s="157"/>
      <c r="X17" s="151">
        <v>55.29</v>
      </c>
      <c r="Y17" s="345">
        <f t="shared" si="0"/>
        <v>0.7868222570086808</v>
      </c>
      <c r="AA17" s="150"/>
      <c r="AB17" s="140"/>
      <c r="AC17" s="140"/>
      <c r="AD17" s="140"/>
      <c r="AE17" s="140"/>
      <c r="AF17" s="140"/>
      <c r="AG17" s="140"/>
      <c r="AH17" s="140"/>
      <c r="AI17" s="140"/>
      <c r="AJ17" s="140"/>
    </row>
    <row r="18" spans="1:36" x14ac:dyDescent="0.2">
      <c r="A18" s="149" t="s">
        <v>10</v>
      </c>
      <c r="B18" s="515">
        <v>1218.8800000000001</v>
      </c>
      <c r="C18" s="515">
        <v>82.8</v>
      </c>
      <c r="D18" s="150">
        <f t="shared" si="1"/>
        <v>1136.0800000000002</v>
      </c>
      <c r="E18" s="150"/>
      <c r="F18" s="517">
        <v>887.4</v>
      </c>
      <c r="G18" s="219">
        <f t="shared" si="2"/>
        <v>0.78110696429828874</v>
      </c>
      <c r="H18" s="518">
        <v>43.69</v>
      </c>
      <c r="I18" s="345">
        <f t="shared" si="3"/>
        <v>0.52765700483091782</v>
      </c>
      <c r="J18" s="140">
        <v>0</v>
      </c>
      <c r="K18" s="140">
        <f>+'Composition - CRC'!S$6</f>
        <v>0.48051031095582108</v>
      </c>
      <c r="L18" s="140">
        <f>+'Composition - CRC'!S$7</f>
        <v>0.16755061895505494</v>
      </c>
      <c r="M18" s="140">
        <f>+'Composition - CRC'!S$8</f>
        <v>4.2942582017795735E-3</v>
      </c>
      <c r="N18" s="140">
        <f>+'Composition - CRC'!S$9</f>
        <v>0.20051502492818421</v>
      </c>
      <c r="O18" s="140">
        <f>+'Composition - CRC'!S$14</f>
        <v>5.8181517238117238E-3</v>
      </c>
      <c r="P18" s="140">
        <f>+'Composition - CRC'!S$10</f>
        <v>6.6758077713021504E-3</v>
      </c>
      <c r="Q18" s="140">
        <f>+'Composition - CRC'!S$11</f>
        <v>1.1926686134958502E-2</v>
      </c>
      <c r="R18" s="140">
        <f>+'Composition - CRC'!S$12</f>
        <v>1.6738140773935818E-3</v>
      </c>
      <c r="S18" s="140">
        <f>+'Composition - CRC'!S$13</f>
        <v>7.7464747705162612E-4</v>
      </c>
      <c r="T18" s="140">
        <f t="shared" si="4"/>
        <v>0.12026067977464272</v>
      </c>
      <c r="U18" s="352" t="s">
        <v>146</v>
      </c>
      <c r="V18" s="157"/>
      <c r="W18" s="157"/>
      <c r="X18" s="151">
        <v>50.07</v>
      </c>
      <c r="Y18" s="345">
        <f t="shared" si="0"/>
        <v>0.60471014492753628</v>
      </c>
      <c r="AA18" s="150"/>
      <c r="AB18" s="140"/>
      <c r="AC18" s="140"/>
      <c r="AD18" s="140"/>
      <c r="AE18" s="140"/>
      <c r="AF18" s="140"/>
      <c r="AG18" s="140"/>
      <c r="AH18" s="140"/>
      <c r="AI18" s="140"/>
      <c r="AJ18" s="140"/>
    </row>
    <row r="19" spans="1:36" x14ac:dyDescent="0.2">
      <c r="A19" s="149" t="s">
        <v>41</v>
      </c>
      <c r="B19" s="515">
        <v>1168.99</v>
      </c>
      <c r="C19" s="515">
        <v>76.72</v>
      </c>
      <c r="D19" s="150">
        <f t="shared" si="1"/>
        <v>1092.27</v>
      </c>
      <c r="E19" s="150"/>
      <c r="F19" s="517">
        <v>845.15</v>
      </c>
      <c r="G19" s="219">
        <f t="shared" si="2"/>
        <v>0.77375557325569688</v>
      </c>
      <c r="H19" s="518">
        <v>38.99</v>
      </c>
      <c r="I19" s="345">
        <f t="shared" si="3"/>
        <v>0.50821167883211682</v>
      </c>
      <c r="J19" s="256">
        <v>0</v>
      </c>
      <c r="K19" s="140">
        <f>+'Composition - CRC'!U$6</f>
        <v>0.42148185091608609</v>
      </c>
      <c r="L19" s="140">
        <f>+'Composition - CRC'!U$7</f>
        <v>0.19934396939619972</v>
      </c>
      <c r="M19" s="140">
        <f>+'Composition - CRC'!U$8</f>
        <v>5.7341020820887746E-3</v>
      </c>
      <c r="N19" s="140">
        <f>+'Composition - CRC'!U$9</f>
        <v>0.24610601717627326</v>
      </c>
      <c r="O19" s="140">
        <f>+'Composition - CRC'!U$14</f>
        <v>2.9677574933821469E-3</v>
      </c>
      <c r="P19" s="140">
        <f>+'Composition - CRC'!U$10</f>
        <v>2.3539276886567536E-3</v>
      </c>
      <c r="Q19" s="140">
        <f>+'Composition - CRC'!U$11</f>
        <v>1.6859767292736527E-2</v>
      </c>
      <c r="R19" s="140">
        <f>+'Composition - CRC'!U$12</f>
        <v>9.8651218616581057E-5</v>
      </c>
      <c r="S19" s="140">
        <f>+'Composition - CRC'!U$13</f>
        <v>4.6379774307934293E-3</v>
      </c>
      <c r="T19" s="140">
        <f t="shared" si="4"/>
        <v>0.10041597930516666</v>
      </c>
      <c r="U19" s="352" t="s">
        <v>147</v>
      </c>
      <c r="V19" s="157"/>
      <c r="W19" s="157"/>
      <c r="X19" s="151">
        <v>43.47</v>
      </c>
      <c r="Y19" s="345">
        <f t="shared" si="0"/>
        <v>0.56660583941605835</v>
      </c>
      <c r="AA19" s="150"/>
      <c r="AB19" s="140"/>
      <c r="AC19" s="140"/>
      <c r="AD19" s="140"/>
      <c r="AE19" s="140"/>
      <c r="AF19" s="140"/>
      <c r="AG19" s="140"/>
      <c r="AH19" s="140"/>
      <c r="AI19" s="140"/>
      <c r="AJ19" s="140"/>
    </row>
    <row r="20" spans="1:36" x14ac:dyDescent="0.2">
      <c r="A20" s="149" t="s">
        <v>42</v>
      </c>
      <c r="B20" s="515">
        <v>1039.0899999999999</v>
      </c>
      <c r="C20" s="515">
        <v>80.099999999999994</v>
      </c>
      <c r="D20" s="150">
        <f t="shared" si="1"/>
        <v>958.9899999999999</v>
      </c>
      <c r="E20" s="150"/>
      <c r="F20" s="517">
        <v>731</v>
      </c>
      <c r="G20" s="219">
        <f t="shared" si="2"/>
        <v>0.76226029468503331</v>
      </c>
      <c r="H20" s="518">
        <v>40.43</v>
      </c>
      <c r="I20" s="345">
        <f t="shared" si="3"/>
        <v>0.50474406991260923</v>
      </c>
      <c r="J20" s="256">
        <f>+J19</f>
        <v>0</v>
      </c>
      <c r="K20" s="140">
        <f>+'Composition - CRC'!W$6</f>
        <v>0.35023837510677608</v>
      </c>
      <c r="L20" s="140">
        <f>+'Composition - CRC'!W$7</f>
        <v>0.29998758843241902</v>
      </c>
      <c r="M20" s="140">
        <f>+'Composition - CRC'!W$8</f>
        <v>9.2327460958319049E-3</v>
      </c>
      <c r="N20" s="140">
        <f>+'Composition - CRC'!W$9</f>
        <v>0.20667742335857023</v>
      </c>
      <c r="O20" s="140">
        <f>+'Composition - CRC'!W$14</f>
        <v>7.6586672896786882E-3</v>
      </c>
      <c r="P20" s="140">
        <f>+'Composition - CRC'!W$10</f>
        <v>1.296935802991918E-2</v>
      </c>
      <c r="Q20" s="140">
        <f>+'Composition - CRC'!W$11</f>
        <v>1.2161876044944479E-2</v>
      </c>
      <c r="R20" s="140">
        <f>+'Composition - CRC'!W$12</f>
        <v>1.1915104877746061E-3</v>
      </c>
      <c r="S20" s="140">
        <f>+'Composition - CRC'!W$13</f>
        <v>2.2997904635355449E-3</v>
      </c>
      <c r="T20" s="140">
        <f t="shared" si="4"/>
        <v>9.7582664690550214E-2</v>
      </c>
      <c r="U20" s="352" t="s">
        <v>148</v>
      </c>
      <c r="V20" s="157"/>
      <c r="W20" s="157"/>
      <c r="X20" s="151">
        <v>52.99</v>
      </c>
      <c r="Y20" s="345">
        <f>+X20/C20</f>
        <v>0.66154806491885154</v>
      </c>
      <c r="AA20" s="223"/>
      <c r="AB20" s="140"/>
      <c r="AC20" s="140"/>
      <c r="AD20" s="140"/>
      <c r="AE20" s="140"/>
      <c r="AF20" s="140"/>
      <c r="AG20" s="140"/>
      <c r="AH20" s="140"/>
      <c r="AI20" s="140"/>
      <c r="AJ20" s="140"/>
    </row>
    <row r="21" spans="1:36" ht="15" x14ac:dyDescent="0.35">
      <c r="A21" s="149" t="s">
        <v>43</v>
      </c>
      <c r="B21" s="549">
        <v>1112.1199999999999</v>
      </c>
      <c r="C21" s="549">
        <v>79.400000000000006</v>
      </c>
      <c r="D21" s="550">
        <f t="shared" si="1"/>
        <v>1032.7199999999998</v>
      </c>
      <c r="E21" s="550"/>
      <c r="F21" s="551">
        <v>770.6</v>
      </c>
      <c r="G21" s="190">
        <f t="shared" si="2"/>
        <v>0.7461848322875515</v>
      </c>
      <c r="H21" s="549">
        <v>41.11</v>
      </c>
      <c r="I21" s="346">
        <f t="shared" si="3"/>
        <v>0.51775818639798488</v>
      </c>
      <c r="J21" s="190">
        <f>+J20</f>
        <v>0</v>
      </c>
      <c r="K21" s="190">
        <f>+'Composition - CRC'!Y$6</f>
        <v>0.31733506205052459</v>
      </c>
      <c r="L21" s="190">
        <f>+'Composition - CRC'!Y$7</f>
        <v>0.30845337315492688</v>
      </c>
      <c r="M21" s="190">
        <f>+'Composition - CRC'!Y$8</f>
        <v>1.0268526205699376E-2</v>
      </c>
      <c r="N21" s="190">
        <f>+'Composition - CRC'!Y$9</f>
        <v>0.21255404487476684</v>
      </c>
      <c r="O21" s="190">
        <f>+'Composition - CRC'!Y$14</f>
        <v>5.2238886432984357E-3</v>
      </c>
      <c r="P21" s="190">
        <f>+'Composition - CRC'!Y$10</f>
        <v>1.0504382891090817E-2</v>
      </c>
      <c r="Q21" s="190">
        <f>+'Composition - CRC'!Y$11</f>
        <v>1.298424746892083E-2</v>
      </c>
      <c r="R21" s="190">
        <f>+'Composition - CRC'!Y$12</f>
        <v>4.1376001380098547E-4</v>
      </c>
      <c r="S21" s="190">
        <f>+'Composition - CRC'!Y$13</f>
        <v>1.0647244654813634E-4</v>
      </c>
      <c r="T21" s="190">
        <f t="shared" si="4"/>
        <v>0.1221562422504231</v>
      </c>
      <c r="U21" s="352" t="s">
        <v>149</v>
      </c>
      <c r="V21" s="157"/>
      <c r="W21" s="157"/>
      <c r="X21" s="189">
        <f>+X20</f>
        <v>52.99</v>
      </c>
      <c r="Y21" s="346">
        <f>+X21/C21</f>
        <v>0.66738035264483619</v>
      </c>
      <c r="AA21" s="224"/>
      <c r="AB21" s="190"/>
      <c r="AC21" s="190"/>
      <c r="AD21" s="190"/>
      <c r="AE21" s="190"/>
      <c r="AF21" s="190"/>
      <c r="AG21" s="190"/>
      <c r="AH21" s="190"/>
      <c r="AI21" s="190"/>
      <c r="AJ21" s="190"/>
    </row>
    <row r="22" spans="1:36" ht="15" x14ac:dyDescent="0.35">
      <c r="A22" s="149"/>
      <c r="B22" s="153">
        <f>SUM(B10:B21)</f>
        <v>12996.82</v>
      </c>
      <c r="C22" s="350">
        <f>SUM(C10:C21)</f>
        <v>930.33</v>
      </c>
      <c r="D22" s="153">
        <f>SUM(D10:D21)</f>
        <v>12066.49</v>
      </c>
      <c r="E22" s="153"/>
      <c r="F22" s="153">
        <f>SUM(F10:F21)</f>
        <v>9248.8700000000008</v>
      </c>
      <c r="G22" s="155">
        <f t="shared" si="2"/>
        <v>0.76649216134932374</v>
      </c>
      <c r="H22" s="154">
        <f>SUM(H10:H21)</f>
        <v>483.04</v>
      </c>
      <c r="I22" s="155">
        <f t="shared" si="3"/>
        <v>0.51921361237410379</v>
      </c>
      <c r="J22" s="155">
        <f>+J42/$D$42</f>
        <v>0</v>
      </c>
      <c r="K22" s="155">
        <f t="shared" ref="K22:T22" si="5">+K42/$D$42</f>
        <v>0.38579149917997008</v>
      </c>
      <c r="L22" s="155">
        <f t="shared" si="5"/>
        <v>0.21296970855725214</v>
      </c>
      <c r="M22" s="155">
        <f t="shared" si="5"/>
        <v>6.231680724235994E-3</v>
      </c>
      <c r="N22" s="155">
        <f t="shared" si="5"/>
        <v>0.21883569505254247</v>
      </c>
      <c r="O22" s="155">
        <f t="shared" si="5"/>
        <v>7.4816215212629104E-3</v>
      </c>
      <c r="P22" s="155">
        <f t="shared" si="5"/>
        <v>5.7154088073594241E-3</v>
      </c>
      <c r="Q22" s="155">
        <f t="shared" si="5"/>
        <v>1.2695148412547963E-2</v>
      </c>
      <c r="R22" s="155">
        <f t="shared" si="5"/>
        <v>9.4510985382946716E-4</v>
      </c>
      <c r="S22" s="155">
        <f t="shared" si="5"/>
        <v>3.329832154758891E-3</v>
      </c>
      <c r="T22" s="155">
        <f t="shared" si="5"/>
        <v>0.14600429573624063</v>
      </c>
      <c r="V22" s="157"/>
      <c r="W22" s="157"/>
      <c r="X22" s="154">
        <f>SUM(X10:X21)</f>
        <v>609.89</v>
      </c>
      <c r="Y22" s="155">
        <f>+X22/C22</f>
        <v>0.65556307976739436</v>
      </c>
    </row>
    <row r="23" spans="1:36" x14ac:dyDescent="0.2">
      <c r="B23" s="151"/>
      <c r="C23" s="151"/>
      <c r="X23" s="156"/>
    </row>
    <row r="24" spans="1:36" x14ac:dyDescent="0.2">
      <c r="B24" s="158"/>
      <c r="C24" s="158"/>
      <c r="D24" s="158"/>
      <c r="E24" s="158"/>
      <c r="F24" s="158"/>
      <c r="G24" s="158"/>
      <c r="H24" s="158"/>
      <c r="I24" s="158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X24" s="156"/>
    </row>
    <row r="26" spans="1:36" ht="15" x14ac:dyDescent="0.2">
      <c r="D26" s="2" t="s">
        <v>101</v>
      </c>
      <c r="E26" s="343"/>
      <c r="F26" s="343"/>
      <c r="G26" s="343"/>
      <c r="H26" s="343"/>
      <c r="I26" s="343"/>
      <c r="J26" s="612" t="s">
        <v>103</v>
      </c>
      <c r="K26" s="612"/>
      <c r="L26" s="612"/>
      <c r="M26" s="612"/>
      <c r="N26" s="612"/>
      <c r="O26" s="612"/>
      <c r="P26" s="612"/>
      <c r="Q26" s="612"/>
      <c r="R26" s="612"/>
      <c r="S26" s="612"/>
      <c r="T26" s="612"/>
    </row>
    <row r="27" spans="1:36" x14ac:dyDescent="0.2">
      <c r="D27" s="2" t="s">
        <v>102</v>
      </c>
      <c r="E27" s="343"/>
      <c r="F27" s="343"/>
      <c r="G27" s="343"/>
      <c r="H27" s="343"/>
      <c r="I27" s="343"/>
      <c r="J27" s="41" t="s">
        <v>98</v>
      </c>
      <c r="K27" s="41" t="s">
        <v>46</v>
      </c>
      <c r="L27" s="41"/>
      <c r="M27" s="41" t="s">
        <v>1</v>
      </c>
      <c r="N27" s="41"/>
      <c r="O27" s="41" t="s">
        <v>47</v>
      </c>
      <c r="P27" s="41"/>
      <c r="Q27" s="41" t="s">
        <v>2</v>
      </c>
      <c r="R27" s="41" t="s">
        <v>2</v>
      </c>
      <c r="S27" s="41" t="s">
        <v>48</v>
      </c>
    </row>
    <row r="28" spans="1:36" x14ac:dyDescent="0.2">
      <c r="C28" s="151"/>
      <c r="D28" s="10" t="s">
        <v>0</v>
      </c>
      <c r="E28" s="10"/>
      <c r="F28" s="10"/>
      <c r="G28" s="10"/>
      <c r="H28" s="10"/>
      <c r="I28" s="10"/>
      <c r="J28" s="42" t="s">
        <v>92</v>
      </c>
      <c r="K28" s="42" t="s">
        <v>49</v>
      </c>
      <c r="L28" s="42" t="s">
        <v>50</v>
      </c>
      <c r="M28" s="42" t="s">
        <v>51</v>
      </c>
      <c r="N28" s="42" t="s">
        <v>4</v>
      </c>
      <c r="O28" s="42" t="s">
        <v>52</v>
      </c>
      <c r="P28" s="42" t="s">
        <v>3</v>
      </c>
      <c r="Q28" s="42" t="s">
        <v>53</v>
      </c>
      <c r="R28" s="42" t="s">
        <v>54</v>
      </c>
      <c r="S28" s="42" t="s">
        <v>55</v>
      </c>
      <c r="T28" s="59" t="s">
        <v>86</v>
      </c>
    </row>
    <row r="29" spans="1:36" x14ac:dyDescent="0.2">
      <c r="C29" s="151"/>
      <c r="D29" s="151"/>
      <c r="E29" s="151"/>
      <c r="F29" s="151"/>
      <c r="G29" s="151"/>
      <c r="H29" s="151"/>
      <c r="I29" s="151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9"/>
    </row>
    <row r="30" spans="1:36" x14ac:dyDescent="0.2">
      <c r="A30" s="149" t="s">
        <v>154</v>
      </c>
      <c r="C30" s="151"/>
      <c r="D30" s="158">
        <f t="shared" ref="D30:D41" si="6">SUM(J30:T30)</f>
        <v>921.69</v>
      </c>
      <c r="E30" s="158"/>
      <c r="F30" s="158"/>
      <c r="G30" s="158"/>
      <c r="H30" s="158"/>
      <c r="I30" s="158"/>
      <c r="J30" s="158">
        <f t="shared" ref="J30:T30" si="7">+$D10*J10</f>
        <v>0</v>
      </c>
      <c r="K30" s="158">
        <f t="shared" si="7"/>
        <v>307.05416029218571</v>
      </c>
      <c r="L30" s="158">
        <f t="shared" si="7"/>
        <v>207.43156043566978</v>
      </c>
      <c r="M30" s="158">
        <f t="shared" si="7"/>
        <v>6.1474379710982126</v>
      </c>
      <c r="N30" s="158">
        <f t="shared" si="7"/>
        <v>202.67530080406974</v>
      </c>
      <c r="O30" s="158">
        <f t="shared" si="7"/>
        <v>6.7853680738663371</v>
      </c>
      <c r="P30" s="158">
        <f t="shared" si="7"/>
        <v>6.2455810638317697</v>
      </c>
      <c r="Q30" s="158">
        <f t="shared" si="7"/>
        <v>9.5174264178367469</v>
      </c>
      <c r="R30" s="158">
        <f t="shared" si="7"/>
        <v>0.65265156667815794</v>
      </c>
      <c r="S30" s="158">
        <f t="shared" si="7"/>
        <v>1.1666760148701658</v>
      </c>
      <c r="T30" s="158">
        <f t="shared" si="7"/>
        <v>174.01383735989339</v>
      </c>
    </row>
    <row r="31" spans="1:36" x14ac:dyDescent="0.2">
      <c r="A31" s="149" t="s">
        <v>35</v>
      </c>
      <c r="C31" s="151"/>
      <c r="D31" s="158">
        <f t="shared" si="6"/>
        <v>987.25</v>
      </c>
      <c r="E31" s="158"/>
      <c r="F31" s="158"/>
      <c r="G31" s="158"/>
      <c r="H31" s="158"/>
      <c r="I31" s="158"/>
      <c r="J31" s="158">
        <f t="shared" ref="J31:T31" si="8">+$D11*J11</f>
        <v>0</v>
      </c>
      <c r="K31" s="158">
        <f t="shared" si="8"/>
        <v>340.12217153606679</v>
      </c>
      <c r="L31" s="158">
        <f t="shared" si="8"/>
        <v>188.18899774565261</v>
      </c>
      <c r="M31" s="158">
        <f t="shared" si="8"/>
        <v>5.9041163269430923</v>
      </c>
      <c r="N31" s="158">
        <f t="shared" si="8"/>
        <v>208.43727962766712</v>
      </c>
      <c r="O31" s="158">
        <f t="shared" si="8"/>
        <v>9.3490765403901914</v>
      </c>
      <c r="P31" s="158">
        <f t="shared" si="8"/>
        <v>6.8804305759008777</v>
      </c>
      <c r="Q31" s="158">
        <f t="shared" si="8"/>
        <v>9.8882816418497494</v>
      </c>
      <c r="R31" s="158">
        <f t="shared" si="8"/>
        <v>1.3717666046127717</v>
      </c>
      <c r="S31" s="158">
        <f t="shared" si="8"/>
        <v>2.1035383351513803</v>
      </c>
      <c r="T31" s="158">
        <f t="shared" si="8"/>
        <v>215.00434106576549</v>
      </c>
    </row>
    <row r="32" spans="1:36" x14ac:dyDescent="0.2">
      <c r="A32" s="149" t="s">
        <v>36</v>
      </c>
      <c r="C32" s="151"/>
      <c r="D32" s="158">
        <f t="shared" si="6"/>
        <v>993.7399999999999</v>
      </c>
      <c r="E32" s="158"/>
      <c r="F32" s="158"/>
      <c r="G32" s="158"/>
      <c r="H32" s="158"/>
      <c r="I32" s="158"/>
      <c r="J32" s="158">
        <f t="shared" ref="J32:T32" si="9">+$D12*J12</f>
        <v>0</v>
      </c>
      <c r="K32" s="158">
        <f t="shared" si="9"/>
        <v>387.49878883410838</v>
      </c>
      <c r="L32" s="158">
        <f t="shared" si="9"/>
        <v>175.88144024203663</v>
      </c>
      <c r="M32" s="158">
        <f t="shared" si="9"/>
        <v>5.7632035119936464</v>
      </c>
      <c r="N32" s="158">
        <f t="shared" si="9"/>
        <v>223.0925623901629</v>
      </c>
      <c r="O32" s="158">
        <f t="shared" si="9"/>
        <v>8.7154820396372461</v>
      </c>
      <c r="P32" s="158">
        <f t="shared" si="9"/>
        <v>0.25249831564409697</v>
      </c>
      <c r="Q32" s="158">
        <f t="shared" si="9"/>
        <v>14.509586658643745</v>
      </c>
      <c r="R32" s="158">
        <f t="shared" si="9"/>
        <v>0.51392848465575625</v>
      </c>
      <c r="S32" s="158">
        <f t="shared" si="9"/>
        <v>4.1586350844341595</v>
      </c>
      <c r="T32" s="158">
        <f t="shared" si="9"/>
        <v>173.35387443868331</v>
      </c>
    </row>
    <row r="33" spans="1:20" x14ac:dyDescent="0.2">
      <c r="A33" s="149" t="s">
        <v>37</v>
      </c>
      <c r="C33" s="151"/>
      <c r="D33" s="158">
        <f t="shared" si="6"/>
        <v>951.12000000000012</v>
      </c>
      <c r="E33" s="158"/>
      <c r="F33" s="158"/>
      <c r="G33" s="158"/>
      <c r="H33" s="158"/>
      <c r="I33" s="158"/>
      <c r="J33" s="158">
        <f t="shared" ref="J33:T33" si="10">+$D13*J13</f>
        <v>0</v>
      </c>
      <c r="K33" s="158">
        <f t="shared" si="10"/>
        <v>353.24786823476717</v>
      </c>
      <c r="L33" s="158">
        <f t="shared" si="10"/>
        <v>187.97692984256253</v>
      </c>
      <c r="M33" s="158">
        <f t="shared" si="10"/>
        <v>5.6906993468788816</v>
      </c>
      <c r="N33" s="158">
        <f t="shared" si="10"/>
        <v>237.45079265584704</v>
      </c>
      <c r="O33" s="158">
        <f t="shared" si="10"/>
        <v>10.231621805794648</v>
      </c>
      <c r="P33" s="158">
        <f t="shared" si="10"/>
        <v>1.4038391014094951</v>
      </c>
      <c r="Q33" s="158">
        <f t="shared" si="10"/>
        <v>11.704901772107585</v>
      </c>
      <c r="R33" s="158">
        <f t="shared" si="10"/>
        <v>0.31124202002038581</v>
      </c>
      <c r="S33" s="158">
        <f t="shared" si="10"/>
        <v>3.8981838810059615</v>
      </c>
      <c r="T33" s="158">
        <f t="shared" si="10"/>
        <v>139.2039213396063</v>
      </c>
    </row>
    <row r="34" spans="1:20" x14ac:dyDescent="0.2">
      <c r="A34" s="149" t="s">
        <v>155</v>
      </c>
      <c r="C34" s="151"/>
      <c r="D34" s="158">
        <f t="shared" si="6"/>
        <v>1224.6000000000004</v>
      </c>
      <c r="E34" s="158"/>
      <c r="F34" s="158"/>
      <c r="G34" s="158"/>
      <c r="H34" s="158"/>
      <c r="I34" s="158"/>
      <c r="J34" s="158">
        <f t="shared" ref="J34:T34" si="11">+$D14*J14</f>
        <v>0</v>
      </c>
      <c r="K34" s="158">
        <f t="shared" si="11"/>
        <v>481.29090421451838</v>
      </c>
      <c r="L34" s="158">
        <f t="shared" si="11"/>
        <v>236.20734687014982</v>
      </c>
      <c r="M34" s="158">
        <f t="shared" si="11"/>
        <v>6.3226260219191053</v>
      </c>
      <c r="N34" s="158">
        <f t="shared" si="11"/>
        <v>270.95500788219636</v>
      </c>
      <c r="O34" s="158">
        <f t="shared" si="11"/>
        <v>12.381920565764446</v>
      </c>
      <c r="P34" s="158">
        <f t="shared" si="11"/>
        <v>4.2864619392327814</v>
      </c>
      <c r="Q34" s="158">
        <f t="shared" si="11"/>
        <v>15.088366632981748</v>
      </c>
      <c r="R34" s="158">
        <f t="shared" si="11"/>
        <v>0.52036516183970172</v>
      </c>
      <c r="S34" s="158">
        <f t="shared" si="11"/>
        <v>4.2829086898772291</v>
      </c>
      <c r="T34" s="158">
        <f t="shared" si="11"/>
        <v>193.26409202152072</v>
      </c>
    </row>
    <row r="35" spans="1:20" x14ac:dyDescent="0.2">
      <c r="A35" s="149" t="s">
        <v>38</v>
      </c>
      <c r="C35" s="151"/>
      <c r="D35" s="158">
        <f t="shared" si="6"/>
        <v>842.9799999999999</v>
      </c>
      <c r="E35" s="158"/>
      <c r="F35" s="158"/>
      <c r="G35" s="158"/>
      <c r="H35" s="158"/>
      <c r="I35" s="158"/>
      <c r="J35" s="158">
        <f t="shared" ref="J35:T35" si="12">+$D15*J15</f>
        <v>0</v>
      </c>
      <c r="K35" s="158">
        <f t="shared" si="12"/>
        <v>314.68232669985031</v>
      </c>
      <c r="L35" s="158">
        <f t="shared" si="12"/>
        <v>191.00691799715202</v>
      </c>
      <c r="M35" s="158">
        <f t="shared" si="12"/>
        <v>5.6919919140910418</v>
      </c>
      <c r="N35" s="158">
        <f t="shared" si="12"/>
        <v>187.39411810289064</v>
      </c>
      <c r="O35" s="158">
        <f t="shared" si="12"/>
        <v>9.0066188410893613</v>
      </c>
      <c r="P35" s="158">
        <f t="shared" si="12"/>
        <v>5.2668970889007038</v>
      </c>
      <c r="Q35" s="158">
        <f t="shared" si="12"/>
        <v>9.1560638097200684</v>
      </c>
      <c r="R35" s="158">
        <f t="shared" si="12"/>
        <v>0.49944116832213492</v>
      </c>
      <c r="S35" s="158">
        <f t="shared" si="12"/>
        <v>8.7183373851716794</v>
      </c>
      <c r="T35" s="158">
        <f t="shared" si="12"/>
        <v>111.55728699281192</v>
      </c>
    </row>
    <row r="36" spans="1:20" x14ac:dyDescent="0.2">
      <c r="A36" s="149" t="s">
        <v>39</v>
      </c>
      <c r="C36" s="151"/>
      <c r="D36" s="158">
        <f t="shared" si="6"/>
        <v>1042.6300000000003</v>
      </c>
      <c r="E36" s="158"/>
      <c r="F36" s="158"/>
      <c r="G36" s="158"/>
      <c r="H36" s="158"/>
      <c r="I36" s="158"/>
      <c r="J36" s="158">
        <f t="shared" ref="J36:T36" si="13">+$D16*J16</f>
        <v>0</v>
      </c>
      <c r="K36" s="158">
        <f t="shared" si="13"/>
        <v>427.51522024685539</v>
      </c>
      <c r="L36" s="158">
        <f t="shared" si="13"/>
        <v>188.13746869053108</v>
      </c>
      <c r="M36" s="158">
        <f t="shared" si="13"/>
        <v>5.1399520143706656</v>
      </c>
      <c r="N36" s="158">
        <f t="shared" si="13"/>
        <v>221.46375755437748</v>
      </c>
      <c r="O36" s="158">
        <f t="shared" si="13"/>
        <v>6.8310005154684879</v>
      </c>
      <c r="P36" s="158">
        <f t="shared" si="13"/>
        <v>4.5886750291655201</v>
      </c>
      <c r="Q36" s="158">
        <f t="shared" si="13"/>
        <v>16.628170289229509</v>
      </c>
      <c r="R36" s="158">
        <f t="shared" si="13"/>
        <v>2.942999169705391</v>
      </c>
      <c r="S36" s="158">
        <f t="shared" si="13"/>
        <v>5.3363878926532573</v>
      </c>
      <c r="T36" s="158">
        <f t="shared" si="13"/>
        <v>164.04636859764324</v>
      </c>
    </row>
    <row r="37" spans="1:20" x14ac:dyDescent="0.2">
      <c r="A37" s="149" t="s">
        <v>40</v>
      </c>
      <c r="C37" s="151"/>
      <c r="D37" s="158">
        <f t="shared" si="6"/>
        <v>882.42000000000007</v>
      </c>
      <c r="E37" s="158"/>
      <c r="F37" s="158"/>
      <c r="G37" s="158"/>
      <c r="H37" s="158"/>
      <c r="I37" s="158"/>
      <c r="J37" s="158">
        <f t="shared" ref="J37:T37" si="14">+$D17*J17</f>
        <v>0</v>
      </c>
      <c r="K37" s="158">
        <f t="shared" si="14"/>
        <v>373.8743268864975</v>
      </c>
      <c r="L37" s="158">
        <f t="shared" si="14"/>
        <v>180.64678719503573</v>
      </c>
      <c r="M37" s="158">
        <f t="shared" si="14"/>
        <v>3.9340539342192002</v>
      </c>
      <c r="N37" s="158">
        <f t="shared" si="14"/>
        <v>174.7841826260983</v>
      </c>
      <c r="O37" s="158">
        <f t="shared" si="14"/>
        <v>4.3849449765723163</v>
      </c>
      <c r="P37" s="158">
        <f t="shared" si="14"/>
        <v>6.5995928601196017</v>
      </c>
      <c r="Q37" s="158">
        <f t="shared" si="14"/>
        <v>9.6557869866704795</v>
      </c>
      <c r="R37" s="158">
        <f t="shared" si="14"/>
        <v>1.012479076573271</v>
      </c>
      <c r="S37" s="158">
        <f t="shared" si="14"/>
        <v>2.2533017182260751</v>
      </c>
      <c r="T37" s="158">
        <f t="shared" si="14"/>
        <v>125.27454373998752</v>
      </c>
    </row>
    <row r="38" spans="1:20" x14ac:dyDescent="0.2">
      <c r="A38" s="149" t="s">
        <v>10</v>
      </c>
      <c r="C38" s="151"/>
      <c r="D38" s="158">
        <f t="shared" si="6"/>
        <v>1136.0800000000004</v>
      </c>
      <c r="E38" s="158"/>
      <c r="F38" s="158"/>
      <c r="G38" s="158"/>
      <c r="H38" s="158"/>
      <c r="I38" s="158"/>
      <c r="J38" s="158">
        <f t="shared" ref="J38:T38" si="15">+$D18*J18</f>
        <v>0</v>
      </c>
      <c r="K38" s="158">
        <f t="shared" si="15"/>
        <v>545.89815407068932</v>
      </c>
      <c r="L38" s="158">
        <f t="shared" si="15"/>
        <v>190.35090718245883</v>
      </c>
      <c r="M38" s="158">
        <f t="shared" si="15"/>
        <v>4.8786208578777384</v>
      </c>
      <c r="N38" s="158">
        <f t="shared" si="15"/>
        <v>227.80110952041156</v>
      </c>
      <c r="O38" s="158">
        <f t="shared" si="15"/>
        <v>6.6098858103880245</v>
      </c>
      <c r="P38" s="158">
        <f t="shared" si="15"/>
        <v>7.5842516928209482</v>
      </c>
      <c r="Q38" s="158">
        <f t="shared" si="15"/>
        <v>13.549669584203656</v>
      </c>
      <c r="R38" s="158">
        <f t="shared" si="15"/>
        <v>1.9015866970453006</v>
      </c>
      <c r="S38" s="158">
        <f t="shared" si="15"/>
        <v>0.88006150572881148</v>
      </c>
      <c r="T38" s="158">
        <f t="shared" si="15"/>
        <v>136.62575307837611</v>
      </c>
    </row>
    <row r="39" spans="1:20" x14ac:dyDescent="0.2">
      <c r="A39" s="149" t="s">
        <v>41</v>
      </c>
      <c r="C39" s="152"/>
      <c r="D39" s="158">
        <f t="shared" si="6"/>
        <v>1092.27</v>
      </c>
      <c r="E39" s="158"/>
      <c r="F39" s="158"/>
      <c r="G39" s="158"/>
      <c r="H39" s="158"/>
      <c r="I39" s="158"/>
      <c r="J39" s="158">
        <f t="shared" ref="J39:T39" si="16">+$D19*J19</f>
        <v>0</v>
      </c>
      <c r="K39" s="158">
        <f t="shared" si="16"/>
        <v>460.37198130011336</v>
      </c>
      <c r="L39" s="158">
        <f t="shared" si="16"/>
        <v>217.73743745238707</v>
      </c>
      <c r="M39" s="158">
        <f t="shared" si="16"/>
        <v>6.2631876812031058</v>
      </c>
      <c r="N39" s="158">
        <f t="shared" si="16"/>
        <v>268.814219381128</v>
      </c>
      <c r="O39" s="158">
        <f t="shared" si="16"/>
        <v>3.2415924772965177</v>
      </c>
      <c r="P39" s="158">
        <f t="shared" si="16"/>
        <v>2.5711245964891121</v>
      </c>
      <c r="Q39" s="158">
        <f t="shared" si="16"/>
        <v>18.415418020837325</v>
      </c>
      <c r="R39" s="158">
        <f t="shared" si="16"/>
        <v>0.10775376655833299</v>
      </c>
      <c r="S39" s="158">
        <f t="shared" si="16"/>
        <v>5.0659236083327386</v>
      </c>
      <c r="T39" s="158">
        <f t="shared" si="16"/>
        <v>109.68136171565439</v>
      </c>
    </row>
    <row r="40" spans="1:20" x14ac:dyDescent="0.2">
      <c r="A40" s="149" t="s">
        <v>42</v>
      </c>
      <c r="C40" s="154"/>
      <c r="D40" s="158">
        <f t="shared" si="6"/>
        <v>958.9899999999999</v>
      </c>
      <c r="E40" s="158"/>
      <c r="F40" s="158"/>
      <c r="G40" s="158"/>
      <c r="H40" s="158"/>
      <c r="I40" s="158"/>
      <c r="J40" s="158">
        <f t="shared" ref="J40:T40" si="17">+$D20*J20</f>
        <v>0</v>
      </c>
      <c r="K40" s="158">
        <f t="shared" si="17"/>
        <v>335.87509934364715</v>
      </c>
      <c r="L40" s="158">
        <f t="shared" si="17"/>
        <v>287.68509743080546</v>
      </c>
      <c r="M40" s="158">
        <f t="shared" si="17"/>
        <v>8.8541111784418369</v>
      </c>
      <c r="N40" s="158">
        <f t="shared" si="17"/>
        <v>198.20158222663525</v>
      </c>
      <c r="O40" s="158">
        <f t="shared" si="17"/>
        <v>7.3445853441289648</v>
      </c>
      <c r="P40" s="158">
        <f t="shared" si="17"/>
        <v>12.437484657112194</v>
      </c>
      <c r="Q40" s="158">
        <f t="shared" si="17"/>
        <v>11.663117508341305</v>
      </c>
      <c r="R40" s="158">
        <f t="shared" si="17"/>
        <v>1.1426466426709694</v>
      </c>
      <c r="S40" s="158">
        <f t="shared" si="17"/>
        <v>2.2054760566259519</v>
      </c>
      <c r="T40" s="158">
        <f t="shared" si="17"/>
        <v>93.580799611590734</v>
      </c>
    </row>
    <row r="41" spans="1:20" ht="15" x14ac:dyDescent="0.35">
      <c r="A41" s="149" t="s">
        <v>43</v>
      </c>
      <c r="D41" s="159">
        <f t="shared" si="6"/>
        <v>1032.7199999999998</v>
      </c>
      <c r="E41" s="159"/>
      <c r="F41" s="159"/>
      <c r="G41" s="159"/>
      <c r="H41" s="159"/>
      <c r="I41" s="159"/>
      <c r="J41" s="159">
        <f t="shared" ref="J41:T41" si="18">+$D21*J21</f>
        <v>0</v>
      </c>
      <c r="K41" s="159">
        <f t="shared" si="18"/>
        <v>327.71826528081766</v>
      </c>
      <c r="L41" s="159">
        <f t="shared" si="18"/>
        <v>318.54596752455603</v>
      </c>
      <c r="M41" s="159">
        <f t="shared" si="18"/>
        <v>10.604512383149858</v>
      </c>
      <c r="N41" s="159">
        <f t="shared" si="18"/>
        <v>219.50881322306915</v>
      </c>
      <c r="O41" s="159">
        <f t="shared" si="18"/>
        <v>5.3948142797071599</v>
      </c>
      <c r="P41" s="159">
        <f t="shared" si="18"/>
        <v>10.848086299287306</v>
      </c>
      <c r="Q41" s="159">
        <f t="shared" si="18"/>
        <v>13.409092046103916</v>
      </c>
      <c r="R41" s="159">
        <f t="shared" si="18"/>
        <v>0.42729824145255363</v>
      </c>
      <c r="S41" s="159">
        <f t="shared" si="18"/>
        <v>0.10995622499919133</v>
      </c>
      <c r="T41" s="159">
        <f t="shared" si="18"/>
        <v>126.15319449685691</v>
      </c>
    </row>
    <row r="42" spans="1:20" ht="15" x14ac:dyDescent="0.35">
      <c r="D42" s="153">
        <f>SUM(D30:D41)</f>
        <v>12066.49</v>
      </c>
      <c r="E42" s="153"/>
      <c r="F42" s="153"/>
      <c r="G42" s="153"/>
      <c r="H42" s="153"/>
      <c r="I42" s="153"/>
      <c r="J42" s="153">
        <f>SUM(J30:J41)</f>
        <v>0</v>
      </c>
      <c r="K42" s="153">
        <f t="shared" ref="K42:T42" si="19">SUM(K30:K41)</f>
        <v>4655.1492669401168</v>
      </c>
      <c r="L42" s="153">
        <f t="shared" si="19"/>
        <v>2569.7968586089974</v>
      </c>
      <c r="M42" s="153">
        <f t="shared" si="19"/>
        <v>75.194513142186381</v>
      </c>
      <c r="N42" s="153">
        <f>SUM(N30:N41)</f>
        <v>2640.5787259945532</v>
      </c>
      <c r="O42" s="153">
        <f t="shared" si="19"/>
        <v>90.276911270103696</v>
      </c>
      <c r="P42" s="153">
        <f t="shared" si="19"/>
        <v>68.964923219914411</v>
      </c>
      <c r="Q42" s="153">
        <f t="shared" si="19"/>
        <v>153.18588136852586</v>
      </c>
      <c r="R42" s="153">
        <f t="shared" si="19"/>
        <v>11.404158600134727</v>
      </c>
      <c r="S42" s="153">
        <f t="shared" si="19"/>
        <v>40.179386397076613</v>
      </c>
      <c r="T42" s="153">
        <f t="shared" si="19"/>
        <v>1761.7593744583903</v>
      </c>
    </row>
    <row r="45" spans="1:20" ht="15" x14ac:dyDescent="0.2">
      <c r="J45" s="612" t="s">
        <v>104</v>
      </c>
      <c r="K45" s="612"/>
      <c r="L45" s="612"/>
      <c r="M45" s="612"/>
      <c r="N45" s="612"/>
      <c r="O45" s="612"/>
      <c r="P45" s="612"/>
      <c r="Q45" s="612"/>
      <c r="R45" s="612"/>
      <c r="S45" s="612"/>
      <c r="T45" s="612"/>
    </row>
    <row r="46" spans="1:20" x14ac:dyDescent="0.2">
      <c r="D46" s="2" t="s">
        <v>24</v>
      </c>
      <c r="E46" s="343"/>
      <c r="F46" s="343"/>
      <c r="G46" s="343"/>
      <c r="H46" s="343"/>
      <c r="I46" s="343"/>
      <c r="J46" s="41" t="s">
        <v>98</v>
      </c>
      <c r="K46" s="41" t="s">
        <v>46</v>
      </c>
      <c r="L46" s="41"/>
      <c r="M46" s="41" t="s">
        <v>1</v>
      </c>
      <c r="N46" s="41"/>
      <c r="O46" s="41" t="s">
        <v>47</v>
      </c>
      <c r="P46" s="41"/>
      <c r="Q46" s="41" t="s">
        <v>2</v>
      </c>
      <c r="R46" s="41" t="s">
        <v>2</v>
      </c>
      <c r="S46" s="41" t="s">
        <v>48</v>
      </c>
    </row>
    <row r="47" spans="1:20" x14ac:dyDescent="0.2">
      <c r="D47" s="10" t="s">
        <v>0</v>
      </c>
      <c r="E47" s="10"/>
      <c r="F47" s="10"/>
      <c r="G47" s="10"/>
      <c r="H47" s="10"/>
      <c r="I47" s="10"/>
      <c r="J47" s="42" t="s">
        <v>92</v>
      </c>
      <c r="K47" s="42" t="s">
        <v>49</v>
      </c>
      <c r="L47" s="42" t="s">
        <v>50</v>
      </c>
      <c r="M47" s="42" t="s">
        <v>51</v>
      </c>
      <c r="N47" s="42" t="s">
        <v>4</v>
      </c>
      <c r="O47" s="42" t="s">
        <v>52</v>
      </c>
      <c r="P47" s="42" t="s">
        <v>3</v>
      </c>
      <c r="Q47" s="42" t="s">
        <v>53</v>
      </c>
      <c r="R47" s="42" t="s">
        <v>54</v>
      </c>
      <c r="S47" s="42" t="s">
        <v>55</v>
      </c>
      <c r="T47" s="59" t="s">
        <v>86</v>
      </c>
    </row>
    <row r="48" spans="1:20" x14ac:dyDescent="0.2"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59"/>
    </row>
    <row r="49" spans="1:20" x14ac:dyDescent="0.2">
      <c r="A49" s="149" t="s">
        <v>129</v>
      </c>
      <c r="C49" s="341">
        <f>+D49/D30</f>
        <v>7.1759485293319894E-2</v>
      </c>
      <c r="D49" s="158">
        <f t="shared" ref="D49:D60" si="20">SUM(J49:T49)</f>
        <v>66.140000000000015</v>
      </c>
      <c r="E49" s="158"/>
      <c r="F49" s="158"/>
      <c r="G49" s="158"/>
      <c r="H49" s="158"/>
      <c r="I49" s="158"/>
      <c r="J49" s="158">
        <f t="shared" ref="J49:T49" si="21">+$C10*J10</f>
        <v>0</v>
      </c>
      <c r="K49" s="158">
        <f t="shared" si="21"/>
        <v>22.034048499739786</v>
      </c>
      <c r="L49" s="158">
        <f t="shared" si="21"/>
        <v>14.885182010453839</v>
      </c>
      <c r="M49" s="158">
        <f t="shared" si="21"/>
        <v>0.44113698467861834</v>
      </c>
      <c r="N49" s="158">
        <f t="shared" si="21"/>
        <v>14.543875267368826</v>
      </c>
      <c r="O49" s="158">
        <f t="shared" si="21"/>
        <v>0.48691452050637363</v>
      </c>
      <c r="P49" s="158">
        <f t="shared" si="21"/>
        <v>0.448179682498273</v>
      </c>
      <c r="Q49" s="158">
        <f t="shared" si="21"/>
        <v>0.68296562106101011</v>
      </c>
      <c r="R49" s="158">
        <f t="shared" si="21"/>
        <v>4.6833940500703448E-2</v>
      </c>
      <c r="S49" s="158">
        <f t="shared" si="21"/>
        <v>8.3720070331144703E-2</v>
      </c>
      <c r="T49" s="158">
        <f t="shared" si="21"/>
        <v>12.487143402861427</v>
      </c>
    </row>
    <row r="50" spans="1:20" x14ac:dyDescent="0.2">
      <c r="A50" s="149" t="s">
        <v>35</v>
      </c>
      <c r="C50" s="341">
        <f t="shared" ref="C50:C60" si="22">+D50/D31</f>
        <v>7.3355279817675367E-2</v>
      </c>
      <c r="D50" s="158">
        <f t="shared" si="20"/>
        <v>72.42</v>
      </c>
      <c r="E50" s="158"/>
      <c r="F50" s="158"/>
      <c r="G50" s="158"/>
      <c r="H50" s="158"/>
      <c r="I50" s="158"/>
      <c r="J50" s="158">
        <f t="shared" ref="J50:T50" si="23">+$C11*J11</f>
        <v>0</v>
      </c>
      <c r="K50" s="158">
        <f t="shared" si="23"/>
        <v>24.949757065223555</v>
      </c>
      <c r="L50" s="158">
        <f t="shared" si="23"/>
        <v>13.804656588240222</v>
      </c>
      <c r="M50" s="158">
        <f t="shared" si="23"/>
        <v>0.43309810523901621</v>
      </c>
      <c r="N50" s="158">
        <f t="shared" si="23"/>
        <v>15.289974971522565</v>
      </c>
      <c r="O50" s="158">
        <f t="shared" si="23"/>
        <v>0.68580412565718674</v>
      </c>
      <c r="P50" s="158">
        <f t="shared" si="23"/>
        <v>0.50471591016129802</v>
      </c>
      <c r="Q50" s="158">
        <f t="shared" si="23"/>
        <v>0.72535766675387059</v>
      </c>
      <c r="R50" s="158">
        <f t="shared" si="23"/>
        <v>0.1006263231259123</v>
      </c>
      <c r="S50" s="158">
        <f t="shared" si="23"/>
        <v>0.15430564318223647</v>
      </c>
      <c r="T50" s="158">
        <f t="shared" si="23"/>
        <v>15.771703600894137</v>
      </c>
    </row>
    <row r="51" spans="1:20" x14ac:dyDescent="0.2">
      <c r="A51" s="149" t="s">
        <v>36</v>
      </c>
      <c r="C51" s="341">
        <f t="shared" si="22"/>
        <v>7.8873749672952673E-2</v>
      </c>
      <c r="D51" s="158">
        <f t="shared" si="20"/>
        <v>78.379999999999981</v>
      </c>
      <c r="E51" s="158"/>
      <c r="F51" s="158"/>
      <c r="G51" s="158"/>
      <c r="H51" s="158"/>
      <c r="I51" s="158"/>
      <c r="J51" s="158">
        <f t="shared" ref="J51:T51" si="24">+$C12*J12</f>
        <v>0</v>
      </c>
      <c r="K51" s="158">
        <f t="shared" si="24"/>
        <v>30.563482469073818</v>
      </c>
      <c r="L51" s="158">
        <f t="shared" si="24"/>
        <v>13.872428689768784</v>
      </c>
      <c r="M51" s="158">
        <f t="shared" si="24"/>
        <v>0.4545654711192687</v>
      </c>
      <c r="N51" s="158">
        <f t="shared" si="24"/>
        <v>17.596146919859287</v>
      </c>
      <c r="O51" s="158">
        <f t="shared" si="24"/>
        <v>0.68742274867346331</v>
      </c>
      <c r="P51" s="158">
        <f t="shared" si="24"/>
        <v>1.9915488940954698E-2</v>
      </c>
      <c r="Q51" s="158">
        <f t="shared" si="24"/>
        <v>1.1444255059718806</v>
      </c>
      <c r="R51" s="158">
        <f t="shared" si="24"/>
        <v>4.0535466648538021E-2</v>
      </c>
      <c r="S51" s="158">
        <f t="shared" si="24"/>
        <v>0.32800714263081837</v>
      </c>
      <c r="T51" s="158">
        <f t="shared" si="24"/>
        <v>13.673070097313177</v>
      </c>
    </row>
    <row r="52" spans="1:20" x14ac:dyDescent="0.2">
      <c r="A52" s="149" t="s">
        <v>37</v>
      </c>
      <c r="C52" s="341">
        <f t="shared" si="22"/>
        <v>7.8759777946000489E-2</v>
      </c>
      <c r="D52" s="158">
        <f t="shared" si="20"/>
        <v>74.91</v>
      </c>
      <c r="E52" s="158"/>
      <c r="F52" s="158"/>
      <c r="G52" s="158"/>
      <c r="H52" s="158"/>
      <c r="I52" s="158"/>
      <c r="J52" s="158">
        <f t="shared" ref="J52:T52" si="25">+$C13*J13</f>
        <v>0</v>
      </c>
      <c r="K52" s="158">
        <f t="shared" si="25"/>
        <v>27.821723662068305</v>
      </c>
      <c r="L52" s="158">
        <f t="shared" si="25"/>
        <v>14.805021253371139</v>
      </c>
      <c r="M52" s="158">
        <f t="shared" si="25"/>
        <v>0.44819821691763079</v>
      </c>
      <c r="N52" s="158">
        <f t="shared" si="25"/>
        <v>18.701571702676318</v>
      </c>
      <c r="O52" s="158">
        <f t="shared" si="25"/>
        <v>0.80584026145184318</v>
      </c>
      <c r="P52" s="158">
        <f t="shared" si="25"/>
        <v>0.11056605589892471</v>
      </c>
      <c r="Q52" s="158">
        <f t="shared" si="25"/>
        <v>0.92187546445094104</v>
      </c>
      <c r="R52" s="158">
        <f t="shared" si="25"/>
        <v>2.4513352384270229E-2</v>
      </c>
      <c r="S52" s="158">
        <f t="shared" si="25"/>
        <v>0.30702009686070797</v>
      </c>
      <c r="T52" s="158">
        <f t="shared" si="25"/>
        <v>10.963669933919912</v>
      </c>
    </row>
    <row r="53" spans="1:20" x14ac:dyDescent="0.2">
      <c r="A53" s="149" t="s">
        <v>130</v>
      </c>
      <c r="C53" s="341">
        <f t="shared" si="22"/>
        <v>8.2712722521639706E-2</v>
      </c>
      <c r="D53" s="158">
        <f t="shared" si="20"/>
        <v>101.29</v>
      </c>
      <c r="E53" s="158"/>
      <c r="F53" s="158"/>
      <c r="G53" s="158"/>
      <c r="H53" s="158"/>
      <c r="I53" s="158"/>
      <c r="J53" s="158">
        <f t="shared" ref="J53:T53" si="26">+$C14*J14</f>
        <v>0</v>
      </c>
      <c r="K53" s="158">
        <f t="shared" si="26"/>
        <v>39.808881012484534</v>
      </c>
      <c r="L53" s="158">
        <f t="shared" si="26"/>
        <v>19.537352739243403</v>
      </c>
      <c r="M53" s="158">
        <f t="shared" si="26"/>
        <v>0.52296161175909373</v>
      </c>
      <c r="N53" s="158">
        <f t="shared" si="26"/>
        <v>22.411426382808809</v>
      </c>
      <c r="O53" s="158">
        <f t="shared" si="26"/>
        <v>1.0241423600410589</v>
      </c>
      <c r="P53" s="158">
        <f t="shared" si="26"/>
        <v>0.35454493697933076</v>
      </c>
      <c r="Q53" s="158">
        <f t="shared" si="26"/>
        <v>1.2479998826185865</v>
      </c>
      <c r="R53" s="158">
        <f t="shared" si="26"/>
        <v>4.3040819241175393E-2</v>
      </c>
      <c r="S53" s="158">
        <f t="shared" si="26"/>
        <v>0.35425103805133468</v>
      </c>
      <c r="T53" s="158">
        <f t="shared" si="26"/>
        <v>15.985399216772686</v>
      </c>
    </row>
    <row r="54" spans="1:20" x14ac:dyDescent="0.2">
      <c r="A54" s="149" t="s">
        <v>38</v>
      </c>
      <c r="C54" s="341">
        <f t="shared" si="22"/>
        <v>7.7902204085506188E-2</v>
      </c>
      <c r="D54" s="158">
        <f t="shared" si="20"/>
        <v>65.67</v>
      </c>
      <c r="E54" s="158"/>
      <c r="F54" s="158"/>
      <c r="G54" s="158"/>
      <c r="H54" s="158"/>
      <c r="I54" s="158"/>
      <c r="J54" s="158">
        <f t="shared" ref="J54:T54" si="27">+$C15*J15</f>
        <v>0</v>
      </c>
      <c r="K54" s="158">
        <f t="shared" si="27"/>
        <v>24.51444683667367</v>
      </c>
      <c r="L54" s="158">
        <f t="shared" si="27"/>
        <v>14.879859907557679</v>
      </c>
      <c r="M54" s="158">
        <f t="shared" si="27"/>
        <v>0.44341871574457126</v>
      </c>
      <c r="N54" s="158">
        <f t="shared" si="27"/>
        <v>14.598414832874836</v>
      </c>
      <c r="O54" s="158">
        <f t="shared" si="27"/>
        <v>0.70163545907890867</v>
      </c>
      <c r="P54" s="158">
        <f t="shared" si="27"/>
        <v>0.41030289191690106</v>
      </c>
      <c r="Q54" s="158">
        <f t="shared" si="27"/>
        <v>0.71327755152472994</v>
      </c>
      <c r="R54" s="158">
        <f t="shared" si="27"/>
        <v>3.8907567823334599E-2</v>
      </c>
      <c r="S54" s="158">
        <f t="shared" si="27"/>
        <v>0.67917769826594243</v>
      </c>
      <c r="T54" s="158">
        <f t="shared" si="27"/>
        <v>8.6905585385394186</v>
      </c>
    </row>
    <row r="55" spans="1:20" x14ac:dyDescent="0.2">
      <c r="A55" s="149" t="s">
        <v>39</v>
      </c>
      <c r="C55" s="341">
        <f>+D55/D36</f>
        <v>7.8867863000297314E-2</v>
      </c>
      <c r="D55" s="158">
        <f t="shared" si="20"/>
        <v>82.230000000000018</v>
      </c>
      <c r="E55" s="158"/>
      <c r="F55" s="158"/>
      <c r="G55" s="158"/>
      <c r="H55" s="158"/>
      <c r="I55" s="158"/>
      <c r="J55" s="158">
        <f t="shared" ref="J55:T55" si="28">+$C16*J16</f>
        <v>0</v>
      </c>
      <c r="K55" s="158">
        <f t="shared" si="28"/>
        <v>33.717211820970931</v>
      </c>
      <c r="L55" s="158">
        <f t="shared" si="28"/>
        <v>14.838000105907534</v>
      </c>
      <c r="M55" s="158">
        <f t="shared" si="28"/>
        <v>0.40537703129748798</v>
      </c>
      <c r="N55" s="158">
        <f t="shared" si="28"/>
        <v>17.46637329032971</v>
      </c>
      <c r="O55" s="158">
        <f t="shared" si="28"/>
        <v>0.53874641280892921</v>
      </c>
      <c r="P55" s="158">
        <f t="shared" si="28"/>
        <v>0.36189899355311161</v>
      </c>
      <c r="Q55" s="158">
        <f t="shared" si="28"/>
        <v>1.3114282563165676</v>
      </c>
      <c r="R55" s="158">
        <f t="shared" si="28"/>
        <v>0.23210805532631359</v>
      </c>
      <c r="S55" s="158">
        <f t="shared" si="28"/>
        <v>0.42086950923422251</v>
      </c>
      <c r="T55" s="158">
        <f t="shared" si="28"/>
        <v>12.937986524255207</v>
      </c>
    </row>
    <row r="56" spans="1:20" x14ac:dyDescent="0.2">
      <c r="A56" s="149" t="s">
        <v>40</v>
      </c>
      <c r="C56" s="341">
        <f t="shared" si="22"/>
        <v>7.963328120396182E-2</v>
      </c>
      <c r="D56" s="158">
        <f t="shared" si="20"/>
        <v>70.27</v>
      </c>
      <c r="E56" s="158"/>
      <c r="F56" s="158"/>
      <c r="G56" s="158"/>
      <c r="H56" s="158"/>
      <c r="I56" s="158"/>
      <c r="J56" s="158">
        <f t="shared" ref="J56:T56" si="29">+$C17*J17</f>
        <v>0</v>
      </c>
      <c r="K56" s="158">
        <f t="shared" si="29"/>
        <v>29.772839407894399</v>
      </c>
      <c r="L56" s="158">
        <f t="shared" si="29"/>
        <v>14.38549640329453</v>
      </c>
      <c r="M56" s="158">
        <f t="shared" si="29"/>
        <v>0.3132816232152299</v>
      </c>
      <c r="N56" s="158">
        <f t="shared" si="29"/>
        <v>13.918637965068704</v>
      </c>
      <c r="O56" s="158">
        <f t="shared" si="29"/>
        <v>0.34918755638328303</v>
      </c>
      <c r="P56" s="158">
        <f t="shared" si="29"/>
        <v>0.5255472340615629</v>
      </c>
      <c r="Q56" s="158">
        <f t="shared" si="29"/>
        <v>0.7689220003550854</v>
      </c>
      <c r="R56" s="158">
        <f t="shared" si="29"/>
        <v>8.0627031017886874E-2</v>
      </c>
      <c r="S56" s="158">
        <f t="shared" si="29"/>
        <v>0.17943780936486736</v>
      </c>
      <c r="T56" s="158">
        <f t="shared" si="29"/>
        <v>9.9760229693444415</v>
      </c>
    </row>
    <row r="57" spans="1:20" x14ac:dyDescent="0.2">
      <c r="A57" s="149" t="s">
        <v>10</v>
      </c>
      <c r="C57" s="341">
        <f t="shared" si="22"/>
        <v>7.2882191394972165E-2</v>
      </c>
      <c r="D57" s="158">
        <f t="shared" si="20"/>
        <v>82.800000000000011</v>
      </c>
      <c r="E57" s="158"/>
      <c r="F57" s="158"/>
      <c r="G57" s="158"/>
      <c r="H57" s="158"/>
      <c r="I57" s="158"/>
      <c r="J57" s="158">
        <f t="shared" ref="J57:T57" si="30">+$C18*J18</f>
        <v>0</v>
      </c>
      <c r="K57" s="158">
        <f t="shared" si="30"/>
        <v>39.786253747141984</v>
      </c>
      <c r="L57" s="158">
        <f t="shared" si="30"/>
        <v>13.873191249478548</v>
      </c>
      <c r="M57" s="158">
        <f t="shared" si="30"/>
        <v>0.35556457910734868</v>
      </c>
      <c r="N57" s="158">
        <f t="shared" si="30"/>
        <v>16.602644064053653</v>
      </c>
      <c r="O57" s="158">
        <f t="shared" si="30"/>
        <v>0.48174296273161071</v>
      </c>
      <c r="P57" s="158">
        <f t="shared" si="30"/>
        <v>0.55275688346381802</v>
      </c>
      <c r="Q57" s="158">
        <f t="shared" si="30"/>
        <v>0.9875296119745639</v>
      </c>
      <c r="R57" s="158">
        <f t="shared" si="30"/>
        <v>0.13859180560818857</v>
      </c>
      <c r="S57" s="158">
        <f t="shared" si="30"/>
        <v>6.4140811099874642E-2</v>
      </c>
      <c r="T57" s="158">
        <f t="shared" si="30"/>
        <v>9.9575842853404168</v>
      </c>
    </row>
    <row r="58" spans="1:20" x14ac:dyDescent="0.2">
      <c r="A58" s="149" t="s">
        <v>41</v>
      </c>
      <c r="C58" s="341">
        <f t="shared" si="22"/>
        <v>7.0239043459950384E-2</v>
      </c>
      <c r="D58" s="158">
        <f t="shared" si="20"/>
        <v>76.72</v>
      </c>
      <c r="E58" s="158"/>
      <c r="F58" s="158"/>
      <c r="G58" s="158"/>
      <c r="H58" s="158"/>
      <c r="I58" s="158"/>
      <c r="J58" s="158">
        <f t="shared" ref="J58:T58" si="31">+$C19*J19</f>
        <v>0</v>
      </c>
      <c r="K58" s="158">
        <f t="shared" si="31"/>
        <v>32.336087602282127</v>
      </c>
      <c r="L58" s="158">
        <f t="shared" si="31"/>
        <v>15.293669332076442</v>
      </c>
      <c r="M58" s="158">
        <f t="shared" si="31"/>
        <v>0.43992031173785079</v>
      </c>
      <c r="N58" s="158">
        <f t="shared" si="31"/>
        <v>18.881253637763685</v>
      </c>
      <c r="O58" s="158">
        <f t="shared" si="31"/>
        <v>0.22768635489227831</v>
      </c>
      <c r="P58" s="158">
        <f t="shared" si="31"/>
        <v>0.18059333227374613</v>
      </c>
      <c r="Q58" s="158">
        <f t="shared" si="31"/>
        <v>1.2934813466987463</v>
      </c>
      <c r="R58" s="158">
        <f t="shared" si="31"/>
        <v>7.5685214922640983E-3</v>
      </c>
      <c r="S58" s="158">
        <f t="shared" si="31"/>
        <v>0.35582562849047189</v>
      </c>
      <c r="T58" s="158">
        <f t="shared" si="31"/>
        <v>7.7039139322923855</v>
      </c>
    </row>
    <row r="59" spans="1:20" x14ac:dyDescent="0.2">
      <c r="A59" s="149" t="s">
        <v>42</v>
      </c>
      <c r="C59" s="341">
        <f t="shared" si="22"/>
        <v>8.3525375655637696E-2</v>
      </c>
      <c r="D59" s="158">
        <f t="shared" si="20"/>
        <v>80.09999999999998</v>
      </c>
      <c r="E59" s="158"/>
      <c r="F59" s="158"/>
      <c r="G59" s="158"/>
      <c r="H59" s="158"/>
      <c r="I59" s="158"/>
      <c r="J59" s="158">
        <f t="shared" ref="J59:T59" si="32">+$C20*J20</f>
        <v>0</v>
      </c>
      <c r="K59" s="158">
        <f t="shared" si="32"/>
        <v>28.054093846052762</v>
      </c>
      <c r="L59" s="158">
        <f t="shared" si="32"/>
        <v>24.029005833436763</v>
      </c>
      <c r="M59" s="158">
        <f t="shared" si="32"/>
        <v>0.73954296227613558</v>
      </c>
      <c r="N59" s="158">
        <f t="shared" si="32"/>
        <v>16.554861611021472</v>
      </c>
      <c r="O59" s="158">
        <f t="shared" si="32"/>
        <v>0.61345924990326284</v>
      </c>
      <c r="P59" s="158">
        <f t="shared" si="32"/>
        <v>1.0388455781965262</v>
      </c>
      <c r="Q59" s="158">
        <f t="shared" si="32"/>
        <v>0.97416627120005272</v>
      </c>
      <c r="R59" s="158">
        <f t="shared" si="32"/>
        <v>9.5439990070745939E-2</v>
      </c>
      <c r="S59" s="158">
        <f t="shared" si="32"/>
        <v>0.18421321612919714</v>
      </c>
      <c r="T59" s="158">
        <f t="shared" si="32"/>
        <v>7.8163714417130716</v>
      </c>
    </row>
    <row r="60" spans="1:20" ht="15" x14ac:dyDescent="0.35">
      <c r="A60" s="149" t="s">
        <v>43</v>
      </c>
      <c r="C60" s="341">
        <f t="shared" si="22"/>
        <v>7.688434425594548E-2</v>
      </c>
      <c r="D60" s="159">
        <f t="shared" si="20"/>
        <v>79.400000000000006</v>
      </c>
      <c r="E60" s="159"/>
      <c r="F60" s="159"/>
      <c r="G60" s="159"/>
      <c r="H60" s="159"/>
      <c r="I60" s="159"/>
      <c r="J60" s="159">
        <f t="shared" ref="J60:T60" si="33">+$C21*J21</f>
        <v>0</v>
      </c>
      <c r="K60" s="159">
        <f t="shared" si="33"/>
        <v>25.196403926811655</v>
      </c>
      <c r="L60" s="159">
        <f t="shared" si="33"/>
        <v>24.491197828501196</v>
      </c>
      <c r="M60" s="159">
        <f t="shared" si="33"/>
        <v>0.81532098073253056</v>
      </c>
      <c r="N60" s="159">
        <f t="shared" si="33"/>
        <v>16.876791163056488</v>
      </c>
      <c r="O60" s="159">
        <f t="shared" si="33"/>
        <v>0.41477675827789584</v>
      </c>
      <c r="P60" s="159">
        <f t="shared" si="33"/>
        <v>0.83404800155261094</v>
      </c>
      <c r="Q60" s="159">
        <f t="shared" si="33"/>
        <v>1.030949249032314</v>
      </c>
      <c r="R60" s="159">
        <f t="shared" si="33"/>
        <v>3.2852545095798248E-2</v>
      </c>
      <c r="S60" s="159">
        <f t="shared" si="33"/>
        <v>8.4539122559220258E-3</v>
      </c>
      <c r="T60" s="159">
        <f t="shared" si="33"/>
        <v>9.6992056346835938</v>
      </c>
    </row>
    <row r="61" spans="1:20" ht="15" x14ac:dyDescent="0.35">
      <c r="D61" s="153">
        <f>SUM(D49:D60)</f>
        <v>930.33000000000015</v>
      </c>
      <c r="E61" s="153"/>
      <c r="F61" s="153"/>
      <c r="G61" s="153"/>
      <c r="H61" s="153"/>
      <c r="I61" s="153"/>
      <c r="J61" s="153">
        <f>SUM(J49:J60)</f>
        <v>0</v>
      </c>
      <c r="K61" s="153">
        <f t="shared" ref="K61:T61" si="34">SUM(K49:K60)</f>
        <v>358.55522989641759</v>
      </c>
      <c r="L61" s="153">
        <f t="shared" si="34"/>
        <v>198.69506194133004</v>
      </c>
      <c r="M61" s="153">
        <f t="shared" si="34"/>
        <v>5.8123865938247823</v>
      </c>
      <c r="N61" s="153">
        <f>SUM(N49:N60)</f>
        <v>203.44197180840436</v>
      </c>
      <c r="O61" s="153">
        <f t="shared" si="34"/>
        <v>7.0173587704060942</v>
      </c>
      <c r="P61" s="153">
        <f t="shared" si="34"/>
        <v>5.3419149894970577</v>
      </c>
      <c r="Q61" s="153">
        <f t="shared" si="34"/>
        <v>11.802378427958349</v>
      </c>
      <c r="R61" s="153">
        <f t="shared" si="34"/>
        <v>0.8816454183351311</v>
      </c>
      <c r="S61" s="153">
        <f t="shared" si="34"/>
        <v>3.1194225758967398</v>
      </c>
      <c r="T61" s="153">
        <f t="shared" si="34"/>
        <v>135.66262957792986</v>
      </c>
    </row>
  </sheetData>
  <mergeCells count="4">
    <mergeCell ref="J26:T26"/>
    <mergeCell ref="J45:T45"/>
    <mergeCell ref="B5:D5"/>
    <mergeCell ref="F5:I5"/>
  </mergeCells>
  <pageMargins left="0.45" right="0.5" top="0.5" bottom="0.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R25"/>
  <sheetViews>
    <sheetView topLeftCell="A4" workbookViewId="0">
      <selection activeCell="Q50" sqref="Q50"/>
    </sheetView>
  </sheetViews>
  <sheetFormatPr defaultRowHeight="12.75" x14ac:dyDescent="0.2"/>
  <cols>
    <col min="1" max="1" width="18.140625" bestFit="1" customWidth="1"/>
    <col min="2" max="2" width="14.42578125" customWidth="1"/>
    <col min="3" max="3" width="12.7109375" bestFit="1" customWidth="1"/>
    <col min="4" max="4" width="9" customWidth="1"/>
    <col min="5" max="5" width="10.42578125" bestFit="1" customWidth="1"/>
    <col min="6" max="6" width="8.7109375" bestFit="1" customWidth="1"/>
    <col min="7" max="7" width="8.85546875" bestFit="1" customWidth="1"/>
    <col min="8" max="10" width="10.28515625" bestFit="1" customWidth="1"/>
    <col min="11" max="11" width="11" bestFit="1" customWidth="1"/>
    <col min="12" max="12" width="4" customWidth="1"/>
    <col min="13" max="13" width="5" customWidth="1"/>
  </cols>
  <sheetData>
    <row r="1" spans="1:18" ht="26.25" x14ac:dyDescent="0.4">
      <c r="A1" s="146" t="s">
        <v>18</v>
      </c>
    </row>
    <row r="2" spans="1:18" ht="15" x14ac:dyDescent="0.25">
      <c r="A2" s="148" t="s">
        <v>123</v>
      </c>
    </row>
    <row r="3" spans="1:18" ht="15" x14ac:dyDescent="0.25">
      <c r="A3" s="148"/>
    </row>
    <row r="4" spans="1:18" ht="15" x14ac:dyDescent="0.25">
      <c r="A4" s="148"/>
    </row>
    <row r="6" spans="1:18" x14ac:dyDescent="0.2">
      <c r="A6" s="226" t="s">
        <v>80</v>
      </c>
      <c r="B6" s="51" t="s">
        <v>81</v>
      </c>
      <c r="C6" s="52"/>
      <c r="D6" s="52"/>
      <c r="E6" s="53"/>
      <c r="F6" s="52"/>
      <c r="G6" s="52"/>
      <c r="H6" s="52"/>
      <c r="I6" s="53" t="s">
        <v>53</v>
      </c>
      <c r="J6" s="53" t="s">
        <v>54</v>
      </c>
      <c r="K6" s="53" t="s">
        <v>48</v>
      </c>
    </row>
    <row r="7" spans="1:18" x14ac:dyDescent="0.2">
      <c r="A7" s="54"/>
      <c r="B7" s="55" t="s">
        <v>82</v>
      </c>
      <c r="C7" s="55" t="s">
        <v>83</v>
      </c>
      <c r="D7" s="55" t="s">
        <v>50</v>
      </c>
      <c r="E7" s="55" t="s">
        <v>84</v>
      </c>
      <c r="F7" s="55" t="s">
        <v>4</v>
      </c>
      <c r="G7" s="55" t="s">
        <v>52</v>
      </c>
      <c r="H7" s="55" t="s">
        <v>3</v>
      </c>
      <c r="I7" s="55" t="s">
        <v>2</v>
      </c>
      <c r="J7" s="55" t="s">
        <v>2</v>
      </c>
      <c r="K7" s="53" t="s">
        <v>85</v>
      </c>
    </row>
    <row r="8" spans="1:18" x14ac:dyDescent="0.2">
      <c r="A8" s="56"/>
      <c r="B8" s="57"/>
      <c r="C8" s="56"/>
      <c r="D8" s="56"/>
      <c r="E8" s="56"/>
      <c r="F8" s="56"/>
      <c r="G8" s="56"/>
      <c r="H8" s="56"/>
      <c r="I8" s="56"/>
      <c r="J8" s="56"/>
      <c r="K8" s="56"/>
    </row>
    <row r="9" spans="1:18" x14ac:dyDescent="0.2">
      <c r="A9" s="225">
        <v>44805</v>
      </c>
      <c r="B9" s="427">
        <v>0</v>
      </c>
      <c r="C9" s="483">
        <v>7.29</v>
      </c>
      <c r="D9" s="483">
        <v>92.43</v>
      </c>
      <c r="E9" s="483">
        <v>1328.12</v>
      </c>
      <c r="F9" s="483">
        <v>-63.5</v>
      </c>
      <c r="G9" s="483">
        <v>173.73</v>
      </c>
      <c r="H9" s="483">
        <v>80</v>
      </c>
      <c r="I9" s="483">
        <v>680</v>
      </c>
      <c r="J9" s="483">
        <v>110</v>
      </c>
      <c r="K9" s="483">
        <v>-187.5</v>
      </c>
      <c r="O9" s="38"/>
    </row>
    <row r="10" spans="1:18" x14ac:dyDescent="0.2">
      <c r="A10" s="225">
        <v>44835</v>
      </c>
      <c r="B10" s="482">
        <v>0</v>
      </c>
      <c r="C10" s="482">
        <v>-6.75</v>
      </c>
      <c r="D10" s="482">
        <v>56.95</v>
      </c>
      <c r="E10" s="482">
        <v>1267.69</v>
      </c>
      <c r="F10" s="483">
        <v>-63.5</v>
      </c>
      <c r="G10" s="482">
        <v>160.69999999999999</v>
      </c>
      <c r="H10" s="482">
        <v>80</v>
      </c>
      <c r="I10" s="482">
        <v>780</v>
      </c>
      <c r="J10" s="482">
        <v>130</v>
      </c>
      <c r="K10" s="482">
        <v>-187.5</v>
      </c>
      <c r="O10" s="38"/>
    </row>
    <row r="11" spans="1:18" x14ac:dyDescent="0.2">
      <c r="A11" s="225">
        <v>44866</v>
      </c>
      <c r="B11" s="482">
        <v>0</v>
      </c>
      <c r="C11" s="482">
        <v>-1.48</v>
      </c>
      <c r="D11" s="482">
        <v>49.61</v>
      </c>
      <c r="E11" s="482">
        <v>1316.23</v>
      </c>
      <c r="F11" s="483">
        <v>-63.5</v>
      </c>
      <c r="G11" s="482">
        <v>150.69</v>
      </c>
      <c r="H11" s="482">
        <v>81.69</v>
      </c>
      <c r="I11" s="482">
        <v>1090</v>
      </c>
      <c r="J11" s="482">
        <v>160</v>
      </c>
      <c r="K11" s="482">
        <v>-187.5</v>
      </c>
    </row>
    <row r="12" spans="1:18" x14ac:dyDescent="0.2">
      <c r="A12" s="225">
        <v>44896</v>
      </c>
      <c r="B12" s="482">
        <v>0</v>
      </c>
      <c r="C12" s="482">
        <v>7.13</v>
      </c>
      <c r="D12" s="482">
        <v>66.06</v>
      </c>
      <c r="E12" s="482">
        <v>1341.18</v>
      </c>
      <c r="F12" s="483">
        <v>-63.5</v>
      </c>
      <c r="G12" s="482">
        <v>164.25</v>
      </c>
      <c r="H12" s="482">
        <v>85.14</v>
      </c>
      <c r="I12" s="482">
        <v>1090</v>
      </c>
      <c r="J12" s="482">
        <v>80</v>
      </c>
      <c r="K12" s="482">
        <v>-187.5</v>
      </c>
    </row>
    <row r="13" spans="1:18" x14ac:dyDescent="0.2">
      <c r="A13" s="225">
        <v>44927</v>
      </c>
      <c r="B13" s="482">
        <v>0</v>
      </c>
      <c r="C13" s="482">
        <v>22.2</v>
      </c>
      <c r="D13" s="482">
        <v>72.540000000000006</v>
      </c>
      <c r="E13" s="482">
        <v>1593.44</v>
      </c>
      <c r="F13" s="483">
        <v>-63.5</v>
      </c>
      <c r="G13" s="482">
        <v>194.83</v>
      </c>
      <c r="H13" s="482">
        <v>117.54</v>
      </c>
      <c r="I13" s="482">
        <v>1120</v>
      </c>
      <c r="J13" s="482">
        <v>0</v>
      </c>
      <c r="K13" s="482">
        <v>-187.5</v>
      </c>
    </row>
    <row r="14" spans="1:18" x14ac:dyDescent="0.2">
      <c r="A14" s="225">
        <v>44958</v>
      </c>
      <c r="B14" s="482">
        <v>0</v>
      </c>
      <c r="C14" s="482">
        <v>29.15</v>
      </c>
      <c r="D14" s="482">
        <v>93.76</v>
      </c>
      <c r="E14" s="482">
        <v>1514.29</v>
      </c>
      <c r="F14" s="483">
        <v>-63.5</v>
      </c>
      <c r="G14" s="482">
        <v>216.74</v>
      </c>
      <c r="H14" s="482">
        <v>117.77</v>
      </c>
      <c r="I14" s="482">
        <v>1200</v>
      </c>
      <c r="J14" s="482">
        <v>0</v>
      </c>
      <c r="K14" s="482">
        <v>-187.5</v>
      </c>
    </row>
    <row r="15" spans="1:18" x14ac:dyDescent="0.2">
      <c r="A15" s="225">
        <v>44986</v>
      </c>
      <c r="B15" s="482">
        <v>0</v>
      </c>
      <c r="C15" s="482">
        <v>33.89</v>
      </c>
      <c r="D15" s="482">
        <v>97.41</v>
      </c>
      <c r="E15" s="482">
        <v>1436.01</v>
      </c>
      <c r="F15" s="483">
        <v>-63.5</v>
      </c>
      <c r="G15" s="482">
        <v>245.44</v>
      </c>
      <c r="H15" s="482">
        <v>177.16</v>
      </c>
      <c r="I15" s="482">
        <v>1270</v>
      </c>
      <c r="J15" s="482">
        <v>0</v>
      </c>
      <c r="K15" s="482">
        <v>-187.5</v>
      </c>
      <c r="O15" s="18"/>
      <c r="P15" s="18"/>
      <c r="R15" s="18"/>
    </row>
    <row r="16" spans="1:18" x14ac:dyDescent="0.2">
      <c r="A16" s="225">
        <v>45017</v>
      </c>
      <c r="B16" s="482">
        <v>0</v>
      </c>
      <c r="C16" s="482">
        <v>31.79</v>
      </c>
      <c r="D16" s="482">
        <v>111.36</v>
      </c>
      <c r="E16" s="482">
        <v>1456.28</v>
      </c>
      <c r="F16" s="483">
        <v>-63.5</v>
      </c>
      <c r="G16" s="482">
        <v>240.11</v>
      </c>
      <c r="H16" s="482">
        <v>200</v>
      </c>
      <c r="I16" s="482">
        <v>1245</v>
      </c>
      <c r="J16" s="482">
        <v>270</v>
      </c>
      <c r="K16" s="482">
        <v>-187.5</v>
      </c>
      <c r="O16" s="18"/>
      <c r="P16" s="18"/>
    </row>
    <row r="17" spans="1:16" x14ac:dyDescent="0.2">
      <c r="A17" s="225">
        <v>45047</v>
      </c>
      <c r="B17" s="482">
        <v>0</v>
      </c>
      <c r="C17" s="482">
        <v>29.51</v>
      </c>
      <c r="D17" s="482">
        <v>107.18</v>
      </c>
      <c r="E17" s="482">
        <v>1489.45</v>
      </c>
      <c r="F17" s="483">
        <v>-63.5</v>
      </c>
      <c r="G17" s="482">
        <v>204.62</v>
      </c>
      <c r="H17" s="482">
        <v>200</v>
      </c>
      <c r="I17" s="482">
        <v>1380</v>
      </c>
      <c r="J17" s="482">
        <v>0</v>
      </c>
      <c r="K17" s="482">
        <v>-187.5</v>
      </c>
      <c r="O17" s="18"/>
      <c r="P17" s="18"/>
    </row>
    <row r="18" spans="1:16" x14ac:dyDescent="0.2">
      <c r="A18" s="225">
        <v>45078</v>
      </c>
      <c r="B18" s="483">
        <v>0</v>
      </c>
      <c r="C18" s="483">
        <v>40.299999999999997</v>
      </c>
      <c r="D18" s="483">
        <v>96.36</v>
      </c>
      <c r="E18" s="483">
        <v>1422.54</v>
      </c>
      <c r="F18" s="483">
        <v>-63.5</v>
      </c>
      <c r="G18" s="482">
        <v>182.84</v>
      </c>
      <c r="H18" s="483">
        <v>136.56</v>
      </c>
      <c r="I18" s="483">
        <v>1112.08</v>
      </c>
      <c r="J18" s="483">
        <v>-102.27</v>
      </c>
      <c r="K18" s="482">
        <v>-187.5</v>
      </c>
      <c r="O18" s="18"/>
      <c r="P18" s="18"/>
    </row>
    <row r="19" spans="1:16" x14ac:dyDescent="0.2">
      <c r="A19" s="225">
        <v>45108</v>
      </c>
      <c r="B19" s="483">
        <v>0</v>
      </c>
      <c r="C19" s="483">
        <v>36.71</v>
      </c>
      <c r="D19" s="483">
        <v>98.6</v>
      </c>
      <c r="E19" s="483">
        <v>1396.05</v>
      </c>
      <c r="F19" s="483">
        <v>-63.5</v>
      </c>
      <c r="G19" s="482">
        <v>181.18</v>
      </c>
      <c r="H19" s="483">
        <v>37.75</v>
      </c>
      <c r="I19" s="483">
        <v>260</v>
      </c>
      <c r="J19" s="483">
        <v>-143.72999999999999</v>
      </c>
      <c r="K19" s="482">
        <v>-187.5</v>
      </c>
      <c r="O19" s="18"/>
      <c r="P19" s="18"/>
    </row>
    <row r="20" spans="1:16" x14ac:dyDescent="0.2">
      <c r="A20" s="225">
        <v>45139</v>
      </c>
      <c r="B20" s="483">
        <v>0</v>
      </c>
      <c r="C20" s="483">
        <v>42.07</v>
      </c>
      <c r="D20" s="483">
        <v>113.03</v>
      </c>
      <c r="E20" s="483">
        <v>1378.89</v>
      </c>
      <c r="F20" s="483">
        <v>-63.5</v>
      </c>
      <c r="G20" s="483">
        <v>175.76</v>
      </c>
      <c r="H20" s="483">
        <v>50.69</v>
      </c>
      <c r="I20" s="483">
        <v>483.93</v>
      </c>
      <c r="J20" s="483">
        <v>100</v>
      </c>
      <c r="K20" s="482">
        <v>-187.5</v>
      </c>
      <c r="O20" s="18"/>
      <c r="P20" s="18"/>
    </row>
    <row r="21" spans="1:16" x14ac:dyDescent="0.2">
      <c r="A21" s="6" t="s">
        <v>110</v>
      </c>
      <c r="B21" s="64"/>
      <c r="C21" s="64">
        <f>+'Reg. Res''l - SS Mix &amp; Prices'!D70</f>
        <v>23.307432973348522</v>
      </c>
      <c r="D21" s="64">
        <f>+'Reg. Res''l - SS Mix &amp; Prices'!E70</f>
        <v>89.456739841289902</v>
      </c>
      <c r="E21" s="64">
        <f>+'Reg. Res''l - SS Mix &amp; Prices'!F70</f>
        <v>1407.2049391714838</v>
      </c>
      <c r="F21" s="64">
        <f>+'Reg. Res''l - SS Mix &amp; Prices'!H70</f>
        <v>-63.500000000000007</v>
      </c>
      <c r="G21" s="64">
        <f>+'Reg. Res''l - SS Mix &amp; Prices'!G70</f>
        <v>188.040293507641</v>
      </c>
      <c r="H21" s="64">
        <f>+'Reg. Res''l - SS Mix &amp; Prices'!I70</f>
        <v>106.69561538574793</v>
      </c>
      <c r="I21" s="64">
        <f>+'Reg. Res''l - SS Mix &amp; Prices'!J70</f>
        <v>997.49280808153208</v>
      </c>
      <c r="J21" s="64">
        <f>+'Reg. Res''l - SS Mix &amp; Prices'!K70</f>
        <v>43.544900502242676</v>
      </c>
      <c r="K21" s="64">
        <f>+'Reg. Res''l - SS Mix &amp; Prices'!L70</f>
        <v>-187.50000000000003</v>
      </c>
    </row>
    <row r="23" spans="1:1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6" x14ac:dyDescent="0.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2"/>
    </row>
  </sheetData>
  <pageMargins left="0.7" right="0.7" top="0.75" bottom="0.75" header="0.3" footer="0.3"/>
  <pageSetup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27"/>
  <sheetViews>
    <sheetView topLeftCell="A4" workbookViewId="0">
      <selection activeCell="L57" sqref="L57"/>
    </sheetView>
  </sheetViews>
  <sheetFormatPr defaultRowHeight="12.75" x14ac:dyDescent="0.2"/>
  <cols>
    <col min="1" max="1" width="20.28515625" customWidth="1"/>
    <col min="2" max="2" width="13.5703125" bestFit="1" customWidth="1"/>
    <col min="3" max="4" width="13.5703125" customWidth="1"/>
    <col min="5" max="6" width="11" bestFit="1" customWidth="1"/>
    <col min="8" max="8" width="3.7109375" customWidth="1"/>
    <col min="9" max="9" width="10.28515625" bestFit="1" customWidth="1"/>
    <col min="10" max="10" width="11.28515625" bestFit="1" customWidth="1"/>
    <col min="11" max="11" width="12.28515625" bestFit="1" customWidth="1"/>
    <col min="13" max="13" width="12.28515625" bestFit="1" customWidth="1"/>
  </cols>
  <sheetData>
    <row r="1" spans="1:9" ht="15.75" x14ac:dyDescent="0.25">
      <c r="A1" s="614" t="s">
        <v>74</v>
      </c>
      <c r="B1" s="614"/>
      <c r="C1" s="614"/>
      <c r="D1" s="614"/>
      <c r="E1" s="614"/>
      <c r="F1" s="614"/>
      <c r="G1" s="614"/>
      <c r="H1" s="614"/>
      <c r="I1" s="614"/>
    </row>
    <row r="2" spans="1:9" ht="15.75" x14ac:dyDescent="0.25">
      <c r="A2" s="614" t="s">
        <v>170</v>
      </c>
      <c r="B2" s="614"/>
      <c r="C2" s="614"/>
      <c r="D2" s="614"/>
      <c r="E2" s="614"/>
      <c r="F2" s="614"/>
      <c r="G2" s="614"/>
      <c r="H2" s="614"/>
      <c r="I2" s="614"/>
    </row>
    <row r="3" spans="1:9" ht="15.75" x14ac:dyDescent="0.25">
      <c r="A3" s="614" t="s">
        <v>166</v>
      </c>
      <c r="B3" s="614"/>
      <c r="C3" s="614"/>
      <c r="D3" s="614"/>
      <c r="E3" s="614"/>
      <c r="F3" s="614"/>
      <c r="G3" s="614"/>
      <c r="H3" s="614"/>
      <c r="I3" s="614"/>
    </row>
    <row r="4" spans="1:9" ht="15.75" x14ac:dyDescent="0.25">
      <c r="A4" s="106"/>
      <c r="B4" s="106"/>
      <c r="C4" s="349"/>
      <c r="D4" s="349"/>
      <c r="E4" s="106"/>
      <c r="F4" s="106"/>
    </row>
    <row r="5" spans="1:9" ht="15.75" x14ac:dyDescent="0.25">
      <c r="A5" s="1"/>
      <c r="B5" s="106" t="s">
        <v>90</v>
      </c>
      <c r="C5" s="349"/>
      <c r="D5" s="349"/>
    </row>
    <row r="6" spans="1:9" ht="15.75" x14ac:dyDescent="0.25">
      <c r="A6" s="1"/>
      <c r="B6" s="106" t="s">
        <v>19</v>
      </c>
      <c r="C6" s="349"/>
      <c r="D6" s="349" t="s">
        <v>132</v>
      </c>
      <c r="E6" s="106" t="s">
        <v>22</v>
      </c>
      <c r="F6" s="106"/>
      <c r="G6" s="106" t="s">
        <v>93</v>
      </c>
      <c r="I6" s="106" t="s">
        <v>75</v>
      </c>
    </row>
    <row r="7" spans="1:9" ht="15.75" x14ac:dyDescent="0.25">
      <c r="A7" s="1"/>
      <c r="B7" s="50" t="s">
        <v>76</v>
      </c>
      <c r="C7" s="50" t="s">
        <v>131</v>
      </c>
      <c r="D7" s="50" t="s">
        <v>133</v>
      </c>
      <c r="E7" s="50" t="s">
        <v>91</v>
      </c>
      <c r="F7" s="50" t="s">
        <v>22</v>
      </c>
      <c r="G7" s="50" t="s">
        <v>94</v>
      </c>
      <c r="I7" s="50" t="s">
        <v>77</v>
      </c>
    </row>
    <row r="8" spans="1:9" ht="15" x14ac:dyDescent="0.2">
      <c r="A8" s="44"/>
      <c r="B8" s="45"/>
      <c r="C8" s="45"/>
      <c r="D8" s="45"/>
      <c r="E8" s="45"/>
      <c r="F8" s="45"/>
      <c r="G8" s="45"/>
      <c r="I8" s="45"/>
    </row>
    <row r="9" spans="1:9" ht="15" x14ac:dyDescent="0.2">
      <c r="A9" s="44" t="s">
        <v>14</v>
      </c>
      <c r="B9" s="546">
        <v>50242</v>
      </c>
      <c r="C9" s="546">
        <v>10719</v>
      </c>
      <c r="D9" s="546">
        <v>4409</v>
      </c>
      <c r="E9" s="105">
        <f>+D9+C9</f>
        <v>15128</v>
      </c>
      <c r="F9" s="46">
        <f>+E9+B9</f>
        <v>65370</v>
      </c>
      <c r="G9" s="141">
        <f>+B9/F9</f>
        <v>0.76857885880373256</v>
      </c>
      <c r="I9" s="105">
        <f>+'MF Units'!C9</f>
        <v>5729.2704545454517</v>
      </c>
    </row>
    <row r="10" spans="1:9" ht="15" x14ac:dyDescent="0.2">
      <c r="A10" s="44" t="s">
        <v>15</v>
      </c>
      <c r="B10" s="546">
        <v>50200</v>
      </c>
      <c r="C10" s="546">
        <v>10698</v>
      </c>
      <c r="D10" s="546">
        <v>4426</v>
      </c>
      <c r="E10" s="105">
        <f t="shared" ref="E10:E20" si="0">+D10+C10</f>
        <v>15124</v>
      </c>
      <c r="F10" s="46">
        <f t="shared" ref="F10:F12" si="1">+E10+B10</f>
        <v>65324</v>
      </c>
      <c r="G10" s="141">
        <f t="shared" ref="G10:G21" si="2">+B10/F10</f>
        <v>0.76847712938583068</v>
      </c>
      <c r="I10" s="105">
        <f>+'MF Units'!C10</f>
        <v>5729.2704545454517</v>
      </c>
    </row>
    <row r="11" spans="1:9" ht="15" x14ac:dyDescent="0.2">
      <c r="A11" s="44" t="s">
        <v>16</v>
      </c>
      <c r="B11" s="546">
        <v>50198</v>
      </c>
      <c r="C11" s="546">
        <v>10667</v>
      </c>
      <c r="D11" s="546">
        <v>4442</v>
      </c>
      <c r="E11" s="105">
        <f t="shared" si="0"/>
        <v>15109</v>
      </c>
      <c r="F11" s="46">
        <f t="shared" si="1"/>
        <v>65307</v>
      </c>
      <c r="G11" s="141">
        <f t="shared" si="2"/>
        <v>0.76864654631203388</v>
      </c>
      <c r="I11" s="105">
        <f>+'MF Units'!C11</f>
        <v>5741.6181818181794</v>
      </c>
    </row>
    <row r="12" spans="1:9" ht="15" x14ac:dyDescent="0.2">
      <c r="A12" s="44" t="s">
        <v>17</v>
      </c>
      <c r="B12" s="546">
        <v>50162</v>
      </c>
      <c r="C12" s="546">
        <v>10676</v>
      </c>
      <c r="D12" s="546">
        <v>4497</v>
      </c>
      <c r="E12" s="105">
        <f t="shared" si="0"/>
        <v>15173</v>
      </c>
      <c r="F12" s="46">
        <f t="shared" si="1"/>
        <v>65335</v>
      </c>
      <c r="G12" s="141">
        <f t="shared" si="2"/>
        <v>0.7677661284150914</v>
      </c>
      <c r="I12" s="105">
        <f>+'MF Units'!C12</f>
        <v>5760.2818181818157</v>
      </c>
    </row>
    <row r="13" spans="1:9" ht="15" x14ac:dyDescent="0.2">
      <c r="A13" s="44" t="s">
        <v>5</v>
      </c>
      <c r="B13" s="546">
        <v>50140</v>
      </c>
      <c r="C13" s="546">
        <v>40687</v>
      </c>
      <c r="D13" s="546">
        <v>4505</v>
      </c>
      <c r="E13" s="105">
        <f t="shared" si="0"/>
        <v>45192</v>
      </c>
      <c r="F13" s="46">
        <f t="shared" ref="F13:F20" si="3">+E13+B13</f>
        <v>95332</v>
      </c>
      <c r="G13" s="141">
        <f t="shared" ref="G13:G20" si="4">+B13/F13</f>
        <v>0.52595141190785888</v>
      </c>
      <c r="I13" s="105">
        <f>+'MF Units'!C13</f>
        <v>5784.3068181818144</v>
      </c>
    </row>
    <row r="14" spans="1:9" ht="15" x14ac:dyDescent="0.2">
      <c r="A14" s="44" t="s">
        <v>6</v>
      </c>
      <c r="B14" s="546">
        <v>50161</v>
      </c>
      <c r="C14" s="546">
        <v>10718</v>
      </c>
      <c r="D14" s="546">
        <v>4546</v>
      </c>
      <c r="E14" s="105">
        <f t="shared" si="0"/>
        <v>15264</v>
      </c>
      <c r="F14" s="46">
        <f t="shared" si="3"/>
        <v>65425</v>
      </c>
      <c r="G14" s="141">
        <f t="shared" si="4"/>
        <v>0.76669468857470391</v>
      </c>
      <c r="I14" s="105">
        <f>+'MF Units'!C14</f>
        <v>5669.3068181818144</v>
      </c>
    </row>
    <row r="15" spans="1:9" ht="15" x14ac:dyDescent="0.2">
      <c r="A15" s="44" t="s">
        <v>8</v>
      </c>
      <c r="B15" s="546">
        <v>50436</v>
      </c>
      <c r="C15" s="546">
        <v>10738</v>
      </c>
      <c r="D15" s="546">
        <v>4561</v>
      </c>
      <c r="E15" s="105">
        <f t="shared" si="0"/>
        <v>15299</v>
      </c>
      <c r="F15" s="46">
        <f t="shared" si="3"/>
        <v>65735</v>
      </c>
      <c r="G15" s="141">
        <f t="shared" si="4"/>
        <v>0.76726249334448926</v>
      </c>
      <c r="I15" s="105">
        <f>+'MF Units'!C15</f>
        <v>5385.6818181818153</v>
      </c>
    </row>
    <row r="16" spans="1:9" ht="15" x14ac:dyDescent="0.2">
      <c r="A16" s="44" t="s">
        <v>9</v>
      </c>
      <c r="B16" s="547">
        <v>50458</v>
      </c>
      <c r="C16" s="547">
        <v>10742</v>
      </c>
      <c r="D16" s="547">
        <v>4578</v>
      </c>
      <c r="E16" s="105">
        <f t="shared" si="0"/>
        <v>15320</v>
      </c>
      <c r="F16" s="46">
        <f t="shared" si="3"/>
        <v>65778</v>
      </c>
      <c r="G16" s="141">
        <f t="shared" si="4"/>
        <v>0.76709538143452216</v>
      </c>
      <c r="I16" s="105">
        <f>+'MF Units'!C16</f>
        <v>5385.904545454543</v>
      </c>
    </row>
    <row r="17" spans="1:13" ht="15" x14ac:dyDescent="0.2">
      <c r="A17" s="44" t="s">
        <v>10</v>
      </c>
      <c r="B17" s="547">
        <v>50628</v>
      </c>
      <c r="C17" s="547">
        <v>10786</v>
      </c>
      <c r="D17" s="547">
        <v>4626</v>
      </c>
      <c r="E17" s="105">
        <f t="shared" si="0"/>
        <v>15412</v>
      </c>
      <c r="F17" s="46">
        <f t="shared" si="3"/>
        <v>66040</v>
      </c>
      <c r="G17" s="141">
        <f t="shared" si="4"/>
        <v>0.76662628709872804</v>
      </c>
      <c r="I17" s="105">
        <f>+'MF Units'!C17</f>
        <v>5386.2272727272702</v>
      </c>
    </row>
    <row r="18" spans="1:13" ht="15" x14ac:dyDescent="0.2">
      <c r="A18" s="44" t="s">
        <v>11</v>
      </c>
      <c r="B18" s="547">
        <v>50753</v>
      </c>
      <c r="C18" s="547">
        <v>10868</v>
      </c>
      <c r="D18" s="547">
        <v>4664</v>
      </c>
      <c r="E18" s="105">
        <f t="shared" si="0"/>
        <v>15532</v>
      </c>
      <c r="F18" s="46">
        <f t="shared" si="3"/>
        <v>66285</v>
      </c>
      <c r="G18" s="141">
        <f t="shared" si="4"/>
        <v>0.7656785094666968</v>
      </c>
      <c r="I18" s="105">
        <f>+'MF Units'!C18</f>
        <v>5404.2704545454517</v>
      </c>
    </row>
    <row r="19" spans="1:13" ht="15" x14ac:dyDescent="0.2">
      <c r="A19" s="44" t="s">
        <v>12</v>
      </c>
      <c r="B19" s="547">
        <v>50815</v>
      </c>
      <c r="C19" s="547">
        <v>10782</v>
      </c>
      <c r="D19" s="547">
        <v>4711</v>
      </c>
      <c r="E19" s="105">
        <f t="shared" si="0"/>
        <v>15493</v>
      </c>
      <c r="F19" s="46">
        <f t="shared" si="3"/>
        <v>66308</v>
      </c>
      <c r="G19" s="141">
        <f t="shared" si="4"/>
        <v>0.76634795198166139</v>
      </c>
      <c r="I19" s="105">
        <f>+'MF Units'!C19</f>
        <v>5441.2818181818157</v>
      </c>
    </row>
    <row r="20" spans="1:13" ht="17.25" x14ac:dyDescent="0.35">
      <c r="A20" s="44" t="s">
        <v>13</v>
      </c>
      <c r="B20" s="548">
        <v>50898</v>
      </c>
      <c r="C20" s="548">
        <v>40799</v>
      </c>
      <c r="D20" s="548">
        <v>4738</v>
      </c>
      <c r="E20" s="258">
        <f t="shared" si="0"/>
        <v>45537</v>
      </c>
      <c r="F20" s="47">
        <f t="shared" si="3"/>
        <v>96435</v>
      </c>
      <c r="G20" s="145">
        <f t="shared" si="4"/>
        <v>0.52779592471613002</v>
      </c>
      <c r="I20" s="258">
        <f>+'MF Units'!C20</f>
        <v>5447.2636363636339</v>
      </c>
      <c r="K20" s="18"/>
      <c r="M20" s="38"/>
    </row>
    <row r="21" spans="1:13" ht="18" x14ac:dyDescent="0.4">
      <c r="A21" s="44"/>
      <c r="B21" s="48">
        <f>SUM(B9:B20)</f>
        <v>605091</v>
      </c>
      <c r="C21" s="48">
        <f t="shared" ref="C21:D21" si="5">SUM(C9:C20)</f>
        <v>188880</v>
      </c>
      <c r="D21" s="48">
        <f t="shared" si="5"/>
        <v>54703</v>
      </c>
      <c r="E21" s="48">
        <f>SUM(E9:E20)</f>
        <v>243583</v>
      </c>
      <c r="F21" s="48">
        <f t="shared" ref="F21" si="6">SUM(F9:F20)</f>
        <v>848674</v>
      </c>
      <c r="G21" s="142">
        <f t="shared" si="2"/>
        <v>0.71298401977673409</v>
      </c>
      <c r="I21" s="48">
        <f>SUM(I9:I20)</f>
        <v>66864.684090909053</v>
      </c>
    </row>
    <row r="22" spans="1:13" ht="15" x14ac:dyDescent="0.2">
      <c r="A22" s="44"/>
      <c r="B22" s="44"/>
      <c r="C22" s="44"/>
      <c r="D22" s="44"/>
      <c r="F22" s="44"/>
      <c r="G22" s="44"/>
      <c r="I22" s="44"/>
    </row>
    <row r="23" spans="1:13" ht="18" x14ac:dyDescent="0.4">
      <c r="A23" s="1" t="s">
        <v>78</v>
      </c>
      <c r="B23" s="48">
        <f>+B21/12</f>
        <v>50424.25</v>
      </c>
      <c r="C23" s="48"/>
      <c r="D23" s="48"/>
      <c r="E23" s="48"/>
      <c r="F23" s="48"/>
      <c r="G23" s="49"/>
      <c r="I23" s="48">
        <f>+I21/12</f>
        <v>5572.0570075757541</v>
      </c>
    </row>
    <row r="25" spans="1:13" x14ac:dyDescent="0.2">
      <c r="B25" s="38"/>
      <c r="I25" s="38"/>
    </row>
    <row r="27" spans="1:13" x14ac:dyDescent="0.2">
      <c r="B27" s="38"/>
      <c r="I27" s="38"/>
      <c r="J27" s="38"/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25"/>
  <sheetViews>
    <sheetView workbookViewId="0">
      <selection activeCell="P64" sqref="P64"/>
    </sheetView>
  </sheetViews>
  <sheetFormatPr defaultRowHeight="12.75" x14ac:dyDescent="0.2"/>
  <cols>
    <col min="1" max="1" width="11.5703125" bestFit="1" customWidth="1"/>
    <col min="2" max="2" width="4.28515625" customWidth="1"/>
    <col min="3" max="3" width="8.5703125" bestFit="1" customWidth="1"/>
    <col min="4" max="4" width="8.85546875" bestFit="1" customWidth="1"/>
    <col min="5" max="5" width="6.7109375" style="18" bestFit="1" customWidth="1"/>
    <col min="6" max="7" width="11.28515625" bestFit="1" customWidth="1"/>
    <col min="8" max="8" width="11.28515625" customWidth="1"/>
    <col min="9" max="9" width="11.28515625" bestFit="1" customWidth="1"/>
    <col min="10" max="10" width="14" bestFit="1" customWidth="1"/>
    <col min="11" max="11" width="11.42578125" bestFit="1" customWidth="1"/>
    <col min="12" max="12" width="11.7109375" bestFit="1" customWidth="1"/>
    <col min="13" max="16" width="11.28515625" bestFit="1" customWidth="1"/>
  </cols>
  <sheetData>
    <row r="1" spans="1:10" ht="26.25" x14ac:dyDescent="0.4">
      <c r="A1" s="146" t="s">
        <v>18</v>
      </c>
    </row>
    <row r="2" spans="1:10" ht="15" x14ac:dyDescent="0.25">
      <c r="A2" s="148" t="s">
        <v>124</v>
      </c>
    </row>
    <row r="6" spans="1:10" x14ac:dyDescent="0.2">
      <c r="B6" s="21"/>
      <c r="C6" s="21"/>
      <c r="D6" s="21"/>
      <c r="G6" s="613" t="s">
        <v>122</v>
      </c>
      <c r="H6" s="613"/>
      <c r="I6" s="613"/>
      <c r="J6" s="613"/>
    </row>
    <row r="7" spans="1:10" x14ac:dyDescent="0.2">
      <c r="B7" s="2"/>
      <c r="C7" s="2" t="s">
        <v>114</v>
      </c>
      <c r="D7" s="2" t="s">
        <v>116</v>
      </c>
      <c r="G7" s="2" t="s">
        <v>118</v>
      </c>
      <c r="H7" s="347" t="s">
        <v>156</v>
      </c>
      <c r="I7" s="2" t="s">
        <v>119</v>
      </c>
      <c r="J7" s="2" t="s">
        <v>120</v>
      </c>
    </row>
    <row r="8" spans="1:10" x14ac:dyDescent="0.2">
      <c r="A8" s="12" t="s">
        <v>112</v>
      </c>
      <c r="B8" s="10"/>
      <c r="C8" s="10" t="s">
        <v>115</v>
      </c>
      <c r="D8" s="10" t="s">
        <v>33</v>
      </c>
      <c r="E8" s="254" t="s">
        <v>113</v>
      </c>
      <c r="G8" s="10" t="s">
        <v>117</v>
      </c>
      <c r="H8" s="426" t="s">
        <v>117</v>
      </c>
      <c r="I8" s="10" t="s">
        <v>117</v>
      </c>
      <c r="J8" s="10" t="s">
        <v>117</v>
      </c>
    </row>
    <row r="9" spans="1:10" x14ac:dyDescent="0.2">
      <c r="A9" s="15" t="s">
        <v>167</v>
      </c>
      <c r="B9" s="3"/>
      <c r="C9" s="253">
        <f>+D9/E9</f>
        <v>5729.2704545454517</v>
      </c>
      <c r="D9" s="20">
        <f>SUM(G9:J9)</f>
        <v>25208.79</v>
      </c>
      <c r="E9" s="18">
        <v>4.4000000000000021</v>
      </c>
      <c r="G9" s="519">
        <v>2157.0500000000002</v>
      </c>
      <c r="H9" s="519">
        <v>122.45</v>
      </c>
      <c r="I9" s="519">
        <v>388.09</v>
      </c>
      <c r="J9" s="519">
        <v>22541.200000000001</v>
      </c>
    </row>
    <row r="10" spans="1:10" x14ac:dyDescent="0.2">
      <c r="A10" s="15" t="s">
        <v>35</v>
      </c>
      <c r="B10" s="3"/>
      <c r="C10" s="253">
        <f t="shared" ref="C10:C20" si="0">+D10/E10</f>
        <v>5729.2704545454517</v>
      </c>
      <c r="D10" s="20">
        <f t="shared" ref="D10:D20" si="1">SUM(G10:J10)</f>
        <v>25208.79</v>
      </c>
      <c r="E10" s="18">
        <v>4.4000000000000021</v>
      </c>
      <c r="G10" s="519">
        <v>2157.0500000000002</v>
      </c>
      <c r="H10" s="519">
        <v>122.45</v>
      </c>
      <c r="I10" s="519">
        <v>388.09</v>
      </c>
      <c r="J10" s="519">
        <v>22541.200000000001</v>
      </c>
    </row>
    <row r="11" spans="1:10" x14ac:dyDescent="0.2">
      <c r="A11" s="15" t="s">
        <v>36</v>
      </c>
      <c r="B11" s="3"/>
      <c r="C11" s="253">
        <f t="shared" si="0"/>
        <v>5741.6181818181794</v>
      </c>
      <c r="D11" s="20">
        <f t="shared" si="1"/>
        <v>25263.120000000003</v>
      </c>
      <c r="E11" s="18">
        <v>4.4000000000000021</v>
      </c>
      <c r="G11" s="519">
        <v>2220.1799999999998</v>
      </c>
      <c r="H11" s="519">
        <v>122.45</v>
      </c>
      <c r="I11" s="519">
        <v>388.09</v>
      </c>
      <c r="J11" s="519">
        <v>22532.400000000001</v>
      </c>
    </row>
    <row r="12" spans="1:10" x14ac:dyDescent="0.2">
      <c r="A12" s="15" t="s">
        <v>37</v>
      </c>
      <c r="B12" s="3"/>
      <c r="C12" s="253">
        <f t="shared" si="0"/>
        <v>5760.2818181818157</v>
      </c>
      <c r="D12" s="20">
        <f t="shared" si="1"/>
        <v>25345.24</v>
      </c>
      <c r="E12" s="18">
        <v>4.4000000000000021</v>
      </c>
      <c r="G12" s="519">
        <v>2230.98</v>
      </c>
      <c r="H12" s="519">
        <v>122.45</v>
      </c>
      <c r="I12" s="519">
        <v>388.09</v>
      </c>
      <c r="J12" s="519">
        <v>22603.72</v>
      </c>
    </row>
    <row r="13" spans="1:10" x14ac:dyDescent="0.2">
      <c r="A13" s="15" t="s">
        <v>168</v>
      </c>
      <c r="B13" s="3"/>
      <c r="C13" s="253">
        <f t="shared" si="0"/>
        <v>5784.3068181818144</v>
      </c>
      <c r="D13" s="20">
        <f t="shared" si="1"/>
        <v>25450.949999999997</v>
      </c>
      <c r="E13" s="18">
        <v>4.4000000000000021</v>
      </c>
      <c r="G13" s="519">
        <v>2369.29</v>
      </c>
      <c r="H13" s="519">
        <v>122.45</v>
      </c>
      <c r="I13" s="519">
        <v>388.09</v>
      </c>
      <c r="J13" s="519">
        <v>22571.119999999999</v>
      </c>
    </row>
    <row r="14" spans="1:10" x14ac:dyDescent="0.2">
      <c r="A14" s="15" t="s">
        <v>38</v>
      </c>
      <c r="B14" s="3"/>
      <c r="C14" s="253">
        <f t="shared" si="0"/>
        <v>5669.3068181818144</v>
      </c>
      <c r="D14" s="20">
        <f t="shared" si="1"/>
        <v>24944.949999999997</v>
      </c>
      <c r="E14" s="18">
        <v>4.4000000000000021</v>
      </c>
      <c r="G14" s="519">
        <v>2369.29</v>
      </c>
      <c r="H14" s="519">
        <v>122.45</v>
      </c>
      <c r="I14" s="519">
        <v>388.09</v>
      </c>
      <c r="J14" s="519">
        <v>22065.119999999999</v>
      </c>
    </row>
    <row r="15" spans="1:10" x14ac:dyDescent="0.2">
      <c r="A15" s="15" t="s">
        <v>39</v>
      </c>
      <c r="B15" s="3"/>
      <c r="C15" s="253">
        <f t="shared" si="0"/>
        <v>5385.6818181818153</v>
      </c>
      <c r="D15" s="20">
        <f t="shared" si="1"/>
        <v>23697</v>
      </c>
      <c r="E15" s="18">
        <v>4.4000000000000021</v>
      </c>
      <c r="G15" s="519">
        <v>2179.52</v>
      </c>
      <c r="H15" s="519">
        <v>115.87</v>
      </c>
      <c r="I15" s="519">
        <v>388.09</v>
      </c>
      <c r="J15" s="519">
        <v>21013.52</v>
      </c>
    </row>
    <row r="16" spans="1:10" x14ac:dyDescent="0.2">
      <c r="A16" s="15" t="s">
        <v>40</v>
      </c>
      <c r="B16" s="3"/>
      <c r="C16" s="253">
        <f t="shared" si="0"/>
        <v>5385.904545454543</v>
      </c>
      <c r="D16" s="20">
        <f t="shared" si="1"/>
        <v>23697.98</v>
      </c>
      <c r="E16" s="18">
        <v>4.4000000000000021</v>
      </c>
      <c r="G16" s="519">
        <v>2179.52</v>
      </c>
      <c r="H16" s="519">
        <v>115.87</v>
      </c>
      <c r="I16" s="519">
        <v>389.07</v>
      </c>
      <c r="J16" s="519">
        <v>21013.52</v>
      </c>
    </row>
    <row r="17" spans="1:11" x14ac:dyDescent="0.2">
      <c r="A17" s="15" t="s">
        <v>10</v>
      </c>
      <c r="B17" s="3"/>
      <c r="C17" s="253">
        <f t="shared" si="0"/>
        <v>5386.2272727272702</v>
      </c>
      <c r="D17" s="20">
        <f t="shared" si="1"/>
        <v>23699.4</v>
      </c>
      <c r="E17" s="18">
        <v>4.4000000000000021</v>
      </c>
      <c r="G17" s="519">
        <v>2180.94</v>
      </c>
      <c r="H17" s="519">
        <v>115.87</v>
      </c>
      <c r="I17" s="519">
        <v>389.07</v>
      </c>
      <c r="J17" s="519">
        <v>21013.52</v>
      </c>
    </row>
    <row r="18" spans="1:11" x14ac:dyDescent="0.2">
      <c r="A18" s="15" t="s">
        <v>41</v>
      </c>
      <c r="B18" s="3"/>
      <c r="C18" s="253">
        <f t="shared" si="0"/>
        <v>5404.2704545454517</v>
      </c>
      <c r="D18" s="20">
        <f t="shared" si="1"/>
        <v>23778.789999999997</v>
      </c>
      <c r="E18" s="18">
        <v>4.4000000000000021</v>
      </c>
      <c r="G18" s="519">
        <v>2189.9299999999998</v>
      </c>
      <c r="H18" s="519">
        <v>115.87</v>
      </c>
      <c r="I18" s="519">
        <v>389.07</v>
      </c>
      <c r="J18" s="519">
        <v>21083.919999999998</v>
      </c>
    </row>
    <row r="19" spans="1:11" x14ac:dyDescent="0.2">
      <c r="A19" s="15" t="s">
        <v>42</v>
      </c>
      <c r="B19" s="3"/>
      <c r="C19" s="253">
        <f t="shared" si="0"/>
        <v>5441.2818181818157</v>
      </c>
      <c r="D19" s="20">
        <f t="shared" si="1"/>
        <v>23941.64</v>
      </c>
      <c r="E19" s="18">
        <v>4.4000000000000021</v>
      </c>
      <c r="G19" s="519">
        <v>2189.9299999999998</v>
      </c>
      <c r="H19" s="519">
        <v>115.87</v>
      </c>
      <c r="I19" s="519">
        <v>462.3</v>
      </c>
      <c r="J19" s="519">
        <v>21173.54</v>
      </c>
    </row>
    <row r="20" spans="1:11" x14ac:dyDescent="0.2">
      <c r="A20" s="15" t="s">
        <v>43</v>
      </c>
      <c r="B20" s="3"/>
      <c r="C20" s="253">
        <f t="shared" si="0"/>
        <v>5447.2636363636339</v>
      </c>
      <c r="D20" s="20">
        <f t="shared" si="1"/>
        <v>23967.96</v>
      </c>
      <c r="E20" s="18">
        <v>4.4000000000000021</v>
      </c>
      <c r="G20" s="521">
        <v>2189.9299999999998</v>
      </c>
      <c r="H20" s="521">
        <v>115.87</v>
      </c>
      <c r="I20" s="521">
        <v>488.62</v>
      </c>
      <c r="J20" s="521">
        <v>21173.54</v>
      </c>
      <c r="K20" s="4"/>
    </row>
    <row r="21" spans="1:11" x14ac:dyDescent="0.2">
      <c r="G21" s="520"/>
      <c r="H21" s="520"/>
      <c r="I21" s="520"/>
      <c r="J21" s="520"/>
    </row>
    <row r="22" spans="1:11" x14ac:dyDescent="0.2">
      <c r="G22" s="520"/>
      <c r="H22" s="520"/>
      <c r="I22" s="520"/>
      <c r="J22" s="520"/>
    </row>
    <row r="23" spans="1:11" x14ac:dyDescent="0.2">
      <c r="G23" s="520"/>
      <c r="H23" s="520"/>
      <c r="I23" s="520"/>
      <c r="J23" s="520"/>
    </row>
    <row r="24" spans="1:11" x14ac:dyDescent="0.2">
      <c r="G24" s="520"/>
      <c r="H24" s="520"/>
      <c r="I24" s="520"/>
      <c r="J24" s="520"/>
    </row>
    <row r="25" spans="1:11" x14ac:dyDescent="0.2">
      <c r="G25" s="520"/>
      <c r="H25" s="520"/>
      <c r="I25" s="520"/>
      <c r="J25" s="520"/>
    </row>
  </sheetData>
  <mergeCells count="1">
    <mergeCell ref="G6:J6"/>
  </mergeCells>
  <phoneticPr fontId="4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A6E136CE4B5E43BF579D9FA93BFBD5" ma:contentTypeVersion="24" ma:contentTypeDescription="" ma:contentTypeScope="" ma:versionID="76846ba984bdc51e1e1c06b98dd19c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2023-10-10T07:00:00+00:00</OpenedDate>
    <SignificantOrder xmlns="dc463f71-b30c-4ab2-9473-d307f9d35888">false</SignificantOrder>
    <Date1 xmlns="dc463f71-b30c-4ab2-9473-d307f9d35888">2023-10-10T07:00:00+00:00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230844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35107E-870E-4BD4-AE6F-ED517781E2B5}"/>
</file>

<file path=customXml/itemProps2.xml><?xml version="1.0" encoding="utf-8"?>
<ds:datastoreItem xmlns:ds="http://schemas.openxmlformats.org/officeDocument/2006/customXml" ds:itemID="{BCA4136A-ED52-4A7F-B229-2B41D4BB3A8F}"/>
</file>

<file path=customXml/itemProps3.xml><?xml version="1.0" encoding="utf-8"?>
<ds:datastoreItem xmlns:ds="http://schemas.openxmlformats.org/officeDocument/2006/customXml" ds:itemID="{2E42AB1B-C0A9-4622-A5E7-4DB084394C55}"/>
</file>

<file path=customXml/itemProps4.xml><?xml version="1.0" encoding="utf-8"?>
<ds:datastoreItem xmlns:ds="http://schemas.openxmlformats.org/officeDocument/2006/customXml" ds:itemID="{D05FD538-E9EF-4E99-8957-B635E457F5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Rebate Analysis</vt:lpstr>
      <vt:lpstr>Calculation of Revenue</vt:lpstr>
      <vt:lpstr>Reg. Res'l - SS Mix &amp; Prices</vt:lpstr>
      <vt:lpstr>Composition - CRC</vt:lpstr>
      <vt:lpstr>Reg. MF - SS Mix &amp; Prices</vt:lpstr>
      <vt:lpstr>Total Company Tonnage</vt:lpstr>
      <vt:lpstr>Commodity Prices - JMK</vt:lpstr>
      <vt:lpstr>Customer Counts</vt:lpstr>
      <vt:lpstr>MF Units</vt:lpstr>
      <vt:lpstr>'Calculation of Revenue'!Print_Area</vt:lpstr>
      <vt:lpstr>'Commodity Prices - JMK'!Print_Area</vt:lpstr>
      <vt:lpstr>'Customer Counts'!Print_Area</vt:lpstr>
      <vt:lpstr>'Rebate Analysis'!Print_Area</vt:lpstr>
      <vt:lpstr>'Reg. MF - SS Mix &amp; Prices'!Print_Area</vt:lpstr>
      <vt:lpstr>'Reg. Res''l - SS Mix &amp; Prices'!Print_Area</vt:lpstr>
      <vt:lpstr>'Total Company Tonnage'!Print_Area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Burnite</dc:creator>
  <cp:lastModifiedBy>Administrator</cp:lastModifiedBy>
  <cp:lastPrinted>2018-09-07T15:11:39Z</cp:lastPrinted>
  <dcterms:created xsi:type="dcterms:W3CDTF">2003-01-04T00:18:15Z</dcterms:created>
  <dcterms:modified xsi:type="dcterms:W3CDTF">2023-10-10T18:56:28Z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0x0101006E56B4D1795A2E4DB2F0B01679ED314A00F0A6E136CE4B5E43BF579D9FA93BFBD5</vt:lpwstr>
  </property>
  <property fmtid="{D5CDD505-2E9C-101B-9397-08002B2CF9AE}" pid="5" name="_docset_NoMedatataSyncRequired">
    <vt:lpwstr>False</vt:lpwstr>
  </property>
</Properties>
</file>