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externalLinks/externalLink61.xml" ContentType="application/vnd.openxmlformats-officedocument.spreadsheetml.externalLink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7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41COL - Colstrip Adjustment Rider\Filed on 09.29.2023\"/>
    </mc:Choice>
  </mc:AlternateContent>
  <xr:revisionPtr revIDLastSave="0" documentId="13_ncr:1_{6B7F2D22-AEAC-4677-AB8A-EB675E9CFD7D}" xr6:coauthVersionLast="47" xr6:coauthVersionMax="47" xr10:uidLastSave="{00000000-0000-0000-0000-000000000000}"/>
  <bookViews>
    <workbookView xWindow="1755" yWindow="225" windowWidth="27000" windowHeight="15315" tabRatio="931" xr2:uid="{00000000-000D-0000-FFFF-FFFF00000000}"/>
  </bookViews>
  <sheets>
    <sheet name="Rate Summary" sheetId="86" r:id="rId1"/>
    <sheet name="Street &amp; Area Lighting" sheetId="61" r:id="rId2"/>
    <sheet name="Revenue Rate Impacts" sheetId="72" r:id="rId3"/>
    <sheet name="Typical Residential Notice" sheetId="48" r:id="rId4"/>
    <sheet name="Rate Spread and Design" sheetId="74" r:id="rId5"/>
    <sheet name="Workpapers--&gt;" sheetId="73" r:id="rId6"/>
    <sheet name="Revenue Requirment" sheetId="81" r:id="rId7"/>
    <sheet name="F2023 Energy" sheetId="77" r:id="rId8"/>
    <sheet name="F2023 Demand" sheetId="78" r:id="rId9"/>
    <sheet name="2022 GRC (UE-220066)--&gt;" sheetId="84" r:id="rId10"/>
    <sheet name="Exhibit No.__(BDJ-141C)" sheetId="83" r:id="rId11"/>
    <sheet name="2022 GRC Conversion Factor" sheetId="8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 localSheetId="0">[1]Jan!#REF!</definedName>
    <definedName name="\0" localSheetId="2">[1]Jan!#REF!</definedName>
    <definedName name="\0">[1]Jan!#REF!</definedName>
    <definedName name="\A" localSheetId="0">#REF!</definedName>
    <definedName name="\A" localSheetId="2">#REF!</definedName>
    <definedName name="\A">#REF!</definedName>
    <definedName name="\B" localSheetId="0">#REF!</definedName>
    <definedName name="\B" localSheetId="2">#REF!</definedName>
    <definedName name="\B">#REF!</definedName>
    <definedName name="\BACK1" localSheetId="0">#REF!</definedName>
    <definedName name="\BACK1" localSheetId="2">#REF!</definedName>
    <definedName name="\BACK1">#REF!</definedName>
    <definedName name="\BLOCK" localSheetId="0">#REF!</definedName>
    <definedName name="\BLOCK" localSheetId="2">#REF!</definedName>
    <definedName name="\BLOCK">#REF!</definedName>
    <definedName name="\BLOCKT" localSheetId="0">#REF!</definedName>
    <definedName name="\BLOCKT" localSheetId="2">#REF!</definedName>
    <definedName name="\BLOCKT">#REF!</definedName>
    <definedName name="\C" localSheetId="0">#REF!</definedName>
    <definedName name="\C" localSheetId="2">#REF!</definedName>
    <definedName name="\C">#REF!</definedName>
    <definedName name="\COMP" localSheetId="0">#REF!</definedName>
    <definedName name="\COMP" localSheetId="2">#REF!</definedName>
    <definedName name="\COMP">#REF!</definedName>
    <definedName name="\COMPT" localSheetId="0">#REF!</definedName>
    <definedName name="\COMPT" localSheetId="2">#REF!</definedName>
    <definedName name="\COMPT">#REF!</definedName>
    <definedName name="\G" localSheetId="0">#REF!</definedName>
    <definedName name="\G" localSheetId="2">#REF!</definedName>
    <definedName name="\G">#REF!</definedName>
    <definedName name="\I" localSheetId="0">#REF!</definedName>
    <definedName name="\I" localSheetId="2">#REF!</definedName>
    <definedName name="\I">#REF!</definedName>
    <definedName name="\K" localSheetId="0">#REF!</definedName>
    <definedName name="\K" localSheetId="2">#REF!</definedName>
    <definedName name="\K">#REF!</definedName>
    <definedName name="\L" localSheetId="0">#REF!</definedName>
    <definedName name="\L" localSheetId="2">#REF!</definedName>
    <definedName name="\L">#REF!</definedName>
    <definedName name="\M" localSheetId="0">#REF!</definedName>
    <definedName name="\M" localSheetId="2">#REF!</definedName>
    <definedName name="\M">#REF!</definedName>
    <definedName name="\P" localSheetId="0">#REF!</definedName>
    <definedName name="\P" localSheetId="2">#REF!</definedName>
    <definedName name="\P">#REF!</definedName>
    <definedName name="\Q" localSheetId="0">[2]Actual!#REF!</definedName>
    <definedName name="\Q" localSheetId="2">[2]Actual!#REF!</definedName>
    <definedName name="\Q">[2]Actual!#REF!</definedName>
    <definedName name="\R" localSheetId="0">#REF!</definedName>
    <definedName name="\R" localSheetId="2">#REF!</definedName>
    <definedName name="\R">#REF!</definedName>
    <definedName name="\S" localSheetId="0">#REF!</definedName>
    <definedName name="\S" localSheetId="2">#REF!</definedName>
    <definedName name="\S">#REF!</definedName>
    <definedName name="\TABLE1" localSheetId="0">#REF!</definedName>
    <definedName name="\TABLE1" localSheetId="2">#REF!</definedName>
    <definedName name="\TABLE1">#REF!</definedName>
    <definedName name="\TABLE2" localSheetId="0">#REF!</definedName>
    <definedName name="\TABLE2" localSheetId="2">#REF!</definedName>
    <definedName name="\TABLE2">#REF!</definedName>
    <definedName name="\TABLEA" localSheetId="0">#REF!</definedName>
    <definedName name="\TABLEA" localSheetId="2">#REF!</definedName>
    <definedName name="\TABLEA">#REF!</definedName>
    <definedName name="\TBL2" localSheetId="0">#REF!</definedName>
    <definedName name="\TBL2" localSheetId="2">#REF!</definedName>
    <definedName name="\TBL2">#REF!</definedName>
    <definedName name="\TBL3" localSheetId="0">#REF!</definedName>
    <definedName name="\TBL3" localSheetId="2">#REF!</definedName>
    <definedName name="\TBL3">#REF!</definedName>
    <definedName name="\TBL4" localSheetId="0">#REF!</definedName>
    <definedName name="\TBL4" localSheetId="2">#REF!</definedName>
    <definedName name="\TBL4">#REF!</definedName>
    <definedName name="\TBL5" localSheetId="0">#REF!</definedName>
    <definedName name="\TBL5" localSheetId="2">#REF!</definedName>
    <definedName name="\TBL5">#REF!</definedName>
    <definedName name="\W" localSheetId="0">#REF!</definedName>
    <definedName name="\W" localSheetId="2">#REF!</definedName>
    <definedName name="\W">#REF!</definedName>
    <definedName name="\WORK1" localSheetId="0">#REF!</definedName>
    <definedName name="\WORK1" localSheetId="2">#REF!</definedName>
    <definedName name="\WORK1">#REF!</definedName>
    <definedName name="\X" localSheetId="0">#REF!</definedName>
    <definedName name="\X" localSheetId="2">#REF!</definedName>
    <definedName name="\X">#REF!</definedName>
    <definedName name="\Z" localSheetId="0">#REF!</definedName>
    <definedName name="\Z" localSheetId="2">#REF!</definedName>
    <definedName name="\Z">#REF!</definedName>
    <definedName name="__________________six6" localSheetId="11" hidden="1">{#N/A,#N/A,FALSE,"CRPT";#N/A,#N/A,FALSE,"TREND";#N/A,#N/A,FALSE,"%Curve"}</definedName>
    <definedName name="__________________six6" localSheetId="4" hidden="1">{#N/A,#N/A,FALSE,"CRPT";#N/A,#N/A,FALSE,"TREND";#N/A,#N/A,FALSE,"%Curve"}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1" hidden="1">{#N/A,#N/A,FALSE,"schA"}</definedName>
    <definedName name="__________________www1" localSheetId="4" hidden="1">{#N/A,#N/A,FALSE,"schA"}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11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1" hidden="1">{#N/A,#N/A,FALSE,"schA"}</definedName>
    <definedName name="_________________www1" localSheetId="4" hidden="1">{#N/A,#N/A,FALSE,"schA"}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11" hidden="1">{#N/A,#N/A,FALSE,"CRPT";#N/A,#N/A,FALSE,"TREND";#N/A,#N/A,FALSE,"%Curve"}</definedName>
    <definedName name="________________six6" localSheetId="4" hidden="1">{#N/A,#N/A,FALSE,"CRPT";#N/A,#N/A,FALSE,"TREND";#N/A,#N/A,FALSE,"%Curve"}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1" hidden="1">{#N/A,#N/A,FALSE,"schA"}</definedName>
    <definedName name="________________www1" localSheetId="4" hidden="1">{#N/A,#N/A,FALSE,"schA"}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11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1" hidden="1">{#N/A,#N/A,FALSE,"schA"}</definedName>
    <definedName name="_______________www1" localSheetId="4" hidden="1">{#N/A,#N/A,FALSE,"schA"}</definedName>
    <definedName name="_______________www1" localSheetId="0" hidden="1">{#N/A,#N/A,FALSE,"schA"}</definedName>
    <definedName name="_______________www1" hidden="1">{#N/A,#N/A,FALSE,"schA"}</definedName>
    <definedName name="______________six6" localSheetId="11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1" hidden="1">{#N/A,#N/A,FALSE,"schA"}</definedName>
    <definedName name="______________www1" localSheetId="4" hidden="1">{#N/A,#N/A,FALSE,"schA"}</definedName>
    <definedName name="______________www1" localSheetId="0" hidden="1">{#N/A,#N/A,FALSE,"schA"}</definedName>
    <definedName name="______________www1" hidden="1">{#N/A,#N/A,FALSE,"schA"}</definedName>
    <definedName name="_____________six6" localSheetId="11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1" hidden="1">{#N/A,#N/A,FALSE,"schA"}</definedName>
    <definedName name="_____________www1" localSheetId="4" hidden="1">{#N/A,#N/A,FALSE,"schA"}</definedName>
    <definedName name="_____________www1" localSheetId="0" hidden="1">{#N/A,#N/A,FALSE,"schA"}</definedName>
    <definedName name="_____________www1" hidden="1">{#N/A,#N/A,FALSE,"schA"}</definedName>
    <definedName name="____________six6" localSheetId="11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1" hidden="1">{#N/A,#N/A,FALSE,"schA"}</definedName>
    <definedName name="____________www1" localSheetId="4" hidden="1">{#N/A,#N/A,FALSE,"schA"}</definedName>
    <definedName name="____________www1" localSheetId="0" hidden="1">{#N/A,#N/A,FALSE,"schA"}</definedName>
    <definedName name="____________www1" hidden="1">{#N/A,#N/A,FALSE,"schA"}</definedName>
    <definedName name="___________six6" localSheetId="11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1" hidden="1">{#N/A,#N/A,FALSE,"schA"}</definedName>
    <definedName name="___________www1" localSheetId="4" hidden="1">{#N/A,#N/A,FALSE,"schA"}</definedName>
    <definedName name="___________www1" localSheetId="0" hidden="1">{#N/A,#N/A,FALSE,"schA"}</definedName>
    <definedName name="___________www1" hidden="1">{#N/A,#N/A,FALSE,"schA"}</definedName>
    <definedName name="__________six6" localSheetId="11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1" hidden="1">{#N/A,#N/A,FALSE,"schA"}</definedName>
    <definedName name="__________www1" localSheetId="4" hidden="1">{#N/A,#N/A,FALSE,"schA"}</definedName>
    <definedName name="__________www1" localSheetId="0" hidden="1">{#N/A,#N/A,FALSE,"schA"}</definedName>
    <definedName name="__________www1" hidden="1">{#N/A,#N/A,FALSE,"schA"}</definedName>
    <definedName name="_________six6" localSheetId="11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1" hidden="1">{#N/A,#N/A,FALSE,"schA"}</definedName>
    <definedName name="_________www1" localSheetId="4" hidden="1">{#N/A,#N/A,FALSE,"schA"}</definedName>
    <definedName name="_________www1" localSheetId="0" hidden="1">{#N/A,#N/A,FALSE,"schA"}</definedName>
    <definedName name="_________www1" hidden="1">{#N/A,#N/A,FALSE,"schA"}</definedName>
    <definedName name="________six6" localSheetId="11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1" hidden="1">{#N/A,#N/A,FALSE,"schA"}</definedName>
    <definedName name="________www1" localSheetId="4" hidden="1">{#N/A,#N/A,FALSE,"schA"}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11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1" hidden="1">{#N/A,#N/A,FALSE,"schA"}</definedName>
    <definedName name="_______www1" localSheetId="4" hidden="1">{#N/A,#N/A,FALSE,"schA"}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11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1" hidden="1">{#N/A,#N/A,FALSE,"schA"}</definedName>
    <definedName name="______www1" localSheetId="4" hidden="1">{#N/A,#N/A,FALSE,"schA"}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Jun09">" BS!$AI$7:$AI$1643"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11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1" hidden="1">{#N/A,#N/A,FALSE,"schA"}</definedName>
    <definedName name="_____www1" localSheetId="4" hidden="1">{#N/A,#N/A,FALSE,"schA"}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Jun09">" BS!$AI$7:$AI$1643"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11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1" hidden="1">{#N/A,#N/A,FALSE,"schA"}</definedName>
    <definedName name="____www1" localSheetId="4" hidden="1">{#N/A,#N/A,FALSE,"schA"}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Jun09">" BS!$AI$7:$AI$1643"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11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11" hidden="1">{#N/A,#N/A,FALSE,"schA"}</definedName>
    <definedName name="___www1" localSheetId="4" hidden="1">{#N/A,#N/A,FALSE,"schA"}</definedName>
    <definedName name="___www1" localSheetId="0" hidden="1">{#N/A,#N/A,FALSE,"schA"}</definedName>
    <definedName name="___www1" hidden="1">{#N/A,#N/A,FALSE,"schA"}</definedName>
    <definedName name="__123Graph_A" localSheetId="0" hidden="1">[3]Inputs!#REF!</definedName>
    <definedName name="__123Graph_A" localSheetId="2" hidden="1">[3]Inputs!#REF!</definedName>
    <definedName name="__123Graph_A" hidden="1">[3]Inputs!#REF!</definedName>
    <definedName name="__123Graph_ABUDG6_DSCRPR">[4]Quant!$D$71:$O$71</definedName>
    <definedName name="__123Graph_ABUDG6_ESCRPR1">[4]Quant!$D$100:$O$100</definedName>
    <definedName name="__123Graph_B" localSheetId="11" hidden="1">[3]Inputs!#REF!</definedName>
    <definedName name="__123Graph_B" localSheetId="0" hidden="1">[3]Inputs!#REF!</definedName>
    <definedName name="__123Graph_B" localSheetId="2" hidden="1">[3]Inputs!#REF!</definedName>
    <definedName name="__123Graph_B" hidden="1">[3]Inputs!#REF!</definedName>
    <definedName name="__123Graph_BBUDG6_DSCRPR">[4]Quant!$D$72:$O$72</definedName>
    <definedName name="__123Graph_BBUDG6_ESCRPR1">[4]Quant!$D$88:$O$88</definedName>
    <definedName name="__123Graph_D" localSheetId="11" hidden="1">#REF!</definedName>
    <definedName name="__123Graph_D" localSheetId="0" hidden="1">#REF!</definedName>
    <definedName name="__123Graph_D" localSheetId="2" hidden="1">#REF!</definedName>
    <definedName name="__123Graph_D" hidden="1">#REF!</definedName>
    <definedName name="__123Graph_ECURRENT" localSheetId="11" hidden="1">[5]ConsolidatingPL!#REF!</definedName>
    <definedName name="__123Graph_ECURRENT" localSheetId="0" hidden="1">[5]ConsolidatingPL!#REF!</definedName>
    <definedName name="__123Graph_ECURRENT" localSheetId="2" hidden="1">[5]ConsolidatingPL!#REF!</definedName>
    <definedName name="__123Graph_ECURRENT" hidden="1">[5]ConsolidatingPL!#REF!</definedName>
    <definedName name="__123Graph_X">[4]Quant!$D$5:$O$5</definedName>
    <definedName name="__123Graph_XBUDG6_DSCRPR">[4]Quant!$D$5:$O$5</definedName>
    <definedName name="__123Graph_XBUDG6_ESCRPR1">[4]Quant!$D$5:$O$5</definedName>
    <definedName name="__Dec03">[6]BS!$T$7:$T$3582</definedName>
    <definedName name="__Dec04">[7]BS!$AC$7:$AC$3580</definedName>
    <definedName name="__ex1" localSheetId="0" hidden="1">{#N/A,#N/A,FALSE,"Summ";#N/A,#N/A,FALSE,"General"}</definedName>
    <definedName name="__ex1" hidden="1">{#N/A,#N/A,FALSE,"Summ";#N/A,#N/A,FALSE,"General"}</definedName>
    <definedName name="__Jul04">[7]BS!$X$7:$X$3582</definedName>
    <definedName name="__Jun04">[7]BS!$W$7:$W$3582</definedName>
    <definedName name="__Jun09">" BS!$AI$7:$AI$1643"</definedName>
    <definedName name="__May04">[7]BS!$V$7:$V$3582</definedName>
    <definedName name="__new1" localSheetId="0" hidden="1">{#N/A,#N/A,FALSE,"Summ";#N/A,#N/A,FALSE,"General"}</definedName>
    <definedName name="__new1" hidden="1">{#N/A,#N/A,FALSE,"Summ";#N/A,#N/A,FALSE,"General"}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localSheetId="11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11" hidden="1">{#N/A,#N/A,FALSE,"schA"}</definedName>
    <definedName name="__www1" localSheetId="4" hidden="1">{#N/A,#N/A,FALSE,"schA"}</definedName>
    <definedName name="__www1" localSheetId="0" hidden="1">{#N/A,#N/A,FALSE,"schA"}</definedName>
    <definedName name="__www1" hidden="1">{#N/A,#N/A,FALSE,"schA"}</definedName>
    <definedName name="_1__123Graph_ABUDG6_D_ESCRPR">[4]Quant!$D$71:$O$71</definedName>
    <definedName name="_1Price_Ta" localSheetId="0">#REF!</definedName>
    <definedName name="_1Price_Ta" localSheetId="2">#REF!</definedName>
    <definedName name="_1Price_Ta">#REF!</definedName>
    <definedName name="_2__123Graph_ABUDG6_Dtons_inv" localSheetId="11" hidden="1">[8]Quant!#REF!</definedName>
    <definedName name="_2__123Graph_ABUDG6_Dtons_inv" localSheetId="0" hidden="1">[8]Quant!#REF!</definedName>
    <definedName name="_2__123Graph_ABUDG6_Dtons_inv" localSheetId="2" hidden="1">[8]Quant!#REF!</definedName>
    <definedName name="_2__123Graph_ABUDG6_Dtons_inv" hidden="1">[8]Quant!#REF!</definedName>
    <definedName name="_2Price_Ta" localSheetId="0">#REF!</definedName>
    <definedName name="_2Price_Ta" localSheetId="2">#REF!</definedName>
    <definedName name="_2Price_Ta">#REF!</definedName>
    <definedName name="_3__123Graph_ABUDG6_Dtons_inv" localSheetId="11" hidden="1">[9]Quant!#REF!</definedName>
    <definedName name="_3__123Graph_ABUDG6_Dtons_inv" localSheetId="0" hidden="1">[9]Quant!#REF!</definedName>
    <definedName name="_3__123Graph_ABUDG6_Dtons_inv" localSheetId="2" hidden="1">[9]Quant!#REF!</definedName>
    <definedName name="_3__123Graph_ABUDG6_Dtons_inv" hidden="1">[9]Quant!#REF!</definedName>
    <definedName name="_3__123Graph_BBUDG6_D_ESCRPR">[4]Quant!$D$72:$O$72</definedName>
    <definedName name="_4__123Graph_ABUDG6_Dtons_inv" localSheetId="11" hidden="1">'[10]Area D 2011'!#REF!</definedName>
    <definedName name="_4__123Graph_ABUDG6_Dtons_inv" localSheetId="0" hidden="1">'[10]Area D 2011'!#REF!</definedName>
    <definedName name="_4__123Graph_ABUDG6_Dtons_inv" localSheetId="2" hidden="1">'[10]Area D 2011'!#REF!</definedName>
    <definedName name="_4__123Graph_ABUDG6_Dtons_inv" hidden="1">'[10]Area D 2011'!#REF!</definedName>
    <definedName name="_4__123Graph_BBUDG6_Dtons_inv">[4]Quant!$D$9:$O$9</definedName>
    <definedName name="_5__123Graph_CBUDG6_D_ESCRPR">[4]Quant!$D$100:$O$100</definedName>
    <definedName name="_6__123Graph_CBUDG6_D_ESCRPR" localSheetId="11" hidden="1">'[11]2012 Area AB BudgetSummary'!#REF!</definedName>
    <definedName name="_6__123Graph_CBUDG6_D_ESCRPR" localSheetId="0" hidden="1">'[11]2012 Area AB BudgetSummary'!#REF!</definedName>
    <definedName name="_6__123Graph_CBUDG6_D_ESCRPR" localSheetId="2" hidden="1">'[11]2012 Area AB BudgetSummary'!#REF!</definedName>
    <definedName name="_6__123Graph_CBUDG6_D_ESCRPR" hidden="1">'[11]2012 Area AB BudgetSummary'!#REF!</definedName>
    <definedName name="_6__123Graph_DBUDG6_D_ESCRPR">[4]Quant!$D$88:$O$88</definedName>
    <definedName name="_7__123Graph_CBUDG6_D_ESCRPR" localSheetId="11" hidden="1">'[10]Area D 2011'!#REF!</definedName>
    <definedName name="_7__123Graph_CBUDG6_D_ESCRPR" localSheetId="0" hidden="1">'[10]Area D 2011'!#REF!</definedName>
    <definedName name="_7__123Graph_CBUDG6_D_ESCRPR" localSheetId="2" hidden="1">'[10]Area D 2011'!#REF!</definedName>
    <definedName name="_7__123Graph_CBUDG6_D_ESCRPR" hidden="1">'[10]Area D 2011'!#REF!</definedName>
    <definedName name="_7__123Graph_DBUDG6_D_ESCRPR" localSheetId="0" hidden="1">'[11]2012 Area AB BudgetSummary'!#REF!</definedName>
    <definedName name="_7__123Graph_DBUDG6_D_ESCRPR" localSheetId="2" hidden="1">'[11]2012 Area AB BudgetSummary'!#REF!</definedName>
    <definedName name="_7__123Graph_DBUDG6_D_ESCRPR" hidden="1">'[11]2012 Area AB BudgetSummary'!#REF!</definedName>
    <definedName name="_7__123Graph_XBUDG6_D_ESCRPR">[4]Quant!$D$5:$O$5</definedName>
    <definedName name="_8__123Graph_DBUDG6_D_ESCRPR" localSheetId="11" hidden="1">'[10]Area D 2011'!#REF!</definedName>
    <definedName name="_8__123Graph_DBUDG6_D_ESCRPR" localSheetId="0" hidden="1">'[10]Area D 2011'!#REF!</definedName>
    <definedName name="_8__123Graph_DBUDG6_D_ESCRPR" localSheetId="2" hidden="1">'[10]Area D 2011'!#REF!</definedName>
    <definedName name="_8__123Graph_DBUDG6_D_ESCRPR" hidden="1">'[10]Area D 2011'!#REF!</definedName>
    <definedName name="_8__123Graph_XBUDG6_Dtons_inv">[4]Quant!$D$5:$O$5</definedName>
    <definedName name="_Apr04">[7]BS!$U$7:$U$3582</definedName>
    <definedName name="_Aug04">[7]BS!$Y$7:$Y$3582</definedName>
    <definedName name="_B" localSheetId="0">'[12]Rate Design'!#REF!</definedName>
    <definedName name="_B" localSheetId="2">'[12]Rate Design'!#REF!</definedName>
    <definedName name="_B">'[12]Rate Design'!#REF!</definedName>
    <definedName name="_Dec03">[6]BS!$T$7:$T$3582</definedName>
    <definedName name="_Dec04">[7]BS!$AC$7:$AC$3580</definedName>
    <definedName name="_ex1" localSheetId="11" hidden="1">{#N/A,#N/A,FALSE,"Summ";#N/A,#N/A,FALSE,"General"}</definedName>
    <definedName name="_ex1" localSheetId="4" hidden="1">{#N/A,#N/A,FALSE,"Summ";#N/A,#N/A,FALSE,"General"}</definedName>
    <definedName name="_ex1" localSheetId="0" hidden="1">{#N/A,#N/A,FALSE,"Summ";#N/A,#N/A,FALSE,"General"}</definedName>
    <definedName name="_ex1" hidden="1">{#N/A,#N/A,FALSE,"Summ";#N/A,#N/A,FALSE,"General"}</definedName>
    <definedName name="_Feb04">[7]BS!$S$7:$S$3582</definedName>
    <definedName name="_Fill" localSheetId="11" hidden="1">#REF!</definedName>
    <definedName name="_Fill" localSheetId="0" hidden="1">#REF!</definedName>
    <definedName name="_Fill" localSheetId="2" hidden="1">#REF!</definedName>
    <definedName name="_Fill" hidden="1">#REF!</definedName>
    <definedName name="_Jan04">[7]BS!$R$7:$R$3582</definedName>
    <definedName name="_Jul04">[7]BS!$X$7:$X$3582</definedName>
    <definedName name="_Jun04">[7]BS!$W$7:$W$3582</definedName>
    <definedName name="_Jun09">" BS!$AI$7:$AI$1643"</definedName>
    <definedName name="_Key1" localSheetId="11" hidden="1">#REF!</definedName>
    <definedName name="_Key1" localSheetId="0" hidden="1">#REF!</definedName>
    <definedName name="_Key1" localSheetId="2" hidden="1">#REF!</definedName>
    <definedName name="_Key1" hidden="1">#REF!</definedName>
    <definedName name="_Key2" localSheetId="11" hidden="1">#REF!</definedName>
    <definedName name="_Key2" localSheetId="0" hidden="1">#REF!</definedName>
    <definedName name="_Key2" localSheetId="2" hidden="1">#REF!</definedName>
    <definedName name="_Key2" hidden="1">#REF!</definedName>
    <definedName name="_Mar04">[7]BS!$T$7:$T$3582</definedName>
    <definedName name="_May04">[7]BS!$V$7:$V$3582</definedName>
    <definedName name="_MEN2" localSheetId="0">[1]Jan!#REF!</definedName>
    <definedName name="_MEN2" localSheetId="2">[1]Jan!#REF!</definedName>
    <definedName name="_MEN2">[1]Jan!#REF!</definedName>
    <definedName name="_MEN3" localSheetId="0">[1]Jan!#REF!</definedName>
    <definedName name="_MEN3" localSheetId="2">[1]Jan!#REF!</definedName>
    <definedName name="_MEN3">[1]Jan!#REF!</definedName>
    <definedName name="_new1" localSheetId="11" hidden="1">{#N/A,#N/A,FALSE,"Summ";#N/A,#N/A,FALSE,"General"}</definedName>
    <definedName name="_new1" localSheetId="4" hidden="1">{#N/A,#N/A,FALSE,"Summ";#N/A,#N/A,FALSE,"General"}</definedName>
    <definedName name="_new1" localSheetId="0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>255</definedName>
    <definedName name="_Order2">255</definedName>
    <definedName name="_P" localSheetId="0">#REF!</definedName>
    <definedName name="_P" localSheetId="2">#REF!</definedName>
    <definedName name="_P">#REF!</definedName>
    <definedName name="_Parse_In" localSheetId="11" hidden="1">#REF!</definedName>
    <definedName name="_Parse_In" localSheetId="0" hidden="1">#REF!</definedName>
    <definedName name="_Parse_In" localSheetId="2" hidden="1">#REF!</definedName>
    <definedName name="_Parse_In" hidden="1">#REF!</definedName>
    <definedName name="_PC1">[13]CLASSIFIERS!$A$7:$IV$7</definedName>
    <definedName name="_PC2">[13]CLASSIFIERS!$A$10:$IV$10</definedName>
    <definedName name="_PC3">[13]CLASSIFIERS!$A$12:$IV$12</definedName>
    <definedName name="_PC4">[13]CLASSIFIERS!$A$13:$IV$13</definedName>
    <definedName name="_Regression_Int">1</definedName>
    <definedName name="_SEC24">[13]EXTERNAL!$A$112:$IV$114</definedName>
    <definedName name="_Sep03">[14]BS!$AB$7:$AB$3420</definedName>
    <definedName name="_Sep04">[7]BS!$Z$7:$Z$3582</definedName>
    <definedName name="_six6" localSheetId="11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11" hidden="1">#REF!</definedName>
    <definedName name="_Sort" localSheetId="0" hidden="1">#REF!</definedName>
    <definedName name="_Sort" localSheetId="2" hidden="1">#REF!</definedName>
    <definedName name="_Sort" hidden="1">#REF!</definedName>
    <definedName name="_TOP1" localSheetId="0">[1]Jan!#REF!</definedName>
    <definedName name="_TOP1" localSheetId="2">[1]Jan!#REF!</definedName>
    <definedName name="_TOP1">[1]Jan!#REF!</definedName>
    <definedName name="_www1" localSheetId="11" hidden="1">{#N/A,#N/A,FALSE,"schA"}</definedName>
    <definedName name="_www1" localSheetId="4" hidden="1">{#N/A,#N/A,FALSE,"schA"}</definedName>
    <definedName name="_www1" localSheetId="0" hidden="1">{#N/A,#N/A,FALSE,"schA"}</definedName>
    <definedName name="_www1" hidden="1">{#N/A,#N/A,FALSE,"schA"}</definedName>
    <definedName name="a" localSheetId="11" hidden="1">{#N/A,#N/A,FALSE,"Coversheet";#N/A,#N/A,FALSE,"QA"}</definedName>
    <definedName name="a" localSheetId="4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AAAAAAAAAAAAA" localSheetId="11" hidden="1">{#N/A,#N/A,FALSE,"Coversheet";#N/A,#N/A,FALSE,"QA"}</definedName>
    <definedName name="AAAAAAAAAAAAAA" localSheetId="4" hidden="1">{#N/A,#N/A,FALSE,"Coversheet";#N/A,#N/A,FALSE,"QA"}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108364" localSheetId="0">'[15]Func Study'!#REF!</definedName>
    <definedName name="Acct108364" localSheetId="2">'[15]Func Study'!#REF!</definedName>
    <definedName name="Acct108364">'[15]Func Study'!#REF!</definedName>
    <definedName name="Acct108364S" localSheetId="0">'[15]Func Study'!#REF!</definedName>
    <definedName name="Acct108364S" localSheetId="2">'[15]Func Study'!#REF!</definedName>
    <definedName name="Acct108364S">'[15]Func Study'!#REF!</definedName>
    <definedName name="Acct228.42TROJD" localSheetId="0">'[16]Func Study'!#REF!</definedName>
    <definedName name="Acct228.42TROJD" localSheetId="2">'[16]Func Study'!#REF!</definedName>
    <definedName name="Acct228.42TROJD">'[16]Func Study'!#REF!</definedName>
    <definedName name="Acct2281SO">'[17]Func Study'!$H$2190</definedName>
    <definedName name="Acct2283SO">'[17]Func Study'!$H$2198</definedName>
    <definedName name="Acct22842TROJD" localSheetId="0">'[16]Func Study'!#REF!</definedName>
    <definedName name="Acct22842TROJD" localSheetId="2">'[16]Func Study'!#REF!</definedName>
    <definedName name="Acct22842TROJD">'[16]Func Study'!#REF!</definedName>
    <definedName name="Acct228SO">'[17]Func Study'!$H$2194</definedName>
    <definedName name="Acct350">'[17]Func Study'!$H$1628</definedName>
    <definedName name="Acct352">'[17]Func Study'!$H$1635</definedName>
    <definedName name="Acct353">'[17]Func Study'!$H$1641</definedName>
    <definedName name="Acct354">'[17]Func Study'!$H$1647</definedName>
    <definedName name="Acct355">'[17]Func Study'!$H$1654</definedName>
    <definedName name="Acct356">'[17]Func Study'!$H$1660</definedName>
    <definedName name="Acct357">'[17]Func Study'!$H$1666</definedName>
    <definedName name="Acct358">'[17]Func Study'!$H$1672</definedName>
    <definedName name="Acct359">'[17]Func Study'!$H$1678</definedName>
    <definedName name="Acct360">'[17]Func Study'!$H$1698</definedName>
    <definedName name="Acct361">'[17]Func Study'!$H$1704</definedName>
    <definedName name="Acct362">'[17]Func Study'!$H$1710</definedName>
    <definedName name="Acct364">'[17]Func Study'!$H$1717</definedName>
    <definedName name="Acct365">'[17]Func Study'!$H$1724</definedName>
    <definedName name="Acct366">'[17]Func Study'!$H$1731</definedName>
    <definedName name="Acct367">'[17]Func Study'!$H$1738</definedName>
    <definedName name="Acct368">'[17]Func Study'!$H$1744</definedName>
    <definedName name="Acct369">'[17]Func Study'!$H$1751</definedName>
    <definedName name="Acct370">'[17]Func Study'!$H$1762</definedName>
    <definedName name="Acct371">'[17]Func Study'!$H$1769</definedName>
    <definedName name="Acct372">'[17]Func Study'!$H$1776</definedName>
    <definedName name="Acct372A">'[17]Func Study'!$H$1775</definedName>
    <definedName name="Acct372DP">'[17]Func Study'!$H$1773</definedName>
    <definedName name="Acct372DS">'[17]Func Study'!$H$1774</definedName>
    <definedName name="Acct373">'[17]Func Study'!$H$1782</definedName>
    <definedName name="Acct41011" localSheetId="0">'[18]Functional Study'!#REF!</definedName>
    <definedName name="Acct41011" localSheetId="2">'[18]Functional Study'!#REF!</definedName>
    <definedName name="Acct41011">'[18]Functional Study'!#REF!</definedName>
    <definedName name="Acct41011BADDEBT" localSheetId="0">'[18]Functional Study'!#REF!</definedName>
    <definedName name="Acct41011BADDEBT" localSheetId="2">'[18]Functional Study'!#REF!</definedName>
    <definedName name="Acct41011BADDEBT">'[18]Functional Study'!#REF!</definedName>
    <definedName name="Acct41011DITEXP" localSheetId="0">'[18]Functional Study'!#REF!</definedName>
    <definedName name="Acct41011DITEXP" localSheetId="2">'[18]Functional Study'!#REF!</definedName>
    <definedName name="Acct41011DITEXP">'[18]Functional Study'!#REF!</definedName>
    <definedName name="Acct41011S" localSheetId="0">'[18]Functional Study'!#REF!</definedName>
    <definedName name="Acct41011S" localSheetId="2">'[18]Functional Study'!#REF!</definedName>
    <definedName name="Acct41011S">'[18]Functional Study'!#REF!</definedName>
    <definedName name="Acct41011SE" localSheetId="0">'[18]Functional Study'!#REF!</definedName>
    <definedName name="Acct41011SE" localSheetId="2">'[18]Functional Study'!#REF!</definedName>
    <definedName name="Acct41011SE">'[18]Functional Study'!#REF!</definedName>
    <definedName name="Acct41011SG1" localSheetId="0">'[18]Functional Study'!#REF!</definedName>
    <definedName name="Acct41011SG1" localSheetId="2">'[18]Functional Study'!#REF!</definedName>
    <definedName name="Acct41011SG1">'[18]Functional Study'!#REF!</definedName>
    <definedName name="Acct41011SG2" localSheetId="0">'[18]Functional Study'!#REF!</definedName>
    <definedName name="Acct41011SG2" localSheetId="2">'[18]Functional Study'!#REF!</definedName>
    <definedName name="Acct41011SG2">'[18]Functional Study'!#REF!</definedName>
    <definedName name="ACCT41011SGCT" localSheetId="0">'[18]Functional Study'!#REF!</definedName>
    <definedName name="ACCT41011SGCT" localSheetId="2">'[18]Functional Study'!#REF!</definedName>
    <definedName name="ACCT41011SGCT">'[18]Functional Study'!#REF!</definedName>
    <definedName name="Acct41011SGPP" localSheetId="0">'[18]Functional Study'!#REF!</definedName>
    <definedName name="Acct41011SGPP" localSheetId="2">'[18]Functional Study'!#REF!</definedName>
    <definedName name="Acct41011SGPP">'[18]Functional Study'!#REF!</definedName>
    <definedName name="Acct41011SNP" localSheetId="0">'[18]Functional Study'!#REF!</definedName>
    <definedName name="Acct41011SNP" localSheetId="2">'[18]Functional Study'!#REF!</definedName>
    <definedName name="Acct41011SNP">'[18]Functional Study'!#REF!</definedName>
    <definedName name="ACCT41011SNPD" localSheetId="0">'[18]Functional Study'!#REF!</definedName>
    <definedName name="ACCT41011SNPD" localSheetId="2">'[18]Functional Study'!#REF!</definedName>
    <definedName name="ACCT41011SNPD">'[18]Functional Study'!#REF!</definedName>
    <definedName name="Acct41011SO" localSheetId="0">'[18]Functional Study'!#REF!</definedName>
    <definedName name="Acct41011SO" localSheetId="2">'[18]Functional Study'!#REF!</definedName>
    <definedName name="Acct41011SO">'[18]Functional Study'!#REF!</definedName>
    <definedName name="Acct41011TROJP" localSheetId="0">'[18]Functional Study'!#REF!</definedName>
    <definedName name="Acct41011TROJP" localSheetId="2">'[18]Functional Study'!#REF!</definedName>
    <definedName name="Acct41011TROJP">'[18]Functional Study'!#REF!</definedName>
    <definedName name="Acct41111" localSheetId="0">'[18]Functional Study'!#REF!</definedName>
    <definedName name="Acct41111" localSheetId="2">'[18]Functional Study'!#REF!</definedName>
    <definedName name="Acct41111">'[18]Functional Study'!#REF!</definedName>
    <definedName name="Acct41111BADDEBT" localSheetId="0">'[18]Functional Study'!#REF!</definedName>
    <definedName name="Acct41111BADDEBT" localSheetId="2">'[18]Functional Study'!#REF!</definedName>
    <definedName name="Acct41111BADDEBT">'[18]Functional Study'!#REF!</definedName>
    <definedName name="Acct41111DITEXP" localSheetId="0">'[18]Functional Study'!#REF!</definedName>
    <definedName name="Acct41111DITEXP" localSheetId="2">'[18]Functional Study'!#REF!</definedName>
    <definedName name="Acct41111DITEXP">'[18]Functional Study'!#REF!</definedName>
    <definedName name="Acct41111S" localSheetId="0">'[18]Functional Study'!#REF!</definedName>
    <definedName name="Acct41111S" localSheetId="2">'[18]Functional Study'!#REF!</definedName>
    <definedName name="Acct41111S">'[18]Functional Study'!#REF!</definedName>
    <definedName name="Acct41111SE" localSheetId="0">'[18]Functional Study'!#REF!</definedName>
    <definedName name="Acct41111SE" localSheetId="2">'[18]Functional Study'!#REF!</definedName>
    <definedName name="Acct41111SE">'[18]Functional Study'!#REF!</definedName>
    <definedName name="Acct41111SG1" localSheetId="0">'[18]Functional Study'!#REF!</definedName>
    <definedName name="Acct41111SG1" localSheetId="2">'[18]Functional Study'!#REF!</definedName>
    <definedName name="Acct41111SG1">'[18]Functional Study'!#REF!</definedName>
    <definedName name="Acct41111SG2" localSheetId="0">'[18]Functional Study'!#REF!</definedName>
    <definedName name="Acct41111SG2" localSheetId="2">'[18]Functional Study'!#REF!</definedName>
    <definedName name="Acct41111SG2">'[18]Functional Study'!#REF!</definedName>
    <definedName name="Acct41111SG3" localSheetId="0">'[18]Functional Study'!#REF!</definedName>
    <definedName name="Acct41111SG3" localSheetId="2">'[18]Functional Study'!#REF!</definedName>
    <definedName name="Acct41111SG3">'[18]Functional Study'!#REF!</definedName>
    <definedName name="Acct41111SGPP" localSheetId="0">'[18]Functional Study'!#REF!</definedName>
    <definedName name="Acct41111SGPP" localSheetId="2">'[18]Functional Study'!#REF!</definedName>
    <definedName name="Acct41111SGPP">'[18]Functional Study'!#REF!</definedName>
    <definedName name="Acct41111SNP" localSheetId="0">'[18]Functional Study'!#REF!</definedName>
    <definedName name="Acct41111SNP" localSheetId="2">'[18]Functional Study'!#REF!</definedName>
    <definedName name="Acct41111SNP">'[18]Functional Study'!#REF!</definedName>
    <definedName name="Acct41111SNTP" localSheetId="0">'[18]Functional Study'!#REF!</definedName>
    <definedName name="Acct41111SNTP" localSheetId="2">'[18]Functional Study'!#REF!</definedName>
    <definedName name="Acct41111SNTP">'[18]Functional Study'!#REF!</definedName>
    <definedName name="Acct41111SO" localSheetId="0">'[18]Functional Study'!#REF!</definedName>
    <definedName name="Acct41111SO" localSheetId="2">'[18]Functional Study'!#REF!</definedName>
    <definedName name="Acct41111SO">'[18]Functional Study'!#REF!</definedName>
    <definedName name="Acct41111TROJP" localSheetId="0">'[18]Functional Study'!#REF!</definedName>
    <definedName name="Acct41111TROJP" localSheetId="2">'[18]Functional Study'!#REF!</definedName>
    <definedName name="Acct41111TROJP">'[18]Functional Study'!#REF!</definedName>
    <definedName name="Acct411BADDEBT" localSheetId="0">'[18]Functional Study'!#REF!</definedName>
    <definedName name="Acct411BADDEBT" localSheetId="2">'[18]Functional Study'!#REF!</definedName>
    <definedName name="Acct411BADDEBT">'[18]Functional Study'!#REF!</definedName>
    <definedName name="Acct411DGP" localSheetId="0">'[18]Functional Study'!#REF!</definedName>
    <definedName name="Acct411DGP" localSheetId="2">'[18]Functional Study'!#REF!</definedName>
    <definedName name="Acct411DGP">'[18]Functional Study'!#REF!</definedName>
    <definedName name="Acct411DGU" localSheetId="0">'[18]Functional Study'!#REF!</definedName>
    <definedName name="Acct411DGU" localSheetId="2">'[18]Functional Study'!#REF!</definedName>
    <definedName name="Acct411DGU">'[18]Functional Study'!#REF!</definedName>
    <definedName name="Acct411DITEXP" localSheetId="0">'[18]Functional Study'!#REF!</definedName>
    <definedName name="Acct411DITEXP" localSheetId="2">'[18]Functional Study'!#REF!</definedName>
    <definedName name="Acct411DITEXP">'[18]Functional Study'!#REF!</definedName>
    <definedName name="Acct411DNPP" localSheetId="0">'[18]Functional Study'!#REF!</definedName>
    <definedName name="Acct411DNPP" localSheetId="2">'[18]Functional Study'!#REF!</definedName>
    <definedName name="Acct411DNPP">'[18]Functional Study'!#REF!</definedName>
    <definedName name="Acct411DNPTP" localSheetId="0">'[18]Functional Study'!#REF!</definedName>
    <definedName name="Acct411DNPTP" localSheetId="2">'[18]Functional Study'!#REF!</definedName>
    <definedName name="Acct411DNPTP">'[18]Functional Study'!#REF!</definedName>
    <definedName name="Acct411S" localSheetId="0">'[18]Functional Study'!#REF!</definedName>
    <definedName name="Acct411S" localSheetId="2">'[18]Functional Study'!#REF!</definedName>
    <definedName name="Acct411S">'[18]Functional Study'!#REF!</definedName>
    <definedName name="Acct411SE" localSheetId="0">'[18]Functional Study'!#REF!</definedName>
    <definedName name="Acct411SE" localSheetId="2">'[18]Functional Study'!#REF!</definedName>
    <definedName name="Acct411SE">'[18]Functional Study'!#REF!</definedName>
    <definedName name="Acct411SG" localSheetId="0">'[18]Functional Study'!#REF!</definedName>
    <definedName name="Acct411SG" localSheetId="2">'[18]Functional Study'!#REF!</definedName>
    <definedName name="Acct411SG">'[18]Functional Study'!#REF!</definedName>
    <definedName name="Acct411SGPP" localSheetId="0">'[18]Functional Study'!#REF!</definedName>
    <definedName name="Acct411SGPP" localSheetId="2">'[18]Functional Study'!#REF!</definedName>
    <definedName name="Acct411SGPP">'[18]Functional Study'!#REF!</definedName>
    <definedName name="Acct411SO" localSheetId="0">'[18]Functional Study'!#REF!</definedName>
    <definedName name="Acct411SO" localSheetId="2">'[18]Functional Study'!#REF!</definedName>
    <definedName name="Acct411SO">'[18]Functional Study'!#REF!</definedName>
    <definedName name="Acct411TROJP" localSheetId="0">'[18]Functional Study'!#REF!</definedName>
    <definedName name="Acct411TROJP" localSheetId="2">'[18]Functional Study'!#REF!</definedName>
    <definedName name="Acct411TROJP">'[18]Functional Study'!#REF!</definedName>
    <definedName name="Acct447DGU" localSheetId="0">'[16]Func Study'!#REF!</definedName>
    <definedName name="Acct447DGU" localSheetId="2">'[16]Func Study'!#REF!</definedName>
    <definedName name="Acct447DGU">'[16]Func Study'!#REF!</definedName>
    <definedName name="Acct448S">'[17]Func Study'!$H$274</definedName>
    <definedName name="Acct450S">'[17]Func Study'!$H$302</definedName>
    <definedName name="Acct451S">'[17]Func Study'!$H$307</definedName>
    <definedName name="Acct454S">'[17]Func Study'!$H$318</definedName>
    <definedName name="Acct456S">'[17]Func Study'!$H$325</definedName>
    <definedName name="Acct510" localSheetId="0">'[17]Func Study'!#REF!</definedName>
    <definedName name="Acct510" localSheetId="2">'[17]Func Study'!#REF!</definedName>
    <definedName name="Acct510">'[17]Func Study'!#REF!</definedName>
    <definedName name="Acct510DNPPSU" localSheetId="0">'[17]Func Study'!#REF!</definedName>
    <definedName name="Acct510DNPPSU" localSheetId="2">'[17]Func Study'!#REF!</definedName>
    <definedName name="Acct510DNPPSU">'[17]Func Study'!#REF!</definedName>
    <definedName name="ACCT510JBG" localSheetId="0">'[17]Func Study'!#REF!</definedName>
    <definedName name="ACCT510JBG" localSheetId="2">'[17]Func Study'!#REF!</definedName>
    <definedName name="ACCT510JBG">'[17]Func Study'!#REF!</definedName>
    <definedName name="ACCT510SSGCH" localSheetId="0">'[17]Func Study'!#REF!</definedName>
    <definedName name="ACCT510SSGCH" localSheetId="2">'[17]Func Study'!#REF!</definedName>
    <definedName name="ACCT510SSGCH">'[17]Func Study'!#REF!</definedName>
    <definedName name="ACCT557CAGE">'[17]Func Study'!$H$683</definedName>
    <definedName name="Acct557CT">'[17]Func Study'!$H$681</definedName>
    <definedName name="Acct580">'[17]Func Study'!$H$791</definedName>
    <definedName name="Acct581">'[17]Func Study'!$H$796</definedName>
    <definedName name="Acct582">'[17]Func Study'!$H$801</definedName>
    <definedName name="Acct583">'[17]Func Study'!$H$806</definedName>
    <definedName name="Acct584">'[17]Func Study'!$H$811</definedName>
    <definedName name="Acct585">'[17]Func Study'!$H$816</definedName>
    <definedName name="Acct586">'[17]Func Study'!$H$821</definedName>
    <definedName name="Acct587">'[17]Func Study'!$H$826</definedName>
    <definedName name="Acct588">'[17]Func Study'!$H$831</definedName>
    <definedName name="Acct589">'[17]Func Study'!$H$836</definedName>
    <definedName name="Acct590">'[17]Func Study'!$H$841</definedName>
    <definedName name="Acct591">'[17]Func Study'!$H$846</definedName>
    <definedName name="Acct592">'[17]Func Study'!$H$851</definedName>
    <definedName name="Acct593">'[17]Func Study'!$H$856</definedName>
    <definedName name="Acct594">'[17]Func Study'!$H$861</definedName>
    <definedName name="Acct595">'[17]Func Study'!$H$866</definedName>
    <definedName name="Acct596">'[17]Func Study'!$H$876</definedName>
    <definedName name="Acct597">'[17]Func Study'!$H$881</definedName>
    <definedName name="Acct598">'[17]Func Study'!$H$886</definedName>
    <definedName name="ACCT904SG" localSheetId="0">'[19]Functional Study'!#REF!</definedName>
    <definedName name="ACCT904SG" localSheetId="2">'[19]Functional Study'!#REF!</definedName>
    <definedName name="ACCT904SG">'[19]Functional Study'!#REF!</definedName>
    <definedName name="AcctAGA">'[17]Func Study'!$H$296</definedName>
    <definedName name="AcctDFAD" localSheetId="0">'[17]Func Study'!#REF!</definedName>
    <definedName name="AcctDFAD" localSheetId="2">'[17]Func Study'!#REF!</definedName>
    <definedName name="AcctDFAD">'[17]Func Study'!#REF!</definedName>
    <definedName name="AcctDFAP" localSheetId="0">'[17]Func Study'!#REF!</definedName>
    <definedName name="AcctDFAP" localSheetId="2">'[17]Func Study'!#REF!</definedName>
    <definedName name="AcctDFAP">'[17]Func Study'!#REF!</definedName>
    <definedName name="AcctDFAT" localSheetId="0">'[17]Func Study'!#REF!</definedName>
    <definedName name="AcctDFAT" localSheetId="2">'[17]Func Study'!#REF!</definedName>
    <definedName name="AcctDFAT">'[17]Func Study'!#REF!</definedName>
    <definedName name="AcctTable">[20]Variables!$AK$42:$AK$396</definedName>
    <definedName name="AcctTS0">'[17]Func Study'!$H$1686</definedName>
    <definedName name="Acq1Plant">'[21]Acquisition Inputs'!$C$8</definedName>
    <definedName name="Acq2Plant">'[21]Acquisition Inputs'!$C$70</definedName>
    <definedName name="ActualROR">'[16]G+T+D+R+M'!$H$61</definedName>
    <definedName name="ADJPTDCE.T">[13]INTERNAL!$A$31:$IV$33</definedName>
    <definedName name="Adjs2avg">[22]Inputs!$L$255:'[22]Inputs'!$T$505</definedName>
    <definedName name="After_Tax_Cash_Discount">'[23]Assumptions (Input)'!$D$37</definedName>
    <definedName name="afudc_flag">'[23]Assumptions (Input)'!$B$13</definedName>
    <definedName name="Alloc_Factor_Name">'[24]Input-Allocators'!$B$32:$B$83</definedName>
    <definedName name="ANCIL">[13]EXTERNAL!$A$163:$IV$165</definedName>
    <definedName name="APR" localSheetId="0">[25]Backup!#REF!</definedName>
    <definedName name="APR" localSheetId="2">[25]Backup!#REF!</definedName>
    <definedName name="APR">[25]Backup!#REF!</definedName>
    <definedName name="Apr04AMA">[7]BS!$AG$7:$AG$3582</definedName>
    <definedName name="APRT" localSheetId="0">#REF!</definedName>
    <definedName name="APRT" localSheetId="2">#REF!</definedName>
    <definedName name="APRT">#REF!</definedName>
    <definedName name="AS2DocOpenMode">"AS2DocumentEdit"</definedName>
    <definedName name="Assessment_Rate">'[23]Assumptions (Input)'!$B$7</definedName>
    <definedName name="AUG" localSheetId="0">[25]Backup!#REF!</definedName>
    <definedName name="AUG" localSheetId="2">[25]Backup!#REF!</definedName>
    <definedName name="AUG">[25]Backup!#REF!</definedName>
    <definedName name="Aug04AMA">[7]BS!$AK$7:$AK$3582</definedName>
    <definedName name="AUGT" localSheetId="0">#REF!</definedName>
    <definedName name="AUGT" localSheetId="2">#REF!</definedName>
    <definedName name="AUGT">#REF!</definedName>
    <definedName name="Aurora_Prices">"Monthly Price Summary'!$C$4:$H$63"</definedName>
    <definedName name="AvgFactors">[20]Factors!$B$3:$P$99</definedName>
    <definedName name="b" localSheetId="11" hidden="1">{#N/A,#N/A,FALSE,"Coversheet";#N/A,#N/A,FALSE,"QA"}</definedName>
    <definedName name="b" localSheetId="4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BACK1" localSheetId="0">#REF!</definedName>
    <definedName name="BACK1" localSheetId="2">#REF!</definedName>
    <definedName name="BACK1">#REF!</definedName>
    <definedName name="BACK2" localSheetId="0">#REF!</definedName>
    <definedName name="BACK2" localSheetId="2">#REF!</definedName>
    <definedName name="BACK2">#REF!</definedName>
    <definedName name="BACK3" localSheetId="0">#REF!</definedName>
    <definedName name="BACK3" localSheetId="2">#REF!</definedName>
    <definedName name="BACK3">#REF!</definedName>
    <definedName name="BACKUP1" localSheetId="0">#REF!</definedName>
    <definedName name="BACKUP1" localSheetId="2">#REF!</definedName>
    <definedName name="BACKUP1">#REF!</definedName>
    <definedName name="Beg_Unb_KWHs">[26]LeadSht!$L$10</definedName>
    <definedName name="BEm" localSheetId="11" hidden="1">#REF!</definedName>
    <definedName name="BEm" localSheetId="0" hidden="1">#REF!</definedName>
    <definedName name="BEm" localSheetId="2" hidden="1">#REF!</definedName>
    <definedName name="BEm" hidden="1">#REF!</definedName>
    <definedName name="BEx0017DGUEDPCFJUPUZOOLJCS2B" localSheetId="11" hidden="1">#REF!</definedName>
    <definedName name="BEx0017DGUEDPCFJUPUZOOLJCS2B" localSheetId="0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11" hidden="1">#REF!</definedName>
    <definedName name="BEx001CNWHJ5RULCSFM36ZCGJ1UH" localSheetId="0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0" hidden="1">#REF!</definedName>
    <definedName name="BEx3LANPY1HT49TAH98H4B9RC1D4" localSheetId="2" hidden="1">#REF!</definedName>
    <definedName name="BEx3LANPY1HT49TAH98H4B9RC1D4" hidden="1">#REF!</definedName>
    <definedName name="BEx3LM1PR4Y7KINKMTMKR984GX8Q" localSheetId="0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11" hidden="1">[27]ZZCOOM_M03_Q005!#REF!</definedName>
    <definedName name="BEx3O85IKWARA6NCJOLRBRJFMEWW" localSheetId="0" hidden="1">[27]ZZCOOM_M03_Q005!#REF!</definedName>
    <definedName name="BEx3O85IKWARA6NCJOLRBRJFMEWW" localSheetId="2" hidden="1">[27]ZZCOOM_M03_Q005!#REF!</definedName>
    <definedName name="BEx3O85IKWARA6NCJOLRBRJFMEWW" hidden="1">[27]ZZCOOM_M03_Q005!#REF!</definedName>
    <definedName name="BEx3OJZSCGFRW7SVGBFI0X9DNVMM" localSheetId="11" hidden="1">#REF!</definedName>
    <definedName name="BEx3OJZSCGFRW7SVGBFI0X9DNVMM" localSheetId="0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11" hidden="1">#REF!</definedName>
    <definedName name="BEx3ORSBUXAF21MKEY90YJV9AY9A" localSheetId="0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11" hidden="1">#REF!</definedName>
    <definedName name="BEx3OUS0N576NJN078Y1BWUWQK6B" localSheetId="0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0" hidden="1">#REF!</definedName>
    <definedName name="BEx3UNISOEXF3OFHT2BUA6P9RBIJ" localSheetId="2" hidden="1">#REF!</definedName>
    <definedName name="BEx3UNISOEXF3OFHT2BUA6P9RBIJ" hidden="1">#REF!</definedName>
    <definedName name="BEx3UYM19VIXLA0EU7LB9NHA77PB" localSheetId="0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11" hidden="1">[27]ZZCOOM_M03_Q005!#REF!</definedName>
    <definedName name="BEx5MLQZM68YQSKARVWTTPINFQ2C" localSheetId="0" hidden="1">[27]ZZCOOM_M03_Q005!#REF!</definedName>
    <definedName name="BEx5MLQZM68YQSKARVWTTPINFQ2C" localSheetId="2" hidden="1">[27]ZZCOOM_M03_Q005!#REF!</definedName>
    <definedName name="BEx5MLQZM68YQSKARVWTTPINFQ2C" hidden="1">[27]ZZCOOM_M03_Q005!#REF!</definedName>
    <definedName name="BEx5MMCJMU7FOOWUCW9EA13B7V5F" localSheetId="11" hidden="1">#REF!</definedName>
    <definedName name="BEx5MMCJMU7FOOWUCW9EA13B7V5F" localSheetId="0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11" hidden="1">#REF!</definedName>
    <definedName name="BEx5MVXTKNBXHNWTL43C670E4KXC" localSheetId="0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11" hidden="1">#REF!</definedName>
    <definedName name="BEx5MWZGZ3VRB5418C2RNF9H17BQ" localSheetId="0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0" hidden="1">#REF!</definedName>
    <definedName name="BEx9EL27NGDBCTVPW97K42QANS5K" localSheetId="2" hidden="1">#REF!</definedName>
    <definedName name="BEx9EL27NGDBCTVPW97K42QANS5K" hidden="1">#REF!</definedName>
    <definedName name="BEx9EMK6HAJJMVYZTN5AUIV7O1E6" localSheetId="0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0" hidden="1">#REF!</definedName>
    <definedName name="BExBCKKJFFT2RP50WNPKBT7X8PJ3" localSheetId="2" hidden="1">#REF!</definedName>
    <definedName name="BExBCKKJFFT2RP50WNPKBT7X8PJ3" hidden="1">#REF!</definedName>
    <definedName name="BExBCKKJTIRKC1RZJRTK65HHLX4W" localSheetId="0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0" hidden="1">#REF!</definedName>
    <definedName name="BExENU8ISP26W97JG63CN1XT9KB4" localSheetId="2" hidden="1">#REF!</definedName>
    <definedName name="BExENU8ISP26W97JG63CN1XT9KB4" hidden="1">#REF!</definedName>
    <definedName name="BExEO14OTKLVDBTNB2ONGZ4YB20H" localSheetId="0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11" hidden="1">[27]ZZCOOM_M03_Q005!#REF!</definedName>
    <definedName name="BExERWCEBKQRYWRQLYJ4UCMMKTHG" localSheetId="0" hidden="1">[27]ZZCOOM_M03_Q005!#REF!</definedName>
    <definedName name="BExERWCEBKQRYWRQLYJ4UCMMKTHG" localSheetId="2" hidden="1">[27]ZZCOOM_M03_Q005!#REF!</definedName>
    <definedName name="BExERWCEBKQRYWRQLYJ4UCMMKTHG" hidden="1">[27]ZZCOOM_M03_Q005!#REF!</definedName>
    <definedName name="BExERXE1QW042A2T25RI4DVUU59O" localSheetId="11" hidden="1">#REF!</definedName>
    <definedName name="BExERXE1QW042A2T25RI4DVUU59O" localSheetId="0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11" hidden="1">#REF!</definedName>
    <definedName name="BExES44RHHDL3V7FLV6M20834WF1" localSheetId="0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11" hidden="1">#REF!</definedName>
    <definedName name="BExES4A7VE2X3RYYTVRLKZD4I7WU" localSheetId="0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0" hidden="1">#REF!</definedName>
    <definedName name="BExEUOAHB0OT3BACAHNZ3B905C0P" localSheetId="2" hidden="1">#REF!</definedName>
    <definedName name="BExEUOAHB0OT3BACAHNZ3B905C0P" hidden="1">#REF!</definedName>
    <definedName name="BExEV2TP7NA3ZR6RJGH5ER370OUM" localSheetId="0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0" hidden="1">#REF!</definedName>
    <definedName name="BExIPVL5VEVK9Q7AYB7EC2VZWBEZ" localSheetId="2" hidden="1">#REF!</definedName>
    <definedName name="BExIPVL5VEVK9Q7AYB7EC2VZWBEZ" hidden="1">#REF!</definedName>
    <definedName name="BExIQ1VS9A2FHVD9TUHKG9K8EVVP" localSheetId="0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0" hidden="1">#REF!</definedName>
    <definedName name="BExKGQ3T3TWGZUSNVWJE1XWXHGRQ" localSheetId="2" hidden="1">#REF!</definedName>
    <definedName name="BExKGQ3T3TWGZUSNVWJE1XWXHGRQ" hidden="1">#REF!</definedName>
    <definedName name="BExKGV77YH9YXIQTRKK2331QGYKF" localSheetId="0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0" hidden="1">#REF!</definedName>
    <definedName name="BExKPIL5ZWOXQAENH3VP3ZHA2N7N" localSheetId="2" hidden="1">#REF!</definedName>
    <definedName name="BExKPIL5ZWOXQAENH3VP3ZHA2N7N" hidden="1">#REF!</definedName>
    <definedName name="BExKPJHKPVROP9QX9BMBZMU2HEZ1" localSheetId="0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11" hidden="1">[27]ZZCOOM_M03_Q005!#REF!</definedName>
    <definedName name="BExMBYPQDG9AYDQ5E8IECVFREPO6" localSheetId="0" hidden="1">[27]ZZCOOM_M03_Q005!#REF!</definedName>
    <definedName name="BExMBYPQDG9AYDQ5E8IECVFREPO6" localSheetId="2" hidden="1">[27]ZZCOOM_M03_Q005!#REF!</definedName>
    <definedName name="BExMBYPQDG9AYDQ5E8IECVFREPO6" hidden="1">[27]ZZCOOM_M03_Q005!#REF!</definedName>
    <definedName name="BExMC7PESEESXVMDCGGIP5LPMUGY" localSheetId="11" hidden="1">#REF!</definedName>
    <definedName name="BExMC7PESEESXVMDCGGIP5LPMUGY" localSheetId="0" hidden="1">#REF!</definedName>
    <definedName name="BExMC7PESEESXVMDCGGIP5LPMUGY" localSheetId="2" hidden="1">#REF!</definedName>
    <definedName name="BExMC7PESEESXVMDCGGIP5LPMUGY" hidden="1">#REF!</definedName>
    <definedName name="BExMC8AZUTX8LG89K2JJR7ZG62XX" localSheetId="11" hidden="1">#REF!</definedName>
    <definedName name="BExMC8AZUTX8LG89K2JJR7ZG62XX" localSheetId="0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11" hidden="1">#REF!</definedName>
    <definedName name="BExMCA96YR10V72G2R0SCIKPZLIZ" localSheetId="0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0" hidden="1">#REF!</definedName>
    <definedName name="BExMKPEDT6IOYLLC3KJKRZOETC3Y" localSheetId="2" hidden="1">#REF!</definedName>
    <definedName name="BExMKPEDT6IOYLLC3KJKRZOETC3Y" hidden="1">#REF!</definedName>
    <definedName name="BExMKTW7R5SOV4PHAFGHU3W73DYE" localSheetId="0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11" hidden="1">[27]ZZCOOM_M03_Q005!#REF!</definedName>
    <definedName name="BExQ9ZLYHWABXAA9NJDW8ZS0UQ9P" localSheetId="0" hidden="1">[27]ZZCOOM_M03_Q005!#REF!</definedName>
    <definedName name="BExQ9ZLYHWABXAA9NJDW8ZS0UQ9P" localSheetId="2" hidden="1">[27]ZZCOOM_M03_Q005!#REF!</definedName>
    <definedName name="BExQ9ZLYHWABXAA9NJDW8ZS0UQ9P" hidden="1">[27]ZZCOOM_M03_Q005!#REF!</definedName>
    <definedName name="BExQ9ZWQ19KSRZNZNPY6ZNWEST1J" localSheetId="11" hidden="1">#REF!</definedName>
    <definedName name="BExQ9ZWQ19KSRZNZNPY6ZNWEST1J" localSheetId="0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11" hidden="1">#REF!</definedName>
    <definedName name="BExQA324HSCK40ENJUT9CS9EC71B" localSheetId="0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11" hidden="1">#REF!</definedName>
    <definedName name="BExQA55GY0STSNBWQCWN8E31ZXCS" localSheetId="0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0" hidden="1">#REF!</definedName>
    <definedName name="BExQG9A8OZ31BDN5QEGQGWG59A43" localSheetId="2" hidden="1">#REF!</definedName>
    <definedName name="BExQG9A8OZ31BDN5QEGQGWG59A43" hidden="1">#REF!</definedName>
    <definedName name="BExQGGBQ2CMSPV4NV4RA7NMBQER6" localSheetId="0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0" hidden="1">#REF!</definedName>
    <definedName name="BExQL4GJ3LZJL6JDEHT7UDXW90TV" localSheetId="2" hidden="1">#REF!</definedName>
    <definedName name="BExQL4GJ3LZJL6JDEHT7UDXW90TV" hidden="1">#REF!</definedName>
    <definedName name="BExQLE1TOW3A287TQB0AVWENT8O1" localSheetId="0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11" hidden="1">[27]ZZCOOM_M03_Q005!#REF!</definedName>
    <definedName name="BExTUY9WNSJ91GV8CP0SKJTEIV82" localSheetId="0" hidden="1">[27]ZZCOOM_M03_Q005!#REF!</definedName>
    <definedName name="BExTUY9WNSJ91GV8CP0SKJTEIV82" localSheetId="2" hidden="1">[27]ZZCOOM_M03_Q005!#REF!</definedName>
    <definedName name="BExTUY9WNSJ91GV8CP0SKJTEIV82" hidden="1">[27]ZZCOOM_M03_Q005!#REF!</definedName>
    <definedName name="BExTV67VIM8PV6KO253M4DUBJQLC" localSheetId="11" hidden="1">#REF!</definedName>
    <definedName name="BExTV67VIM8PV6KO253M4DUBJQLC" localSheetId="0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11" hidden="1">#REF!</definedName>
    <definedName name="BExTVELZCF2YA5L6F23BYZZR6WHF" localSheetId="0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11" hidden="1">#REF!</definedName>
    <definedName name="BExTVGPIQZ99YFXUC8OONUX5BD42" localSheetId="0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0" hidden="1">#REF!</definedName>
    <definedName name="BExUAPR6Y32097JKJCTGC4C6EGE9" localSheetId="2" hidden="1">#REF!</definedName>
    <definedName name="BExUAPR6Y32097JKJCTGC4C6EGE9" hidden="1">#REF!</definedName>
    <definedName name="BExUARUP0MX710TNZSAA01HUEAVC" localSheetId="0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0" hidden="1">#REF!</definedName>
    <definedName name="BExW1VNZHNB5P9V6232N0DQCE0WE" localSheetId="2" hidden="1">#REF!</definedName>
    <definedName name="BExW1VNZHNB5P9V6232N0DQCE0WE" hidden="1">#REF!</definedName>
    <definedName name="BExW1WK6J1TDP29S3QDPTYZJBLIW" localSheetId="0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0" hidden="1">#REF!</definedName>
    <definedName name="BExXO4QVV7YZ6L5A7WZEMIA5AZOV" localSheetId="2" hidden="1">#REF!</definedName>
    <definedName name="BExXO4QVV7YZ6L5A7WZEMIA5AZOV" hidden="1">#REF!</definedName>
    <definedName name="BExXOBHOP0WGFHI2Y9AO4L440UVQ" localSheetId="0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0" hidden="1">#REF!</definedName>
    <definedName name="BExZSYRA4NR7K6RLC3I81QSG5SQR" localSheetId="2" hidden="1">#REF!</definedName>
    <definedName name="BExZSYRA4NR7K6RLC3I81QSG5SQR" hidden="1">#REF!</definedName>
    <definedName name="BExZT6JSZ8CBS0SB3T07N3LMAX7M" localSheetId="0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2" hidden="1">#REF!</definedName>
    <definedName name="BExZZZEMIIFKMLLV4DJKX5TB9R5V" hidden="1">#REF!</definedName>
    <definedName name="BOOK_LIFE">'[28]Lvl FCR'!$G$10</definedName>
    <definedName name="BOOKADJ" localSheetId="0">#REF!</definedName>
    <definedName name="BOOKADJ" localSheetId="2">#REF!</definedName>
    <definedName name="BOOKADJ">#REF!</definedName>
    <definedName name="BPAX">[13]EXTERNAL!$A$121:$IV$123</definedName>
    <definedName name="Bum" localSheetId="11" hidden="1">#REF!</definedName>
    <definedName name="Bum" localSheetId="0" hidden="1">#REF!</definedName>
    <definedName name="Bum" localSheetId="2" hidden="1">#REF!</definedName>
    <definedName name="Bum" hidden="1">#REF!</definedName>
    <definedName name="Button_1">"TradeSummary_Ken_Finicle_List"</definedName>
    <definedName name="CAE.T">[13]INTERNAL!$A$34:$IV$36</definedName>
    <definedName name="CAES1.T">[13]INTERNAL!$A$37:$IV$39</definedName>
    <definedName name="cap">[29]Readings!$B$2</definedName>
    <definedName name="Capital_Inflation">'[23]Assumptions (Input)'!$B$11</definedName>
    <definedName name="CASE" localSheetId="1">[30]INPUTS!$C$8</definedName>
    <definedName name="CASE">[31]INPUTS!$C$11</definedName>
    <definedName name="Case_Name">'[32]KJB-6,13 Cmn Adj'!$B$8</definedName>
    <definedName name="CaseDescription">'[21]Dispatch Cases'!$C$11</definedName>
    <definedName name="CBWorkbookPriority">-2060790043</definedName>
    <definedName name="CCGT_HeatRate">[21]Assumptions!$H$23</definedName>
    <definedName name="CCGTPrice">[21]Assumptions!$H$22</definedName>
    <definedName name="Check" localSheetId="0">#REF!</definedName>
    <definedName name="Check" localSheetId="2">#REF!</definedName>
    <definedName name="Check">#REF!</definedName>
    <definedName name="Check_Limit">'[24]General Inputs'!$D$31</definedName>
    <definedName name="CL_RT2">'[33]Transp Data'!$A$6:$C$81</definedName>
    <definedName name="Class_Factor_Names">'[24]Input-Allocators'!$B$19:$B$24</definedName>
    <definedName name="Classification">'[17]Func Study'!$AB$251</definedName>
    <definedName name="Close_Date">'[23]Capital Projects(Input)'!$D$7:$D$53</definedName>
    <definedName name="COMADJ" localSheetId="0">#REF!</definedName>
    <definedName name="COMADJ" localSheetId="2">#REF!</definedName>
    <definedName name="COMADJ">#REF!</definedName>
    <definedName name="COMP" localSheetId="0">#REF!</definedName>
    <definedName name="COMP" localSheetId="2">#REF!</definedName>
    <definedName name="COMP">#REF!</definedName>
    <definedName name="COMPACTUAL" localSheetId="0">#REF!</definedName>
    <definedName name="COMPACTUAL" localSheetId="2">#REF!</definedName>
    <definedName name="COMPACTUAL">#REF!</definedName>
    <definedName name="COMPT" localSheetId="0">#REF!</definedName>
    <definedName name="COMPT" localSheetId="2">#REF!</definedName>
    <definedName name="COMPT">#REF!</definedName>
    <definedName name="COMPWEATHER" localSheetId="0">#REF!</definedName>
    <definedName name="COMPWEATHER" localSheetId="2">#REF!</definedName>
    <definedName name="COMPWEATHER">#REF!</definedName>
    <definedName name="Construction_OH">'[34]Virtual 49 Back-Up'!$E$54</definedName>
    <definedName name="ConversionFactor">[21]Assumptions!$I$65</definedName>
    <definedName name="COSFacVal">[17]Inputs!$R$5</definedName>
    <definedName name="CurrQtr">'[35]Inc Stmt'!$AJ$222</definedName>
    <definedName name="CUS">[13]CLASSIFIERS!$A$6:$IV$6</definedName>
    <definedName name="CUST_1">[13]EXTERNAL!$A$22:$IV$24</definedName>
    <definedName name="CUST_4">[13]EXTERNAL!$A$25:$IV$27</definedName>
    <definedName name="CUST_5">[13]EXTERNAL!$A$28:$IV$30</definedName>
    <definedName name="CUST_6">[13]EXTERNAL!$A$31:$IV$33</definedName>
    <definedName name="D108.05.T">[13]INTERNAL!$A$22:$IV$24</definedName>
    <definedName name="D108.10.T">[13]INTERNAL!$A$25:$IV$27</definedName>
    <definedName name="D361.T">[13]INTERNAL!$A$4:$IV$6</definedName>
    <definedName name="D362.T">[13]INTERNAL!$A$7:$IV$9</definedName>
    <definedName name="D364.T">[13]INTERNAL!$A$10:$IV$12</definedName>
    <definedName name="D366.T">[13]INTERNAL!$A$13:$IV$15</definedName>
    <definedName name="D368.T">[13]INTERNAL!$A$16:$IV$18</definedName>
    <definedName name="D370.T">[13]INTERNAL!$A$19:$IV$21</definedName>
    <definedName name="D372.T">[13]INTERNAL!$A$28:$IV$30</definedName>
    <definedName name="Data">'[36]Mix Variance'!$B$1:$N$31</definedName>
    <definedName name="Data.Avg">'[35]Avg Amts'!$A$5:$BP$34</definedName>
    <definedName name="Data.Qtrs.Avg">'[35]Avg Amts'!$A$5:$IV$5</definedName>
    <definedName name="data1">'[37]Mix Variance'!$O$5:$T$25</definedName>
    <definedName name="_xlnm.Database" localSheetId="0">[38]Invoice!#REF!</definedName>
    <definedName name="_xlnm.Database" localSheetId="2">[38]Invoice!#REF!</definedName>
    <definedName name="_xlnm.Database">[38]Invoice!#REF!</definedName>
    <definedName name="DATE" localSheetId="0">[39]Jan!#REF!</definedName>
    <definedName name="DATE" localSheetId="2">[39]Jan!#REF!</definedName>
    <definedName name="DATE">[39]Jan!#REF!</definedName>
    <definedName name="DebtPerc">[21]Assumptions!$I$58</definedName>
    <definedName name="DEC" localSheetId="0">[25]Backup!#REF!</definedName>
    <definedName name="DEC" localSheetId="2">[25]Backup!#REF!</definedName>
    <definedName name="DEC">[25]Backup!#REF!</definedName>
    <definedName name="Dec03AMA">[6]BS!$AJ$7:$AJ$3582</definedName>
    <definedName name="Dec04AMA">[7]BS!$AO$7:$AO$3582</definedName>
    <definedName name="DECT" localSheetId="0">#REF!</definedName>
    <definedName name="DECT" localSheetId="2">#REF!</definedName>
    <definedName name="DECT">#REF!</definedName>
    <definedName name="DELETE01" localSheetId="11" hidden="1">{#N/A,#N/A,FALSE,"Coversheet";#N/A,#N/A,FALSE,"QA"}</definedName>
    <definedName name="DELETE01" localSheetId="4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11" hidden="1">{#N/A,#N/A,FALSE,"Schedule F";#N/A,#N/A,FALSE,"Schedule G"}</definedName>
    <definedName name="DELETE02" localSheetId="4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11" hidden="1">{#N/A,#N/A,FALSE,"Coversheet";#N/A,#N/A,FALSE,"QA"}</definedName>
    <definedName name="Delete06" localSheetId="4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11" hidden="1">{#N/A,#N/A,FALSE,"Coversheet";#N/A,#N/A,FALSE,"QA"}</definedName>
    <definedName name="Delete09" localSheetId="4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11" hidden="1">{#N/A,#N/A,FALSE,"Coversheet";#N/A,#N/A,FALSE,"QA"}</definedName>
    <definedName name="Delete1" localSheetId="4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11" hidden="1">{#N/A,#N/A,FALSE,"Schedule F";#N/A,#N/A,FALSE,"Schedule G"}</definedName>
    <definedName name="Delete10" localSheetId="4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11" hidden="1">{#N/A,#N/A,FALSE,"Coversheet";#N/A,#N/A,FALSE,"QA"}</definedName>
    <definedName name="Delete21" localSheetId="4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EM">[13]CLASSIFIERS!$A$4:$IV$4</definedName>
    <definedName name="DEM_1">[13]EXTERNAL!$A$7:$IV$9</definedName>
    <definedName name="DEM_12CP">[13]EXTERNAL!$A$118:$IV$120</definedName>
    <definedName name="DEM_12NCP_P">[13]EXTERNAL!$A$187:$IV$189</definedName>
    <definedName name="DEM_12NCP_S">[13]EXTERNAL!$A$190:$IV$192</definedName>
    <definedName name="DEM_12NCP1">[13]EXTERNAL!$A$139:$IV$141</definedName>
    <definedName name="DEM_12NCP2">[13]EXTERNAL!$A$130:$IV$132</definedName>
    <definedName name="DEM_1A">[13]EXTERNAL!$A$115:$IV$117</definedName>
    <definedName name="DEM_2A">[13]EXTERNAL!$A$148:$IV$150</definedName>
    <definedName name="DEM_3A">[13]EXTERNAL!$A$199:$IV$201</definedName>
    <definedName name="DEM_3B">[13]EXTERNAL!$A$196:$IV$198</definedName>
    <definedName name="Demand">[16]Inputs!$D$8</definedName>
    <definedName name="Demand2">[40]Inputs!$D$11</definedName>
    <definedName name="DES1.T">[13]INTERNAL!$A$40:$IV$42</definedName>
    <definedName name="DES2.T">[13]INTERNAL!$A$43:$IV$45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[21]Assumptions!$L$23</definedName>
    <definedName name="DFIT" localSheetId="11" hidden="1">{#N/A,#N/A,FALSE,"Coversheet";#N/A,#N/A,FALSE,"QA"}</definedName>
    <definedName name="DFIT" localSheetId="4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DIR_40">[13]EXTERNAL!$A$193:$IV$195</definedName>
    <definedName name="DIR_449">[13]EXTERNAL!$A$127:$IV$129</definedName>
    <definedName name="DIR_449_ENERGY">[13]EXTERNAL!$A$160:$IV$162</definedName>
    <definedName name="DIR_449_HV">[13]EXTERNAL!$A$157:$IV$159</definedName>
    <definedName name="DIR_449_OATT">[13]EXTERNAL!$A$166:$IV$168</definedName>
    <definedName name="DIR_RESALE">[13]EXTERNAL!$A$124:$IV$126</definedName>
    <definedName name="DIR_RESALE_LARGE">[13]EXTERNAL!$A$154:$IV$156</definedName>
    <definedName name="DIR_RESALE_SMALL">[13]EXTERNAL!$A$151:$IV$153</definedName>
    <definedName name="DIR108.09">[13]EXTERNAL!$A$106:$IV$108</definedName>
    <definedName name="DIR235.00">[13]EXTERNAL!$A$85:$IV$87</definedName>
    <definedName name="DIR360.01">[13]EXTERNAL!$A$37:$IV$39</definedName>
    <definedName name="DIR361.01">[13]EXTERNAL!$A$40:$IV$42</definedName>
    <definedName name="DIR362.01">[13]EXTERNAL!$A$43:$IV$45</definedName>
    <definedName name="DIR364.01">[13]EXTERNAL!$A$46:$IV$48</definedName>
    <definedName name="DIR366.01">[13]EXTERNAL!$A$49:$IV$51</definedName>
    <definedName name="DIR368.03">[13]EXTERNAL!$A$55:$IV$57</definedName>
    <definedName name="DIR368.03C">[13]EXTERNAL!$A$52:$IV$54</definedName>
    <definedName name="DIR372.00">[13]EXTERNAL!$A$58:$IV$60</definedName>
    <definedName name="DIR373.00">[13]EXTERNAL!$A$61:$IV$63</definedName>
    <definedName name="DIR450.01">[13]EXTERNAL!$A$10:$IV$12</definedName>
    <definedName name="DIR450.02">[13]EXTERNAL!$A$184:$IV$186</definedName>
    <definedName name="DIR451.02">[13]EXTERNAL!$A$70:$IV$72</definedName>
    <definedName name="DIR451.03">[13]EXTERNAL!$A$136:$IV$138</definedName>
    <definedName name="DIR451.05">[13]EXTERNAL!$A$76:$IV$78</definedName>
    <definedName name="DIR451.06">[13]EXTERNAL!$A$109:$IV$111</definedName>
    <definedName name="DIR451.07">[13]EXTERNAL!$A$133:$IV$135</definedName>
    <definedName name="DIR454.04">[13]EXTERNAL!$A$73:$IV$75</definedName>
    <definedName name="DIR556.01">[13]EXTERNAL!$A$175:$IV$177</definedName>
    <definedName name="DIR565.02">[13]EXTERNAL!$A$178:$IV$180</definedName>
    <definedName name="DIR908.01">[13]EXTERNAL!$A$172:$IV$174</definedName>
    <definedName name="DIR920.01">[13]EXTERNAL!$A$181:$IV$183</definedName>
    <definedName name="Dis">'[17]Func Study'!$AB$250</definedName>
    <definedName name="DisFac">'[17]Func Dist Factor Table'!$A$11:$G$25</definedName>
    <definedName name="Dist_factor" localSheetId="0">#REF!</definedName>
    <definedName name="Dist_factor" localSheetId="2">#REF!</definedName>
    <definedName name="Dist_factor">#REF!</definedName>
    <definedName name="DistPeakMethod" localSheetId="0">[19]Inputs!#REF!</definedName>
    <definedName name="DistPeakMethod" localSheetId="2">[19]Inputs!#REF!</definedName>
    <definedName name="DistPeakMethod">[19]Inputs!#REF!</definedName>
    <definedName name="DocketNumber">'[41]JHS-19'!$AR$2</definedName>
    <definedName name="DP.T">[13]INTERNAL!$A$46:$IV$48</definedName>
    <definedName name="DUDE" localSheetId="11" hidden="1">#REF!</definedName>
    <definedName name="DUDE" localSheetId="0" hidden="1">#REF!</definedName>
    <definedName name="DUDE" localSheetId="2" hidden="1">#REF!</definedName>
    <definedName name="DUDE" hidden="1">#REF!</definedName>
    <definedName name="EBFIT.T">[13]INTERNAL!$A$88:$IV$90</definedName>
    <definedName name="ee" localSheetId="11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">[13]INPUTS!$F$31</definedName>
    <definedName name="EffTax">[31]INPUTS!$F$36</definedName>
    <definedName name="Electric_Prices">'[42]Monthly Price Summary'!$B$4:$E$27</definedName>
    <definedName name="ElecWC_LineItems">[14]BS!$AO$7:$AO$3420</definedName>
    <definedName name="ElRBLine">[14]BS!$AP$7:$AP$3141</definedName>
    <definedName name="EndDate">[21]Assumptions!$C$11</definedName>
    <definedName name="energy">[29]Readings!$B$3</definedName>
    <definedName name="ENERGY_1">[13]EXTERNAL!$A$4:$IV$6</definedName>
    <definedName name="ENERGY_2">[13]EXTERNAL!$A$145:$IV$147</definedName>
    <definedName name="Engy">[16]Inputs!$D$9</definedName>
    <definedName name="Engy2">[40]Inputs!$D$12</definedName>
    <definedName name="EPIS.T">[13]INTERNAL!$A$49:$IV$51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rror" localSheetId="11" hidden="1">{#N/A,#N/A,FALSE,"Coversheet";#N/A,#N/A,FALSE,"QA"}</definedName>
    <definedName name="error" localSheetId="4" hidden="1">{#N/A,#N/A,FALSE,"Coversheet";#N/A,#N/A,FALSE,"QA"}</definedName>
    <definedName name="error" localSheetId="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11" hidden="1">{#N/A,#N/A,FALSE,"Summ";#N/A,#N/A,FALSE,"General"}</definedName>
    <definedName name="Estimate" localSheetId="4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11" hidden="1">{#N/A,#N/A,FALSE,"Summ";#N/A,#N/A,FALSE,"General"}</definedName>
    <definedName name="ex" localSheetId="4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11" hidden="1">#REF!</definedName>
    <definedName name="F" localSheetId="0" hidden="1">#REF!</definedName>
    <definedName name="F" localSheetId="2" hidden="1">#REF!</definedName>
    <definedName name="F" hidden="1">#REF!</definedName>
    <definedName name="f101top" localSheetId="0">#REF!</definedName>
    <definedName name="f101top" localSheetId="2">#REF!</definedName>
    <definedName name="f101top">#REF!</definedName>
    <definedName name="f104top" localSheetId="0">#REF!</definedName>
    <definedName name="f104top" localSheetId="2">#REF!</definedName>
    <definedName name="f104top">#REF!</definedName>
    <definedName name="f138top" localSheetId="0">#REF!</definedName>
    <definedName name="f138top" localSheetId="2">#REF!</definedName>
    <definedName name="f138top">#REF!</definedName>
    <definedName name="f140top" localSheetId="0">#REF!</definedName>
    <definedName name="f140top" localSheetId="2">#REF!</definedName>
    <definedName name="f140top">#REF!</definedName>
    <definedName name="Factorck">'[17]COS Factor Table'!$O$15:$O$113</definedName>
    <definedName name="FactorType">[20]Variables!$AK$2:$AL$12</definedName>
    <definedName name="FACTP" localSheetId="0">#REF!</definedName>
    <definedName name="FACTP" localSheetId="2">#REF!</definedName>
    <definedName name="FACTP">#REF!</definedName>
    <definedName name="FactSum">'[17]COS Factor Table'!$A$14:$O$113</definedName>
    <definedName name="FCR">'[34]Virtual 49 Back-Up'!$B$20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1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[25]Backup!#REF!</definedName>
    <definedName name="FEB" localSheetId="2">[25]Backup!#REF!</definedName>
    <definedName name="FEB">[25]Backup!#REF!</definedName>
    <definedName name="Feb04AMA">[7]BS!$AE$7:$AE$3582</definedName>
    <definedName name="FEBT" localSheetId="0">#REF!</definedName>
    <definedName name="FEBT" localSheetId="2">#REF!</definedName>
    <definedName name="FEBT">#REF!</definedName>
    <definedName name="Fed_Cap_Tax">[43]Inputs!$E$112</definedName>
    <definedName name="FedTaxRate">[21]Assumptions!$C$33</definedName>
    <definedName name="ffff" localSheetId="11" hidden="1">{#N/A,#N/A,FALSE,"Coversheet";#N/A,#N/A,FALSE,"QA"}</definedName>
    <definedName name="ffff" localSheetId="4" hidden="1">{#N/A,#N/A,FALSE,"Coversheet";#N/A,#N/A,FALSE,"QA"}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11" hidden="1">{#N/A,#N/A,FALSE,"Coversheet";#N/A,#N/A,FALSE,"QA"}</definedName>
    <definedName name="fffgf" localSheetId="4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FIT">'[44]ROR &amp; CONV FACTOR'!$J$20</definedName>
    <definedName name="FIT_Tax_Rate">'[23]Assumptions (Input)'!$B$5</definedName>
    <definedName name="FranchiseTax">[22]Variables!$D$26</definedName>
    <definedName name="FTAX" localSheetId="1">[13]INPUTS!$F$30</definedName>
    <definedName name="FTAX">[31]INPUTS!$F$35</definedName>
    <definedName name="Func">'[17]Func Factor Table'!$A$10:$H$77</definedName>
    <definedName name="Func_Factor_Name">'[24]Input-Allocators'!$B$9:$B$16</definedName>
    <definedName name="Func_Ftrs" localSheetId="0">#REF!</definedName>
    <definedName name="Func_Ftrs" localSheetId="2">#REF!</definedName>
    <definedName name="Func_Ftrs">#REF!</definedName>
    <definedName name="Func_GTD_Percents" localSheetId="0">#REF!</definedName>
    <definedName name="Func_GTD_Percents" localSheetId="2">#REF!</definedName>
    <definedName name="Func_GTD_Percents">#REF!</definedName>
    <definedName name="Func_MC" localSheetId="0">#REF!</definedName>
    <definedName name="Func_MC" localSheetId="2">#REF!</definedName>
    <definedName name="Func_MC">#REF!</definedName>
    <definedName name="Func_Percents" localSheetId="0">#REF!</definedName>
    <definedName name="Func_Percents" localSheetId="2">#REF!</definedName>
    <definedName name="Func_Percents">#REF!</definedName>
    <definedName name="Func_Rev_Req1" localSheetId="0">#REF!</definedName>
    <definedName name="Func_Rev_Req1" localSheetId="2">#REF!</definedName>
    <definedName name="Func_Rev_Req1">#REF!</definedName>
    <definedName name="Func_Rev_Req2" localSheetId="0">#REF!</definedName>
    <definedName name="Func_Rev_Req2" localSheetId="2">#REF!</definedName>
    <definedName name="Func_Rev_Req2">#REF!</definedName>
    <definedName name="Func_Revenue" localSheetId="0">#REF!</definedName>
    <definedName name="Func_Revenue" localSheetId="2">#REF!</definedName>
    <definedName name="Func_Revenue">#REF!</definedName>
    <definedName name="Function">'[17]Func Study'!$AB$250</definedName>
    <definedName name="GasRBLine">[7]BS!$AS$7:$AS$3631</definedName>
    <definedName name="GasWC_LineItem">[7]BS!$AR$7:$AR$3631</definedName>
    <definedName name="GP.T">[13]INTERNAL!$A$52:$IV$54</definedName>
    <definedName name="GREATER10MW" localSheetId="0">#REF!</definedName>
    <definedName name="GREATER10MW" localSheetId="2">#REF!</definedName>
    <definedName name="GREATER10MW">#REF!</definedName>
    <definedName name="GTD_Percents" localSheetId="0">#REF!</definedName>
    <definedName name="GTD_Percents" localSheetId="2">#REF!</definedName>
    <definedName name="GTD_Percents">#REF!</definedName>
    <definedName name="HEIGHT" localSheetId="0">#REF!</definedName>
    <definedName name="HEIGHT" localSheetId="2">#REF!</definedName>
    <definedName name="HEIGHT">#REF!</definedName>
    <definedName name="helllo" localSheetId="11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1" hidden="1">{#N/A,#N/A,FALSE,"Coversheet";#N/A,#N/A,FALSE,"QA"}</definedName>
    <definedName name="HELP" localSheetId="4" hidden="1">{#N/A,#N/A,FALSE,"Coversheet";#N/A,#N/A,FALSE,"QA"}</definedName>
    <definedName name="HELP" localSheetId="0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7">{"'Sheet1'!$A$1:$J$121"}</definedName>
    <definedName name="HTML_Control" localSheetId="4">{"'Sheet1'!$A$1:$J$121"}</definedName>
    <definedName name="HTML_Control" localSheetId="0">{"'Sheet1'!$A$1:$J$121"}</definedName>
    <definedName name="HTML_Control" localSheetId="2">{"'Sheet1'!$A$1:$J$121"}</definedName>
    <definedName name="HTML_Control" localSheetId="1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[13]INTERNAL!$A$85:$IV$87</definedName>
    <definedName name="ID_0303_RVN_data" localSheetId="0">#REF!</definedName>
    <definedName name="ID_0303_RVN_data" localSheetId="2">#REF!</definedName>
    <definedName name="ID_0303_RVN_data">#REF!</definedName>
    <definedName name="IDcontractsRVN" localSheetId="0">#REF!</definedName>
    <definedName name="IDcontractsRVN" localSheetId="2">#REF!</definedName>
    <definedName name="IDcontractsRVN">#REF!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DADJ" localSheetId="0">#REF!</definedName>
    <definedName name="INDADJ" localSheetId="2">#REF!</definedName>
    <definedName name="INDADJ">#REF!</definedName>
    <definedName name="INPUT" localSheetId="0">[45]Summary!#REF!</definedName>
    <definedName name="INPUT" localSheetId="2">[45]Summary!#REF!</definedName>
    <definedName name="INPUT">[45]Summary!#REF!</definedName>
    <definedName name="Instructions" localSheetId="0">#REF!</definedName>
    <definedName name="Instructions" localSheetId="2">#REF!</definedName>
    <definedName name="Instructions">#REF!</definedName>
    <definedName name="Insurance_Rate">'[23]Assumptions (Input)'!$B$9</definedName>
    <definedName name="INTRESEXCH">[46]Sheet1!$AG$1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LATESTK">1000</definedName>
    <definedName name="IQ_LATESTQ">500</definedName>
    <definedName name="IQ_LTMMONTH">120000</definedName>
    <definedName name="IQ_TODAY">0</definedName>
    <definedName name="IQ_YTDMONTH">130000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[25]Backup!#REF!</definedName>
    <definedName name="JAN" localSheetId="2">[25]Backup!#REF!</definedName>
    <definedName name="JAN">[25]Backup!#REF!</definedName>
    <definedName name="Jan04AMA">[7]BS!$AD$7:$AD$3582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 localSheetId="2">#REF!</definedName>
    <definedName name="JANT">#REF!</definedName>
    <definedName name="jfkljsdkljiejgr" localSheetId="11" hidden="1">{#N/A,#N/A,FALSE,"Summ";#N/A,#N/A,FALSE,"General"}</definedName>
    <definedName name="jfkljsdkljiejgr" localSheetId="4" hidden="1">{#N/A,#N/A,FALSE,"Summ";#N/A,#N/A,FALSE,"General"}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jjj">[47]Inputs!$N$18</definedName>
    <definedName name="JUL" localSheetId="0">[25]Backup!#REF!</definedName>
    <definedName name="JUL" localSheetId="2">[25]Backup!#REF!</definedName>
    <definedName name="JUL">[25]Backup!#REF!</definedName>
    <definedName name="Jul04AMA">[7]BS!$AJ$7:$AJ$3582</definedName>
    <definedName name="JULT" localSheetId="0">#REF!</definedName>
    <definedName name="JULT" localSheetId="2">#REF!</definedName>
    <definedName name="JULT">#REF!</definedName>
    <definedName name="JUN" localSheetId="0">[25]Backup!#REF!</definedName>
    <definedName name="JUN" localSheetId="2">[25]Backup!#REF!</definedName>
    <definedName name="JUN">[25]Backup!#REF!</definedName>
    <definedName name="Jun04AMA">[7]BS!$AI$7:$AI$3582</definedName>
    <definedName name="JUNT" localSheetId="0">#REF!</definedName>
    <definedName name="JUNT" localSheetId="2">#REF!</definedName>
    <definedName name="JUNT">#REF!</definedName>
    <definedName name="Jurisdiction">[20]Variables!$AK$15</definedName>
    <definedName name="JurisNumber">[20]Variables!$AL$15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 localSheetId="0">#REF!</definedName>
    <definedName name="k_7.01_Power_Costs" localSheetId="2">#REF!</definedName>
    <definedName name="k_7.01_Power_Costs">#REF!</definedName>
    <definedName name="k_7.01_Power_Costs_p2" localSheetId="0">#REF!</definedName>
    <definedName name="k_7.01_Power_Costs_p2" localSheetId="2">#REF!</definedName>
    <definedName name="k_7.01_Power_Costs_p2">#REF!</definedName>
    <definedName name="k_7.02_Montana" localSheetId="0">#REF!</definedName>
    <definedName name="k_7.02_Montana" localSheetId="2">#REF!</definedName>
    <definedName name="k_7.02_Montana">#REF!</definedName>
    <definedName name="k_7.03_Wild_Hors_Sol" localSheetId="0">#REF!</definedName>
    <definedName name="k_7.03_Wild_Hors_Sol" localSheetId="2">#REF!</definedName>
    <definedName name="k_7.03_Wild_Hors_Sol">#REF!</definedName>
    <definedName name="k_7.04_ASC_815" localSheetId="0">#REF!</definedName>
    <definedName name="k_7.04_ASC_815" localSheetId="2">#REF!</definedName>
    <definedName name="k_7.04_ASC_815">#REF!</definedName>
    <definedName name="k_7.05_storm" localSheetId="0">#REF!</definedName>
    <definedName name="k_7.05_storm" localSheetId="2">#REF!</definedName>
    <definedName name="k_7.05_storm">#REF!</definedName>
    <definedName name="k_7.06_Reg_Asset" localSheetId="0">#REF!</definedName>
    <definedName name="k_7.06_Reg_Asset" localSheetId="2">#REF!</definedName>
    <definedName name="k_7.06_Reg_Asset">#REF!</definedName>
    <definedName name="k_7.07_Glacier_Bat_St" localSheetId="0">#REF!</definedName>
    <definedName name="k_7.07_Glacier_Bat_St" localSheetId="2">#REF!</definedName>
    <definedName name="k_7.07_Glacier_Bat_St">#REF!</definedName>
    <definedName name="k_7.08_EIM" localSheetId="0">#REF!</definedName>
    <definedName name="k_7.08_EIM" localSheetId="2">#REF!</definedName>
    <definedName name="k_7.08_EIM">#REF!</definedName>
    <definedName name="k_7.09_GoldendaleCU" localSheetId="0">#REF!</definedName>
    <definedName name="k_7.09_GoldendaleCU" localSheetId="2">#REF!</definedName>
    <definedName name="k_7.09_GoldendaleCU">#REF!</definedName>
    <definedName name="k_7.10_MintFarm_CU" localSheetId="0">#REF!</definedName>
    <definedName name="k_7.10_MintFarm_CU" localSheetId="2">#REF!</definedName>
    <definedName name="k_7.10_MintFarm_CU">#REF!</definedName>
    <definedName name="k_7.11_White_River" localSheetId="0">#REF!</definedName>
    <definedName name="k_7.11_White_River" localSheetId="2">#REF!</definedName>
    <definedName name="k_7.11_White_River">#REF!</definedName>
    <definedName name="k_7.12_Hydro_Grants" localSheetId="0">#REF!</definedName>
    <definedName name="k_7.12_Hydro_Grants" localSheetId="2">#REF!</definedName>
    <definedName name="k_7.12_Hydro_Grants">#REF!</definedName>
    <definedName name="k_7.13_Productn_Adj" localSheetId="0">#REF!</definedName>
    <definedName name="k_7.13_Productn_Adj" localSheetId="2">#REF!</definedName>
    <definedName name="k_7.13_Productn_Adj">#REF!</definedName>
    <definedName name="k_A_1" localSheetId="0">#REF!</definedName>
    <definedName name="k_A_1" localSheetId="2">#REF!</definedName>
    <definedName name="k_A_1">#REF!</definedName>
    <definedName name="k_Docket_Number">'[32]KJB-12 Sum'!$AS$2</definedName>
    <definedName name="k_FITrate">'[32]KJB-3,11 Def'!$L$20</definedName>
    <definedName name="keep_Docket_Number">'[48]KJB-3 Sum'!$AQ$2</definedName>
    <definedName name="keep_FIT">'[48]KJB-7 Def'!$L$20</definedName>
    <definedName name="keep_KJB_3_Rate_Increase">'[48]KJB-7 Def'!$C$3</definedName>
    <definedName name="keep_KJB_4_Electric_Summary">'[48]KJB-3 Sum'!$AQ$3</definedName>
    <definedName name="keep_KJB_8_Common_Adjs">'[48]KJB-5 Cmn Adj'!$L$3</definedName>
    <definedName name="keep_KJB_9_Electric_Only">'[48]KJB-5 El Adj'!$E$3</definedName>
    <definedName name="keep_TESTYEAR">'[48]KJB-5 Cmn Adj'!$B$7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 localSheetId="2">#REF!</definedName>
    <definedName name="LABORMOD">#REF!</definedName>
    <definedName name="LABORROLL" localSheetId="0">#REF!</definedName>
    <definedName name="LABORROLL" localSheetId="2">#REF!</definedName>
    <definedName name="LABORROLL">#REF!</definedName>
    <definedName name="LATEPAY">[46]Sheet1!$E$3:$E$25</definedName>
    <definedName name="Levy_Rate">'[23]Assumptions (Input)'!$B$6</definedName>
    <definedName name="limcount">1</definedName>
    <definedName name="LINE.T">[13]INTERNAL!$A$55:$IV$57</definedName>
    <definedName name="Line_Ext_Credit" localSheetId="0">#REF!</definedName>
    <definedName name="Line_Ext_Credit" localSheetId="2">#REF!</definedName>
    <definedName name="Line_Ext_Credit">#REF!</definedName>
    <definedName name="LinkCos">'[17]JAM Download'!$K$4</definedName>
    <definedName name="LoadArray">'[49]Load Source Data'!$C$78:$X$89</definedName>
    <definedName name="LOG" localSheetId="0">[25]Backup!#REF!</definedName>
    <definedName name="LOG" localSheetId="2">[25]Backup!#REF!</definedName>
    <definedName name="LOG">[25]Backup!#REF!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1" hidden="1">{#N/A,#N/A,FALSE,"Coversheet";#N/A,#N/A,FALSE,"QA"}</definedName>
    <definedName name="lookup" localSheetId="4" hidden="1">{#N/A,#N/A,FALSE,"Coversheet";#N/A,#N/A,FALSE,"QA"}</definedName>
    <definedName name="lookup" localSheetId="0" hidden="1">{#N/A,#N/A,FALSE,"Coversheet";#N/A,#N/A,FALSE,"QA"}</definedName>
    <definedName name="lookup" hidden="1">{#N/A,#N/A,FALSE,"Coversheet";#N/A,#N/A,FALSE,"QA"}</definedName>
    <definedName name="LOSS" localSheetId="0">[25]Backup!#REF!</definedName>
    <definedName name="LOSS" localSheetId="2">[25]Backup!#REF!</definedName>
    <definedName name="LOSS">[25]Backup!#REF!</definedName>
    <definedName name="M9100F4_v4">[50]M9100F4!$A$1:$V$99</definedName>
    <definedName name="MACRS">'[23]MACRS RATES'!$A$3:$AT$10</definedName>
    <definedName name="MACTIT" localSheetId="0">#REF!</definedName>
    <definedName name="MACTIT" localSheetId="2">#REF!</definedName>
    <definedName name="MACTIT">#REF!</definedName>
    <definedName name="MAR" localSheetId="0">[25]Backup!#REF!</definedName>
    <definedName name="MAR" localSheetId="2">[25]Backup!#REF!</definedName>
    <definedName name="MAR">[25]Backup!#REF!</definedName>
    <definedName name="Mar04AMA">[7]BS!$AF$7:$AF$3582</definedName>
    <definedName name="MART" localSheetId="0">#REF!</definedName>
    <definedName name="MART" localSheetId="2">#REF!</definedName>
    <definedName name="MART">#REF!</definedName>
    <definedName name="MAY" localSheetId="0">[25]Backup!#REF!</definedName>
    <definedName name="MAY" localSheetId="2">[25]Backup!#REF!</definedName>
    <definedName name="MAY">[25]Backup!#REF!</definedName>
    <definedName name="May04AMA">[7]BS!$AH$7:$AH$3582</definedName>
    <definedName name="MAYT" localSheetId="0">#REF!</definedName>
    <definedName name="MAYT" localSheetId="2">#REF!</definedName>
    <definedName name="MAYT">#REF!</definedName>
    <definedName name="MCtoREV" localSheetId="0">#REF!</definedName>
    <definedName name="MCtoREV" localSheetId="2">#REF!</definedName>
    <definedName name="MCtoREV">#REF!</definedName>
    <definedName name="MEN" localSheetId="0">[1]Jan!#REF!</definedName>
    <definedName name="MEN" localSheetId="2">[1]Jan!#REF!</definedName>
    <definedName name="MEN">[1]Jan!#REF!</definedName>
    <definedName name="Menu_Begin" localSheetId="0">#REF!</definedName>
    <definedName name="Menu_Begin" localSheetId="2">#REF!</definedName>
    <definedName name="Menu_Begin">#REF!</definedName>
    <definedName name="Menu_Caption" localSheetId="0">#REF!</definedName>
    <definedName name="Menu_Caption" localSheetId="2">#REF!</definedName>
    <definedName name="Menu_Caption">#REF!</definedName>
    <definedName name="Menu_Large" localSheetId="0">#REF!</definedName>
    <definedName name="Menu_Large" localSheetId="2">#REF!</definedName>
    <definedName name="Menu_Large">#REF!</definedName>
    <definedName name="Menu_Name" localSheetId="0">#REF!</definedName>
    <definedName name="Menu_Name" localSheetId="2">#REF!</definedName>
    <definedName name="Menu_Name">#REF!</definedName>
    <definedName name="Menu_OnAction" localSheetId="0">#REF!</definedName>
    <definedName name="Menu_OnAction" localSheetId="2">#REF!</definedName>
    <definedName name="Menu_OnAction">#REF!</definedName>
    <definedName name="Menu_Parent" localSheetId="0">#REF!</definedName>
    <definedName name="Menu_Parent" localSheetId="2">#REF!</definedName>
    <definedName name="Menu_Parent">#REF!</definedName>
    <definedName name="Menu_Small" localSheetId="0">#REF!</definedName>
    <definedName name="Menu_Small" localSheetId="2">#REF!</definedName>
    <definedName name="Menu_Small">#REF!</definedName>
    <definedName name="MERGER_COST">[46]Sheet1!$AF$3:$AJ$28</definedName>
    <definedName name="Method">[16]Inputs!$C$6</definedName>
    <definedName name="Miller" localSheetId="11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0">[25]Backup!#REF!</definedName>
    <definedName name="MONTH" localSheetId="2">[25]Backup!#REF!</definedName>
    <definedName name="MONTH">[25]Backup!#REF!</definedName>
    <definedName name="monthlist">[51]Table!$R$2:$S$13</definedName>
    <definedName name="monthtotals">'[51]WA SBC'!$D$40:$O$40</definedName>
    <definedName name="MTD_Format">[52]Mthly!$B$11:$D$11,[52]Mthly!$B$31:$D$31</definedName>
    <definedName name="MTKWH" localSheetId="0">#REF!</definedName>
    <definedName name="MTKWH" localSheetId="2">#REF!</definedName>
    <definedName name="MTKWH">#REF!</definedName>
    <definedName name="MTR_YR3">[53]Variables!$E$14</definedName>
    <definedName name="MTREV" localSheetId="0">#REF!</definedName>
    <definedName name="MTREV" localSheetId="2">#REF!</definedName>
    <definedName name="MTREV">#REF!</definedName>
    <definedName name="MULT" localSheetId="0">#REF!</definedName>
    <definedName name="MULT" localSheetId="2">#REF!</definedName>
    <definedName name="MULT">#REF!</definedName>
    <definedName name="NCP_360">[13]EXTERNAL!$A$13:$IV$15</definedName>
    <definedName name="NCP_361">[13]EXTERNAL!$A$16:$IV$18</definedName>
    <definedName name="NCP_362">[13]EXTERNAL!$A$19:$IV$21</definedName>
    <definedName name="Net_to_Gross_Factor">[17]Inputs!$G$8</definedName>
    <definedName name="NetToGross">[22]Variables!$D$23</definedName>
    <definedName name="new" localSheetId="11" hidden="1">{#N/A,#N/A,FALSE,"Summ";#N/A,#N/A,FALSE,"General"}</definedName>
    <definedName name="new" localSheetId="4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 localSheetId="2">[1]Jan!#REF!</definedName>
    <definedName name="NEWMO1">[1]Jan!#REF!</definedName>
    <definedName name="NEWMO2" localSheetId="0">[1]Jan!#REF!</definedName>
    <definedName name="NEWMO2" localSheetId="2">[1]Jan!#REF!</definedName>
    <definedName name="NEWMO2">[1]Jan!#REF!</definedName>
    <definedName name="NEWMONTH" localSheetId="0">[1]Jan!#REF!</definedName>
    <definedName name="NEWMONTH" localSheetId="2">[1]Jan!#REF!</definedName>
    <definedName name="NEWMONTH">[1]Jan!#REF!</definedName>
    <definedName name="NORMALIZE" localSheetId="0">#REF!</definedName>
    <definedName name="NORMALIZE" localSheetId="2">#REF!</definedName>
    <definedName name="NORMALIZE">#REF!</definedName>
    <definedName name="NOV" localSheetId="0">[25]Backup!#REF!</definedName>
    <definedName name="NOV" localSheetId="2">[25]Backup!#REF!</definedName>
    <definedName name="NOV">[25]Backup!#REF!</definedName>
    <definedName name="Nov03AMA">[6]BS!$AI$7:$AI$3582</definedName>
    <definedName name="Nov04AMA">[7]BS!$AN$7:$AN$3582</definedName>
    <definedName name="NOVT" localSheetId="0">#REF!</definedName>
    <definedName name="NOVT" localSheetId="2">#REF!</definedName>
    <definedName name="NOVT">#REF!</definedName>
    <definedName name="NPC">[19]Inputs!$N$18</definedName>
    <definedName name="NRG">[13]CLASSIFIERS!$A$5:$IV$5</definedName>
    <definedName name="NUM" localSheetId="0">#REF!</definedName>
    <definedName name="NUM" localSheetId="2">#REF!</definedName>
    <definedName name="NUM">#REF!</definedName>
    <definedName name="Number_of_Payments" localSheetId="4">MATCH(0.01,End_Bal,-1)+1</definedName>
    <definedName name="Number_of_Payments" localSheetId="0">MATCH(0.01,End_Bal,-1)+1</definedName>
    <definedName name="Number_of_Payments" localSheetId="2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'[23]MiscItems(Input)'!$B$5:$AO$8,'[23]MiscItems(Input)'!$B$13:$AO$13,'[23]MiscItems(Input)'!$B$15:$B$17,'[23]MiscItems(Input)'!$B$17:$AO$17,'[23]MiscItems(Input)'!$B$15:$AO$15</definedName>
    <definedName name="O_M_Rate">'[34]Virtual 49 Back-Up'!$B$21</definedName>
    <definedName name="OBCLEASE">[46]Sheet1!$AF$4:$AI$23</definedName>
    <definedName name="OCT" localSheetId="0">[25]Backup!#REF!</definedName>
    <definedName name="OCT" localSheetId="2">[25]Backup!#REF!</definedName>
    <definedName name="OCT">[25]Backup!#REF!</definedName>
    <definedName name="Oct03AMA">[6]BS!$AH$7:$AH$3582</definedName>
    <definedName name="Oct04AMA">[7]BS!$AM$7:$AM$3582</definedName>
    <definedName name="OCTT" localSheetId="0">#REF!</definedName>
    <definedName name="OCTT" localSheetId="2">#REF!</definedName>
    <definedName name="OCTT">#REF!</definedName>
    <definedName name="OH">[13]CLASSIFIERS!$A$8:$IV$8</definedName>
    <definedName name="OH_NCP">[13]EXTERNAL!$A$79:$IV$81</definedName>
    <definedName name="OH_SVC">[13]EXTERNAL!$A$142:$IV$144</definedName>
    <definedName name="OH_TFMR">[13]EXTERNAL!$A$97:$IV$99</definedName>
    <definedName name="OH_TFMRC">[13]EXTERNAL!$A$94:$IV$96</definedName>
    <definedName name="ONE" localSheetId="0">[1]Jan!#REF!</definedName>
    <definedName name="ONE" localSheetId="2">[1]Jan!#REF!</definedName>
    <definedName name="ONE">[1]Jan!#REF!</definedName>
    <definedName name="option">'[54]Dist Misc'!$F$120</definedName>
    <definedName name="OthRCF">[30]INPUTS!$F$41</definedName>
    <definedName name="OthUnc">[13]INPUTS!$F$36</definedName>
    <definedName name="outlookdata">'[55]pivoted data'!$D$3:$Q$90</definedName>
    <definedName name="p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0">#REF!</definedName>
    <definedName name="Page1" localSheetId="2">#REF!</definedName>
    <definedName name="Page1">#REF!</definedName>
    <definedName name="Page110" localSheetId="0">#REF!</definedName>
    <definedName name="Page110" localSheetId="2">#REF!</definedName>
    <definedName name="Page110">#REF!</definedName>
    <definedName name="Page120" localSheetId="0">#REF!</definedName>
    <definedName name="Page120" localSheetId="2">#REF!</definedName>
    <definedName name="Page120">#REF!</definedName>
    <definedName name="Page2" localSheetId="0">#REF!</definedName>
    <definedName name="Page2" localSheetId="2">#REF!</definedName>
    <definedName name="Page2">#REF!</definedName>
    <definedName name="PAGE3" localSheetId="0">#REF!</definedName>
    <definedName name="PAGE3" localSheetId="2">#REF!</definedName>
    <definedName name="PAGE3">#REF!</definedName>
    <definedName name="Page4" localSheetId="0">#REF!</definedName>
    <definedName name="Page4" localSheetId="2">#REF!</definedName>
    <definedName name="Page4">#REF!</definedName>
    <definedName name="Page5" localSheetId="0">#REF!</definedName>
    <definedName name="Page5" localSheetId="2">#REF!</definedName>
    <definedName name="Page5">#REF!</definedName>
    <definedName name="Page6" localSheetId="0">#REF!</definedName>
    <definedName name="Page6" localSheetId="2">#REF!</definedName>
    <definedName name="Page6">#REF!</definedName>
    <definedName name="Page62" localSheetId="0">[56]TransInvest!#REF!</definedName>
    <definedName name="Page62" localSheetId="2">[56]TransInvest!#REF!</definedName>
    <definedName name="Page62">[56]TransInvest!#REF!</definedName>
    <definedName name="page65" localSheetId="0">#REF!</definedName>
    <definedName name="page65" localSheetId="2">#REF!</definedName>
    <definedName name="page65">#REF!</definedName>
    <definedName name="page66" localSheetId="0">#REF!</definedName>
    <definedName name="page66" localSheetId="2">#REF!</definedName>
    <definedName name="page66">#REF!</definedName>
    <definedName name="page67" localSheetId="0">#REF!</definedName>
    <definedName name="page67" localSheetId="2">#REF!</definedName>
    <definedName name="page67">#REF!</definedName>
    <definedName name="page68" localSheetId="0">#REF!</definedName>
    <definedName name="page68" localSheetId="2">#REF!</definedName>
    <definedName name="page68">#REF!</definedName>
    <definedName name="page69" localSheetId="0">#REF!</definedName>
    <definedName name="page69" localSheetId="2">#REF!</definedName>
    <definedName name="page69">#REF!</definedName>
    <definedName name="Page7" localSheetId="0">#REF!</definedName>
    <definedName name="Page7" localSheetId="2">#REF!</definedName>
    <definedName name="Page7">#REF!</definedName>
    <definedName name="page8" localSheetId="0">#REF!</definedName>
    <definedName name="page8" localSheetId="2">#REF!</definedName>
    <definedName name="page8">#REF!</definedName>
    <definedName name="PALL" localSheetId="0">#REF!</definedName>
    <definedName name="PALL" localSheetId="2">#REF!</definedName>
    <definedName name="PALL">#REF!</definedName>
    <definedName name="PBLOCK" localSheetId="0">#REF!</definedName>
    <definedName name="PBLOCK" localSheetId="2">#REF!</definedName>
    <definedName name="PBLOCK">#REF!</definedName>
    <definedName name="PBLOCKWZ" localSheetId="0">#REF!</definedName>
    <definedName name="PBLOCKWZ" localSheetId="2">#REF!</definedName>
    <definedName name="PBLOCKWZ">#REF!</definedName>
    <definedName name="PCOMP" localSheetId="0">#REF!</definedName>
    <definedName name="PCOMP" localSheetId="2">#REF!</definedName>
    <definedName name="PCOMP">#REF!</definedName>
    <definedName name="PCOMPOSITES" localSheetId="0">#REF!</definedName>
    <definedName name="PCOMPOSITES" localSheetId="2">#REF!</definedName>
    <definedName name="PCOMPOSITES">#REF!</definedName>
    <definedName name="PCOMPWZ" localSheetId="0">#REF!</definedName>
    <definedName name="PCOMPWZ" localSheetId="2">#REF!</definedName>
    <definedName name="PCOMPWZ">#REF!</definedName>
    <definedName name="PeakMethod">[16]Inputs!$T$5</definedName>
    <definedName name="Percent_debt">[43]Inputs!$E$129</definedName>
    <definedName name="Plant_Input">'[23]Plant(Input)'!$B$7:$AP$9,'[23]Plant(Input)'!$B$11,'[23]Plant(Input)'!$B$15:$AP$15,'[23]Plant(Input)'!$B$18,'[23]Plant(Input)'!$B$20:$AP$20</definedName>
    <definedName name="PMAC" localSheetId="0">[25]Backup!#REF!</definedName>
    <definedName name="PMAC" localSheetId="2">[25]Backup!#REF!</definedName>
    <definedName name="PMAC">[25]Backup!#REF!</definedName>
    <definedName name="POWER.T">[13]INTERNAL!$A$58:$IV$60</definedName>
    <definedName name="PP.T">[13]INTERNAL!$A$61:$IV$63</definedName>
    <definedName name="PRESENT" localSheetId="0">#REF!</definedName>
    <definedName name="PRESENT" localSheetId="2">#REF!</definedName>
    <definedName name="PRESENT">#REF!</definedName>
    <definedName name="PreTaxDebtCost">[21]Assumptions!$I$56</definedName>
    <definedName name="PreTaxWACC">[21]Assumptions!$I$62</definedName>
    <definedName name="PRICCHNG" localSheetId="0">#REF!</definedName>
    <definedName name="PRICCHNG" localSheetId="2">#REF!</definedName>
    <definedName name="PRICCHNG">#REF!</definedName>
    <definedName name="Prices_Aurora">'[42]Monthly Price Summary'!$C$4:$H$63</definedName>
    <definedName name="_xlnm.Print_Area" localSheetId="10">'Exhibit No.__(BDJ-141C)'!$A$1:$R$56</definedName>
    <definedName name="_xlnm.Print_Area" localSheetId="8">'F2023 Demand'!$A$1:$AB$80</definedName>
    <definedName name="_xlnm.Print_Area" localSheetId="7">'F2023 Energy'!$A$1:$AT$82</definedName>
    <definedName name="_xlnm.Print_Area" localSheetId="4">'Rate Spread and Design'!$A$1:$I$37</definedName>
    <definedName name="_xlnm.Print_Area" localSheetId="0">'Rate Summary'!$A$1:$C$32</definedName>
    <definedName name="_xlnm.Print_Area" localSheetId="2">'Revenue Rate Impacts'!#REF!</definedName>
    <definedName name="_xlnm.Print_Area" localSheetId="1">'Street &amp; Area Lighting'!$A$1:$L$175</definedName>
    <definedName name="_xlnm.Print_Area" localSheetId="3">'Typical Residential Notice'!$A$1:$N$81</definedName>
    <definedName name="Print_Area_Reset" localSheetId="4">OFFSET(Full_Print,0,0,[0]!Last_Row)</definedName>
    <definedName name="Print_Area_Reset" localSheetId="0">OFFSET(Full_Print,0,0,[0]!Last_Row)</definedName>
    <definedName name="Print_Area_Reset" localSheetId="2">OFFSET(Full_Print,0,0,[0]!Last_Row)</definedName>
    <definedName name="Print_Area_Reset">OFFSET(Full_Print,0,0,[0]!Last_Row)</definedName>
    <definedName name="_xlnm.Print_Titles" localSheetId="10">'Exhibit No.__(BDJ-141C)'!$A:$C</definedName>
    <definedName name="_xlnm.Print_Titles" localSheetId="8">'F2023 Demand'!$A:$B,'F2023 Demand'!$1:$7</definedName>
    <definedName name="_xlnm.Print_Titles" localSheetId="7">'F2023 Energy'!$A:$B,'F2023 Energy'!$1:$6</definedName>
    <definedName name="_xlnm.Print_Titles" localSheetId="1">'Street &amp; Area Lighting'!$1:$12</definedName>
    <definedName name="Prior_Month">[26]Sch_120!$I$21</definedName>
    <definedName name="PROFORMA">[13]EXTERNAL!$A$67:$IV$69</definedName>
    <definedName name="PROFORMA_RETAIL">[13]EXTERNAL!$A$91:$IV$93</definedName>
    <definedName name="PROFORMA_RETAIL_TAX">[13]EXTERNAL!$A$169:$IV$171</definedName>
    <definedName name="Prov_Cap_Tax">[43]Inputs!$E$111</definedName>
    <definedName name="PTABLES" localSheetId="0">#REF!</definedName>
    <definedName name="PTABLES" localSheetId="2">#REF!</definedName>
    <definedName name="PTABLES">#REF!</definedName>
    <definedName name="PTDGP.T">[13]INTERNAL!$A$64:$IV$66</definedName>
    <definedName name="PTDMOD" localSheetId="0">#REF!</definedName>
    <definedName name="PTDMOD" localSheetId="2">#REF!</definedName>
    <definedName name="PTDMOD">#REF!</definedName>
    <definedName name="PTDP.T">[13]INTERNAL!$A$67:$IV$69</definedName>
    <definedName name="PTDROLL" localSheetId="0">#REF!</definedName>
    <definedName name="PTDROLL" localSheetId="2">#REF!</definedName>
    <definedName name="PTDROLL">#REF!</definedName>
    <definedName name="PTMOD" localSheetId="0">#REF!</definedName>
    <definedName name="PTMOD" localSheetId="2">#REF!</definedName>
    <definedName name="PTMOD">#REF!</definedName>
    <definedName name="PTROLL" localSheetId="0">#REF!</definedName>
    <definedName name="PTROLL" localSheetId="2">#REF!</definedName>
    <definedName name="PTROLL">#REF!</definedName>
    <definedName name="PWORKBACK" localSheetId="0">#REF!</definedName>
    <definedName name="PWORKBACK" localSheetId="2">#REF!</definedName>
    <definedName name="PWORKBACK">#REF!</definedName>
    <definedName name="q" localSheetId="11" hidden="1">{#N/A,#N/A,FALSE,"Coversheet";#N/A,#N/A,FALSE,"QA"}</definedName>
    <definedName name="q" localSheetId="4" hidden="1">{#N/A,#N/A,FALSE,"Coversheet";#N/A,#N/A,FALSE,"QA"}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11" hidden="1">{#N/A,#N/A,FALSE,"schA"}</definedName>
    <definedName name="qqq" localSheetId="4" hidden="1">{#N/A,#N/A,FALSE,"schA"}</definedName>
    <definedName name="qqq" localSheetId="0" hidden="1">{#N/A,#N/A,FALSE,"schA"}</definedName>
    <definedName name="qqq" hidden="1">{#N/A,#N/A,FALSE,"schA"}</definedName>
    <definedName name="QTD_Format">[57]QTD!$B$11:$D$11,[57]QTD!$B$35:$D$35</definedName>
    <definedName name="Query1" localSheetId="0">#REF!</definedName>
    <definedName name="Query1" localSheetId="2">#REF!</definedName>
    <definedName name="Query1">#REF!</definedName>
    <definedName name="RATE2">'[33]Transp Data'!$A$8:$I$112</definedName>
    <definedName name="Rates">[58]Codes!$A$1:$C$500</definedName>
    <definedName name="RB.T">[13]INTERNAL!$A$70:$IV$72</definedName>
    <definedName name="RC_ADJ" localSheetId="0">#REF!</definedName>
    <definedName name="RC_ADJ" localSheetId="2">#REF!</definedName>
    <definedName name="RC_ADJ">#REF!</definedName>
    <definedName name="re" localSheetId="0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qulated_scenario">'[23]Assumptions (Input)'!$B$12</definedName>
    <definedName name="RESADJ" localSheetId="0">#REF!</definedName>
    <definedName name="RESADJ" localSheetId="2">#REF!</definedName>
    <definedName name="RESADJ">#REF!</definedName>
    <definedName name="ResExchCrRate">[26]Sch_194!$M$31</definedName>
    <definedName name="RESID">[13]EXTERNAL!$A$88:$IV$90</definedName>
    <definedName name="resource_lookup">'[59]#REF'!$B$3:$C$112</definedName>
    <definedName name="ResourceSupplier">[22]Variables!$D$28</definedName>
    <definedName name="ResRCF" localSheetId="1">[30]INPUTS!$F$39</definedName>
    <definedName name="ResRCF">[31]INPUTS!$F$44</definedName>
    <definedName name="ResUnc" localSheetId="1">[13]INPUTS!$F$34</definedName>
    <definedName name="ResUnc">[31]INPUTS!$F$39</definedName>
    <definedName name="retail_CC" localSheetId="11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1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0">#REF!</definedName>
    <definedName name="REV_SCHD" localSheetId="2">#REF!</definedName>
    <definedName name="REV_SCHD">#REF!</definedName>
    <definedName name="RevClass">[58]Codes!$F$2:$G$10</definedName>
    <definedName name="Revenue_by_month_take_2" localSheetId="0">#REF!</definedName>
    <definedName name="Revenue_by_month_take_2" localSheetId="2">#REF!</definedName>
    <definedName name="Revenue_by_month_take_2">#REF!</definedName>
    <definedName name="revenue_flag">'[23]Assumptions (Input)'!$C$12</definedName>
    <definedName name="Revenue_Taxes">'[23]Assumptions (Input)'!$B$8</definedName>
    <definedName name="RevenueCheck" localSheetId="0">#REF!</definedName>
    <definedName name="RevenueCheck" localSheetId="2">#REF!</definedName>
    <definedName name="RevenueCheck">#REF!</definedName>
    <definedName name="REVFAC1.T">[13]INTERNAL!$A$73:$IV$75</definedName>
    <definedName name="RevReqSettle" localSheetId="0">#REF!</definedName>
    <definedName name="RevReqSettle" localSheetId="2">#REF!</definedName>
    <definedName name="RevReqSettle">#REF!</definedName>
    <definedName name="REVVSTRS" localSheetId="0">#REF!</definedName>
    <definedName name="REVVSTRS" localSheetId="2">#REF!</definedName>
    <definedName name="REVVSTRS">#REF!</definedName>
    <definedName name="RISFORM" localSheetId="0">#REF!</definedName>
    <definedName name="RISFORM" localSheetId="2">#REF!</definedName>
    <definedName name="RISFORM">#REF!</definedName>
    <definedName name="ROD" localSheetId="1">[13]INPUTS!$F$25</definedName>
    <definedName name="ROD">[31]INPUTS!$F$30</definedName>
    <definedName name="ROR" localSheetId="1">[30]INPUTS!$F$24</definedName>
    <definedName name="ROR">[31]INPUTS!$F$29</definedName>
    <definedName name="ROR_System">'[24]General Inputs'!$D$19</definedName>
    <definedName name="SAPBEXhrIndnt">"Wide"</definedName>
    <definedName name="SAPsysID">"708C5W7SBKP804JT78WJ0JNKI"</definedName>
    <definedName name="SAPwbID">"ARS"</definedName>
    <definedName name="SBRCF">[30]INPUTS!$F$40</definedName>
    <definedName name="SbUnc">[13]INPUTS!$F$35</definedName>
    <definedName name="SCH33CUSTS" localSheetId="0">#REF!</definedName>
    <definedName name="SCH33CUSTS" localSheetId="2">#REF!</definedName>
    <definedName name="SCH33CUSTS">#REF!</definedName>
    <definedName name="SCH48ADJ" localSheetId="0">#REF!</definedName>
    <definedName name="SCH48ADJ" localSheetId="2">#REF!</definedName>
    <definedName name="SCH48ADJ">#REF!</definedName>
    <definedName name="SCH98NOR" localSheetId="0">#REF!</definedName>
    <definedName name="SCH98NOR" localSheetId="2">#REF!</definedName>
    <definedName name="SCH98NOR">#REF!</definedName>
    <definedName name="SCHED47" localSheetId="0">#REF!</definedName>
    <definedName name="SCHED47" localSheetId="2">#REF!</definedName>
    <definedName name="SCHED47">#REF!</definedName>
    <definedName name="Schedule">[19]Inputs!$N$14</definedName>
    <definedName name="sdlfhsdlhfkl" localSheetId="11" hidden="1">{#N/A,#N/A,FALSE,"Summ";#N/A,#N/A,FALSE,"General"}</definedName>
    <definedName name="sdlfhsdlhfkl" localSheetId="4" hidden="1">{#N/A,#N/A,FALSE,"Summ";#N/A,#N/A,FALSE,"General"}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 localSheetId="2">#REF!</definedName>
    <definedName name="se">#REF!</definedName>
    <definedName name="SECOND" localSheetId="0">[1]Jan!#REF!</definedName>
    <definedName name="SECOND" localSheetId="2">[1]Jan!#REF!</definedName>
    <definedName name="SECOND">[1]Jan!#REF!</definedName>
    <definedName name="SEP" localSheetId="0">[25]Backup!#REF!</definedName>
    <definedName name="SEP" localSheetId="2">[25]Backup!#REF!</definedName>
    <definedName name="SEP">[25]Backup!#REF!</definedName>
    <definedName name="Sep03AMA">[14]BS!$AN$7:$AN$3420</definedName>
    <definedName name="Sep04AMA">[7]BS!$AL$7:$AL$3582</definedName>
    <definedName name="SEPT" localSheetId="0">#REF!</definedName>
    <definedName name="SEPT" localSheetId="2">#REF!</definedName>
    <definedName name="SEPT">#REF!</definedName>
    <definedName name="SERVICES_3" localSheetId="0">#REF!</definedName>
    <definedName name="SERVICES_3" localSheetId="2">#REF!</definedName>
    <definedName name="SERVICES_3">#REF!</definedName>
    <definedName name="seven" localSheetId="11" hidden="1">{#N/A,#N/A,FALSE,"CRPT";#N/A,#N/A,FALSE,"TREND";#N/A,#N/A,FALSE,"%Curve"}</definedName>
    <definedName name="seven" localSheetId="4" hidden="1">{#N/A,#N/A,FALSE,"CRPT";#N/A,#N/A,FALSE,"TREND";#N/A,#N/A,FALSE,"%Curve"}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 localSheetId="2">#REF!</definedName>
    <definedName name="sg">#REF!</definedName>
    <definedName name="six" localSheetId="11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" localSheetId="0">[1]Jan!#REF!</definedName>
    <definedName name="START" localSheetId="2">[1]Jan!#REF!</definedName>
    <definedName name="START">[1]Jan!#REF!</definedName>
    <definedName name="StartDate">[21]Assumptions!$C$9</definedName>
    <definedName name="STAX" localSheetId="1">[13]INPUTS!$F$29</definedName>
    <definedName name="STAX">[31]INPUTS!$F$34</definedName>
    <definedName name="SUM_TAB1" localSheetId="0">#REF!</definedName>
    <definedName name="SUM_TAB1" localSheetId="2">#REF!</definedName>
    <definedName name="SUM_TAB1">#REF!</definedName>
    <definedName name="SUM_TAB2" localSheetId="0">#REF!</definedName>
    <definedName name="SUM_TAB2" localSheetId="2">#REF!</definedName>
    <definedName name="SUM_TAB2">#REF!</definedName>
    <definedName name="SUM_TAB3" localSheetId="0">#REF!</definedName>
    <definedName name="SUM_TAB3" localSheetId="2">#REF!</definedName>
    <definedName name="SUM_TAB3">#REF!</definedName>
    <definedName name="SW.T">[13]INTERNAL!$A$76:$IV$78</definedName>
    <definedName name="SWPTD.T">[13]INTERNAL!$A$79:$IV$81</definedName>
    <definedName name="t" localSheetId="11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 localSheetId="2">#REF!</definedName>
    <definedName name="TABLE_1">#REF!</definedName>
    <definedName name="TABLE_2" localSheetId="0">#REF!</definedName>
    <definedName name="TABLE_2" localSheetId="2">#REF!</definedName>
    <definedName name="TABLE_2">#REF!</definedName>
    <definedName name="TABLE_3" localSheetId="0">#REF!</definedName>
    <definedName name="TABLE_3" localSheetId="2">#REF!</definedName>
    <definedName name="TABLE_3">#REF!</definedName>
    <definedName name="TABLE_4" localSheetId="0">#REF!</definedName>
    <definedName name="TABLE_4" localSheetId="2">#REF!</definedName>
    <definedName name="TABLE_4">#REF!</definedName>
    <definedName name="TABLE_4_A" localSheetId="0">#REF!</definedName>
    <definedName name="TABLE_4_A" localSheetId="2">#REF!</definedName>
    <definedName name="TABLE_4_A">#REF!</definedName>
    <definedName name="TABLE_5" localSheetId="0">#REF!</definedName>
    <definedName name="TABLE_5" localSheetId="2">#REF!</definedName>
    <definedName name="TABLE_5">#REF!</definedName>
    <definedName name="TABLE_6" localSheetId="0">#REF!</definedName>
    <definedName name="TABLE_6" localSheetId="2">#REF!</definedName>
    <definedName name="TABLE_6">#REF!</definedName>
    <definedName name="TABLE_7" localSheetId="0">#REF!</definedName>
    <definedName name="TABLE_7" localSheetId="2">#REF!</definedName>
    <definedName name="TABLE_7">#REF!</definedName>
    <definedName name="TABLE1" localSheetId="0">#REF!</definedName>
    <definedName name="TABLE1" localSheetId="2">#REF!</definedName>
    <definedName name="TABLE1">#REF!</definedName>
    <definedName name="TABLE2" localSheetId="0">#REF!</definedName>
    <definedName name="TABLE2" localSheetId="2">#REF!</definedName>
    <definedName name="TABLE2">#REF!</definedName>
    <definedName name="TABLEA" localSheetId="0">#REF!</definedName>
    <definedName name="TABLEA" localSheetId="2">#REF!</definedName>
    <definedName name="TABLEA">#REF!</definedName>
    <definedName name="TableName">"Dummy"</definedName>
    <definedName name="TABLEONE" localSheetId="0">#REF!</definedName>
    <definedName name="TABLEONE" localSheetId="2">#REF!</definedName>
    <definedName name="TABLEONE">#REF!</definedName>
    <definedName name="TargetROR">[16]Inputs!$G$29</definedName>
    <definedName name="TDMOD" localSheetId="0">#REF!</definedName>
    <definedName name="TDMOD" localSheetId="2">#REF!</definedName>
    <definedName name="TDMOD">#REF!</definedName>
    <definedName name="TDP.T">[13]INTERNAL!$A$82:$IV$84</definedName>
    <definedName name="TDROLL" localSheetId="0">#REF!</definedName>
    <definedName name="TDROLL" localSheetId="2">#REF!</definedName>
    <definedName name="TDROLL">#REF!</definedName>
    <definedName name="tem" localSheetId="11" hidden="1">{#N/A,#N/A,FALSE,"Summ";#N/A,#N/A,FALSE,"General"}</definedName>
    <definedName name="tem" localSheetId="4" hidden="1">{#N/A,#N/A,FALSE,"Summ";#N/A,#N/A,FALSE,"General"}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11" hidden="1">{#N/A,#N/A,FALSE,"Summ";#N/A,#N/A,FALSE,"General"}</definedName>
    <definedName name="TEMP" localSheetId="4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11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[46]Sheet1!$A$4:$E$40</definedName>
    <definedName name="Test" localSheetId="0">#REF!</definedName>
    <definedName name="Test" localSheetId="2">#REF!</definedName>
    <definedName name="Test">#REF!</definedName>
    <definedName name="Test1" localSheetId="0">#REF!</definedName>
    <definedName name="Test1" localSheetId="2">#REF!</definedName>
    <definedName name="Test1">#REF!</definedName>
    <definedName name="Test2" localSheetId="0">#REF!</definedName>
    <definedName name="Test2" localSheetId="2">#REF!</definedName>
    <definedName name="Test2">#REF!</definedName>
    <definedName name="Test3" localSheetId="0">#REF!</definedName>
    <definedName name="Test3" localSheetId="2">#REF!</definedName>
    <definedName name="Test3">#REF!</definedName>
    <definedName name="Test4" localSheetId="0">#REF!</definedName>
    <definedName name="Test4" localSheetId="2">#REF!</definedName>
    <definedName name="Test4">#REF!</definedName>
    <definedName name="Test5" localSheetId="0">#REF!</definedName>
    <definedName name="Test5" localSheetId="2">#REF!</definedName>
    <definedName name="Test5">#REF!</definedName>
    <definedName name="TestPeriod">[17]Inputs!$C$5</definedName>
    <definedName name="TESTYEAR">'[60]JHS-6'!$A$7</definedName>
    <definedName name="TFR">[13]CLASSIFIERS!$A$11:$IV$11</definedName>
    <definedName name="ThermalBookLife">[21]Assumptions!$C$25</definedName>
    <definedName name="Title">[21]Assumptions!$A$1</definedName>
    <definedName name="Total_Payment" localSheetId="4">Scheduled_Payment+Extra_Payment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OTALCustomerSheets">OFFSET('[24]Required Sheets'!$I$24:$I$35,,,12-COUNTBLANK('[24]Required Sheets'!$I$24:$I$35))</definedName>
    <definedName name="TOTALDemandSheets">OFFSET('[24]Required Sheets'!$G$24:$G$35,,,12-COUNTBLANK('[24]Required Sheets'!$G$24:$G$35))</definedName>
    <definedName name="TOTALECSheets">OFFSET('[24]Required Sheets'!$H$24:$H$35,,,12-COUNTBLANK('[24]Required Sheets'!$H$24:$H$35))</definedName>
    <definedName name="TotalRateBase">'[17]G+T+D+R+M'!$H$58</definedName>
    <definedName name="TP.T">[13]INTERNAL!$A$91:$IV$93</definedName>
    <definedName name="tr" localSheetId="11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'[61]Transp Unbilled'!$A$8:$E$174</definedName>
    <definedName name="Transfer" localSheetId="11" hidden="1">#REF!</definedName>
    <definedName name="Transfer" localSheetId="0" hidden="1">#REF!</definedName>
    <definedName name="Transfer" localSheetId="2" hidden="1">#REF!</definedName>
    <definedName name="Transfer" hidden="1">#REF!</definedName>
    <definedName name="Transfers" localSheetId="11" hidden="1">#REF!</definedName>
    <definedName name="Transfers" localSheetId="0" hidden="1">#REF!</definedName>
    <definedName name="Transfers" localSheetId="2" hidden="1">#REF!</definedName>
    <definedName name="Transfers" hidden="1">#REF!</definedName>
    <definedName name="TRANSM_2">[62]Transm2!$A$1:$M$461:'[62]10 Yr FC'!$M$47</definedName>
    <definedName name="u" localSheetId="11" hidden="1">{#N/A,#N/A,FALSE,"Summ";#N/A,#N/A,FALSE,"General"}</definedName>
    <definedName name="u" localSheetId="4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AACT115S" localSheetId="0">'[19]Functional Study'!#REF!</definedName>
    <definedName name="UAACT115S" localSheetId="2">'[19]Functional Study'!#REF!</definedName>
    <definedName name="UAACT115S">'[19]Functional Study'!#REF!</definedName>
    <definedName name="UAcct103">'[17]Func Study'!$AB$1613</definedName>
    <definedName name="UAcct105Dnpg">'[17]Func Study'!$AB$2010</definedName>
    <definedName name="UAcct105S">'[17]Func Study'!$AB$2005</definedName>
    <definedName name="UAcct105Seu">'[17]Func Study'!$AB$2009</definedName>
    <definedName name="UAcct105Snppo">'[17]Func Study'!$AB$2008</definedName>
    <definedName name="UAcct105Snpps">'[17]Func Study'!$AB$2006</definedName>
    <definedName name="UAcct105Snpt">'[17]Func Study'!$AB$2007</definedName>
    <definedName name="UAcct1081390">'[17]Func Study'!$AB$2451</definedName>
    <definedName name="UAcct1081390Rcl">'[17]Func Study'!$AB$2450</definedName>
    <definedName name="UAcct1081399">'[17]Func Study'!$AB$2459</definedName>
    <definedName name="UAcct1081399Rcl">'[17]Func Study'!$AB$2458</definedName>
    <definedName name="UAcct108360">'[17]Func Study'!$AB$2355</definedName>
    <definedName name="UAcct108361">'[17]Func Study'!$AB$2359</definedName>
    <definedName name="UAcct108362">'[17]Func Study'!$AB$2363</definedName>
    <definedName name="UAcct108364">'[17]Func Study'!$AB$2367</definedName>
    <definedName name="UAcct108365">'[17]Func Study'!$AB$2371</definedName>
    <definedName name="UAcct108366">'[17]Func Study'!$AB$2375</definedName>
    <definedName name="UAcct108367">'[17]Func Study'!$AB$2379</definedName>
    <definedName name="UAcct108368">'[17]Func Study'!$AB$2383</definedName>
    <definedName name="UAcct108369">'[17]Func Study'!$AB$2387</definedName>
    <definedName name="UAcct108370">'[17]Func Study'!$AB$2391</definedName>
    <definedName name="UAcct108371">'[17]Func Study'!$AB$2395</definedName>
    <definedName name="UAcct108372">'[17]Func Study'!$AB$2399</definedName>
    <definedName name="UAcct108373">'[17]Func Study'!$AB$2403</definedName>
    <definedName name="UAcct108D">'[17]Func Study'!$AB$2415</definedName>
    <definedName name="UAcct108D00">'[17]Func Study'!$AB$2407</definedName>
    <definedName name="UAcct108Ds">'[17]Func Study'!$AB$2411</definedName>
    <definedName name="UAcct108Ep">'[17]Func Study'!$AB$2327</definedName>
    <definedName name="UAcct108Gpcn">'[17]Func Study'!$AB$2429</definedName>
    <definedName name="UAcct108Gps">'[17]Func Study'!$AB$2425</definedName>
    <definedName name="UAcct108Gpse">'[17]Func Study'!$AB$2431</definedName>
    <definedName name="UAcct108Gpsg">'[17]Func Study'!$AB$2428</definedName>
    <definedName name="UAcct108Gpsgp">'[17]Func Study'!$AB$2426</definedName>
    <definedName name="UAcct108Gpsgu">'[17]Func Study'!$AB$2427</definedName>
    <definedName name="UAcct108Gpso">'[17]Func Study'!$AB$2430</definedName>
    <definedName name="UACCT108GPSSGCH">'[17]Func Study'!$AB$2434</definedName>
    <definedName name="UACCT108GPSSGCT">'[17]Func Study'!$AB$2433</definedName>
    <definedName name="UAcct108Hp">'[17]Func Study'!$AB$2313</definedName>
    <definedName name="UAcct108Mp">'[17]Func Study'!$AB$2444</definedName>
    <definedName name="UAcct108Np">'[17]Func Study'!$AB$2305</definedName>
    <definedName name="UAcct108Op">'[17]Func Study'!$AB$2322</definedName>
    <definedName name="UACCT108OPSSCCT">'[17]Func Study'!$AB$2321</definedName>
    <definedName name="UAcct108Sp">'[17]Func Study'!$AB$2299</definedName>
    <definedName name="UACCT108SPSSGCH">'[17]Func Study'!$AB$2298</definedName>
    <definedName name="UAcct108Tp">'[17]Func Study'!$AB$2346</definedName>
    <definedName name="UAcct111Clg">'[17]Func Study'!$AB$2487</definedName>
    <definedName name="UAcct111Clgsou">'[17]Func Study'!$AB$2485</definedName>
    <definedName name="UAcct111Clh">'[17]Func Study'!$AB$2493</definedName>
    <definedName name="UAcct111Cls">'[17]Func Study'!$AB$2478</definedName>
    <definedName name="UAcct111Ipcn">'[17]Func Study'!$AB$2502</definedName>
    <definedName name="UAcct111Ips">'[17]Func Study'!$AB$2497</definedName>
    <definedName name="UAcct111Ipse">'[17]Func Study'!$AB$2500</definedName>
    <definedName name="UAcct111Ipsg">'[17]Func Study'!$AB$2501</definedName>
    <definedName name="UAcct111Ipsgp">'[17]Func Study'!$AB$2498</definedName>
    <definedName name="UAcct111Ipsgu">'[17]Func Study'!$AB$2499</definedName>
    <definedName name="UAcct111Ipso">'[17]Func Study'!$AB$2506</definedName>
    <definedName name="UACCT111IPSSGCH">'[17]Func Study'!$AB$2505</definedName>
    <definedName name="UACCT111IPSSGCT">'[17]Func Study'!$AB$2504</definedName>
    <definedName name="UAcct114">'[17]Func Study'!$AB$2017</definedName>
    <definedName name="UACCT115" localSheetId="0">'[19]Functional Study'!#REF!</definedName>
    <definedName name="UACCT115" localSheetId="2">'[19]Functional Study'!#REF!</definedName>
    <definedName name="UACCT115">'[19]Functional Study'!#REF!</definedName>
    <definedName name="UACCT115DGP" localSheetId="0">'[19]Functional Study'!#REF!</definedName>
    <definedName name="UACCT115DGP" localSheetId="2">'[19]Functional Study'!#REF!</definedName>
    <definedName name="UACCT115DGP">'[19]Functional Study'!#REF!</definedName>
    <definedName name="UACCT115SG" localSheetId="0">'[19]Functional Study'!#REF!</definedName>
    <definedName name="UACCT115SG" localSheetId="2">'[19]Functional Study'!#REF!</definedName>
    <definedName name="UACCT115SG">'[19]Functional Study'!#REF!</definedName>
    <definedName name="UAcct120">'[17]Func Study'!$AB$2021</definedName>
    <definedName name="UAcct124">'[17]Func Study'!$AB$2026</definedName>
    <definedName name="UAcct141">'[17]Func Study'!$AB$2173</definedName>
    <definedName name="UAcct151">'[17]Func Study'!$AB$2049</definedName>
    <definedName name="Uacct151SSECT">'[17]Func Study'!$AB$2047</definedName>
    <definedName name="UAcct154">'[17]Func Study'!$AB$2083</definedName>
    <definedName name="Uacct154SSGCT">'[17]Func Study'!$AB$2080</definedName>
    <definedName name="UAcct163">'[17]Func Study'!$AB$2093</definedName>
    <definedName name="UAcct165">'[17]Func Study'!$AB$2108</definedName>
    <definedName name="UAcct165Gps">'[17]Func Study'!$AB$2104</definedName>
    <definedName name="UAcct182">'[17]Func Study'!$AB$2033</definedName>
    <definedName name="UAcct18222">'[17]Func Study'!$AB$2163</definedName>
    <definedName name="UAcct182M">'[17]Func Study'!$AB$2118</definedName>
    <definedName name="UAcct182MSSGCH">'[17]Func Study'!$AB$2113</definedName>
    <definedName name="UAcct186">'[17]Func Study'!$AB$2041</definedName>
    <definedName name="UAcct1869">'[17]Func Study'!$AB$2168</definedName>
    <definedName name="UAcct186M">'[17]Func Study'!$AB$2129</definedName>
    <definedName name="UAcct190">'[17]Func Study'!$AB$2243</definedName>
    <definedName name="UAcct190Baddebt">'[17]Func Study'!$AB$2237</definedName>
    <definedName name="UAcct190Dop">'[17]Func Study'!$AB$2235</definedName>
    <definedName name="UAcct2281">'[17]Func Study'!$AB$2191</definedName>
    <definedName name="UAcct2282">'[17]Func Study'!$AB$2195</definedName>
    <definedName name="UAcct2283">'[17]Func Study'!$AB$2200</definedName>
    <definedName name="UACCT22841SG">'[17]Func Study'!$AB$2205</definedName>
    <definedName name="UAcct22842">'[17]Func Study'!$AB$2211</definedName>
    <definedName name="UAcct22842Trojd" localSheetId="0">'[16]Func Study'!#REF!</definedName>
    <definedName name="UAcct22842Trojd" localSheetId="2">'[16]Func Study'!#REF!</definedName>
    <definedName name="UAcct22842Trojd">'[16]Func Study'!#REF!</definedName>
    <definedName name="UAcct235">'[17]Func Study'!$AB$2187</definedName>
    <definedName name="UACCT235CN">'[17]Func Study'!$AB$2186</definedName>
    <definedName name="UAcct252">'[17]Func Study'!$AB$2219</definedName>
    <definedName name="UAcct25316">'[17]Func Study'!$AB$2057</definedName>
    <definedName name="UAcct25317">'[17]Func Study'!$AB$2061</definedName>
    <definedName name="UAcct25318">'[17]Func Study'!$AB$2098</definedName>
    <definedName name="UAcct25319">'[17]Func Study'!$AB$2065</definedName>
    <definedName name="uacct25398">'[17]Func Study'!$AB$2222</definedName>
    <definedName name="UAcct25399">'[17]Func Study'!$AB$2230</definedName>
    <definedName name="UACCT254SO">'[17]Func Study'!$AB$2202</definedName>
    <definedName name="UAcct255">'[17]Func Study'!$AB$2284</definedName>
    <definedName name="UAcct281">'[17]Func Study'!$AB$2249</definedName>
    <definedName name="UAcct282">'[17]Func Study'!$AB$2259</definedName>
    <definedName name="UAcct282Cn">'[17]Func Study'!$AB$2256</definedName>
    <definedName name="UAcct282So">'[17]Func Study'!$AB$2255</definedName>
    <definedName name="UAcct283">'[17]Func Study'!$AB$2271</definedName>
    <definedName name="UAcct283So">'[17]Func Study'!$AB$2265</definedName>
    <definedName name="UAcct301S">'[17]Func Study'!$AB$1964</definedName>
    <definedName name="UAcct301Sg">'[17]Func Study'!$AB$1966</definedName>
    <definedName name="UAcct301So">'[17]Func Study'!$AB$1965</definedName>
    <definedName name="UAcct302S">'[17]Func Study'!$AB$1969</definedName>
    <definedName name="UAcct302Sg">'[17]Func Study'!$AB$1970</definedName>
    <definedName name="UAcct302Sgp">'[17]Func Study'!$AB$1971</definedName>
    <definedName name="UAcct302Sgu">'[17]Func Study'!$AB$1972</definedName>
    <definedName name="UAcct303Cn">'[17]Func Study'!$AB$1980</definedName>
    <definedName name="UAcct303S">'[17]Func Study'!$AB$1976</definedName>
    <definedName name="UAcct303Se">'[17]Func Study'!$AB$1979</definedName>
    <definedName name="UAcct303Sg">'[17]Func Study'!$AB$1977</definedName>
    <definedName name="UAcct303Sgu">'[17]Func Study'!$AB$1981</definedName>
    <definedName name="UAcct303So">'[17]Func Study'!$AB$1978</definedName>
    <definedName name="UACCT303SSGCH">'[17]Func Study'!$AB$1983</definedName>
    <definedName name="UAcct310">'[17]Func Study'!$AB$1414</definedName>
    <definedName name="UAcct310JBG">'[17]Func Study'!$AB$1413</definedName>
    <definedName name="UAcct311">'[17]Func Study'!$AB$1421</definedName>
    <definedName name="UAcct311JBG">'[17]Func Study'!$AB$1420</definedName>
    <definedName name="UAcct312">'[17]Func Study'!$AB$1428</definedName>
    <definedName name="UAcct312JBG">'[17]Func Study'!$AB$1427</definedName>
    <definedName name="UAcct314">'[17]Func Study'!$AB$1435</definedName>
    <definedName name="UAcct314JBG">'[17]Func Study'!$AB$1434</definedName>
    <definedName name="UAcct315">'[17]Func Study'!$AB$1442</definedName>
    <definedName name="UAcct315JBG">'[17]Func Study'!$AB$1441</definedName>
    <definedName name="UAcct316">'[17]Func Study'!$AB$1450</definedName>
    <definedName name="UAcct316JBG">'[17]Func Study'!$AB$1449</definedName>
    <definedName name="UAcct320">'[17]Func Study'!$AB$1466</definedName>
    <definedName name="UAcct321">'[17]Func Study'!$AB$1471</definedName>
    <definedName name="UAcct322">'[17]Func Study'!$AB$1476</definedName>
    <definedName name="UAcct323">'[17]Func Study'!$AB$1481</definedName>
    <definedName name="UAcct324">'[17]Func Study'!$AB$1486</definedName>
    <definedName name="UAcct325">'[17]Func Study'!$AB$1491</definedName>
    <definedName name="UAcct33">'[17]Func Study'!$AB$295</definedName>
    <definedName name="UAcct330">'[17]Func Study'!$AB$1508</definedName>
    <definedName name="UAcct331">'[17]Func Study'!$AB$1513</definedName>
    <definedName name="UAcct332">'[17]Func Study'!$AB$1518</definedName>
    <definedName name="UAcct333">'[17]Func Study'!$AB$1523</definedName>
    <definedName name="UAcct334">'[17]Func Study'!$AB$1528</definedName>
    <definedName name="UAcct335">'[17]Func Study'!$AB$1533</definedName>
    <definedName name="UAcct336">'[17]Func Study'!$AB$1539</definedName>
    <definedName name="UAcct340Dgu">'[17]Func Study'!$AB$1564</definedName>
    <definedName name="UAcct340Sgu">'[17]Func Study'!$AB$1565</definedName>
    <definedName name="UAcct341Dgu">'[17]Func Study'!$AB$1569</definedName>
    <definedName name="UAcct341Sgu">'[17]Func Study'!$AB$1570</definedName>
    <definedName name="UAcct342Dgu">'[17]Func Study'!$AB$1574</definedName>
    <definedName name="UAcct342Sgu">'[17]Func Study'!$AB$1575</definedName>
    <definedName name="UAcct343">'[17]Func Study'!$AB$1584</definedName>
    <definedName name="UAcct344S">'[17]Func Study'!$AB$1587</definedName>
    <definedName name="UAcct344Sgp">'[17]Func Study'!$AB$1588</definedName>
    <definedName name="UAcct345Dgu">'[17]Func Study'!$AB$1594</definedName>
    <definedName name="UAcct345Sgu">'[17]Func Study'!$AB$1595</definedName>
    <definedName name="UAcct346">'[17]Func Study'!$AB$1601</definedName>
    <definedName name="UAcct350">'[17]Func Study'!$AB$1628</definedName>
    <definedName name="UAcct352">'[17]Func Study'!$AB$1635</definedName>
    <definedName name="UAcct353">'[17]Func Study'!$AB$1641</definedName>
    <definedName name="UAcct354">'[17]Func Study'!$AB$1647</definedName>
    <definedName name="UAcct355">'[17]Func Study'!$AB$1654</definedName>
    <definedName name="UAcct356">'[17]Func Study'!$AB$1660</definedName>
    <definedName name="UAcct357">'[17]Func Study'!$AB$1666</definedName>
    <definedName name="UAcct358">'[17]Func Study'!$AB$1672</definedName>
    <definedName name="UAcct359">'[17]Func Study'!$AB$1678</definedName>
    <definedName name="UAcct360">'[17]Func Study'!$AB$1698</definedName>
    <definedName name="UAcct361">'[17]Func Study'!$AB$1704</definedName>
    <definedName name="UAcct362">'[17]Func Study'!$AB$1710</definedName>
    <definedName name="UAcct368">'[17]Func Study'!$AB$1744</definedName>
    <definedName name="UAcct369">'[17]Func Study'!$AB$1751</definedName>
    <definedName name="UAcct370">'[17]Func Study'!$AB$1762</definedName>
    <definedName name="UAcct372A">'[17]Func Study'!$AB$1775</definedName>
    <definedName name="UAcct372Dp">'[17]Func Study'!$AB$1773</definedName>
    <definedName name="UAcct372Ds">'[17]Func Study'!$AB$1774</definedName>
    <definedName name="UAcct373">'[17]Func Study'!$AB$1782</definedName>
    <definedName name="UAcct389Cn">'[17]Func Study'!$AB$1800</definedName>
    <definedName name="UAcct389S">'[17]Func Study'!$AB$1799</definedName>
    <definedName name="UAcct389Sg">'[17]Func Study'!$AB$1802</definedName>
    <definedName name="UAcct389Sgu">'[17]Func Study'!$AB$1801</definedName>
    <definedName name="UAcct389So">'[17]Func Study'!$AB$1803</definedName>
    <definedName name="UAcct390Cn">'[17]Func Study'!$AB$1810</definedName>
    <definedName name="UAcct390JBG">'[17]Func Study'!$AB$1812</definedName>
    <definedName name="UAcct390L">'[17]Func Study'!$AB$1927</definedName>
    <definedName name="UACCT390LRCL">'[17]Func Study'!$AB$1929</definedName>
    <definedName name="UAcct390S">'[17]Func Study'!$AB$1807</definedName>
    <definedName name="UAcct390Sgp">'[17]Func Study'!$AB$1808</definedName>
    <definedName name="UAcct390Sgu">'[17]Func Study'!$AB$1809</definedName>
    <definedName name="UAcct390Sop">'[17]Func Study'!$AB$1811</definedName>
    <definedName name="UAcct390Sou">'[17]Func Study'!$AB$1813</definedName>
    <definedName name="UAcct391Cn">'[17]Func Study'!$AB$1820</definedName>
    <definedName name="UACCT391JBE">'[17]Func Study'!$AB$1825</definedName>
    <definedName name="UAcct391S">'[17]Func Study'!$AB$1817</definedName>
    <definedName name="UAcct391Sg">'[17]Func Study'!$AB$1821</definedName>
    <definedName name="UAcct391Sgp">'[17]Func Study'!$AB$1818</definedName>
    <definedName name="UAcct391Sgu">'[17]Func Study'!$AB$1819</definedName>
    <definedName name="UAcct391So">'[17]Func Study'!$AB$1823</definedName>
    <definedName name="UACCT391SSGCH">'[17]Func Study'!$AB$1824</definedName>
    <definedName name="UAcct392Cn">'[17]Func Study'!$AB$1832</definedName>
    <definedName name="UAcct392L">'[17]Func Study'!$AB$1935</definedName>
    <definedName name="UAcct392Lrcl">'[17]Func Study'!$AB$1937</definedName>
    <definedName name="UAcct392S">'[17]Func Study'!$AB$1829</definedName>
    <definedName name="UAcct392Se">'[17]Func Study'!$AB$1834</definedName>
    <definedName name="UAcct392Sg">'[17]Func Study'!$AB$1831</definedName>
    <definedName name="UAcct392Sgp">'[17]Func Study'!$AB$1835</definedName>
    <definedName name="UAcct392Sgu">'[17]Func Study'!$AB$1833</definedName>
    <definedName name="UAcct392So">'[17]Func Study'!$AB$1830</definedName>
    <definedName name="UACCT392SSGCH">'[17]Func Study'!$AB$1836</definedName>
    <definedName name="UAcct393S">'[17]Func Study'!$AB$1841</definedName>
    <definedName name="UAcct393Sg">'[17]Func Study'!$AB$1845</definedName>
    <definedName name="UAcct393Sgp">'[17]Func Study'!$AB$1842</definedName>
    <definedName name="UAcct393Sgu">'[17]Func Study'!$AB$1843</definedName>
    <definedName name="UAcct393So">'[17]Func Study'!$AB$1844</definedName>
    <definedName name="UACCT393SSGCT">'[17]Func Study'!$AB$1846</definedName>
    <definedName name="UAcct394S">'[17]Func Study'!$AB$1850</definedName>
    <definedName name="UAcct394Se">'[17]Func Study'!$AB$1854</definedName>
    <definedName name="UAcct394Sg">'[17]Func Study'!$AB$1855</definedName>
    <definedName name="UAcct394Sgp">'[17]Func Study'!$AB$1851</definedName>
    <definedName name="UAcct394Sgu">'[17]Func Study'!$AB$1852</definedName>
    <definedName name="UAcct394So">'[17]Func Study'!$AB$1853</definedName>
    <definedName name="UACCT394SSGCH">'[17]Func Study'!$AB$1856</definedName>
    <definedName name="UAcct395S">'[17]Func Study'!$AB$1861</definedName>
    <definedName name="UAcct395Se">'[17]Func Study'!$AB$1865</definedName>
    <definedName name="UAcct395Sg">'[17]Func Study'!$AB$1866</definedName>
    <definedName name="UAcct395Sgp">'[17]Func Study'!$AB$1862</definedName>
    <definedName name="UAcct395Sgu">'[17]Func Study'!$AB$1863</definedName>
    <definedName name="UAcct395So">'[17]Func Study'!$AB$1864</definedName>
    <definedName name="UACCT395SSGCH">'[17]Func Study'!$AB$1867</definedName>
    <definedName name="UAcct396S">'[17]Func Study'!$AB$1872</definedName>
    <definedName name="UAcct396Se">'[17]Func Study'!$AB$1877</definedName>
    <definedName name="UAcct396Sg">'[17]Func Study'!$AB$1874</definedName>
    <definedName name="UAcct396Sgp">'[17]Func Study'!$AB$1873</definedName>
    <definedName name="UAcct396Sgu">'[17]Func Study'!$AB$1876</definedName>
    <definedName name="UAcct396So">'[17]Func Study'!$AB$1875</definedName>
    <definedName name="UACCT396SSGCH">'[17]Func Study'!$AB$1879</definedName>
    <definedName name="UACCT396SSGCT">'[17]Func Study'!$AB$1878</definedName>
    <definedName name="UAcct397Cn">'[17]Func Study'!$AB$1890</definedName>
    <definedName name="UAcct397JBG">'[17]Func Study'!$AB$1893</definedName>
    <definedName name="UAcct397S">'[17]Func Study'!$AB$1886</definedName>
    <definedName name="UAcct397Se">'[17]Func Study'!$AB$1892</definedName>
    <definedName name="UAcct397Sg">'[17]Func Study'!$AB$1891</definedName>
    <definedName name="UAcct397Sgp">'[17]Func Study'!$AB$1887</definedName>
    <definedName name="UAcct397Sgu">'[17]Func Study'!$AB$1888</definedName>
    <definedName name="UAcct397So">'[17]Func Study'!$AB$1889</definedName>
    <definedName name="UAcct398Cn">'[17]Func Study'!$AB$1902</definedName>
    <definedName name="UAcct398S">'[17]Func Study'!$AB$1899</definedName>
    <definedName name="UAcct398Se">'[17]Func Study'!$AB$1904</definedName>
    <definedName name="UAcct398Sg">'[17]Func Study'!$AB$1905</definedName>
    <definedName name="UAcct398Sgp">'[17]Func Study'!$AB$1900</definedName>
    <definedName name="UAcct398Sgu">'[17]Func Study'!$AB$1901</definedName>
    <definedName name="UAcct398So">'[17]Func Study'!$AB$1903</definedName>
    <definedName name="UACCT398SSGCT">'[17]Func Study'!$AB$1906</definedName>
    <definedName name="UAcct399">'[17]Func Study'!$AB$1913</definedName>
    <definedName name="UAcct399G">'[17]Func Study'!$AB$1955</definedName>
    <definedName name="UAcct399L">'[17]Func Study'!$AB$1917</definedName>
    <definedName name="UAcct399Lrcl">'[17]Func Study'!$AB$1919</definedName>
    <definedName name="UAcct403360">'[17]Func Study'!$AB$1090</definedName>
    <definedName name="UAcct403361">'[17]Func Study'!$AB$1091</definedName>
    <definedName name="UAcct403362">'[17]Func Study'!$AB$1092</definedName>
    <definedName name="UAcct403364">'[17]Func Study'!$AB$1094</definedName>
    <definedName name="UAcct403365">'[17]Func Study'!$AB$1095</definedName>
    <definedName name="UAcct403366">'[17]Func Study'!$AB$1096</definedName>
    <definedName name="UAcct403367">'[17]Func Study'!$AB$1097</definedName>
    <definedName name="UAcct403368">'[17]Func Study'!$AB$1098</definedName>
    <definedName name="UAcct403369">'[17]Func Study'!$AB$1099</definedName>
    <definedName name="UAcct403370">'[17]Func Study'!$AB$1100</definedName>
    <definedName name="UAcct403371">'[17]Func Study'!$AB$1101</definedName>
    <definedName name="UAcct403372">'[17]Func Study'!$AB$1102</definedName>
    <definedName name="UAcct403373">'[17]Func Study'!$AB$1103</definedName>
    <definedName name="UAcct403Ep">'[17]Func Study'!$AB$1130</definedName>
    <definedName name="UAcct403Gpcn">'[17]Func Study'!$AB$1111</definedName>
    <definedName name="UAcct403GPDGP">'[17]Func Study'!$AB$1108</definedName>
    <definedName name="UAcct403GPDGU">'[17]Func Study'!$AB$1109</definedName>
    <definedName name="UAcct403GPJBG">'[17]Func Study'!$AB$1115</definedName>
    <definedName name="UAcct403Gps">'[17]Func Study'!$AB$1107</definedName>
    <definedName name="UAcct403Gpsg">'[17]Func Study'!$AB$1112</definedName>
    <definedName name="UAcct403Gpso">'[17]Func Study'!$AB$1113</definedName>
    <definedName name="UAcct403Gv0">'[17]Func Study'!$AB$1121</definedName>
    <definedName name="UAcct403Hp">'[17]Func Study'!$AB$1072</definedName>
    <definedName name="UACCT403JBE">'[17]Func Study'!$AB$1116</definedName>
    <definedName name="UAcct403Mp">'[17]Func Study'!$AB$1125</definedName>
    <definedName name="UAcct403Np">'[17]Func Study'!$AB$1065</definedName>
    <definedName name="UAcct403Op">'[17]Func Study'!$AB$1080</definedName>
    <definedName name="UAcct403OPCAGE">'[17]Func Study'!$AB$1078</definedName>
    <definedName name="UAcct403Sp">'[17]Func Study'!$AB$1061</definedName>
    <definedName name="UAcct403SPJBG">'[17]Func Study'!$AB$1058</definedName>
    <definedName name="UAcct403Tp">'[17]Func Study'!$AB$1087</definedName>
    <definedName name="UAcct404330">'[17]Func Study'!$AB$1177</definedName>
    <definedName name="UACCT404GP">'[17]Func Study'!$AB$1146</definedName>
    <definedName name="UACCT404GPCN">'[17]Func Study'!$AB$1143</definedName>
    <definedName name="UACCT404GPSO">'[17]Func Study'!$AB$1141</definedName>
    <definedName name="UAcct404Ipcn">'[17]Func Study'!$AB$1158</definedName>
    <definedName name="UAcct404IPJBG">'[17]Func Study'!$AB$1163</definedName>
    <definedName name="UAcct404Ips">'[17]Func Study'!$AB$1154</definedName>
    <definedName name="UAcct404Ipse">'[17]Func Study'!$AB$1155</definedName>
    <definedName name="UAcct404Ipsg">'[17]Func Study'!$AB$1156</definedName>
    <definedName name="UAcct404Ipsg1">'[17]Func Study'!$AB$1159</definedName>
    <definedName name="UAcct404Ipsg2">'[17]Func Study'!$AB$1160</definedName>
    <definedName name="UAcct404Ipso">'[17]Func Study'!$AB$1157</definedName>
    <definedName name="UAcct404M">'[17]Func Study'!$AB$1168</definedName>
    <definedName name="UACCT404OP">'[17]Func Study'!$AB$1172</definedName>
    <definedName name="UACCT404SP">'[17]Func Study'!$AB$1151</definedName>
    <definedName name="UAcct405">'[17]Func Study'!$AB$1185</definedName>
    <definedName name="UAcct406">'[17]Func Study'!$AB$1193</definedName>
    <definedName name="UAcct407">'[17]Func Study'!$AB$1202</definedName>
    <definedName name="UAcct408">'[17]Func Study'!$AB$1221</definedName>
    <definedName name="UAcct408S">'[17]Func Study'!$AB$1213</definedName>
    <definedName name="UAcct41010">'[17]Func Study'!$AB$1294</definedName>
    <definedName name="UAcct41011">'[17]Func Study'!$AB$1309</definedName>
    <definedName name="UACCT41020" localSheetId="0">'[18]Functional Study'!#REF!</definedName>
    <definedName name="UACCT41020" localSheetId="2">'[18]Functional Study'!#REF!</definedName>
    <definedName name="UACCT41020">'[18]Functional Study'!#REF!</definedName>
    <definedName name="UACCT41020BADDEBT" localSheetId="0">'[18]Functional Study'!#REF!</definedName>
    <definedName name="UACCT41020BADDEBT" localSheetId="2">'[18]Functional Study'!#REF!</definedName>
    <definedName name="UACCT41020BADDEBT">'[18]Functional Study'!#REF!</definedName>
    <definedName name="UACCT41020DITEXP" localSheetId="0">'[18]Functional Study'!#REF!</definedName>
    <definedName name="UACCT41020DITEXP" localSheetId="2">'[18]Functional Study'!#REF!</definedName>
    <definedName name="UACCT41020DITEXP">'[18]Functional Study'!#REF!</definedName>
    <definedName name="UACCT41020DNPU" localSheetId="0">'[18]Functional Study'!#REF!</definedName>
    <definedName name="UACCT41020DNPU" localSheetId="2">'[18]Functional Study'!#REF!</definedName>
    <definedName name="UACCT41020DNPU">'[18]Functional Study'!#REF!</definedName>
    <definedName name="UACCT41020S" localSheetId="0">'[18]Functional Study'!#REF!</definedName>
    <definedName name="UACCT41020S" localSheetId="2">'[18]Functional Study'!#REF!</definedName>
    <definedName name="UACCT41020S">'[18]Functional Study'!#REF!</definedName>
    <definedName name="UACCT41020SE" localSheetId="0">'[18]Functional Study'!#REF!</definedName>
    <definedName name="UACCT41020SE" localSheetId="2">'[18]Functional Study'!#REF!</definedName>
    <definedName name="UACCT41020SE">'[18]Functional Study'!#REF!</definedName>
    <definedName name="UACCT41020SG" localSheetId="0">'[18]Functional Study'!#REF!</definedName>
    <definedName name="UACCT41020SG" localSheetId="2">'[18]Functional Study'!#REF!</definedName>
    <definedName name="UACCT41020SG">'[18]Functional Study'!#REF!</definedName>
    <definedName name="UACCT41020SGCT" localSheetId="0">'[18]Functional Study'!#REF!</definedName>
    <definedName name="UACCT41020SGCT" localSheetId="2">'[18]Functional Study'!#REF!</definedName>
    <definedName name="UACCT41020SGCT">'[18]Functional Study'!#REF!</definedName>
    <definedName name="UACCT41020SGPP" localSheetId="0">'[18]Functional Study'!#REF!</definedName>
    <definedName name="UACCT41020SGPP" localSheetId="2">'[18]Functional Study'!#REF!</definedName>
    <definedName name="UACCT41020SGPP">'[18]Functional Study'!#REF!</definedName>
    <definedName name="UACCT41020SO" localSheetId="0">'[18]Functional Study'!#REF!</definedName>
    <definedName name="UACCT41020SO" localSheetId="2">'[18]Functional Study'!#REF!</definedName>
    <definedName name="UACCT41020SO">'[18]Functional Study'!#REF!</definedName>
    <definedName name="UACCT41020TROJP" localSheetId="0">'[18]Functional Study'!#REF!</definedName>
    <definedName name="UACCT41020TROJP" localSheetId="2">'[18]Functional Study'!#REF!</definedName>
    <definedName name="UACCT41020TROJP">'[18]Functional Study'!#REF!</definedName>
    <definedName name="UACCT4102SNPD" localSheetId="0">'[18]Functional Study'!#REF!</definedName>
    <definedName name="UACCT4102SNPD" localSheetId="2">'[18]Functional Study'!#REF!</definedName>
    <definedName name="UACCT4102SNPD">'[18]Functional Study'!#REF!</definedName>
    <definedName name="UAcct41110">'[17]Func Study'!$AB$1325</definedName>
    <definedName name="UAcct41111" localSheetId="0">'[18]Functional Study'!#REF!</definedName>
    <definedName name="UAcct41111" localSheetId="2">'[18]Functional Study'!#REF!</definedName>
    <definedName name="UAcct41111">'[18]Functional Study'!#REF!</definedName>
    <definedName name="UAcct41111Baddebt" localSheetId="0">'[18]Functional Study'!#REF!</definedName>
    <definedName name="UAcct41111Baddebt" localSheetId="2">'[18]Functional Study'!#REF!</definedName>
    <definedName name="UAcct41111Baddebt">'[18]Functional Study'!#REF!</definedName>
    <definedName name="UAcct41111Dgp" localSheetId="0">'[18]Functional Study'!#REF!</definedName>
    <definedName name="UAcct41111Dgp" localSheetId="2">'[18]Functional Study'!#REF!</definedName>
    <definedName name="UAcct41111Dgp">'[18]Functional Study'!#REF!</definedName>
    <definedName name="UAcct41111Dgu" localSheetId="0">'[18]Functional Study'!#REF!</definedName>
    <definedName name="UAcct41111Dgu" localSheetId="2">'[18]Functional Study'!#REF!</definedName>
    <definedName name="UAcct41111Dgu">'[18]Functional Study'!#REF!</definedName>
    <definedName name="UAcct41111Ditexp" localSheetId="0">'[18]Functional Study'!#REF!</definedName>
    <definedName name="UAcct41111Ditexp" localSheetId="2">'[18]Functional Study'!#REF!</definedName>
    <definedName name="UAcct41111Ditexp">'[18]Functional Study'!#REF!</definedName>
    <definedName name="UAcct41111Dnpp" localSheetId="0">'[18]Functional Study'!#REF!</definedName>
    <definedName name="UAcct41111Dnpp" localSheetId="2">'[18]Functional Study'!#REF!</definedName>
    <definedName name="UAcct41111Dnpp">'[18]Functional Study'!#REF!</definedName>
    <definedName name="UAcct41111Dnptp" localSheetId="0">'[18]Functional Study'!#REF!</definedName>
    <definedName name="UAcct41111Dnptp" localSheetId="2">'[18]Functional Study'!#REF!</definedName>
    <definedName name="UAcct41111Dnptp">'[18]Functional Study'!#REF!</definedName>
    <definedName name="UAcct41111S" localSheetId="0">'[18]Functional Study'!#REF!</definedName>
    <definedName name="UAcct41111S" localSheetId="2">'[18]Functional Study'!#REF!</definedName>
    <definedName name="UAcct41111S">'[18]Functional Study'!#REF!</definedName>
    <definedName name="UAcct41111Se" localSheetId="0">'[18]Functional Study'!#REF!</definedName>
    <definedName name="UAcct41111Se" localSheetId="2">'[18]Functional Study'!#REF!</definedName>
    <definedName name="UAcct41111Se">'[18]Functional Study'!#REF!</definedName>
    <definedName name="UAcct41111Sg" localSheetId="0">'[18]Functional Study'!#REF!</definedName>
    <definedName name="UAcct41111Sg" localSheetId="2">'[18]Functional Study'!#REF!</definedName>
    <definedName name="UAcct41111Sg">'[18]Functional Study'!#REF!</definedName>
    <definedName name="UAcct41111Sgpp" localSheetId="0">'[18]Functional Study'!#REF!</definedName>
    <definedName name="UAcct41111Sgpp" localSheetId="2">'[18]Functional Study'!#REF!</definedName>
    <definedName name="UAcct41111Sgpp">'[18]Functional Study'!#REF!</definedName>
    <definedName name="UAcct41111So" localSheetId="0">'[18]Functional Study'!#REF!</definedName>
    <definedName name="UAcct41111So" localSheetId="2">'[18]Functional Study'!#REF!</definedName>
    <definedName name="UAcct41111So">'[18]Functional Study'!#REF!</definedName>
    <definedName name="UAcct41111Trojp" localSheetId="0">'[18]Functional Study'!#REF!</definedName>
    <definedName name="UAcct41111Trojp" localSheetId="2">'[18]Functional Study'!#REF!</definedName>
    <definedName name="UAcct41111Trojp">'[18]Functional Study'!#REF!</definedName>
    <definedName name="UAcct41140">'[17]Func Study'!$AB$1232</definedName>
    <definedName name="UAcct41141">'[17]Func Study'!$AB$1237</definedName>
    <definedName name="UAcct41160">'[17]Func Study'!$AB$369</definedName>
    <definedName name="UAcct41170">'[17]Func Study'!$AB$374</definedName>
    <definedName name="UAcct4118">'[17]Func Study'!$AB$378</definedName>
    <definedName name="UAcct41181">'[17]Func Study'!$AB$381</definedName>
    <definedName name="UAcct4194">'[17]Func Study'!$AB$385</definedName>
    <definedName name="UAcct421">'[17]Func Study'!$AB$394</definedName>
    <definedName name="UAcct4311">'[17]Func Study'!$AB$401</definedName>
    <definedName name="UAcct442Se">'[17]Func Study'!$AB$259</definedName>
    <definedName name="UAcct442Sg">'[17]Func Study'!$AB$260</definedName>
    <definedName name="UAcct447">'[17]Func Study'!$AB$281</definedName>
    <definedName name="UAcct447CAEE" localSheetId="0">'[15]Func Study'!#REF!</definedName>
    <definedName name="UAcct447CAEE" localSheetId="2">'[15]Func Study'!#REF!</definedName>
    <definedName name="UAcct447CAEE">'[15]Func Study'!#REF!</definedName>
    <definedName name="UAcct447CAGE" localSheetId="0">'[15]Func Study'!#REF!</definedName>
    <definedName name="UAcct447CAGE" localSheetId="2">'[15]Func Study'!#REF!</definedName>
    <definedName name="UAcct447CAGE">'[15]Func Study'!#REF!</definedName>
    <definedName name="UAcct447Dgu" localSheetId="0">'[16]Func Study'!#REF!</definedName>
    <definedName name="UAcct447Dgu" localSheetId="2">'[16]Func Study'!#REF!</definedName>
    <definedName name="UAcct447Dgu">'[16]Func Study'!#REF!</definedName>
    <definedName name="UACCT447NPC">'[17]Func Study'!$AB$289</definedName>
    <definedName name="UACCT447NPCCAEW">'[17]Func Study'!$AB$286</definedName>
    <definedName name="UACCT447NPCCAGW">'[17]Func Study'!$AB$287</definedName>
    <definedName name="UACCT447NPCDGP">'[17]Func Study'!$AB$288</definedName>
    <definedName name="UAcct447S">'[17]Func Study'!$AB$280</definedName>
    <definedName name="UAcct448S">'[17]Func Study'!$AB$274</definedName>
    <definedName name="UAcct448So">'[17]Func Study'!$AB$275</definedName>
    <definedName name="UAcct449">'[17]Func Study'!$AB$294</definedName>
    <definedName name="UAcct450">'[17]Func Study'!$AB$304</definedName>
    <definedName name="UAcct450S">'[17]Func Study'!$AB$302</definedName>
    <definedName name="UAcct450So">'[17]Func Study'!$AB$303</definedName>
    <definedName name="UAcct451S">'[17]Func Study'!$AB$307</definedName>
    <definedName name="UAcct451Sg">'[17]Func Study'!$AB$308</definedName>
    <definedName name="UAcct451So">'[17]Func Study'!$AB$309</definedName>
    <definedName name="UAcct453">'[17]Func Study'!$AB$315</definedName>
    <definedName name="UAcct453CAGE" localSheetId="0">'[15]Func Study'!#REF!</definedName>
    <definedName name="UAcct453CAGE" localSheetId="2">'[15]Func Study'!#REF!</definedName>
    <definedName name="UAcct453CAGE">'[15]Func Study'!#REF!</definedName>
    <definedName name="UAcct453CAGW" localSheetId="0">'[15]Func Study'!#REF!</definedName>
    <definedName name="UAcct453CAGW" localSheetId="2">'[15]Func Study'!#REF!</definedName>
    <definedName name="UAcct453CAGW">'[15]Func Study'!#REF!</definedName>
    <definedName name="UAcct454">'[17]Func Study'!$AB$322</definedName>
    <definedName name="UAcct454JBG">'[17]Func Study'!$AB$319</definedName>
    <definedName name="UAcct454S">'[17]Func Study'!$AB$318</definedName>
    <definedName name="UAcct454Sg">'[17]Func Study'!$AB$320</definedName>
    <definedName name="UAcct454So">'[17]Func Study'!$AB$321</definedName>
    <definedName name="UAcct456">'[17]Func Study'!$AB$332</definedName>
    <definedName name="UAcct456CAEW">'[17]Func Study'!$AB$331</definedName>
    <definedName name="UAcct456S">'[17]Func Study'!$AB$325</definedName>
    <definedName name="UAcct456So">'[17]Func Study'!$AB$329</definedName>
    <definedName name="UAcct500">'[17]Func Study'!$AB$416</definedName>
    <definedName name="UAcct500JBG">'[17]Func Study'!$AB$414</definedName>
    <definedName name="UAcct501">'[17]Func Study'!$AB$423</definedName>
    <definedName name="UAcct501CAEW">'[17]Func Study'!$AB$420</definedName>
    <definedName name="UAcct501JBE">'[17]Func Study'!$AB$421</definedName>
    <definedName name="UACCT501NPCCAEW">'[17]Func Study'!$AB$426</definedName>
    <definedName name="UAcct502">'[17]Func Study'!$AB$433</definedName>
    <definedName name="UAcct502CAGE">'[17]Func Study'!$AB$431</definedName>
    <definedName name="UAcct502JBG" localSheetId="0">'[15]Func Study'!#REF!</definedName>
    <definedName name="UAcct502JBG" localSheetId="2">'[15]Func Study'!#REF!</definedName>
    <definedName name="UAcct502JBG">'[15]Func Study'!#REF!</definedName>
    <definedName name="UAcct503">'[17]Func Study'!$AB$437</definedName>
    <definedName name="UACCT503NPC">'[17]Func Study'!$AB$443</definedName>
    <definedName name="UAcct505">'[17]Func Study'!$AB$449</definedName>
    <definedName name="UAcct505CAGE">'[17]Func Study'!$AB$447</definedName>
    <definedName name="UAcct505JBG" localSheetId="0">'[15]Func Study'!#REF!</definedName>
    <definedName name="UAcct505JBG" localSheetId="2">'[15]Func Study'!#REF!</definedName>
    <definedName name="UAcct505JBG">'[15]Func Study'!#REF!</definedName>
    <definedName name="UAcct506">'[17]Func Study'!$AB$455</definedName>
    <definedName name="UAcct506CAGE">'[17]Func Study'!$AB$452</definedName>
    <definedName name="UAcct506JBG" localSheetId="0">'[15]Func Study'!#REF!</definedName>
    <definedName name="UAcct506JBG" localSheetId="2">'[15]Func Study'!#REF!</definedName>
    <definedName name="UAcct506JBG">'[15]Func Study'!#REF!</definedName>
    <definedName name="UAcct507">'[17]Func Study'!$AB$464</definedName>
    <definedName name="UAcct507CAGE">'[17]Func Study'!$AB$462</definedName>
    <definedName name="UAcct507JBG" localSheetId="0">'[15]Func Study'!#REF!</definedName>
    <definedName name="UAcct507JBG" localSheetId="2">'[15]Func Study'!#REF!</definedName>
    <definedName name="UAcct507JBG">'[15]Func Study'!#REF!</definedName>
    <definedName name="UAcct510">'[17]Func Study'!$AB$469</definedName>
    <definedName name="UAcct510CAGE">'[17]Func Study'!$AB$467</definedName>
    <definedName name="UAcct510JBG" localSheetId="0">'[15]Func Study'!#REF!</definedName>
    <definedName name="UAcct510JBG" localSheetId="2">'[15]Func Study'!#REF!</definedName>
    <definedName name="UAcct510JBG">'[15]Func Study'!#REF!</definedName>
    <definedName name="UAcct511">'[17]Func Study'!$AB$474</definedName>
    <definedName name="UAcct511CAGE">'[17]Func Study'!$AB$472</definedName>
    <definedName name="UAcct511JBG" localSheetId="0">'[15]Func Study'!#REF!</definedName>
    <definedName name="UAcct511JBG" localSheetId="2">'[15]Func Study'!#REF!</definedName>
    <definedName name="UAcct511JBG">'[15]Func Study'!#REF!</definedName>
    <definedName name="UAcct512">'[17]Func Study'!$AB$479</definedName>
    <definedName name="UAcct512CAGE">'[17]Func Study'!$AB$477</definedName>
    <definedName name="UAcct512JBG" localSheetId="0">'[15]Func Study'!#REF!</definedName>
    <definedName name="UAcct512JBG" localSheetId="2">'[15]Func Study'!#REF!</definedName>
    <definedName name="UAcct512JBG">'[15]Func Study'!#REF!</definedName>
    <definedName name="UAcct513">'[17]Func Study'!$AB$484</definedName>
    <definedName name="UAcct513CAGE">'[17]Func Study'!$AB$482</definedName>
    <definedName name="UAcct513JBG" localSheetId="0">'[15]Func Study'!#REF!</definedName>
    <definedName name="UAcct513JBG" localSheetId="2">'[15]Func Study'!#REF!</definedName>
    <definedName name="UAcct513JBG">'[15]Func Study'!#REF!</definedName>
    <definedName name="UAcct514">'[17]Func Study'!$AB$489</definedName>
    <definedName name="UAcct514CAGE">'[17]Func Study'!$AB$487</definedName>
    <definedName name="UAcct514JBG" localSheetId="0">'[15]Func Study'!#REF!</definedName>
    <definedName name="UAcct514JBG" localSheetId="2">'[15]Func Study'!#REF!</definedName>
    <definedName name="UAcct514JBG">'[15]Func Study'!#REF!</definedName>
    <definedName name="UAcct517">'[17]Func Study'!$AB$498</definedName>
    <definedName name="UAcct518">'[17]Func Study'!$AB$502</definedName>
    <definedName name="UAcct519">'[17]Func Study'!$AB$507</definedName>
    <definedName name="UAcct520">'[17]Func Study'!$AB$511</definedName>
    <definedName name="UAcct523">'[17]Func Study'!$AB$515</definedName>
    <definedName name="UAcct524">'[17]Func Study'!$AB$519</definedName>
    <definedName name="UAcct528">'[17]Func Study'!$AB$523</definedName>
    <definedName name="UAcct529">'[17]Func Study'!$AB$527</definedName>
    <definedName name="UAcct530">'[17]Func Study'!$AB$531</definedName>
    <definedName name="UAcct531">'[17]Func Study'!$AB$535</definedName>
    <definedName name="UAcct532">'[17]Func Study'!$AB$539</definedName>
    <definedName name="UAcct535">'[17]Func Study'!$AB$551</definedName>
    <definedName name="UAcct536">'[17]Func Study'!$AB$555</definedName>
    <definedName name="UAcct537">'[17]Func Study'!$AB$559</definedName>
    <definedName name="UAcct538">'[17]Func Study'!$AB$563</definedName>
    <definedName name="UAcct539">'[17]Func Study'!$AB$568</definedName>
    <definedName name="UAcct540">'[17]Func Study'!$AB$572</definedName>
    <definedName name="UAcct541">'[17]Func Study'!$AB$576</definedName>
    <definedName name="UAcct542">'[17]Func Study'!$AB$580</definedName>
    <definedName name="UAcct543">'[17]Func Study'!$AB$584</definedName>
    <definedName name="UAcct544">'[17]Func Study'!$AB$588</definedName>
    <definedName name="UAcct545">'[17]Func Study'!$AB$592</definedName>
    <definedName name="UAcct546">'[17]Func Study'!$AB$606</definedName>
    <definedName name="UAcct546CAGE">'[17]Func Study'!$AB$605</definedName>
    <definedName name="UAcct547CAEW">'[17]Func Study'!$AB$610</definedName>
    <definedName name="UACCT547NPCCAEW">'[17]Func Study'!$AB$613</definedName>
    <definedName name="UAcct547Se">'[17]Func Study'!$AB$609</definedName>
    <definedName name="UAcct548">'[17]Func Study'!$AB$621</definedName>
    <definedName name="UACCT548CAGE">'[17]Func Study'!$AB$620</definedName>
    <definedName name="UAcct549">'[17]Func Study'!$AB$626</definedName>
    <definedName name="Uacct549CAGE">'[17]Func Study'!$AB$625</definedName>
    <definedName name="UAcct5506SE" localSheetId="0">'[15]Func Study'!#REF!</definedName>
    <definedName name="UAcct5506SE" localSheetId="2">'[15]Func Study'!#REF!</definedName>
    <definedName name="UAcct5506SE">'[15]Func Study'!#REF!</definedName>
    <definedName name="UAcct551CAGE">'[17]Func Study'!$AB$634</definedName>
    <definedName name="UACCT551SG">'[17]Func Study'!$AB$635</definedName>
    <definedName name="UACCT552CAGE">'[17]Func Study'!$AB$640</definedName>
    <definedName name="UAcct552SG">'[17]Func Study'!$AB$639</definedName>
    <definedName name="UACCT553CAGE">'[17]Func Study'!$AB$646</definedName>
    <definedName name="UAcct553SG">'[17]Func Study'!$AB$645</definedName>
    <definedName name="UACCT554CAGE">'[17]Func Study'!$AB$651</definedName>
    <definedName name="UAcct554SG">'[17]Func Study'!$AB$650</definedName>
    <definedName name="UAcct555CAEE" localSheetId="0">'[15]Func Study'!#REF!</definedName>
    <definedName name="UAcct555CAEE" localSheetId="2">'[15]Func Study'!#REF!</definedName>
    <definedName name="UAcct555CAEE">'[15]Func Study'!#REF!</definedName>
    <definedName name="UAcct555CAEW">'[17]Func Study'!$AB$665</definedName>
    <definedName name="UAcct555CAGE" localSheetId="0">'[15]Func Study'!#REF!</definedName>
    <definedName name="UAcct555CAGE" localSheetId="2">'[15]Func Study'!#REF!</definedName>
    <definedName name="UAcct555CAGE">'[15]Func Study'!#REF!</definedName>
    <definedName name="UAcct555CAGW">'[17]Func Study'!$AB$664</definedName>
    <definedName name="UACCT555DGP">'[17]Func Study'!$AB$670</definedName>
    <definedName name="UACCT555NPCCAEW">'[17]Func Study'!$AB$669</definedName>
    <definedName name="UACCT555NPCCAGW">'[17]Func Study'!$AB$668</definedName>
    <definedName name="UAcct555S">'[17]Func Study'!$AB$663</definedName>
    <definedName name="UAcct555Se">'[17]Func Study'!$AB$665</definedName>
    <definedName name="UACCT555SG">'[17]Func Study'!$AB$664</definedName>
    <definedName name="UAcct556">'[17]Func Study'!$AB$676</definedName>
    <definedName name="UAcct557">'[17]Func Study'!$AB$685</definedName>
    <definedName name="UAcct560">'[17]Func Study'!$AB$715</definedName>
    <definedName name="UAcct561">'[17]Func Study'!$AB$720</definedName>
    <definedName name="UAcct562">'[17]Func Study'!$AB$726</definedName>
    <definedName name="UAcct563">'[17]Func Study'!$AB$731</definedName>
    <definedName name="UAcct564">'[17]Func Study'!$AB$735</definedName>
    <definedName name="UAcct565">'[17]Func Study'!$AB$739</definedName>
    <definedName name="UACCT565NPC">'[17]Func Study'!$AB$744</definedName>
    <definedName name="UACCT565NPCCAGW">'[17]Func Study'!$AB$742</definedName>
    <definedName name="UAcct566">'[17]Func Study'!$AB$748</definedName>
    <definedName name="UAcct567">'[17]Func Study'!$AB$752</definedName>
    <definedName name="UAcct568">'[17]Func Study'!$AB$756</definedName>
    <definedName name="UAcct569">'[17]Func Study'!$AB$760</definedName>
    <definedName name="UAcct570">'[17]Func Study'!$AB$765</definedName>
    <definedName name="UAcct571">'[17]Func Study'!$AB$770</definedName>
    <definedName name="UAcct572">'[17]Func Study'!$AB$774</definedName>
    <definedName name="UAcct573">'[17]Func Study'!$AB$778</definedName>
    <definedName name="UAcct580">'[17]Func Study'!$AB$791</definedName>
    <definedName name="UAcct581">'[17]Func Study'!$AB$796</definedName>
    <definedName name="UAcct582">'[17]Func Study'!$AB$801</definedName>
    <definedName name="UAcct583">'[17]Func Study'!$AB$806</definedName>
    <definedName name="UAcct584">'[17]Func Study'!$AB$811</definedName>
    <definedName name="UAcct585">'[17]Func Study'!$AB$816</definedName>
    <definedName name="UAcct586">'[17]Func Study'!$AB$821</definedName>
    <definedName name="UAcct587">'[17]Func Study'!$AB$826</definedName>
    <definedName name="UAcct588">'[17]Func Study'!$AB$831</definedName>
    <definedName name="UAcct589">'[17]Func Study'!$AB$836</definedName>
    <definedName name="UAcct590">'[17]Func Study'!$AB$841</definedName>
    <definedName name="UAcct591">'[17]Func Study'!$AB$846</definedName>
    <definedName name="UAcct592">'[17]Func Study'!$AB$851</definedName>
    <definedName name="UAcct593">'[17]Func Study'!$AB$856</definedName>
    <definedName name="UAcct594">'[17]Func Study'!$AB$861</definedName>
    <definedName name="UAcct595">'[17]Func Study'!$AB$866</definedName>
    <definedName name="UAcct596">'[17]Func Study'!$AB$876</definedName>
    <definedName name="UAcct597">'[17]Func Study'!$AB$881</definedName>
    <definedName name="UAcct598">'[17]Func Study'!$AB$886</definedName>
    <definedName name="UAcct901">'[17]Func Study'!$AB$898</definedName>
    <definedName name="UAcct902">'[17]Func Study'!$AB$903</definedName>
    <definedName name="UAcct903">'[17]Func Study'!$AB$908</definedName>
    <definedName name="UAcct904">'[17]Func Study'!$AB$914</definedName>
    <definedName name="Uacct904SG" localSheetId="0">'[19]Functional Study'!#REF!</definedName>
    <definedName name="Uacct904SG" localSheetId="2">'[19]Functional Study'!#REF!</definedName>
    <definedName name="Uacct904SG">'[19]Functional Study'!#REF!</definedName>
    <definedName name="UAcct905">'[17]Func Study'!$AB$919</definedName>
    <definedName name="UAcct907">'[17]Func Study'!$AB$933</definedName>
    <definedName name="UAcct908">'[17]Func Study'!$AB$938</definedName>
    <definedName name="UAcct909">'[17]Func Study'!$AB$943</definedName>
    <definedName name="UAcct910">'[17]Func Study'!$AB$948</definedName>
    <definedName name="UAcct911">'[17]Func Study'!$AB$959</definedName>
    <definedName name="UAcct912">'[17]Func Study'!$AB$964</definedName>
    <definedName name="UAcct913">'[17]Func Study'!$AB$969</definedName>
    <definedName name="UAcct916">'[17]Func Study'!$AB$974</definedName>
    <definedName name="UAcct920">'[17]Func Study'!$AB$985</definedName>
    <definedName name="UAcct920Cn">'[17]Func Study'!$AB$983</definedName>
    <definedName name="UAcct921">'[17]Func Study'!$AB$991</definedName>
    <definedName name="UAcct921Cn">'[17]Func Study'!$AB$989</definedName>
    <definedName name="UAcct923">'[17]Func Study'!$AB$997</definedName>
    <definedName name="UAcct923CAGW">'[17]Func Study'!$AB$995</definedName>
    <definedName name="UAcct924">'[17]Func Study'!$AB$1001</definedName>
    <definedName name="UAcct925">'[17]Func Study'!$AB$1005</definedName>
    <definedName name="UAcct926">'[17]Func Study'!$AB$1011</definedName>
    <definedName name="UAcct927">'[17]Func Study'!$AB$1016</definedName>
    <definedName name="UAcct928">'[17]Func Study'!$AB$1023</definedName>
    <definedName name="UAcct929">'[17]Func Study'!$AB$1028</definedName>
    <definedName name="UAcct930">'[17]Func Study'!$AB$1034</definedName>
    <definedName name="UAcct931">'[17]Func Study'!$AB$1039</definedName>
    <definedName name="UAcct935">'[17]Func Study'!$AB$1045</definedName>
    <definedName name="UAcctAGA">'[17]Func Study'!$AB$296</definedName>
    <definedName name="UAcctcwc">'[17]Func Study'!$AB$2136</definedName>
    <definedName name="UAcctd00">'[17]Func Study'!$AB$1786</definedName>
    <definedName name="UAcctdfa" localSheetId="0">'[17]Func Study'!#REF!</definedName>
    <definedName name="UAcctdfa" localSheetId="2">'[17]Func Study'!#REF!</definedName>
    <definedName name="UAcctdfa">'[17]Func Study'!#REF!</definedName>
    <definedName name="UAcctdfad" localSheetId="0">'[17]Func Study'!#REF!</definedName>
    <definedName name="UAcctdfad" localSheetId="2">'[17]Func Study'!#REF!</definedName>
    <definedName name="UAcctdfad">'[17]Func Study'!#REF!</definedName>
    <definedName name="UAcctdfap" localSheetId="0">'[17]Func Study'!#REF!</definedName>
    <definedName name="UAcctdfap" localSheetId="2">'[17]Func Study'!#REF!</definedName>
    <definedName name="UAcctdfap">'[17]Func Study'!#REF!</definedName>
    <definedName name="UAcctdfat" localSheetId="0">'[17]Func Study'!#REF!</definedName>
    <definedName name="UAcctdfat" localSheetId="2">'[17]Func Study'!#REF!</definedName>
    <definedName name="UAcctdfat">'[17]Func Study'!#REF!</definedName>
    <definedName name="UAcctds0">'[17]Func Study'!$AB$1790</definedName>
    <definedName name="UACCTECDDGP">'[17]Func Study'!$AB$687</definedName>
    <definedName name="UACCTECDMC">'[17]Func Study'!$AB$689</definedName>
    <definedName name="UACCTECDS">'[17]Func Study'!$AB$691</definedName>
    <definedName name="UACCTECDSG1">'[17]Func Study'!$AB$688</definedName>
    <definedName name="UACCTECDSG2">'[17]Func Study'!$AB$690</definedName>
    <definedName name="UACCTECDSG3">'[17]Func Study'!$AB$692</definedName>
    <definedName name="UAcctfit">'[17]Func Study'!$AB$1395</definedName>
    <definedName name="UAcctg00">'[17]Func Study'!$AB$1947</definedName>
    <definedName name="UAccth00">'[17]Func Study'!$AB$1545</definedName>
    <definedName name="UAccti00">'[17]Func Study'!$AB$1993</definedName>
    <definedName name="UAcctn00">'[17]Func Study'!$AB$1496</definedName>
    <definedName name="UAccto00">'[17]Func Study'!$AB$1606</definedName>
    <definedName name="UAcctowc">'[17]Func Study'!$AB$2149</definedName>
    <definedName name="UACCTOWCSSECH">'[17]Func Study'!$AB$2148</definedName>
    <definedName name="UAccts00">'[17]Func Study'!$AB$1455</definedName>
    <definedName name="UAcctsttax">'[17]Func Study'!$AB$1377</definedName>
    <definedName name="UAcctt00">'[17]Func Study'!$AB$1682</definedName>
    <definedName name="UG">[13]CLASSIFIERS!$A$9:$IV$9</definedName>
    <definedName name="UG_NCP">[13]EXTERNAL!$A$82:$IV$84</definedName>
    <definedName name="UG_TFMR">[13]EXTERNAL!$A$103:$IV$105</definedName>
    <definedName name="UG_TFMRC">[13]EXTERNAL!$A$100:$IV$102</definedName>
    <definedName name="UNBILLED">[13]EXTERNAL!$A$64:$IV$66</definedName>
    <definedName name="UNBILREV" localSheetId="0">#REF!</definedName>
    <definedName name="UNBILREV" localSheetId="2">#REF!</definedName>
    <definedName name="UNBILREV">#REF!</definedName>
    <definedName name="UncollectibleAccounts">[22]Variables!$D$25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[22]Variables!$D$29</definedName>
    <definedName name="v" localSheetId="11" hidden="1">{#N/A,#N/A,FALSE,"Coversheet";#N/A,#N/A,FALSE,"QA"}</definedName>
    <definedName name="v" localSheetId="4" hidden="1">{#N/A,#N/A,FALSE,"Coversheet";#N/A,#N/A,FALSE,"QA"}</definedName>
    <definedName name="v" localSheetId="0" hidden="1">{#N/A,#N/A,FALSE,"Coversheet";#N/A,#N/A,FALSE,"QA"}</definedName>
    <definedName name="v" hidden="1">{#N/A,#N/A,FALSE,"Coversheet";#N/A,#N/A,FALSE,"QA"}</definedName>
    <definedName name="ValidAccount">[20]Variables!$AK$43:$AK$369</definedName>
    <definedName name="Value" localSheetId="11" hidden="1">{#N/A,#N/A,FALSE,"Summ";#N/A,#N/A,FALSE,"General"}</definedName>
    <definedName name="Value" localSheetId="4" hidden="1">{#N/A,#N/A,FALSE,"Summ";#N/A,#N/A,FALSE,"General"}</definedName>
    <definedName name="Value" localSheetId="0" hidden="1">{#N/A,#N/A,FALSE,"Summ";#N/A,#N/A,FALSE,"General"}</definedName>
    <definedName name="Value" hidden="1">{#N/A,#N/A,FALSE,"Summ";#N/A,#N/A,FALSE,"General"}</definedName>
    <definedName name="Values_Entered" localSheetId="4">IF(Loan_Amount*Interest_Rate*Loan_Years*Loan_Start&gt;0,1,0)</definedName>
    <definedName name="Values_Entered" localSheetId="0">IF(Loan_Amount*Interest_Rate*Loan_Years*Loan_Start&gt;0,1,0)</definedName>
    <definedName name="Values_Entered" localSheetId="2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" localSheetId="0">[25]Backup!#REF!</definedName>
    <definedName name="VAR" localSheetId="2">[25]Backup!#REF!</definedName>
    <definedName name="VAR">[25]Backup!#REF!</definedName>
    <definedName name="VARIABLE" localSheetId="0">[45]Summary!#REF!</definedName>
    <definedName name="VARIABLE" localSheetId="2">[45]Summary!#REF!</definedName>
    <definedName name="VARIABLE">[45]Summary!#REF!</definedName>
    <definedName name="VOMEsc">[21]Assumptions!$C$21</definedName>
    <definedName name="VOUCHER" localSheetId="0">#REF!</definedName>
    <definedName name="VOUCHER" localSheetId="2">#REF!</definedName>
    <definedName name="VOUCHER">#REF!</definedName>
    <definedName name="w" localSheetId="11" hidden="1">{#N/A,#N/A,FALSE,"Schedule F";#N/A,#N/A,FALSE,"Schedule G"}</definedName>
    <definedName name="w" localSheetId="4" hidden="1">{#N/A,#N/A,FALSE,"Schedule F";#N/A,#N/A,FALSE,"Schedule G"}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ACC">[21]Assumptions!$I$61</definedName>
    <definedName name="WaRevenueTax">[22]Variables!$D$27</definedName>
    <definedName name="we" localSheetId="11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 localSheetId="2">#REF!</definedName>
    <definedName name="WEATHER">#REF!</definedName>
    <definedName name="WEATHRNORM" localSheetId="0">#REF!</definedName>
    <definedName name="WEATHRNORM" localSheetId="2">#REF!</definedName>
    <definedName name="WEATHRNORM">#REF!</definedName>
    <definedName name="WH" localSheetId="11" hidden="1">{#N/A,#N/A,FALSE,"Coversheet";#N/A,#N/A,FALSE,"QA"}</definedName>
    <definedName name="WH" localSheetId="4" hidden="1">{#N/A,#N/A,FALSE,"Coversheet";#N/A,#N/A,FALSE,"QA"}</definedName>
    <definedName name="WH" localSheetId="0" hidden="1">{#N/A,#N/A,FALSE,"Coversheet";#N/A,#N/A,FALSE,"QA"}</definedName>
    <definedName name="WH" hidden="1">{#N/A,#N/A,FALSE,"Coversheet";#N/A,#N/A,FALSE,"QA"}</definedName>
    <definedName name="WIDTH" localSheetId="0">#REF!</definedName>
    <definedName name="WIDTH" localSheetId="2">#REF!</definedName>
    <definedName name="WIDTH">#REF!</definedName>
    <definedName name="Winter">'[63]Input Tab'!$B$11</definedName>
    <definedName name="WinterPeak">'[64]Load Data'!$D$9:$H$12,'[64]Load Data'!$D$20:$H$22</definedName>
    <definedName name="WORK1" localSheetId="0">#REF!</definedName>
    <definedName name="WORK1" localSheetId="2">#REF!</definedName>
    <definedName name="WORK1">#REF!</definedName>
    <definedName name="WORK2" localSheetId="0">#REF!</definedName>
    <definedName name="WORK2" localSheetId="2">#REF!</definedName>
    <definedName name="WORK2">#REF!</definedName>
    <definedName name="WORK3" localSheetId="0">#REF!</definedName>
    <definedName name="WORK3" localSheetId="2">#REF!</definedName>
    <definedName name="WORK3">#REF!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1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1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1" hidden="1">{#N/A,#N/A,FALSE,"schA"}</definedName>
    <definedName name="wrn.ECR." localSheetId="4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11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1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1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1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1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11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11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11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1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11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1" hidden="1">{#N/A,#N/A,FALSE,"7617 Fab";#N/A,#N/A,FALSE,"7617 NSK"}</definedName>
    <definedName name="wrn.SCHEDULE." localSheetId="4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1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11" hidden="1">{#N/A,#N/A,FALSE,"Summ";#N/A,#N/A,FALSE,"General"}</definedName>
    <definedName name="wrn.Summary." localSheetId="4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1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1" hidden="1">{#N/A,#N/A,FALSE,"schA"}</definedName>
    <definedName name="www" localSheetId="4" hidden="1">{#N/A,#N/A,FALSE,"schA"}</definedName>
    <definedName name="www" localSheetId="0" hidden="1">{#N/A,#N/A,FALSE,"schA"}</definedName>
    <definedName name="www" hidden="1">{#N/A,#N/A,FALSE,"schA"}</definedName>
    <definedName name="x" localSheetId="11" hidden="1">{#N/A,#N/A,FALSE,"Coversheet";#N/A,#N/A,FALSE,"QA"}</definedName>
    <definedName name="x" localSheetId="4" hidden="1">{#N/A,#N/A,FALSE,"Coversheet";#N/A,#N/A,FALSE,"QA"}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X" localSheetId="0" hidden="1">{#N/A,#N/A,FALSE,"2002 Small Tool OH";#N/A,#N/A,FALSE,"QA"}</definedName>
    <definedName name="XXXX" hidden="1">{#N/A,#N/A,FALSE,"2002 Small Tool OH";#N/A,#N/A,FALSE,"QA"}</definedName>
    <definedName name="y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 localSheetId="2">#REF!</definedName>
    <definedName name="Year">#REF!</definedName>
    <definedName name="Years_evaluated">'[65]Revison Inputs'!$B$6</definedName>
    <definedName name="YEFactors">[20]Factors!$S$3:$AG$99</definedName>
    <definedName name="YTD_Format">[52]YTD!$B$13:$D$13,[52]YTD!$B$32:$D$32</definedName>
    <definedName name="yuf" localSheetId="11" hidden="1">{#N/A,#N/A,FALSE,"Summ";#N/A,#N/A,FALSE,"General"}</definedName>
    <definedName name="yuf" localSheetId="4" hidden="1">{#N/A,#N/A,FALSE,"Summ";#N/A,#N/A,FALSE,"General"}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11" hidden="1">{#N/A,#N/A,FALSE,"Coversheet";#N/A,#N/A,FALSE,"QA"}</definedName>
    <definedName name="z" localSheetId="4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A" localSheetId="0">'[66] annual balance '!#REF!</definedName>
    <definedName name="ZA" localSheetId="2">'[66] annual balance '!#REF!</definedName>
    <definedName name="ZA">'[66] annual balance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86" l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5" i="72" l="1"/>
  <c r="A36" i="72" s="1"/>
  <c r="K9" i="72"/>
  <c r="L9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L24" i="72" l="1"/>
  <c r="K20" i="72"/>
  <c r="L20" i="72"/>
  <c r="K24" i="72"/>
  <c r="L15" i="72"/>
  <c r="L30" i="72" s="1"/>
  <c r="L34" i="72" s="1"/>
  <c r="F42" i="48"/>
  <c r="F57" i="48" s="1"/>
  <c r="F41" i="48"/>
  <c r="F56" i="48" s="1"/>
  <c r="F40" i="48"/>
  <c r="F55" i="48" s="1"/>
  <c r="F39" i="48"/>
  <c r="F54" i="48" s="1"/>
  <c r="F33" i="48"/>
  <c r="F48" i="48" s="1"/>
  <c r="F32" i="48"/>
  <c r="F47" i="48" s="1"/>
  <c r="F31" i="48"/>
  <c r="F30" i="48"/>
  <c r="C18" i="48"/>
  <c r="H51" i="74"/>
  <c r="I50" i="83"/>
  <c r="C13" i="48" l="1"/>
  <c r="C8" i="48"/>
  <c r="C16" i="48"/>
  <c r="C22" i="48"/>
  <c r="C11" i="48"/>
  <c r="C14" i="48"/>
  <c r="C23" i="48"/>
  <c r="C9" i="48"/>
  <c r="C17" i="48"/>
  <c r="E47" i="48"/>
  <c r="C12" i="48"/>
  <c r="C7" i="48"/>
  <c r="C15" i="48"/>
  <c r="C10" i="48"/>
  <c r="E56" i="48"/>
  <c r="E55" i="48"/>
  <c r="E54" i="48"/>
  <c r="E57" i="48"/>
  <c r="E48" i="48"/>
  <c r="A10" i="74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A52" i="74" s="1"/>
  <c r="A53" i="74" s="1"/>
  <c r="A54" i="74" s="1"/>
  <c r="A55" i="74" s="1"/>
  <c r="T80" i="78" l="1"/>
  <c r="U81" i="77"/>
  <c r="I33" i="74" s="1"/>
  <c r="AK81" i="77"/>
  <c r="AC81" i="77"/>
  <c r="M81" i="77"/>
  <c r="E81" i="77"/>
  <c r="I9" i="74" s="1"/>
  <c r="L80" i="78"/>
  <c r="D80" i="78"/>
  <c r="C81" i="77"/>
  <c r="AM81" i="77"/>
  <c r="AE81" i="77"/>
  <c r="I45" i="74" s="1"/>
  <c r="W81" i="77"/>
  <c r="O81" i="77"/>
  <c r="G81" i="77"/>
  <c r="AL81" i="77"/>
  <c r="AD81" i="77"/>
  <c r="V81" i="77"/>
  <c r="N81" i="77"/>
  <c r="F81" i="77"/>
  <c r="S80" i="78"/>
  <c r="K80" i="78"/>
  <c r="R80" i="78"/>
  <c r="I38" i="74" s="1"/>
  <c r="J80" i="78"/>
  <c r="AJ81" i="77"/>
  <c r="AB81" i="77"/>
  <c r="T81" i="77"/>
  <c r="I29" i="74" s="1"/>
  <c r="L81" i="77"/>
  <c r="D81" i="77"/>
  <c r="I47" i="74" s="1"/>
  <c r="Y80" i="78"/>
  <c r="Q80" i="78"/>
  <c r="I34" i="74" s="1"/>
  <c r="I80" i="78"/>
  <c r="AQ81" i="77"/>
  <c r="I51" i="74" s="1"/>
  <c r="J51" i="74" s="1"/>
  <c r="AI81" i="77"/>
  <c r="AA81" i="77"/>
  <c r="S81" i="77"/>
  <c r="K81" i="77"/>
  <c r="X80" i="78"/>
  <c r="P80" i="78"/>
  <c r="I30" i="74" s="1"/>
  <c r="H80" i="78"/>
  <c r="AP81" i="77"/>
  <c r="AH81" i="77"/>
  <c r="Z81" i="77"/>
  <c r="R81" i="77"/>
  <c r="J81" i="77"/>
  <c r="C80" i="78"/>
  <c r="W80" i="78"/>
  <c r="O80" i="78"/>
  <c r="G80" i="78"/>
  <c r="AO81" i="77"/>
  <c r="AG81" i="77"/>
  <c r="Y81" i="77"/>
  <c r="Q81" i="77"/>
  <c r="I21" i="74" s="1"/>
  <c r="I81" i="77"/>
  <c r="V80" i="78"/>
  <c r="N80" i="78"/>
  <c r="F80" i="78"/>
  <c r="AN81" i="77"/>
  <c r="AF81" i="77"/>
  <c r="X81" i="77"/>
  <c r="I41" i="74" s="1"/>
  <c r="P81" i="77"/>
  <c r="I17" i="74" s="1"/>
  <c r="H81" i="77"/>
  <c r="U80" i="78"/>
  <c r="I42" i="74" s="1"/>
  <c r="M80" i="78"/>
  <c r="I22" i="74" s="1"/>
  <c r="E80" i="78"/>
  <c r="I37" i="74"/>
  <c r="C20" i="48"/>
  <c r="I26" i="74" l="1"/>
  <c r="I14" i="74"/>
  <c r="I25" i="74"/>
  <c r="I13" i="74"/>
  <c r="I53" i="74"/>
  <c r="J53" i="74" s="1"/>
  <c r="I18" i="74"/>
  <c r="I11" i="74"/>
  <c r="J17" i="85"/>
  <c r="J12" i="85"/>
  <c r="K10" i="85"/>
  <c r="G5" i="85"/>
  <c r="G4" i="85"/>
  <c r="A60" i="81"/>
  <c r="A59" i="81"/>
  <c r="A57" i="81"/>
  <c r="A56" i="81"/>
  <c r="A54" i="81"/>
  <c r="A53" i="81"/>
  <c r="A52" i="81"/>
  <c r="A51" i="81"/>
  <c r="A50" i="81"/>
  <c r="A49" i="81"/>
  <c r="A48" i="81"/>
  <c r="A47" i="81"/>
  <c r="A46" i="81"/>
  <c r="A43" i="81"/>
  <c r="A42" i="81"/>
  <c r="A41" i="81"/>
  <c r="A40" i="81"/>
  <c r="A38" i="81"/>
  <c r="A36" i="81"/>
  <c r="A35" i="81"/>
  <c r="A34" i="81"/>
  <c r="A33" i="81"/>
  <c r="A32" i="81"/>
  <c r="A31" i="81"/>
  <c r="A30" i="81"/>
  <c r="A29" i="81"/>
  <c r="A26" i="81"/>
  <c r="A25" i="81"/>
  <c r="A24" i="81"/>
  <c r="A23" i="81"/>
  <c r="A22" i="81"/>
  <c r="A21" i="81"/>
  <c r="A20" i="81"/>
  <c r="A17" i="81"/>
  <c r="A16" i="81"/>
  <c r="A15" i="81"/>
  <c r="A14" i="81"/>
  <c r="A13" i="81"/>
  <c r="A10" i="81"/>
  <c r="A9" i="81"/>
  <c r="A8" i="81"/>
  <c r="A7" i="81"/>
  <c r="C49" i="81" l="1"/>
  <c r="E12" i="85"/>
  <c r="E14" i="85" s="1"/>
  <c r="E16" i="85" s="1"/>
  <c r="E17" i="85" s="1"/>
  <c r="E18" i="85" s="1"/>
  <c r="K12" i="85"/>
  <c r="K14" i="85" s="1"/>
  <c r="K16" i="85" s="1"/>
  <c r="C36" i="81"/>
  <c r="C26" i="81"/>
  <c r="C17" i="81"/>
  <c r="C10" i="81"/>
  <c r="C53" i="81"/>
  <c r="K17" i="85" l="1"/>
  <c r="K18" i="85" s="1"/>
  <c r="C56" i="81" s="1"/>
  <c r="C38" i="81"/>
  <c r="C43" i="81" s="1"/>
  <c r="C54" i="81" s="1"/>
  <c r="C57" i="81" l="1"/>
  <c r="G49" i="74" s="1"/>
  <c r="C59" i="81"/>
  <c r="G55" i="74" l="1"/>
  <c r="C60" i="81"/>
  <c r="D49" i="74"/>
  <c r="D47" i="74"/>
  <c r="D45" i="74"/>
  <c r="D43" i="74"/>
  <c r="D39" i="74"/>
  <c r="D35" i="74"/>
  <c r="D31" i="74"/>
  <c r="D27" i="74"/>
  <c r="D23" i="74"/>
  <c r="D19" i="74"/>
  <c r="D15" i="74"/>
  <c r="D11" i="74"/>
  <c r="D9" i="74"/>
  <c r="I48" i="83"/>
  <c r="P52" i="83"/>
  <c r="L52" i="83"/>
  <c r="N50" i="83"/>
  <c r="J50" i="83"/>
  <c r="A9" i="83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A54" i="83" s="1"/>
  <c r="P50" i="83" l="1"/>
  <c r="I54" i="83"/>
  <c r="O59" i="83"/>
  <c r="K59" i="83"/>
  <c r="L50" i="83"/>
  <c r="F48" i="83"/>
  <c r="G46" i="83" s="1"/>
  <c r="E47" i="74" s="1"/>
  <c r="F47" i="74" s="1"/>
  <c r="D48" i="83"/>
  <c r="H47" i="74" l="1"/>
  <c r="J47" i="74" s="1"/>
  <c r="Q50" i="83"/>
  <c r="G42" i="83"/>
  <c r="G14" i="83"/>
  <c r="E15" i="74" s="1"/>
  <c r="F15" i="74" s="1"/>
  <c r="G18" i="83"/>
  <c r="G26" i="83"/>
  <c r="G44" i="83"/>
  <c r="G34" i="83"/>
  <c r="G38" i="83"/>
  <c r="G22" i="83"/>
  <c r="G30" i="83"/>
  <c r="G8" i="83"/>
  <c r="F59" i="83"/>
  <c r="G10" i="83"/>
  <c r="D59" i="83"/>
  <c r="H46" i="83"/>
  <c r="J46" i="83" s="1"/>
  <c r="L46" i="83" s="1"/>
  <c r="D28" i="86" s="1"/>
  <c r="H28" i="86" l="1"/>
  <c r="H10" i="83"/>
  <c r="J10" i="83" s="1"/>
  <c r="L10" i="83" s="1"/>
  <c r="D12" i="86" s="1"/>
  <c r="E11" i="74"/>
  <c r="F11" i="74" s="1"/>
  <c r="H11" i="74" s="1"/>
  <c r="J11" i="74" s="1"/>
  <c r="H42" i="83"/>
  <c r="J42" i="83" s="1"/>
  <c r="E43" i="74"/>
  <c r="F43" i="74" s="1"/>
  <c r="H18" i="83"/>
  <c r="N18" i="83" s="1"/>
  <c r="E19" i="74"/>
  <c r="F19" i="74" s="1"/>
  <c r="H44" i="83"/>
  <c r="J44" i="83" s="1"/>
  <c r="L44" i="83" s="1"/>
  <c r="D26" i="86" s="1"/>
  <c r="E45" i="74"/>
  <c r="F45" i="74" s="1"/>
  <c r="H26" i="83"/>
  <c r="N26" i="83" s="1"/>
  <c r="N24" i="83" s="1"/>
  <c r="P24" i="83" s="1"/>
  <c r="E27" i="74"/>
  <c r="F27" i="74" s="1"/>
  <c r="H8" i="83"/>
  <c r="J8" i="83" s="1"/>
  <c r="E9" i="74"/>
  <c r="F9" i="74" s="1"/>
  <c r="H14" i="83"/>
  <c r="J14" i="83" s="1"/>
  <c r="J12" i="83" s="1"/>
  <c r="L12" i="83" s="1"/>
  <c r="D13" i="86" s="1"/>
  <c r="H38" i="83"/>
  <c r="N38" i="83" s="1"/>
  <c r="E39" i="74"/>
  <c r="F39" i="74" s="1"/>
  <c r="H15" i="74"/>
  <c r="H30" i="83"/>
  <c r="N30" i="83" s="1"/>
  <c r="N28" i="83" s="1"/>
  <c r="P28" i="83" s="1"/>
  <c r="E31" i="74"/>
  <c r="F31" i="74" s="1"/>
  <c r="H22" i="83"/>
  <c r="J22" i="83" s="1"/>
  <c r="J21" i="83" s="1"/>
  <c r="L21" i="83" s="1"/>
  <c r="E15" i="86" s="1"/>
  <c r="E23" i="74"/>
  <c r="F23" i="74" s="1"/>
  <c r="H34" i="83"/>
  <c r="J34" i="83" s="1"/>
  <c r="J33" i="83" s="1"/>
  <c r="L33" i="83" s="1"/>
  <c r="E20" i="86" s="1"/>
  <c r="E35" i="74"/>
  <c r="F35" i="74" s="1"/>
  <c r="G48" i="83"/>
  <c r="N46" i="83"/>
  <c r="P46" i="83" s="1"/>
  <c r="Q46" i="83" s="1"/>
  <c r="E6" i="83"/>
  <c r="N10" i="83"/>
  <c r="P10" i="83" s="1"/>
  <c r="Q10" i="83" s="1"/>
  <c r="N25" i="83"/>
  <c r="P25" i="83" s="1"/>
  <c r="J41" i="83"/>
  <c r="L41" i="83" s="1"/>
  <c r="F24" i="86" s="1"/>
  <c r="J40" i="83"/>
  <c r="L40" i="83" s="1"/>
  <c r="D24" i="86" s="1"/>
  <c r="J18" i="83" l="1"/>
  <c r="N42" i="83"/>
  <c r="N40" i="83" s="1"/>
  <c r="P40" i="83" s="1"/>
  <c r="H14" i="74"/>
  <c r="J14" i="74" s="1"/>
  <c r="N29" i="83"/>
  <c r="P29" i="83" s="1"/>
  <c r="J26" i="83"/>
  <c r="J25" i="83" s="1"/>
  <c r="L25" i="83" s="1"/>
  <c r="E18" i="86" s="1"/>
  <c r="N22" i="83"/>
  <c r="N20" i="83" s="1"/>
  <c r="P20" i="83" s="1"/>
  <c r="N8" i="83"/>
  <c r="J30" i="83"/>
  <c r="J28" i="83" s="1"/>
  <c r="L28" i="83" s="1"/>
  <c r="D19" i="86" s="1"/>
  <c r="J13" i="83"/>
  <c r="L13" i="83" s="1"/>
  <c r="E13" i="86" s="1"/>
  <c r="N14" i="83"/>
  <c r="H48" i="83"/>
  <c r="I13" i="86"/>
  <c r="H12" i="86"/>
  <c r="H13" i="74"/>
  <c r="J13" i="74" s="1"/>
  <c r="H45" i="74"/>
  <c r="J45" i="74" s="1"/>
  <c r="H35" i="74"/>
  <c r="H19" i="74"/>
  <c r="H23" i="74"/>
  <c r="H39" i="74"/>
  <c r="N44" i="83"/>
  <c r="P44" i="83" s="1"/>
  <c r="Q44" i="83" s="1"/>
  <c r="H9" i="74"/>
  <c r="J9" i="74" s="1"/>
  <c r="F49" i="74"/>
  <c r="H43" i="74"/>
  <c r="G6" i="83"/>
  <c r="E49" i="74"/>
  <c r="J38" i="83"/>
  <c r="H31" i="74"/>
  <c r="H27" i="74"/>
  <c r="J32" i="83"/>
  <c r="L32" i="83" s="1"/>
  <c r="D20" i="86" s="1"/>
  <c r="N34" i="83"/>
  <c r="N32" i="83" s="1"/>
  <c r="P32" i="83" s="1"/>
  <c r="J20" i="83"/>
  <c r="L20" i="83" s="1"/>
  <c r="J29" i="83"/>
  <c r="L29" i="83" s="1"/>
  <c r="L8" i="83"/>
  <c r="D9" i="86" s="1"/>
  <c r="E36" i="48" s="1"/>
  <c r="E51" i="48" s="1"/>
  <c r="P8" i="83"/>
  <c r="J17" i="83"/>
  <c r="L17" i="83" s="1"/>
  <c r="E14" i="86" s="1"/>
  <c r="J16" i="83"/>
  <c r="L16" i="83" s="1"/>
  <c r="D14" i="86" s="1"/>
  <c r="N37" i="83"/>
  <c r="P37" i="83" s="1"/>
  <c r="N36" i="83"/>
  <c r="P36" i="83" s="1"/>
  <c r="Q40" i="83"/>
  <c r="N17" i="83"/>
  <c r="P17" i="83" s="1"/>
  <c r="N16" i="83"/>
  <c r="P16" i="83" s="1"/>
  <c r="Q25" i="83" l="1"/>
  <c r="J24" i="83"/>
  <c r="L24" i="83" s="1"/>
  <c r="D18" i="86" s="1"/>
  <c r="N41" i="83"/>
  <c r="P41" i="83" s="1"/>
  <c r="Q41" i="83" s="1"/>
  <c r="J48" i="83"/>
  <c r="J54" i="83" s="1"/>
  <c r="N21" i="83"/>
  <c r="P21" i="83" s="1"/>
  <c r="Q21" i="83" s="1"/>
  <c r="Q28" i="83"/>
  <c r="K10" i="61"/>
  <c r="J36" i="83"/>
  <c r="L36" i="83" s="1"/>
  <c r="D23" i="86" s="1"/>
  <c r="J37" i="83"/>
  <c r="L37" i="83" s="1"/>
  <c r="F23" i="86" s="1"/>
  <c r="Q24" i="83"/>
  <c r="Q29" i="83"/>
  <c r="E19" i="86"/>
  <c r="Q20" i="83"/>
  <c r="D15" i="86"/>
  <c r="N12" i="83"/>
  <c r="P12" i="83" s="1"/>
  <c r="Q12" i="83" s="1"/>
  <c r="N13" i="83"/>
  <c r="P13" i="83" s="1"/>
  <c r="Q13" i="83" s="1"/>
  <c r="Q32" i="83"/>
  <c r="H26" i="86"/>
  <c r="H13" i="86"/>
  <c r="H38" i="74"/>
  <c r="J38" i="74" s="1"/>
  <c r="H34" i="74"/>
  <c r="J34" i="74" s="1"/>
  <c r="H25" i="74"/>
  <c r="J25" i="74" s="1"/>
  <c r="H30" i="74"/>
  <c r="J30" i="74" s="1"/>
  <c r="H22" i="74"/>
  <c r="J22" i="74" s="1"/>
  <c r="H42" i="74"/>
  <c r="J42" i="74" s="1"/>
  <c r="H17" i="74"/>
  <c r="J17" i="74" s="1"/>
  <c r="H18" i="74"/>
  <c r="J18" i="74" s="1"/>
  <c r="H21" i="74"/>
  <c r="J21" i="74" s="1"/>
  <c r="H49" i="74"/>
  <c r="H55" i="74" s="1"/>
  <c r="H9" i="86"/>
  <c r="F36" i="48" s="1"/>
  <c r="H41" i="74"/>
  <c r="J41" i="74" s="1"/>
  <c r="H26" i="74"/>
  <c r="J26" i="74" s="1"/>
  <c r="N33" i="83"/>
  <c r="P33" i="83" s="1"/>
  <c r="Q33" i="83" s="1"/>
  <c r="H29" i="74"/>
  <c r="J29" i="74" s="1"/>
  <c r="H33" i="74"/>
  <c r="J33" i="74" s="1"/>
  <c r="N48" i="83"/>
  <c r="N54" i="83" s="1"/>
  <c r="H37" i="74"/>
  <c r="J37" i="74" s="1"/>
  <c r="Q36" i="83"/>
  <c r="Q8" i="83"/>
  <c r="Q16" i="83"/>
  <c r="Q17" i="83"/>
  <c r="Q37" i="83" l="1"/>
  <c r="H90" i="61"/>
  <c r="H42" i="61"/>
  <c r="K42" i="61" s="1"/>
  <c r="H24" i="86"/>
  <c r="I20" i="86"/>
  <c r="I18" i="86"/>
  <c r="H23" i="86"/>
  <c r="H15" i="86"/>
  <c r="J23" i="86"/>
  <c r="H20" i="86"/>
  <c r="I19" i="86"/>
  <c r="J24" i="86"/>
  <c r="I15" i="86"/>
  <c r="I14" i="86"/>
  <c r="H19" i="86"/>
  <c r="H14" i="86"/>
  <c r="H18" i="86"/>
  <c r="Q48" i="83"/>
  <c r="Q54" i="83" s="1"/>
  <c r="B68" i="78" l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56" i="78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44" i="78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32" i="78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20" i="78" l="1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A19" i="78"/>
  <c r="B8" i="78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A8" i="78"/>
  <c r="A9" i="78" s="1"/>
  <c r="A10" i="78" s="1"/>
  <c r="A11" i="78" s="1"/>
  <c r="A12" i="78" s="1"/>
  <c r="A13" i="78" s="1"/>
  <c r="A14" i="78" s="1"/>
  <c r="A15" i="78" s="1"/>
  <c r="A16" i="78" s="1"/>
  <c r="A17" i="78" s="1"/>
  <c r="A18" i="78" s="1"/>
  <c r="A20" i="77"/>
  <c r="A32" i="77" s="1"/>
  <c r="A44" i="77" s="1"/>
  <c r="A56" i="77" s="1"/>
  <c r="A68" i="77" s="1"/>
  <c r="U3" i="77"/>
  <c r="U2" i="77"/>
  <c r="U1" i="77"/>
  <c r="A20" i="78" l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/>
  <c r="A32" i="78" l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/>
  <c r="A44" i="78" l="1"/>
  <c r="A45" i="78" s="1"/>
  <c r="A46" i="78" s="1"/>
  <c r="A47" i="78" s="1"/>
  <c r="A48" i="78" s="1"/>
  <c r="A49" i="78" s="1"/>
  <c r="A50" i="78" s="1"/>
  <c r="A51" i="78" s="1"/>
  <c r="A52" i="78" s="1"/>
  <c r="A53" i="78" s="1"/>
  <c r="A54" i="78" s="1"/>
  <c r="A55" i="78"/>
  <c r="A56" i="78" l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/>
  <c r="A68" i="78" s="1"/>
  <c r="A69" i="78" s="1"/>
  <c r="A70" i="78" s="1"/>
  <c r="A71" i="78" s="1"/>
  <c r="A72" i="78" s="1"/>
  <c r="A73" i="78" s="1"/>
  <c r="A74" i="78" s="1"/>
  <c r="A75" i="78" s="1"/>
  <c r="A76" i="78" s="1"/>
  <c r="A77" i="78" s="1"/>
  <c r="A78" i="78" s="1"/>
  <c r="A80" i="78" l="1"/>
  <c r="A1" i="74" l="1"/>
  <c r="A2" i="74"/>
  <c r="A3" i="74"/>
  <c r="A4" i="74"/>
  <c r="A3" i="61" l="1"/>
  <c r="A2" i="61"/>
  <c r="A1" i="61"/>
  <c r="A3" i="48"/>
  <c r="F66" i="48"/>
  <c r="F65" i="48"/>
  <c r="F64" i="48"/>
  <c r="F60" i="48"/>
  <c r="F45" i="48"/>
  <c r="E28" i="48"/>
  <c r="F27" i="48"/>
  <c r="H15" i="48" l="1"/>
  <c r="H7" i="48"/>
  <c r="H10" i="48"/>
  <c r="H12" i="48"/>
  <c r="H17" i="48"/>
  <c r="H9" i="48"/>
  <c r="H23" i="48"/>
  <c r="H14" i="48"/>
  <c r="H11" i="48"/>
  <c r="H22" i="48"/>
  <c r="H16" i="48"/>
  <c r="H8" i="48"/>
  <c r="H18" i="48"/>
  <c r="H13" i="48"/>
  <c r="F28" i="48"/>
  <c r="E46" i="48"/>
  <c r="F46" i="48"/>
  <c r="H20" i="48" l="1"/>
  <c r="B162" i="6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74" i="61" s="1"/>
  <c r="B175" i="61" s="1"/>
  <c r="B157" i="61"/>
  <c r="B158" i="61" s="1"/>
  <c r="B147" i="61"/>
  <c r="B148" i="61" s="1"/>
  <c r="B149" i="61" s="1"/>
  <c r="B150" i="61" s="1"/>
  <c r="B140" i="61"/>
  <c r="B152" i="61" s="1"/>
  <c r="B153" i="61" s="1"/>
  <c r="B154" i="61" s="1"/>
  <c r="B155" i="61" s="1"/>
  <c r="B116" i="61"/>
  <c r="B117" i="61" s="1"/>
  <c r="B118" i="61" s="1"/>
  <c r="B119" i="61" s="1"/>
  <c r="B120" i="61" s="1"/>
  <c r="B122" i="61" s="1"/>
  <c r="B94" i="61"/>
  <c r="B95" i="61" s="1"/>
  <c r="B96" i="61" s="1"/>
  <c r="B97" i="61" s="1"/>
  <c r="B98" i="61" s="1"/>
  <c r="B99" i="61" s="1"/>
  <c r="B100" i="61" s="1"/>
  <c r="B103" i="61" s="1"/>
  <c r="B64" i="61"/>
  <c r="B65" i="61" s="1"/>
  <c r="B66" i="61" s="1"/>
  <c r="B67" i="61" s="1"/>
  <c r="B68" i="61" s="1"/>
  <c r="B69" i="61" s="1"/>
  <c r="B70" i="61" s="1"/>
  <c r="B71" i="61" s="1"/>
  <c r="B73" i="61" s="1"/>
  <c r="B74" i="61" s="1"/>
  <c r="B75" i="61" s="1"/>
  <c r="B76" i="61" s="1"/>
  <c r="B77" i="61" s="1"/>
  <c r="C58" i="61"/>
  <c r="C59" i="61" s="1"/>
  <c r="C60" i="61" s="1"/>
  <c r="B46" i="61"/>
  <c r="B47" i="61" s="1"/>
  <c r="B48" i="61" s="1"/>
  <c r="B49" i="61" s="1"/>
  <c r="B27" i="61"/>
  <c r="B28" i="61" s="1"/>
  <c r="B29" i="61" s="1"/>
  <c r="I19" i="61"/>
  <c r="A10" i="6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A63" i="61" s="1"/>
  <c r="A64" i="61" s="1"/>
  <c r="A65" i="61" s="1"/>
  <c r="A66" i="61" s="1"/>
  <c r="A67" i="61" s="1"/>
  <c r="A68" i="61" s="1"/>
  <c r="A69" i="61" s="1"/>
  <c r="A70" i="61" s="1"/>
  <c r="A71" i="61" s="1"/>
  <c r="A72" i="61" s="1"/>
  <c r="A73" i="61" s="1"/>
  <c r="A74" i="61" s="1"/>
  <c r="A75" i="61" s="1"/>
  <c r="A76" i="61" s="1"/>
  <c r="A77" i="61" s="1"/>
  <c r="A78" i="61" s="1"/>
  <c r="A79" i="61" s="1"/>
  <c r="A80" i="61" s="1"/>
  <c r="A81" i="61" s="1"/>
  <c r="A82" i="61" s="1"/>
  <c r="A83" i="61" s="1"/>
  <c r="A84" i="61" s="1"/>
  <c r="A85" i="61" s="1"/>
  <c r="A86" i="61" s="1"/>
  <c r="A87" i="61" s="1"/>
  <c r="A88" i="61" s="1"/>
  <c r="A89" i="61" s="1"/>
  <c r="A90" i="61" s="1"/>
  <c r="A91" i="61" s="1"/>
  <c r="A92" i="61" s="1"/>
  <c r="A93" i="61" s="1"/>
  <c r="A94" i="61" s="1"/>
  <c r="A95" i="61" s="1"/>
  <c r="A96" i="61" s="1"/>
  <c r="A97" i="61" s="1"/>
  <c r="A98" i="61" s="1"/>
  <c r="A99" i="61" s="1"/>
  <c r="A100" i="61" s="1"/>
  <c r="A101" i="61" s="1"/>
  <c r="A102" i="61" s="1"/>
  <c r="A103" i="61" s="1"/>
  <c r="A104" i="61" s="1"/>
  <c r="A105" i="61" s="1"/>
  <c r="A106" i="61" s="1"/>
  <c r="A107" i="61" s="1"/>
  <c r="A108" i="61" s="1"/>
  <c r="A109" i="61" s="1"/>
  <c r="A110" i="61" s="1"/>
  <c r="A111" i="61" s="1"/>
  <c r="A112" i="61" s="1"/>
  <c r="A113" i="61" s="1"/>
  <c r="A114" i="61" s="1"/>
  <c r="A115" i="61" s="1"/>
  <c r="A116" i="61" s="1"/>
  <c r="A117" i="61" s="1"/>
  <c r="A118" i="61" s="1"/>
  <c r="A119" i="61" s="1"/>
  <c r="A120" i="61" s="1"/>
  <c r="A121" i="61" s="1"/>
  <c r="A122" i="61" s="1"/>
  <c r="A123" i="61" s="1"/>
  <c r="A124" i="61" s="1"/>
  <c r="A125" i="61" s="1"/>
  <c r="A126" i="61" s="1"/>
  <c r="A127" i="61" s="1"/>
  <c r="A128" i="61" s="1"/>
  <c r="A129" i="61" s="1"/>
  <c r="A130" i="61" s="1"/>
  <c r="A131" i="61" s="1"/>
  <c r="A132" i="61" s="1"/>
  <c r="A133" i="61" s="1"/>
  <c r="A134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A145" i="61" s="1"/>
  <c r="A146" i="61" s="1"/>
  <c r="A147" i="61" s="1"/>
  <c r="A148" i="61" s="1"/>
  <c r="A149" i="61" s="1"/>
  <c r="A150" i="61" s="1"/>
  <c r="A151" i="61" s="1"/>
  <c r="A152" i="61" s="1"/>
  <c r="A153" i="61" s="1"/>
  <c r="A154" i="61" s="1"/>
  <c r="A155" i="61" s="1"/>
  <c r="A156" i="61" s="1"/>
  <c r="A157" i="61" s="1"/>
  <c r="A158" i="61" s="1"/>
  <c r="A159" i="61" s="1"/>
  <c r="A160" i="61" s="1"/>
  <c r="A161" i="61" s="1"/>
  <c r="A162" i="61" s="1"/>
  <c r="A163" i="61" s="1"/>
  <c r="A164" i="61" s="1"/>
  <c r="A165" i="61" s="1"/>
  <c r="A166" i="61" s="1"/>
  <c r="A167" i="61" s="1"/>
  <c r="A168" i="61" s="1"/>
  <c r="A169" i="61" s="1"/>
  <c r="A170" i="61" s="1"/>
  <c r="A171" i="61" s="1"/>
  <c r="A172" i="61" s="1"/>
  <c r="A173" i="61" s="1"/>
  <c r="A174" i="61" s="1"/>
  <c r="A175" i="61" s="1"/>
  <c r="B101" i="61" l="1"/>
  <c r="B104" i="61" s="1"/>
  <c r="B105" i="61" s="1"/>
  <c r="B106" i="61" s="1"/>
  <c r="B107" i="61" s="1"/>
  <c r="B108" i="61" s="1"/>
  <c r="B109" i="61" s="1"/>
  <c r="B110" i="61" s="1"/>
  <c r="B111" i="61" s="1"/>
  <c r="B112" i="61" s="1"/>
  <c r="B141" i="61"/>
  <c r="B142" i="61" s="1"/>
  <c r="B143" i="61" s="1"/>
  <c r="B144" i="61" s="1"/>
  <c r="I13" i="61"/>
  <c r="I15" i="61"/>
  <c r="I16" i="61"/>
  <c r="I20" i="61"/>
  <c r="I17" i="61"/>
  <c r="B54" i="61"/>
  <c r="B50" i="61"/>
  <c r="I18" i="61"/>
  <c r="I14" i="61"/>
  <c r="B80" i="61"/>
  <c r="B78" i="6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I21" i="61" l="1"/>
  <c r="B55" i="61"/>
  <c r="B51" i="61"/>
  <c r="I22" i="61" l="1"/>
  <c r="B52" i="61"/>
  <c r="B57" i="61" s="1"/>
  <c r="B58" i="61" s="1"/>
  <c r="B59" i="61" s="1"/>
  <c r="B60" i="61" s="1"/>
  <c r="B56" i="61"/>
  <c r="G141" i="61" l="1"/>
  <c r="J141" i="61" s="1"/>
  <c r="G148" i="61"/>
  <c r="J148" i="61" s="1"/>
  <c r="G116" i="61"/>
  <c r="J116" i="61" s="1"/>
  <c r="G152" i="61"/>
  <c r="J152" i="61" s="1"/>
  <c r="G175" i="61"/>
  <c r="J175" i="61" s="1"/>
  <c r="G153" i="61"/>
  <c r="J153" i="61" s="1"/>
  <c r="G126" i="61"/>
  <c r="J126" i="61" s="1"/>
  <c r="G155" i="61"/>
  <c r="J155" i="61" s="1"/>
  <c r="G154" i="61"/>
  <c r="J154" i="61" s="1"/>
  <c r="G147" i="61"/>
  <c r="J147" i="61" s="1"/>
  <c r="G161" i="61"/>
  <c r="J161" i="61" s="1"/>
  <c r="G118" i="61"/>
  <c r="J118" i="61" s="1"/>
  <c r="G142" i="61"/>
  <c r="J142" i="61" s="1"/>
  <c r="G140" i="61"/>
  <c r="J140" i="61" s="1"/>
  <c r="G124" i="61"/>
  <c r="J124" i="61" s="1"/>
  <c r="G146" i="61"/>
  <c r="J146" i="61" s="1"/>
  <c r="G165" i="61"/>
  <c r="J165" i="61" s="1"/>
  <c r="G115" i="61"/>
  <c r="J115" i="61" s="1"/>
  <c r="G150" i="61"/>
  <c r="J150" i="61" s="1"/>
  <c r="G130" i="61"/>
  <c r="J130" i="61" s="1"/>
  <c r="G170" i="61"/>
  <c r="J170" i="61" s="1"/>
  <c r="G167" i="61"/>
  <c r="J167" i="61" s="1"/>
  <c r="G169" i="61"/>
  <c r="J169" i="61" s="1"/>
  <c r="G171" i="61"/>
  <c r="J171" i="61" s="1"/>
  <c r="G144" i="61"/>
  <c r="J144" i="61" s="1"/>
  <c r="G172" i="61"/>
  <c r="J172" i="61" s="1"/>
  <c r="G131" i="61"/>
  <c r="J131" i="61" s="1"/>
  <c r="G163" i="61"/>
  <c r="J163" i="61" s="1"/>
  <c r="G149" i="61"/>
  <c r="J149" i="61" s="1"/>
  <c r="G143" i="61"/>
  <c r="J143" i="61" s="1"/>
  <c r="G122" i="61"/>
  <c r="J122" i="61" s="1"/>
  <c r="G162" i="61"/>
  <c r="J162" i="61" s="1"/>
  <c r="G120" i="61"/>
  <c r="J120" i="61" s="1"/>
  <c r="G132" i="61"/>
  <c r="J132" i="61" s="1"/>
  <c r="G128" i="61"/>
  <c r="J128" i="61" s="1"/>
  <c r="G157" i="61"/>
  <c r="J157" i="61" s="1"/>
  <c r="G117" i="61"/>
  <c r="J117" i="61" s="1"/>
  <c r="G127" i="61"/>
  <c r="J127" i="61" s="1"/>
  <c r="G168" i="61"/>
  <c r="J168" i="61" s="1"/>
  <c r="G174" i="61"/>
  <c r="J174" i="61" s="1"/>
  <c r="G129" i="61"/>
  <c r="J129" i="61" s="1"/>
  <c r="G119" i="61"/>
  <c r="J119" i="61" s="1"/>
  <c r="G166" i="61"/>
  <c r="J166" i="61" s="1"/>
  <c r="G136" i="61"/>
  <c r="J136" i="61" s="1"/>
  <c r="J19" i="61" s="1"/>
  <c r="G125" i="61"/>
  <c r="J125" i="61" s="1"/>
  <c r="G133" i="61"/>
  <c r="J133" i="61" s="1"/>
  <c r="G158" i="61"/>
  <c r="J158" i="61" s="1"/>
  <c r="G160" i="61"/>
  <c r="J160" i="61" s="1"/>
  <c r="G164" i="61"/>
  <c r="J164" i="61" s="1"/>
  <c r="G139" i="61"/>
  <c r="J139" i="61" s="1"/>
  <c r="G173" i="61"/>
  <c r="J173" i="61" s="1"/>
  <c r="G90" i="61" l="1"/>
  <c r="J90" i="61" s="1"/>
  <c r="G42" i="61"/>
  <c r="J42" i="61" s="1"/>
  <c r="G40" i="61"/>
  <c r="J40" i="61" s="1"/>
  <c r="G94" i="61"/>
  <c r="G51" i="61"/>
  <c r="J51" i="61" s="1"/>
  <c r="G100" i="61"/>
  <c r="G104" i="61"/>
  <c r="G81" i="61"/>
  <c r="G66" i="61"/>
  <c r="J66" i="61" s="1"/>
  <c r="G86" i="61"/>
  <c r="G75" i="61"/>
  <c r="G34" i="61"/>
  <c r="J34" i="61" s="1"/>
  <c r="G103" i="61"/>
  <c r="G82" i="61"/>
  <c r="G95" i="61"/>
  <c r="J18" i="61"/>
  <c r="G49" i="61"/>
  <c r="J49" i="61" s="1"/>
  <c r="G70" i="61"/>
  <c r="J70" i="61" s="1"/>
  <c r="G85" i="61"/>
  <c r="G109" i="61"/>
  <c r="G57" i="61"/>
  <c r="J57" i="61" s="1"/>
  <c r="G52" i="61"/>
  <c r="J52" i="61" s="1"/>
  <c r="G54" i="61"/>
  <c r="J54" i="61" s="1"/>
  <c r="G111" i="61"/>
  <c r="G106" i="61"/>
  <c r="G89" i="61"/>
  <c r="G99" i="61"/>
  <c r="G58" i="61"/>
  <c r="J58" i="61" s="1"/>
  <c r="G105" i="61"/>
  <c r="G55" i="61"/>
  <c r="J55" i="61" s="1"/>
  <c r="G29" i="61"/>
  <c r="J29" i="61" s="1"/>
  <c r="G56" i="61"/>
  <c r="J56" i="61" s="1"/>
  <c r="G32" i="61"/>
  <c r="J32" i="61" s="1"/>
  <c r="G45" i="61"/>
  <c r="J45" i="61" s="1"/>
  <c r="G65" i="61"/>
  <c r="J65" i="61" s="1"/>
  <c r="G63" i="61"/>
  <c r="J63" i="61" s="1"/>
  <c r="G36" i="61"/>
  <c r="J36" i="61" s="1"/>
  <c r="G47" i="61"/>
  <c r="J47" i="61" s="1"/>
  <c r="G107" i="61"/>
  <c r="G83" i="61"/>
  <c r="G67" i="61"/>
  <c r="J67" i="61" s="1"/>
  <c r="G98" i="61"/>
  <c r="G68" i="61"/>
  <c r="J68" i="61" s="1"/>
  <c r="G78" i="61"/>
  <c r="G27" i="61"/>
  <c r="J27" i="61" s="1"/>
  <c r="G60" i="61"/>
  <c r="J60" i="61" s="1"/>
  <c r="G64" i="61"/>
  <c r="J64" i="61" s="1"/>
  <c r="G88" i="61"/>
  <c r="G101" i="61"/>
  <c r="G39" i="61"/>
  <c r="J39" i="61" s="1"/>
  <c r="G26" i="61"/>
  <c r="J26" i="61" s="1"/>
  <c r="G37" i="61"/>
  <c r="J37" i="61" s="1"/>
  <c r="G77" i="61"/>
  <c r="G41" i="61"/>
  <c r="J41" i="61" s="1"/>
  <c r="G110" i="61"/>
  <c r="G28" i="61"/>
  <c r="J28" i="61" s="1"/>
  <c r="G71" i="61"/>
  <c r="J71" i="61" s="1"/>
  <c r="G80" i="61"/>
  <c r="G59" i="61"/>
  <c r="J59" i="61" s="1"/>
  <c r="G48" i="61"/>
  <c r="J48" i="61" s="1"/>
  <c r="G112" i="61"/>
  <c r="G93" i="61"/>
  <c r="G50" i="61"/>
  <c r="J50" i="61" s="1"/>
  <c r="G74" i="61"/>
  <c r="G46" i="61"/>
  <c r="J46" i="61" s="1"/>
  <c r="G96" i="61"/>
  <c r="G24" i="61"/>
  <c r="J24" i="61" s="1"/>
  <c r="G69" i="61"/>
  <c r="J69" i="61" s="1"/>
  <c r="G84" i="61"/>
  <c r="G73" i="61"/>
  <c r="G38" i="61"/>
  <c r="J38" i="61" s="1"/>
  <c r="G76" i="61"/>
  <c r="G97" i="61"/>
  <c r="G108" i="61"/>
  <c r="G33" i="61"/>
  <c r="J33" i="61" s="1"/>
  <c r="G87" i="61"/>
  <c r="G35" i="61"/>
  <c r="J35" i="61" s="1"/>
  <c r="J20" i="61"/>
  <c r="J77" i="61" l="1"/>
  <c r="J83" i="61"/>
  <c r="J103" i="61"/>
  <c r="J81" i="61"/>
  <c r="J80" i="61"/>
  <c r="J110" i="61"/>
  <c r="J78" i="61"/>
  <c r="J106" i="61"/>
  <c r="J86" i="61"/>
  <c r="J100" i="61"/>
  <c r="J93" i="61"/>
  <c r="J107" i="61"/>
  <c r="J109" i="61"/>
  <c r="J74" i="61"/>
  <c r="J101" i="61"/>
  <c r="J95" i="61"/>
  <c r="J94" i="61"/>
  <c r="J108" i="61"/>
  <c r="J96" i="61"/>
  <c r="J98" i="61"/>
  <c r="J99" i="61"/>
  <c r="J111" i="61"/>
  <c r="J85" i="61"/>
  <c r="J104" i="61"/>
  <c r="J73" i="61"/>
  <c r="J87" i="61"/>
  <c r="J97" i="61"/>
  <c r="J82" i="61"/>
  <c r="J75" i="61"/>
  <c r="J84" i="61"/>
  <c r="J112" i="61"/>
  <c r="J88" i="61"/>
  <c r="J76" i="61"/>
  <c r="J105" i="61"/>
  <c r="J89" i="61"/>
  <c r="J9" i="61" l="1"/>
  <c r="J14" i="61"/>
  <c r="J17" i="61"/>
  <c r="J16" i="61"/>
  <c r="J15" i="61"/>
  <c r="J13" i="61"/>
  <c r="J21" i="61" l="1"/>
  <c r="J22" i="61" s="1"/>
  <c r="L10" i="61" l="1"/>
  <c r="L9" i="61" s="1"/>
  <c r="H24" i="61" l="1"/>
  <c r="H170" i="61" l="1"/>
  <c r="K170" i="61" s="1"/>
  <c r="H150" i="61"/>
  <c r="K150" i="61" s="1"/>
  <c r="H163" i="61"/>
  <c r="K163" i="61" s="1"/>
  <c r="H117" i="61"/>
  <c r="K117" i="61" s="1"/>
  <c r="H155" i="61"/>
  <c r="K155" i="61" s="1"/>
  <c r="H136" i="61"/>
  <c r="K136" i="61" s="1"/>
  <c r="K19" i="61" s="1"/>
  <c r="H51" i="61"/>
  <c r="K51" i="61" s="1"/>
  <c r="H86" i="61"/>
  <c r="K86" i="61" s="1"/>
  <c r="H77" i="61"/>
  <c r="K77" i="61" s="1"/>
  <c r="H112" i="61"/>
  <c r="K112" i="61" s="1"/>
  <c r="H40" i="61"/>
  <c r="K40" i="61" s="1"/>
  <c r="H106" i="61"/>
  <c r="K106" i="61" s="1"/>
  <c r="H109" i="61"/>
  <c r="K109" i="61" s="1"/>
  <c r="H46" i="61"/>
  <c r="K46" i="61" s="1"/>
  <c r="H37" i="61"/>
  <c r="K37" i="61" s="1"/>
  <c r="H154" i="61"/>
  <c r="K154" i="61" s="1"/>
  <c r="H174" i="61"/>
  <c r="K174" i="61" s="1"/>
  <c r="H125" i="61"/>
  <c r="K125" i="61" s="1"/>
  <c r="H172" i="61"/>
  <c r="K172" i="61" s="1"/>
  <c r="H167" i="61"/>
  <c r="K167" i="61" s="1"/>
  <c r="H161" i="61"/>
  <c r="K161" i="61" s="1"/>
  <c r="H83" i="61"/>
  <c r="K83" i="61" s="1"/>
  <c r="H66" i="61"/>
  <c r="K66" i="61" s="1"/>
  <c r="H35" i="61"/>
  <c r="K35" i="61" s="1"/>
  <c r="H63" i="61"/>
  <c r="K63" i="61" s="1"/>
  <c r="H80" i="61"/>
  <c r="K80" i="61" s="1"/>
  <c r="H93" i="61"/>
  <c r="K93" i="61" s="1"/>
  <c r="H100" i="61"/>
  <c r="K100" i="61" s="1"/>
  <c r="H74" i="61"/>
  <c r="K74" i="61" s="1"/>
  <c r="H28" i="61"/>
  <c r="K28" i="61" s="1"/>
  <c r="H88" i="61"/>
  <c r="K88" i="61" s="1"/>
  <c r="H144" i="61"/>
  <c r="K144" i="61" s="1"/>
  <c r="H157" i="61"/>
  <c r="K157" i="61" s="1"/>
  <c r="H119" i="61"/>
  <c r="K119" i="61" s="1"/>
  <c r="H140" i="61"/>
  <c r="K140" i="61" s="1"/>
  <c r="H129" i="61"/>
  <c r="K129" i="61" s="1"/>
  <c r="H132" i="61"/>
  <c r="K132" i="61" s="1"/>
  <c r="H70" i="61"/>
  <c r="K70" i="61" s="1"/>
  <c r="H26" i="61"/>
  <c r="K26" i="61" s="1"/>
  <c r="H55" i="61"/>
  <c r="K55" i="61" s="1"/>
  <c r="K24" i="61"/>
  <c r="H49" i="61"/>
  <c r="K49" i="61" s="1"/>
  <c r="H34" i="61"/>
  <c r="K34" i="61" s="1"/>
  <c r="H94" i="61"/>
  <c r="K94" i="61" s="1"/>
  <c r="H101" i="61"/>
  <c r="K101" i="61" s="1"/>
  <c r="H105" i="61"/>
  <c r="K105" i="61" s="1"/>
  <c r="H56" i="61"/>
  <c r="K56" i="61" s="1"/>
  <c r="H175" i="61"/>
  <c r="K175" i="61" s="1"/>
  <c r="H166" i="61"/>
  <c r="K166" i="61" s="1"/>
  <c r="H116" i="61"/>
  <c r="K116" i="61" s="1"/>
  <c r="H143" i="61"/>
  <c r="K143" i="61" s="1"/>
  <c r="H131" i="61"/>
  <c r="K131" i="61" s="1"/>
  <c r="H165" i="61"/>
  <c r="K165" i="61" s="1"/>
  <c r="H81" i="61"/>
  <c r="K81" i="61" s="1"/>
  <c r="H89" i="61"/>
  <c r="K89" i="61" s="1"/>
  <c r="H95" i="61"/>
  <c r="K95" i="61" s="1"/>
  <c r="H45" i="61"/>
  <c r="K45" i="61" s="1"/>
  <c r="H73" i="61"/>
  <c r="K73" i="61" s="1"/>
  <c r="H41" i="61"/>
  <c r="K41" i="61" s="1"/>
  <c r="H36" i="61"/>
  <c r="K36" i="61" s="1"/>
  <c r="H32" i="61"/>
  <c r="K32" i="61" s="1"/>
  <c r="H57" i="61"/>
  <c r="K57" i="61" s="1"/>
  <c r="H142" i="61"/>
  <c r="K142" i="61" s="1"/>
  <c r="H139" i="61"/>
  <c r="K139" i="61" s="1"/>
  <c r="H127" i="61"/>
  <c r="K127" i="61" s="1"/>
  <c r="H130" i="61"/>
  <c r="K130" i="61" s="1"/>
  <c r="H158" i="61"/>
  <c r="K158" i="61" s="1"/>
  <c r="H133" i="61"/>
  <c r="K133" i="61" s="1"/>
  <c r="H152" i="61"/>
  <c r="K152" i="61" s="1"/>
  <c r="H60" i="61"/>
  <c r="K60" i="61" s="1"/>
  <c r="H38" i="61"/>
  <c r="K38" i="61" s="1"/>
  <c r="H97" i="61"/>
  <c r="K97" i="61" s="1"/>
  <c r="H96" i="61"/>
  <c r="K96" i="61" s="1"/>
  <c r="H69" i="61"/>
  <c r="K69" i="61" s="1"/>
  <c r="H65" i="61"/>
  <c r="K65" i="61" s="1"/>
  <c r="H68" i="61"/>
  <c r="K68" i="61" s="1"/>
  <c r="H54" i="61"/>
  <c r="K54" i="61" s="1"/>
  <c r="H64" i="61"/>
  <c r="K64" i="61" s="1"/>
  <c r="H171" i="61"/>
  <c r="K171" i="61" s="1"/>
  <c r="H153" i="61"/>
  <c r="K153" i="61" s="1"/>
  <c r="H124" i="61"/>
  <c r="K124" i="61" s="1"/>
  <c r="H118" i="61"/>
  <c r="K118" i="61" s="1"/>
  <c r="H126" i="61"/>
  <c r="K126" i="61" s="1"/>
  <c r="H169" i="61"/>
  <c r="K169" i="61" s="1"/>
  <c r="H173" i="61"/>
  <c r="K173" i="61" s="1"/>
  <c r="H59" i="61"/>
  <c r="K59" i="61" s="1"/>
  <c r="H110" i="61"/>
  <c r="K110" i="61" s="1"/>
  <c r="H27" i="61"/>
  <c r="K27" i="61" s="1"/>
  <c r="H47" i="61"/>
  <c r="K47" i="61" s="1"/>
  <c r="H71" i="61"/>
  <c r="K71" i="61" s="1"/>
  <c r="H111" i="61"/>
  <c r="K111" i="61" s="1"/>
  <c r="H103" i="61"/>
  <c r="K103" i="61" s="1"/>
  <c r="H104" i="61"/>
  <c r="K104" i="61" s="1"/>
  <c r="H108" i="61"/>
  <c r="K108" i="61" s="1"/>
  <c r="H128" i="61"/>
  <c r="K128" i="61" s="1"/>
  <c r="H146" i="61"/>
  <c r="K146" i="61" s="1"/>
  <c r="H147" i="61"/>
  <c r="K147" i="61" s="1"/>
  <c r="H120" i="61"/>
  <c r="K120" i="61" s="1"/>
  <c r="H164" i="61"/>
  <c r="K164" i="61" s="1"/>
  <c r="H141" i="61"/>
  <c r="K141" i="61" s="1"/>
  <c r="H115" i="61"/>
  <c r="K115" i="61" s="1"/>
  <c r="H98" i="61"/>
  <c r="K98" i="61" s="1"/>
  <c r="H78" i="61"/>
  <c r="K78" i="61" s="1"/>
  <c r="H33" i="61"/>
  <c r="K33" i="61" s="1"/>
  <c r="H99" i="61"/>
  <c r="K99" i="61" s="1"/>
  <c r="H67" i="61"/>
  <c r="K67" i="61" s="1"/>
  <c r="H82" i="61"/>
  <c r="K82" i="61" s="1"/>
  <c r="H107" i="61"/>
  <c r="K107" i="61" s="1"/>
  <c r="H52" i="61"/>
  <c r="K52" i="61" s="1"/>
  <c r="H87" i="61"/>
  <c r="K87" i="61" s="1"/>
  <c r="H160" i="61"/>
  <c r="K160" i="61" s="1"/>
  <c r="H149" i="61"/>
  <c r="K149" i="61" s="1"/>
  <c r="H148" i="61"/>
  <c r="K148" i="61" s="1"/>
  <c r="H168" i="61"/>
  <c r="K168" i="61" s="1"/>
  <c r="H162" i="61"/>
  <c r="K162" i="61" s="1"/>
  <c r="H122" i="61"/>
  <c r="K122" i="61" s="1"/>
  <c r="H85" i="61"/>
  <c r="K85" i="61" s="1"/>
  <c r="H29" i="61"/>
  <c r="K29" i="61" s="1"/>
  <c r="H48" i="61"/>
  <c r="K48" i="61" s="1"/>
  <c r="H84" i="61"/>
  <c r="K84" i="61" s="1"/>
  <c r="H76" i="61"/>
  <c r="K76" i="61" s="1"/>
  <c r="H39" i="61"/>
  <c r="K39" i="61" s="1"/>
  <c r="H58" i="61"/>
  <c r="K58" i="61" s="1"/>
  <c r="H75" i="61"/>
  <c r="K75" i="61" s="1"/>
  <c r="H50" i="61"/>
  <c r="K50" i="61" s="1"/>
  <c r="K17" i="61" l="1"/>
  <c r="K15" i="61"/>
  <c r="K13" i="61"/>
  <c r="K18" i="61"/>
  <c r="K20" i="61"/>
  <c r="K90" i="61" l="1"/>
  <c r="K16" i="61" s="1"/>
  <c r="K14" i="61" l="1"/>
  <c r="K21" i="61" s="1"/>
  <c r="K22" i="61" s="1"/>
  <c r="K9" i="61"/>
  <c r="K11" i="61" s="1"/>
  <c r="F51" i="48" l="1"/>
  <c r="F63" i="48" l="1"/>
  <c r="F67" i="48" s="1"/>
  <c r="E67" i="48"/>
  <c r="F35" i="48" l="1"/>
  <c r="E50" i="48"/>
  <c r="F50" i="48" l="1"/>
  <c r="E86" i="48" l="1"/>
  <c r="B18" i="48" s="1"/>
  <c r="E85" i="48"/>
  <c r="B17" i="48" s="1"/>
  <c r="E80" i="48"/>
  <c r="B12" i="48" s="1"/>
  <c r="E81" i="48" l="1"/>
  <c r="B13" i="48" s="1"/>
  <c r="D87" i="48"/>
  <c r="E84" i="48"/>
  <c r="B16" i="48" s="1"/>
  <c r="E78" i="48"/>
  <c r="B10" i="48" s="1"/>
  <c r="E83" i="48"/>
  <c r="B15" i="48" s="1"/>
  <c r="E76" i="48"/>
  <c r="B8" i="48" s="1"/>
  <c r="E77" i="48"/>
  <c r="B9" i="48" s="1"/>
  <c r="E82" i="48"/>
  <c r="B14" i="48" s="1"/>
  <c r="E79" i="48"/>
  <c r="B11" i="48" s="1"/>
  <c r="C87" i="48" l="1"/>
  <c r="E75" i="48"/>
  <c r="C9" i="72"/>
  <c r="C24" i="72" l="1"/>
  <c r="B7" i="48"/>
  <c r="E89" i="48"/>
  <c r="E87" i="48"/>
  <c r="C20" i="72"/>
  <c r="D24" i="72" l="1"/>
  <c r="B20" i="48"/>
  <c r="B22" i="48"/>
  <c r="C15" i="72"/>
  <c r="C30" i="72" s="1"/>
  <c r="C34" i="72" s="1"/>
  <c r="D20" i="72" l="1"/>
  <c r="D9" i="72"/>
  <c r="D15" i="72" l="1"/>
  <c r="D30" i="72" s="1"/>
  <c r="D34" i="72" s="1"/>
  <c r="J24" i="72" l="1"/>
  <c r="J9" i="72"/>
  <c r="J20" i="72"/>
  <c r="J15" i="72"/>
  <c r="J30" i="72" l="1"/>
  <c r="J34" i="72" s="1"/>
  <c r="V24" i="72" l="1"/>
  <c r="U24" i="72" l="1"/>
  <c r="W24" i="72" l="1"/>
  <c r="AC27" i="72" l="1"/>
  <c r="E52" i="48" l="1"/>
  <c r="F37" i="48"/>
  <c r="F52" i="48" s="1"/>
  <c r="AC28" i="72"/>
  <c r="F34" i="48" l="1"/>
  <c r="E49" i="48"/>
  <c r="N24" i="72"/>
  <c r="E43" i="48"/>
  <c r="E69" i="48" s="1"/>
  <c r="F49" i="48" l="1"/>
  <c r="D23" i="48"/>
  <c r="D13" i="48"/>
  <c r="D12" i="48"/>
  <c r="D18" i="48"/>
  <c r="D17" i="48"/>
  <c r="D14" i="48"/>
  <c r="D15" i="48"/>
  <c r="D10" i="48"/>
  <c r="D9" i="48"/>
  <c r="D11" i="48"/>
  <c r="D8" i="48"/>
  <c r="D16" i="48"/>
  <c r="D7" i="48"/>
  <c r="D22" i="48"/>
  <c r="F38" i="48"/>
  <c r="F53" i="48" s="1"/>
  <c r="E53" i="48"/>
  <c r="E58" i="48" s="1"/>
  <c r="E70" i="48" s="1"/>
  <c r="E23" i="48" l="1"/>
  <c r="E12" i="48"/>
  <c r="E13" i="48"/>
  <c r="F13" i="48" s="1"/>
  <c r="E18" i="48"/>
  <c r="F18" i="48" s="1"/>
  <c r="E17" i="48"/>
  <c r="F17" i="48" s="1"/>
  <c r="E9" i="48"/>
  <c r="F9" i="48" s="1"/>
  <c r="E11" i="48"/>
  <c r="F11" i="48" s="1"/>
  <c r="E14" i="48"/>
  <c r="F14" i="48" s="1"/>
  <c r="E15" i="48"/>
  <c r="E10" i="48"/>
  <c r="F10" i="48" s="1"/>
  <c r="E16" i="48"/>
  <c r="F16" i="48" s="1"/>
  <c r="E8" i="48"/>
  <c r="E7" i="48"/>
  <c r="E22" i="48"/>
  <c r="F22" i="48" s="1"/>
  <c r="F8" i="48"/>
  <c r="F12" i="48"/>
  <c r="F15" i="48"/>
  <c r="F23" i="48"/>
  <c r="D20" i="48"/>
  <c r="F43" i="48"/>
  <c r="F69" i="48" s="1"/>
  <c r="F58" i="48"/>
  <c r="F70" i="48" s="1"/>
  <c r="AC26" i="72"/>
  <c r="E20" i="48" l="1"/>
  <c r="I23" i="48"/>
  <c r="I17" i="48"/>
  <c r="K17" i="48" s="1"/>
  <c r="L17" i="48" s="1"/>
  <c r="M17" i="48" s="1"/>
  <c r="I13" i="48"/>
  <c r="I12" i="48"/>
  <c r="I18" i="48"/>
  <c r="I11" i="48"/>
  <c r="I14" i="48"/>
  <c r="I15" i="48"/>
  <c r="I9" i="48"/>
  <c r="I10" i="48"/>
  <c r="I8" i="48"/>
  <c r="I16" i="48"/>
  <c r="I7" i="48"/>
  <c r="I22" i="48"/>
  <c r="J23" i="48"/>
  <c r="J17" i="48"/>
  <c r="J13" i="48"/>
  <c r="J12" i="48"/>
  <c r="J18" i="48"/>
  <c r="J16" i="48"/>
  <c r="J9" i="48"/>
  <c r="J10" i="48"/>
  <c r="J11" i="48"/>
  <c r="J14" i="48"/>
  <c r="J15" i="48"/>
  <c r="J8" i="48"/>
  <c r="J7" i="48"/>
  <c r="J22" i="48"/>
  <c r="F7" i="48"/>
  <c r="F20" i="48" s="1"/>
  <c r="K10" i="48" l="1"/>
  <c r="L10" i="48" s="1"/>
  <c r="M10" i="48" s="1"/>
  <c r="K9" i="48"/>
  <c r="L9" i="48" s="1"/>
  <c r="M9" i="48" s="1"/>
  <c r="K23" i="48"/>
  <c r="L23" i="48" s="1"/>
  <c r="M23" i="48" s="1"/>
  <c r="J20" i="48"/>
  <c r="K22" i="48"/>
  <c r="L22" i="48" s="1"/>
  <c r="M22" i="48" s="1"/>
  <c r="K8" i="48"/>
  <c r="L8" i="48" s="1"/>
  <c r="M8" i="48" s="1"/>
  <c r="K13" i="48"/>
  <c r="L13" i="48" s="1"/>
  <c r="M13" i="48" s="1"/>
  <c r="K15" i="48"/>
  <c r="L15" i="48" s="1"/>
  <c r="M15" i="48" s="1"/>
  <c r="K14" i="48"/>
  <c r="L14" i="48" s="1"/>
  <c r="M14" i="48" s="1"/>
  <c r="K11" i="48"/>
  <c r="L11" i="48" s="1"/>
  <c r="M11" i="48" s="1"/>
  <c r="K7" i="48"/>
  <c r="I20" i="48"/>
  <c r="K18" i="48"/>
  <c r="L18" i="48" s="1"/>
  <c r="M18" i="48" s="1"/>
  <c r="K16" i="48"/>
  <c r="L16" i="48" s="1"/>
  <c r="M16" i="48" s="1"/>
  <c r="K12" i="48"/>
  <c r="L12" i="48" s="1"/>
  <c r="M12" i="48" s="1"/>
  <c r="AB24" i="72"/>
  <c r="K20" i="48" l="1"/>
  <c r="L20" i="48" s="1"/>
  <c r="M20" i="48" s="1"/>
  <c r="L7" i="48"/>
  <c r="M7" i="48" s="1"/>
  <c r="V9" i="72" l="1"/>
  <c r="R9" i="72"/>
  <c r="Q9" i="72" l="1"/>
  <c r="N9" i="72"/>
  <c r="V15" i="72"/>
  <c r="R24" i="72"/>
  <c r="P9" i="72"/>
  <c r="Q24" i="72"/>
  <c r="AC32" i="72"/>
  <c r="P24" i="72" l="1"/>
  <c r="N20" i="72"/>
  <c r="V20" i="72"/>
  <c r="V30" i="72" s="1"/>
  <c r="V34" i="72" s="1"/>
  <c r="N15" i="72"/>
  <c r="N30" i="72" s="1"/>
  <c r="N34" i="72" s="1"/>
  <c r="AC19" i="72"/>
  <c r="R20" i="72"/>
  <c r="AB9" i="72"/>
  <c r="P20" i="72"/>
  <c r="AC14" i="72"/>
  <c r="Q20" i="72"/>
  <c r="AC18" i="72"/>
  <c r="AC23" i="72"/>
  <c r="AB15" i="72" l="1"/>
  <c r="AC13" i="72"/>
  <c r="R15" i="72"/>
  <c r="AC11" i="72"/>
  <c r="AA15" i="72"/>
  <c r="AC12" i="72"/>
  <c r="R30" i="72"/>
  <c r="R34" i="72" s="1"/>
  <c r="AA9" i="72"/>
  <c r="AC8" i="72"/>
  <c r="P15" i="72"/>
  <c r="P30" i="72" s="1"/>
  <c r="P34" i="72" s="1"/>
  <c r="AA24" i="72"/>
  <c r="AC22" i="72"/>
  <c r="AA20" i="72"/>
  <c r="AC17" i="72"/>
  <c r="Q15" i="72"/>
  <c r="Q30" i="72" s="1"/>
  <c r="Q34" i="72" s="1"/>
  <c r="AB20" i="72"/>
  <c r="AB30" i="72" s="1"/>
  <c r="AB34" i="72" s="1"/>
  <c r="AA30" i="72" l="1"/>
  <c r="AA34" i="72" s="1"/>
  <c r="AC20" i="72"/>
  <c r="AC9" i="72"/>
  <c r="AC24" i="72"/>
  <c r="AC15" i="72"/>
  <c r="AC30" i="72" l="1"/>
  <c r="AC34" i="72" l="1"/>
  <c r="G9" i="72" l="1"/>
  <c r="G24" i="72"/>
  <c r="E24" i="72"/>
  <c r="E9" i="72" l="1"/>
  <c r="G20" i="72"/>
  <c r="E20" i="72"/>
  <c r="E15" i="72" l="1"/>
  <c r="E30" i="72" s="1"/>
  <c r="E34" i="72" s="1"/>
  <c r="G15" i="72"/>
  <c r="G30" i="72" s="1"/>
  <c r="G34" i="72" s="1"/>
  <c r="K15" i="72" l="1"/>
  <c r="K30" i="72" s="1"/>
  <c r="K34" i="72" s="1"/>
  <c r="U9" i="72" l="1"/>
  <c r="U15" i="72" l="1"/>
  <c r="U20" i="72"/>
  <c r="T24" i="72" l="1"/>
  <c r="T9" i="72"/>
  <c r="T20" i="72"/>
  <c r="T15" i="72" l="1"/>
  <c r="T30" i="72" s="1"/>
  <c r="T34" i="72" s="1"/>
  <c r="W9" i="72" l="1"/>
  <c r="W15" i="72" l="1"/>
  <c r="W20" i="72"/>
  <c r="W30" i="72" s="1"/>
  <c r="W34" i="72" s="1"/>
  <c r="S9" i="72" l="1"/>
  <c r="S24" i="72"/>
  <c r="S20" i="72" l="1"/>
  <c r="S15" i="72" l="1"/>
  <c r="S30" i="72" s="1"/>
  <c r="S34" i="72" s="1"/>
  <c r="U30" i="72" l="1"/>
  <c r="U34" i="72" s="1"/>
  <c r="H20" i="72" l="1"/>
  <c r="H24" i="72" l="1"/>
  <c r="H15" i="72" l="1"/>
  <c r="H9" i="72" l="1"/>
  <c r="H30" i="72" l="1"/>
  <c r="H34" i="72" s="1"/>
  <c r="M24" i="72" l="1"/>
  <c r="M15" i="72" l="1"/>
  <c r="M9" i="72"/>
  <c r="M20" i="72" l="1"/>
  <c r="M30" i="72" s="1"/>
  <c r="M34" i="72" s="1"/>
  <c r="O9" i="72" l="1"/>
  <c r="O20" i="72" l="1"/>
  <c r="O24" i="72" l="1"/>
  <c r="O15" i="72"/>
  <c r="O30" i="72" s="1"/>
  <c r="O34" i="72" s="1"/>
  <c r="X28" i="72" l="1"/>
  <c r="Y28" i="72" s="1"/>
  <c r="AE28" i="72" l="1"/>
  <c r="AD28" i="72"/>
  <c r="AF28" i="72" s="1"/>
  <c r="AG28" i="72"/>
  <c r="X27" i="72" l="1"/>
  <c r="Y27" i="72" s="1"/>
  <c r="I24" i="72"/>
  <c r="AE27" i="72" l="1"/>
  <c r="AD27" i="72"/>
  <c r="AF27" i="72" s="1"/>
  <c r="AG27" i="72"/>
  <c r="I20" i="72"/>
  <c r="I9" i="72"/>
  <c r="I15" i="72" l="1"/>
  <c r="I30" i="72" s="1"/>
  <c r="I34" i="72" s="1"/>
  <c r="X14" i="72" l="1"/>
  <c r="Y14" i="72" s="1"/>
  <c r="AE14" i="72" l="1"/>
  <c r="AD14" i="72"/>
  <c r="AF14" i="72" s="1"/>
  <c r="AG14" i="72"/>
  <c r="X32" i="72"/>
  <c r="Y32" i="72" s="1"/>
  <c r="X23" i="72"/>
  <c r="Y23" i="72" s="1"/>
  <c r="X18" i="72"/>
  <c r="Y18" i="72" s="1"/>
  <c r="X26" i="72"/>
  <c r="Y26" i="72" s="1"/>
  <c r="X19" i="72"/>
  <c r="Y19" i="72" s="1"/>
  <c r="AE26" i="72" l="1"/>
  <c r="AD26" i="72"/>
  <c r="AF26" i="72" s="1"/>
  <c r="AG26" i="72"/>
  <c r="AD32" i="72"/>
  <c r="AF32" i="72" s="1"/>
  <c r="AE32" i="72"/>
  <c r="AG32" i="72"/>
  <c r="AD19" i="72"/>
  <c r="AF19" i="72" s="1"/>
  <c r="AE19" i="72"/>
  <c r="AG19" i="72"/>
  <c r="AD18" i="72"/>
  <c r="AF18" i="72" s="1"/>
  <c r="AE18" i="72"/>
  <c r="AG18" i="72"/>
  <c r="AD23" i="72"/>
  <c r="AF23" i="72" s="1"/>
  <c r="AE23" i="72"/>
  <c r="AG23" i="72"/>
  <c r="X13" i="72"/>
  <c r="Y13" i="72" s="1"/>
  <c r="AE13" i="72" l="1"/>
  <c r="AD13" i="72"/>
  <c r="AF13" i="72" s="1"/>
  <c r="AG13" i="72"/>
  <c r="X12" i="72"/>
  <c r="Y12" i="72" s="1"/>
  <c r="F15" i="72" l="1"/>
  <c r="X11" i="72"/>
  <c r="F24" i="72"/>
  <c r="X22" i="72"/>
  <c r="F20" i="72"/>
  <c r="X17" i="72"/>
  <c r="AD12" i="72"/>
  <c r="AF12" i="72" s="1"/>
  <c r="AE12" i="72"/>
  <c r="AG12" i="72"/>
  <c r="F9" i="72" l="1"/>
  <c r="X8" i="72"/>
  <c r="Y17" i="72"/>
  <c r="X20" i="72"/>
  <c r="Y22" i="72"/>
  <c r="X24" i="72"/>
  <c r="X15" i="72"/>
  <c r="Y11" i="72"/>
  <c r="F30" i="72"/>
  <c r="F34" i="72" s="1"/>
  <c r="AE22" i="72" l="1"/>
  <c r="Y24" i="72"/>
  <c r="AD22" i="72"/>
  <c r="AG22" i="72"/>
  <c r="AE17" i="72"/>
  <c r="Y20" i="72"/>
  <c r="AD17" i="72"/>
  <c r="AG17" i="72"/>
  <c r="Y8" i="72"/>
  <c r="X9" i="72"/>
  <c r="X30" i="72" s="1"/>
  <c r="X34" i="72" s="1"/>
  <c r="AE11" i="72"/>
  <c r="Y15" i="72"/>
  <c r="AD11" i="72"/>
  <c r="AG11" i="72"/>
  <c r="AF17" i="72" l="1"/>
  <c r="AD20" i="72"/>
  <c r="AF20" i="72" s="1"/>
  <c r="AE20" i="72"/>
  <c r="AG20" i="72"/>
  <c r="AE15" i="72"/>
  <c r="AG15" i="72"/>
  <c r="AF22" i="72"/>
  <c r="AD24" i="72"/>
  <c r="AF24" i="72" s="1"/>
  <c r="AF11" i="72"/>
  <c r="AD15" i="72"/>
  <c r="AF15" i="72" s="1"/>
  <c r="AE24" i="72"/>
  <c r="AG24" i="72"/>
  <c r="Y9" i="72"/>
  <c r="AD8" i="72"/>
  <c r="AE8" i="72"/>
  <c r="AG8" i="72"/>
  <c r="AF8" i="72" l="1"/>
  <c r="AD9" i="72"/>
  <c r="AE9" i="72"/>
  <c r="Y30" i="72"/>
  <c r="AG9" i="72"/>
  <c r="Y34" i="72" l="1"/>
  <c r="AE30" i="72"/>
  <c r="AG30" i="72"/>
  <c r="AF9" i="72"/>
  <c r="AD30" i="72"/>
  <c r="AF30" i="72" l="1"/>
  <c r="AD34" i="72"/>
  <c r="AF34" i="72" s="1"/>
  <c r="AE34" i="72"/>
  <c r="AG34" i="72"/>
</calcChain>
</file>

<file path=xl/sharedStrings.xml><?xml version="1.0" encoding="utf-8"?>
<sst xmlns="http://schemas.openxmlformats.org/spreadsheetml/2006/main" count="778" uniqueCount="425">
  <si>
    <t>Puget Sound Energy</t>
  </si>
  <si>
    <t>Line No.</t>
  </si>
  <si>
    <t>Schedule</t>
  </si>
  <si>
    <t>Residential</t>
  </si>
  <si>
    <t>Total High Voltage</t>
  </si>
  <si>
    <t>50-59</t>
  </si>
  <si>
    <t>Tariff</t>
  </si>
  <si>
    <t>Month</t>
  </si>
  <si>
    <t>Total</t>
  </si>
  <si>
    <t>Schedule 194 - BPA Exchange Credit</t>
  </si>
  <si>
    <t>Schedule 142 - Decoupling Rider</t>
  </si>
  <si>
    <t>per Month</t>
  </si>
  <si>
    <t>Schedule 140 - Property Tax Rider</t>
  </si>
  <si>
    <t>Schedule 129 - Low Income</t>
  </si>
  <si>
    <t>Schedule 120 - Conservation Rider</t>
  </si>
  <si>
    <t>Schedule 95A - Wind Power Production Credit</t>
  </si>
  <si>
    <t>Schedule 95 - Power Cost Adjustment Clause</t>
  </si>
  <si>
    <t>Schedule 7 over 600 kWh</t>
  </si>
  <si>
    <t>Schedule 7 first 600 kWh</t>
  </si>
  <si>
    <t>Energy Charge:</t>
  </si>
  <si>
    <t>Customer Monthly Charge:</t>
  </si>
  <si>
    <t>kWh</t>
  </si>
  <si>
    <t>Residential Customer Impacts</t>
  </si>
  <si>
    <t>Lamp Type</t>
  </si>
  <si>
    <t>Mercury Vapor</t>
  </si>
  <si>
    <t>Sodium Vapor</t>
  </si>
  <si>
    <t>Subtotal Base Monthly Charge</t>
  </si>
  <si>
    <t>$ / kWh</t>
  </si>
  <si>
    <t>Subtotal Base First 600 kWh Charge</t>
  </si>
  <si>
    <t>Subtotal Base Over 600 kWh Charge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</si>
  <si>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</si>
  <si>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</si>
  <si>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</si>
  <si>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</si>
  <si>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</si>
  <si>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</si>
  <si>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Wattage (W)</t>
  </si>
  <si>
    <t>Sch 50E</t>
  </si>
  <si>
    <t>003</t>
  </si>
  <si>
    <t>Sch 51E</t>
  </si>
  <si>
    <t>51E</t>
  </si>
  <si>
    <t>Light Emitting Diode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</si>
  <si>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</si>
  <si>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</si>
  <si>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</si>
  <si>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</si>
  <si>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</si>
  <si>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</si>
  <si>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</si>
  <si>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</si>
  <si>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</si>
  <si>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Sch 52E</t>
  </si>
  <si>
    <t xml:space="preserve">52E </t>
  </si>
  <si>
    <t>Metal Halide</t>
  </si>
  <si>
    <t>Sch 53E</t>
  </si>
  <si>
    <t>Sch 54E</t>
  </si>
  <si>
    <t>54E</t>
  </si>
  <si>
    <t>Sch 55 &amp; 56</t>
  </si>
  <si>
    <t>55E &amp; 56E</t>
  </si>
  <si>
    <t>Sch 58 &amp; 59</t>
  </si>
  <si>
    <t>58E &amp; 59E - Directional</t>
  </si>
  <si>
    <t>58E &amp; 59E - Horizontal</t>
  </si>
  <si>
    <t>58E &amp; 59E</t>
  </si>
  <si>
    <t>300.01 - 400</t>
  </si>
  <si>
    <t>400.01 - 500</t>
  </si>
  <si>
    <t>500.01 - 600</t>
  </si>
  <si>
    <t>600.01 - 700</t>
  </si>
  <si>
    <t>700.01 - 800</t>
  </si>
  <si>
    <t>800.01 - 900</t>
  </si>
  <si>
    <t>Sch 57</t>
  </si>
  <si>
    <t>57E</t>
  </si>
  <si>
    <t>Per W charge</t>
  </si>
  <si>
    <t>Year</t>
  </si>
  <si>
    <t>Special Contract</t>
  </si>
  <si>
    <t>SC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</si>
  <si>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</si>
  <si>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</si>
  <si>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</si>
  <si>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</si>
  <si>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</si>
  <si>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</si>
  <si>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$ Difference</t>
  </si>
  <si>
    <t xml:space="preserve">Typical Residential </t>
  </si>
  <si>
    <t>Schedule 141Z - EDIT Rider</t>
  </si>
  <si>
    <t>Schedule 142 - Decoupling Rider - Supplemental</t>
  </si>
  <si>
    <t>Schedule 95 - Power Cost Adjustment Clause-Supplemental</t>
  </si>
  <si>
    <t>Smart LED</t>
  </si>
  <si>
    <t>Remove:</t>
  </si>
  <si>
    <t>Total Secondary</t>
  </si>
  <si>
    <t>Total Primary</t>
  </si>
  <si>
    <t>Cross check</t>
  </si>
  <si>
    <t>% Difference</t>
  </si>
  <si>
    <t>Schedule 141A - Energy Charge Credit Recovery Adjustment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</si>
  <si>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</si>
  <si>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</si>
  <si>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</si>
  <si>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</si>
  <si>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t>0 - 30</t>
  </si>
  <si>
    <t>Subtotal</t>
  </si>
  <si>
    <t>Base Lamp Demand &amp; Energy Cost</t>
  </si>
  <si>
    <t>AA</t>
  </si>
  <si>
    <t>Total Lamp Revenue Requirement Based on Inventory</t>
  </si>
  <si>
    <t>Schedule 50</t>
  </si>
  <si>
    <t>Schedule 51</t>
  </si>
  <si>
    <t>Schedule 52</t>
  </si>
  <si>
    <t>Schedule 53</t>
  </si>
  <si>
    <t>Schedule 54</t>
  </si>
  <si>
    <t>Schedule 55-56</t>
  </si>
  <si>
    <t>Schedule 57</t>
  </si>
  <si>
    <t>Schedule 58-59</t>
  </si>
  <si>
    <t>All Lighting</t>
  </si>
  <si>
    <t>Check</t>
  </si>
  <si>
    <t>Compact Flourescent</t>
  </si>
  <si>
    <t>50E</t>
  </si>
  <si>
    <t>0-30</t>
  </si>
  <si>
    <t>30 - 60</t>
  </si>
  <si>
    <t>Per kWh - All Lamps</t>
  </si>
  <si>
    <t>53E</t>
  </si>
  <si>
    <t>Smart LED (Company)</t>
  </si>
  <si>
    <t>Lighting Revenue Requirement Allocation</t>
  </si>
  <si>
    <t>Delivered Monthly Sales &amp; Transportation by Rate Schedule</t>
  </si>
  <si>
    <t>(After DSM Program Impacts)</t>
  </si>
  <si>
    <t>Monthly Billing Demand by Rate Schedule</t>
  </si>
  <si>
    <t>Lights</t>
  </si>
  <si>
    <t>Schedule 141CEI Clean Energy Implementation Plan</t>
  </si>
  <si>
    <t>Add:</t>
  </si>
  <si>
    <t>Net Adjustments</t>
  </si>
  <si>
    <t>% Change (Net)</t>
  </si>
  <si>
    <t>Total Sales</t>
  </si>
  <si>
    <t>Lighting Rate Design</t>
  </si>
  <si>
    <t>Sales Total</t>
  </si>
  <si>
    <t>Sales+Transport</t>
  </si>
  <si>
    <t>7A</t>
  </si>
  <si>
    <t>SCH_05E</t>
  </si>
  <si>
    <t>SCH_7AE</t>
  </si>
  <si>
    <t>SCH_10E</t>
  </si>
  <si>
    <t>SCH_11E</t>
  </si>
  <si>
    <t>SCH_12E</t>
  </si>
  <si>
    <t>SCH_25EC</t>
  </si>
  <si>
    <t>SCH_25EI</t>
  </si>
  <si>
    <t>SCH_25EL</t>
  </si>
  <si>
    <t>SCH_26EC</t>
  </si>
  <si>
    <t>SCH_26EI</t>
  </si>
  <si>
    <t>SCH_29E</t>
  </si>
  <si>
    <t>SCH_31EC</t>
  </si>
  <si>
    <t>SCH_31EI</t>
  </si>
  <si>
    <t>SCH_35E</t>
  </si>
  <si>
    <t>SCH_43E</t>
  </si>
  <si>
    <t>SCH_46EC</t>
  </si>
  <si>
    <t>SCH_46EI</t>
  </si>
  <si>
    <t>SCH_49EC</t>
  </si>
  <si>
    <t>SCH_49EI</t>
  </si>
  <si>
    <t>SCH_449EC</t>
  </si>
  <si>
    <t>SCH_449EI</t>
  </si>
  <si>
    <t>SCH_459EI</t>
  </si>
  <si>
    <t>Cross Check</t>
  </si>
  <si>
    <t>Difference due to rounding adjustment</t>
  </si>
  <si>
    <t>PUGET SOUND ENERGY</t>
  </si>
  <si>
    <t>DESCRIPTION</t>
  </si>
  <si>
    <t xml:space="preserve">Reconciled to LFG's F23 Final Forecast as of May 26th, 2023; </t>
  </si>
  <si>
    <t>Monthly kWh Sales Projections, 2023 - 2028</t>
  </si>
  <si>
    <t>SCH_03E</t>
  </si>
  <si>
    <t>SCH_7E</t>
  </si>
  <si>
    <t>SCH_8E</t>
  </si>
  <si>
    <t>SCH_24EC</t>
  </si>
  <si>
    <t>SCH_24EI</t>
  </si>
  <si>
    <t>SCH_24EL</t>
  </si>
  <si>
    <t>SCH_50E</t>
  </si>
  <si>
    <t>SCH_51E</t>
  </si>
  <si>
    <t>SCH_52E</t>
  </si>
  <si>
    <t>SCH_53E</t>
  </si>
  <si>
    <t>SCH_54E</t>
  </si>
  <si>
    <t>SCH_55E</t>
  </si>
  <si>
    <t>SCH_56E</t>
  </si>
  <si>
    <t>SCH_57E</t>
  </si>
  <si>
    <t>SCH_58E</t>
  </si>
  <si>
    <t>SCH_59E</t>
  </si>
  <si>
    <t>SCH_SC</t>
  </si>
  <si>
    <t>Monthly kW or kVa Projections, Jan. 2023 - Dec. 2028</t>
  </si>
  <si>
    <t>Schedule 141COL Colstrip Adjustment Tracker</t>
  </si>
  <si>
    <t>For the Forecasted Period January 1, 2024 to December 31, 2024</t>
  </si>
  <si>
    <t>Proposed Rate Effective Janaury 1, 2024</t>
  </si>
  <si>
    <t>Allocation of Revenue Requirement to Rate Schedule 141COl</t>
  </si>
  <si>
    <t>Allocation of Colstrip Tracker Revenue Requirement to Rate Schedule</t>
  </si>
  <si>
    <t>Presentational purpose ONLY, rates will only be set for 2023 in 2022 GRC</t>
  </si>
  <si>
    <t>Schedule 141COL</t>
  </si>
  <si>
    <t>Customer Class</t>
  </si>
  <si>
    <t>Schedules</t>
  </si>
  <si>
    <t>2022 GRC Energy
Allocator
(Docket No.
UE-22xxxx)</t>
  </si>
  <si>
    <t>2022 GRC 12CP Demand Allocator,
Net of Renewables
(Docket No.
UE-22xxxx)</t>
  </si>
  <si>
    <t>2022 GRC Weighted Allocation (Docket No. UE-22xxxx)</t>
  </si>
  <si>
    <t>2023 Revenue Requirement to Spread</t>
  </si>
  <si>
    <t>2023 Revenue Requirement</t>
  </si>
  <si>
    <t>Billing Determinants
Source: F2021 January 2023 to December 2023</t>
  </si>
  <si>
    <t>Proposed Rates
Eff 1-1-2023</t>
  </si>
  <si>
    <t>2024 Revenue Requirement</t>
  </si>
  <si>
    <t>Billing Determinants
Source: F2021 January 2024 to December 2024</t>
  </si>
  <si>
    <t>Proposed Rates
Eff 1-1-2024 Example</t>
  </si>
  <si>
    <t>$ Variance - 2024 vs. 2023</t>
  </si>
  <si>
    <t>a</t>
  </si>
  <si>
    <t>b = 20% * a / ∑(a)</t>
  </si>
  <si>
    <t>c</t>
  </si>
  <si>
    <t>d = 80% * c / ∑(c)</t>
  </si>
  <si>
    <t>e = b + d</t>
  </si>
  <si>
    <t>f</t>
  </si>
  <si>
    <t>g = e * Revenue Requirement</t>
  </si>
  <si>
    <t>h</t>
  </si>
  <si>
    <t>i = g / h</t>
  </si>
  <si>
    <t>j</t>
  </si>
  <si>
    <t>k</t>
  </si>
  <si>
    <t>l</t>
  </si>
  <si>
    <t>m</t>
  </si>
  <si>
    <t>Residential (kWh Energy Charge)</t>
  </si>
  <si>
    <t>Sec Gen Svc - Small (kWh Energy Charge)</t>
  </si>
  <si>
    <t>8/24</t>
  </si>
  <si>
    <t>Sec Gen Svc - Medium (kWh Energy Charge)</t>
  </si>
  <si>
    <t>7A/11/25</t>
  </si>
  <si>
    <t>Sec Gen Svc - Medium (KW Demand Charge)</t>
  </si>
  <si>
    <t>Sec Gen Svc - Medium (Total)</t>
  </si>
  <si>
    <t>Sec Gen Svc - Large (kWh Energy Charge)</t>
  </si>
  <si>
    <t>12/26</t>
  </si>
  <si>
    <t>Sec Gen Svc - Large (KW Demand Charge)</t>
  </si>
  <si>
    <t>Sec Gen Svc - Large (Total)</t>
  </si>
  <si>
    <t>Sec Irrigation Svc (kWh Energy Charge)</t>
  </si>
  <si>
    <t>Sec Irrigation Svc (kW Demand Charge)</t>
  </si>
  <si>
    <t>Sec Irrigation Svc (Total)</t>
  </si>
  <si>
    <t>Pri Gen Svc (kWh Energy Charge)</t>
  </si>
  <si>
    <t>10/31</t>
  </si>
  <si>
    <t>Pri Gen Svc (KW Demand Charge)</t>
  </si>
  <si>
    <t>Pri Gen Svc (Total)</t>
  </si>
  <si>
    <t>Pri Irrigation Svc (kWh Energy Charge)</t>
  </si>
  <si>
    <t>Pri Irrigation Svc (KW Demand Charge)</t>
  </si>
  <si>
    <t>Pri Irrigation Svc (Total)</t>
  </si>
  <si>
    <t>Pri Interruptible Svc (kWh Energy Charge)</t>
  </si>
  <si>
    <t>Pri Interruptible Svc (KW Demand Charge)</t>
  </si>
  <si>
    <t>Pri Interruptible Svc (Total)</t>
  </si>
  <si>
    <t>HV - Interruptible Svc (kWh Energy Charge)</t>
  </si>
  <si>
    <t>HV - Interruptible Svc (kVa Demand Charge)</t>
  </si>
  <si>
    <t>HV - Interruptible Svc (Total)</t>
  </si>
  <si>
    <t>HV - General Svc (kWh Energy Charge)</t>
  </si>
  <si>
    <t>HV - General Svc (kVa Demand Charge)</t>
  </si>
  <si>
    <t>HV - General Svc (Total)</t>
  </si>
  <si>
    <t xml:space="preserve">Firm Resale - Small </t>
  </si>
  <si>
    <t>Special Contract (kWh Energy Charge) (Note 1)</t>
  </si>
  <si>
    <t>Transportation</t>
  </si>
  <si>
    <t>449-459</t>
  </si>
  <si>
    <t>Unrecovered Costs (D&amp;R) (SEF-06)</t>
  </si>
  <si>
    <t>Special Contract % of Unrecovered Cost (D&amp;R)  Revenue Req (Exh No. JAP-04)</t>
  </si>
  <si>
    <t>Revenue Requirement (SEF-06)</t>
  </si>
  <si>
    <t>Revenue Requirement to Spread to Remaining Classes</t>
  </si>
  <si>
    <t>(Note 1): Per Settlement Agreement an up-front payment will be made in amount of $407,922.43</t>
  </si>
  <si>
    <t xml:space="preserve">2022GRC (UE-220066) Compliance filing </t>
  </si>
  <si>
    <t>2024 COLSTRIP TRACKER - REVENUE REQUIREMENT</t>
  </si>
  <si>
    <t>AS OF JUNE 30, 2023</t>
  </si>
  <si>
    <t>Revenue</t>
  </si>
  <si>
    <t>Ref #</t>
  </si>
  <si>
    <t>Item</t>
  </si>
  <si>
    <t>Requirement</t>
  </si>
  <si>
    <t>Plant</t>
  </si>
  <si>
    <t>Gross Plant</t>
  </si>
  <si>
    <t>Accumulated Depreciation</t>
  </si>
  <si>
    <t>Deferred Income Taxes</t>
  </si>
  <si>
    <t xml:space="preserve">Total Net Plant </t>
  </si>
  <si>
    <t>Regulatory Assets</t>
  </si>
  <si>
    <t>Colstrip 1&amp;2 Regulatory Asset</t>
  </si>
  <si>
    <t>Colstrip 3&amp;4 Regulatory Asset</t>
  </si>
  <si>
    <t>DFIT on 1&amp;2 Regulatory Asset</t>
  </si>
  <si>
    <t>DFIT on 3&amp;4 Regulatory Asset</t>
  </si>
  <si>
    <t>Total Regulatory Assets</t>
  </si>
  <si>
    <t xml:space="preserve">D&amp;R </t>
  </si>
  <si>
    <t>108-TGrant RCW 80.84</t>
  </si>
  <si>
    <t>Colstrip 1&amp;2 D&amp;R Spend</t>
  </si>
  <si>
    <t>Colstrip 1&amp;2 D&amp;R Recovery</t>
  </si>
  <si>
    <t>Pre 2023 3&amp;4 Recovered D&amp;R</t>
  </si>
  <si>
    <t>Colstrip 3&amp;4 D&amp;R Spend</t>
  </si>
  <si>
    <t>Colstrip 3&amp;4 D&amp;R Recovery</t>
  </si>
  <si>
    <t>Total 1-4 D&amp;R</t>
  </si>
  <si>
    <t>PTC's</t>
  </si>
  <si>
    <t>Monteized PTCs</t>
  </si>
  <si>
    <t>PTC Accrued Interest</t>
  </si>
  <si>
    <t>Montana Transition Fund</t>
  </si>
  <si>
    <t>DFIT Monetized PTCs</t>
  </si>
  <si>
    <t>DFIT Monetized PTC Interest Accrual</t>
  </si>
  <si>
    <t>DFIT on Units 1&amp;2 PTC Application</t>
  </si>
  <si>
    <t>DFIT on Units 3&amp;4 PTC Application</t>
  </si>
  <si>
    <t>Total PTC's</t>
  </si>
  <si>
    <t>Total Rate Base</t>
  </si>
  <si>
    <t>Approved Rate of Return</t>
  </si>
  <si>
    <t>Approved Weighted Average Cost of Debt</t>
  </si>
  <si>
    <t>Statutory Federal Income Tax Rate</t>
  </si>
  <si>
    <t>Return on rate base</t>
  </si>
  <si>
    <t>Net Operating Income for:</t>
  </si>
  <si>
    <t>Production O&amp;M Expense</t>
  </si>
  <si>
    <t>Montana Energy Tax</t>
  </si>
  <si>
    <t>Property and Liability Insurance</t>
  </si>
  <si>
    <t>Depreciation Expense</t>
  </si>
  <si>
    <t>D&amp;R To Recover</t>
  </si>
  <si>
    <t>DFIT Reversal (EDIT, Flow-Through)</t>
  </si>
  <si>
    <t>FIT Treasury Grant Amortization</t>
  </si>
  <si>
    <t>FIT on Tracker Items</t>
  </si>
  <si>
    <t>Total before revenue sensitive fees and taxes</t>
  </si>
  <si>
    <t>Conversion Factor</t>
  </si>
  <si>
    <t>Total Revenue Requirement</t>
  </si>
  <si>
    <t>Prior Year (2023 Revenue Requirement)</t>
  </si>
  <si>
    <t>Net Revenue Change</t>
  </si>
  <si>
    <t>PUGET SOUND ENERGY-ELECTRIC</t>
  </si>
  <si>
    <t>CONVERSION FACTOR</t>
  </si>
  <si>
    <t>2022 GRC UE-220066</t>
  </si>
  <si>
    <t>LINE</t>
  </si>
  <si>
    <t>NO.</t>
  </si>
  <si>
    <t>RATE</t>
  </si>
  <si>
    <t>BAD DEBTS</t>
  </si>
  <si>
    <t>ANNUAL FILING FEE</t>
  </si>
  <si>
    <t>STATE UTILITY TAX - NET OF BAD DEBTS ( 3.8734% - ( LINE 1 * 3.8734%) )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</si>
  <si>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</si>
  <si>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</si>
  <si>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</si>
  <si>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</si>
  <si>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>Note: Adjusted for 0.004 Annual UTS Fees per DOCKET UE-220407 and UG-220408</t>
  </si>
  <si>
    <t>Total TY January 2024 to December 2024</t>
  </si>
  <si>
    <t>Special Contract (kWh Energy Charge)</t>
  </si>
  <si>
    <t>Schedule 129D - Bill Discount Rate Rider</t>
  </si>
  <si>
    <t>Month No.</t>
  </si>
  <si>
    <t>Forecast kWh</t>
  </si>
  <si>
    <t>Forecast Customer Count</t>
  </si>
  <si>
    <t>Average Use per Customer</t>
  </si>
  <si>
    <t>Average</t>
  </si>
  <si>
    <t>Proposed Schedule 141COL Lamp Charge</t>
  </si>
  <si>
    <t>Proposed Schedule 141COL Lamp Revenue</t>
  </si>
  <si>
    <t>Ratio of Schedule SCH 141COL Revenue Requirement to Base Demand &amp; Energy Light Charge Cost</t>
  </si>
  <si>
    <t>CUSTOMER CLASS</t>
  </si>
  <si>
    <t>SCHEDULE</t>
  </si>
  <si>
    <t>Current
Energy Rate
$ per kWh</t>
  </si>
  <si>
    <t>Current
Demand Rate
$ per kW</t>
  </si>
  <si>
    <t>Current
Demand Rate
$ per kVa</t>
  </si>
  <si>
    <t>Proposed
Energy Rate
$ per kWh</t>
  </si>
  <si>
    <t>Proposed
Demand Rate
$ per kW</t>
  </si>
  <si>
    <t>Proposed
Demand Rate
$ per kVa</t>
  </si>
  <si>
    <t>Tariff Reference</t>
  </si>
  <si>
    <t>Secondary Service:</t>
  </si>
  <si>
    <t>Sec Gen Svc - Small</t>
  </si>
  <si>
    <t>Sec Gen Svc - Medium</t>
  </si>
  <si>
    <t>11, 25 &amp; 7A</t>
  </si>
  <si>
    <t>Sec Gen Svc - Large</t>
  </si>
  <si>
    <t>12, 26 &amp; 26P</t>
  </si>
  <si>
    <t>Sec Irrigation Svc</t>
  </si>
  <si>
    <t>Primary Service:</t>
  </si>
  <si>
    <t>Pri Gen Svc</t>
  </si>
  <si>
    <t>10 &amp; 31</t>
  </si>
  <si>
    <t>Pri Irrigation Svc</t>
  </si>
  <si>
    <t>Pri Interruptible Svc</t>
  </si>
  <si>
    <t>High Voltage Service:</t>
  </si>
  <si>
    <t>HV Interruptible Svc</t>
  </si>
  <si>
    <t>HV Gen Svc</t>
  </si>
  <si>
    <t>Small Firm Resale</t>
  </si>
  <si>
    <t>Excluded Schedules:</t>
  </si>
  <si>
    <t>Transportation/Special Contract</t>
  </si>
  <si>
    <t xml:space="preserve">449 / 459 </t>
  </si>
  <si>
    <t>Sheet No. 141COL-B</t>
  </si>
  <si>
    <t>Sheet No. 141COL-C</t>
  </si>
  <si>
    <t>Sheet No. 141COL-D</t>
  </si>
  <si>
    <t>7, 7BDR, 307, 317, 327</t>
  </si>
  <si>
    <t>8 &amp; 24, 324</t>
  </si>
  <si>
    <t>2022 GRC Weighted Allocation (Docket No. UE-220066)</t>
  </si>
  <si>
    <t>20% 2022 GRC Energy (UE-220066)</t>
  </si>
  <si>
    <t>80% 2022 GRC Demand (UE-220066)</t>
  </si>
  <si>
    <t>See "Street &amp; Area Lighting" tab</t>
  </si>
  <si>
    <t>Rate Impacts</t>
  </si>
  <si>
    <t>Test Year Ended December 31, 2024</t>
  </si>
  <si>
    <t>Proposed Effective date January 1, 2024</t>
  </si>
  <si>
    <t>Annual kWh Delivered Sales  01/01/24 to 12/31/24 (F2023)</t>
  </si>
  <si>
    <t>Estimated Annual
Base Revenue
Rates Effective
01/11/23</t>
  </si>
  <si>
    <t>Schedule 95
PCA Supplemental*</t>
  </si>
  <si>
    <t>Schedule 95</t>
  </si>
  <si>
    <t>Schedule 95A
Federal Incentive Credit</t>
  </si>
  <si>
    <t>Schedule 120
Conservation</t>
  </si>
  <si>
    <t>Schedule 129
Low Income*</t>
  </si>
  <si>
    <t>Schedule 129D
Bill Discount*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</si>
  <si>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</si>
  <si>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</si>
  <si>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</si>
  <si>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</si>
  <si>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</si>
  <si>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Refund*</t>
  </si>
  <si>
    <t>Schedule 141R
Rates Subject to Refund*</t>
  </si>
  <si>
    <t>Schedule 141TEP</t>
  </si>
  <si>
    <t>Schedule 141Z (Unprotected)
EDIT</t>
  </si>
  <si>
    <t>Schedule 142
 Deferral</t>
  </si>
  <si>
    <t>Schedule 142
Supplemental</t>
  </si>
  <si>
    <t>Schedule 194
BPA Res &amp; Farm Credit*</t>
  </si>
  <si>
    <t>Subtotal
Rider
Rates</t>
  </si>
  <si>
    <t>Annual Estimated Revenue @ Rates Effective 09/01/23</t>
  </si>
  <si>
    <t>24 (8), 324</t>
  </si>
  <si>
    <t>25 (11, 7A)</t>
  </si>
  <si>
    <t>26 (12, 26P)</t>
  </si>
  <si>
    <t>31 (10)</t>
  </si>
  <si>
    <t>Transportation 449-459</t>
  </si>
  <si>
    <t>Retail Sales</t>
  </si>
  <si>
    <t>Total 
Proposed
Rates at 01/01/2024</t>
  </si>
  <si>
    <t>Current  Average 
Rates per KWHs</t>
  </si>
  <si>
    <t>Proposed Average 
Rates per KWHs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</si>
  <si>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</si>
  <si>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</si>
  <si>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</si>
  <si>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</si>
  <si>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</si>
  <si>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</si>
  <si>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</si>
  <si>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</si>
  <si>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</si>
  <si>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</si>
  <si>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</si>
  <si>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</si>
  <si>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Present Rates Effective 09/01/2023</t>
  </si>
  <si>
    <t>Proposed Rates Effective 01/01/2024</t>
  </si>
  <si>
    <t>Average Residential Usage Test Year Ended December 31, 2024</t>
  </si>
  <si>
    <t>FOR THE TWELVE MONTHS ENDED JUNE 30, 2021</t>
  </si>
  <si>
    <t>2022 GENERAL RATE CASE</t>
  </si>
  <si>
    <t>2024 Revenue Requirement to Spread</t>
  </si>
  <si>
    <t>Billing Determinants
Source: F2023 January 2024 to December 2024</t>
  </si>
  <si>
    <t>Proposed Rates
Eff 1-1-2024</t>
  </si>
  <si>
    <t>UE-220066
Cost of Service
Demand-Related
Base Rate
Effective 
1/11/2023</t>
  </si>
  <si>
    <t>UE-220066
Cost of Service
Energy-Related
Base Rate
Effective 
1/11/2023</t>
  </si>
  <si>
    <t>UE-220066
Cost of Service
Demand &amp; Energy-Related
Base Rate
Effective 
1/11/2023</t>
  </si>
  <si>
    <t xml:space="preserve">Annual Lamp Inventory @ 8/2023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</si>
</sst>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00_);_(&quot;$&quot;* \(#,##0.000000\);_(&quot;$&quot;* &quot;-&quot;??_);_(@_)"/>
    <numFmt numFmtId="167" formatCode="0.000000"/>
    <numFmt numFmtId="168" formatCode="_(&quot;$&quot;* #,##0.000000_);_(&quot;$&quot;* \(#,##0.000000\);_(&quot;$&quot;* &quot;-&quot;??????_);_(@_)"/>
    <numFmt numFmtId="169" formatCode="0.0%"/>
    <numFmt numFmtId="170" formatCode="_(&quot;$&quot;* #,##0.00000_);_(&quot;$&quot;* \(#,##0.00000\);_(&quot;$&quot;* &quot;-&quot;??_);_(@_)"/>
    <numFmt numFmtId="171" formatCode="_(* #,##0.000000_);_(* \(#,##0.000000\);_(* &quot;-&quot;??_);_(@_)"/>
    <numFmt numFmtId="172" formatCode="0.0000\ \¢"/>
    <numFmt numFmtId="173" formatCode="0.000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u/>
      <sz val="8"/>
      <name val="Arial"/>
      <family val="2"/>
    </font>
    <font>
      <sz val="11"/>
      <name val="Calibri"/>
      <family val="2"/>
      <scheme val="minor"/>
    </font>
    <font>
      <b/>
      <i/>
      <sz val="8"/>
      <name val="Arial"/>
      <family val="2"/>
    </font>
    <font>
      <b/>
      <u/>
      <sz val="8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3" fillId="0" borderId="0">
      <alignment horizontal="left" wrapText="1"/>
    </xf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>
      <alignment horizontal="left" wrapText="1"/>
    </xf>
    <xf numFmtId="9" fontId="1" fillId="0" borderId="0" applyFont="0" applyFill="0" applyBorder="0" applyAlignment="0" applyProtection="0"/>
    <xf numFmtId="0" fontId="6" fillId="0" borderId="0"/>
    <xf numFmtId="9" fontId="2" fillId="0" borderId="0" applyFont="0" applyFill="0" applyBorder="0" applyAlignment="0" applyProtection="0"/>
    <xf numFmtId="0" fontId="7" fillId="0" borderId="0"/>
    <xf numFmtId="0" fontId="2" fillId="0" borderId="0"/>
    <xf numFmtId="0" fontId="8" fillId="0" borderId="0"/>
    <xf numFmtId="44" fontId="6" fillId="0" borderId="0" applyFont="0" applyFill="0" applyBorder="0" applyAlignment="0" applyProtection="0"/>
  </cellStyleXfs>
  <cellXfs count="321">
    <xf numFmtId="0" fontId="0" fillId="0" borderId="0" xfId="0"/>
    <xf numFmtId="44" fontId="5" fillId="0" borderId="0" xfId="5" applyFont="1"/>
    <xf numFmtId="44" fontId="5" fillId="0" borderId="3" xfId="5" applyFont="1" applyBorder="1"/>
    <xf numFmtId="0" fontId="5" fillId="0" borderId="0" xfId="7" applyFont="1" applyFill="1"/>
    <xf numFmtId="0" fontId="4" fillId="0" borderId="0" xfId="7" applyFont="1" applyFill="1"/>
    <xf numFmtId="165" fontId="5" fillId="0" borderId="0" xfId="5" applyNumberFormat="1" applyFont="1" applyFill="1"/>
    <xf numFmtId="165" fontId="5" fillId="0" borderId="2" xfId="5" applyNumberFormat="1" applyFont="1" applyFill="1" applyBorder="1"/>
    <xf numFmtId="165" fontId="5" fillId="0" borderId="0" xfId="5" applyNumberFormat="1" applyFont="1" applyFill="1" applyBorder="1"/>
    <xf numFmtId="165" fontId="5" fillId="0" borderId="3" xfId="5" applyNumberFormat="1" applyFont="1" applyFill="1" applyBorder="1"/>
    <xf numFmtId="0" fontId="4" fillId="0" borderId="0" xfId="7" applyFont="1" applyAlignment="1">
      <alignment horizontal="centerContinuous" vertical="center"/>
    </xf>
    <xf numFmtId="0" fontId="4" fillId="0" borderId="0" xfId="7" applyFont="1" applyAlignment="1">
      <alignment horizontal="centerContinuous"/>
    </xf>
    <xf numFmtId="0" fontId="4" fillId="0" borderId="0" xfId="7" applyFont="1"/>
    <xf numFmtId="0" fontId="5" fillId="0" borderId="0" xfId="7" applyFont="1" applyAlignment="1">
      <alignment horizontal="centerContinuous" vertical="center"/>
    </xf>
    <xf numFmtId="0" fontId="5" fillId="0" borderId="0" xfId="7" applyFont="1"/>
    <xf numFmtId="0" fontId="5" fillId="0" borderId="0" xfId="7" applyFont="1" applyBorder="1" applyAlignment="1"/>
    <xf numFmtId="0" fontId="5" fillId="0" borderId="0" xfId="7" quotePrefix="1" applyFont="1" applyBorder="1" applyAlignment="1">
      <alignment horizontal="center"/>
    </xf>
    <xf numFmtId="0" fontId="5" fillId="0" borderId="0" xfId="7" applyFont="1" applyAlignment="1"/>
    <xf numFmtId="0" fontId="5" fillId="0" borderId="1" xfId="7" applyFont="1" applyBorder="1" applyAlignment="1">
      <alignment horizontal="center" wrapText="1"/>
    </xf>
    <xf numFmtId="0" fontId="5" fillId="0" borderId="1" xfId="7" quotePrefix="1" applyFont="1" applyBorder="1" applyAlignment="1">
      <alignment horizontal="center" wrapText="1"/>
    </xf>
    <xf numFmtId="44" fontId="5" fillId="0" borderId="0" xfId="7" applyNumberFormat="1" applyFont="1"/>
    <xf numFmtId="10" fontId="5" fillId="0" borderId="0" xfId="10" applyNumberFormat="1" applyFont="1"/>
    <xf numFmtId="0" fontId="5" fillId="0" borderId="0" xfId="7" quotePrefix="1" applyFont="1" applyAlignment="1">
      <alignment horizontal="left"/>
    </xf>
    <xf numFmtId="164" fontId="5" fillId="0" borderId="3" xfId="7" applyNumberFormat="1" applyFont="1" applyBorder="1"/>
    <xf numFmtId="10" fontId="5" fillId="0" borderId="3" xfId="10" applyNumberFormat="1" applyFont="1" applyBorder="1"/>
    <xf numFmtId="0" fontId="5" fillId="0" borderId="0" xfId="7" applyFont="1" applyFill="1" applyAlignment="1">
      <alignment horizontal="left"/>
    </xf>
    <xf numFmtId="44" fontId="5" fillId="0" borderId="3" xfId="7" applyNumberFormat="1" applyFont="1" applyBorder="1"/>
    <xf numFmtId="0" fontId="5" fillId="0" borderId="0" xfId="7" applyFont="1" applyAlignment="1">
      <alignment horizontal="left"/>
    </xf>
    <xf numFmtId="0" fontId="5" fillId="0" borderId="1" xfId="7" quotePrefix="1" applyFont="1" applyBorder="1" applyAlignment="1">
      <alignment horizontal="left"/>
    </xf>
    <xf numFmtId="0" fontId="5" fillId="0" borderId="1" xfId="7" applyFont="1" applyBorder="1"/>
    <xf numFmtId="0" fontId="5" fillId="0" borderId="8" xfId="7" quotePrefix="1" applyFont="1" applyBorder="1" applyAlignment="1">
      <alignment horizontal="center" wrapText="1"/>
    </xf>
    <xf numFmtId="166" fontId="5" fillId="0" borderId="8" xfId="7" applyNumberFormat="1" applyFont="1" applyFill="1" applyBorder="1"/>
    <xf numFmtId="166" fontId="5" fillId="0" borderId="9" xfId="7" applyNumberFormat="1" applyFont="1" applyFill="1" applyBorder="1"/>
    <xf numFmtId="0" fontId="5" fillId="0" borderId="8" xfId="7" applyFont="1" applyFill="1" applyBorder="1"/>
    <xf numFmtId="166" fontId="5" fillId="0" borderId="7" xfId="7" quotePrefix="1" applyNumberFormat="1" applyFont="1" applyFill="1" applyBorder="1" applyAlignment="1"/>
    <xf numFmtId="166" fontId="5" fillId="0" borderId="9" xfId="7" quotePrefix="1" applyNumberFormat="1" applyFont="1" applyFill="1" applyBorder="1" applyAlignment="1"/>
    <xf numFmtId="166" fontId="5" fillId="0" borderId="7" xfId="7" applyNumberFormat="1" applyFont="1" applyFill="1" applyBorder="1"/>
    <xf numFmtId="168" fontId="5" fillId="0" borderId="0" xfId="7" applyNumberFormat="1" applyFont="1"/>
    <xf numFmtId="166" fontId="5" fillId="0" borderId="6" xfId="7" applyNumberFormat="1" applyFont="1" applyFill="1" applyBorder="1"/>
    <xf numFmtId="166" fontId="5" fillId="3" borderId="7" xfId="7" quotePrefix="1" applyNumberFormat="1" applyFont="1" applyFill="1" applyBorder="1" applyAlignment="1"/>
    <xf numFmtId="0" fontId="5" fillId="0" borderId="0" xfId="0" applyFont="1" applyFill="1"/>
    <xf numFmtId="0" fontId="4" fillId="0" borderId="0" xfId="0" applyFont="1" applyFill="1"/>
    <xf numFmtId="44" fontId="4" fillId="0" borderId="0" xfId="6" applyNumberFormat="1" applyFont="1" applyFill="1"/>
    <xf numFmtId="0" fontId="4" fillId="0" borderId="0" xfId="6" applyFont="1" applyFill="1"/>
    <xf numFmtId="0" fontId="4" fillId="0" borderId="1" xfId="6" applyFont="1" applyFill="1" applyBorder="1" applyAlignment="1">
      <alignment horizontal="center" wrapText="1"/>
    </xf>
    <xf numFmtId="0" fontId="4" fillId="0" borderId="1" xfId="6" quotePrefix="1" applyFont="1" applyFill="1" applyBorder="1" applyAlignment="1">
      <alignment horizontal="center" wrapText="1"/>
    </xf>
    <xf numFmtId="0" fontId="5" fillId="0" borderId="0" xfId="6" applyFont="1" applyFill="1" applyAlignment="1">
      <alignment horizontal="center"/>
    </xf>
    <xf numFmtId="0" fontId="5" fillId="0" borderId="0" xfId="6" quotePrefix="1" applyFont="1" applyFill="1" applyBorder="1" applyAlignment="1">
      <alignment horizontal="center"/>
    </xf>
    <xf numFmtId="44" fontId="5" fillId="0" borderId="0" xfId="6" applyNumberFormat="1" applyFont="1" applyFill="1"/>
    <xf numFmtId="0" fontId="5" fillId="0" borderId="0" xfId="6" applyFont="1" applyFill="1"/>
    <xf numFmtId="0" fontId="5" fillId="0" borderId="0" xfId="6" applyFont="1" applyFill="1" applyBorder="1"/>
    <xf numFmtId="0" fontId="5" fillId="0" borderId="0" xfId="7" applyFont="1" applyFill="1" applyBorder="1"/>
    <xf numFmtId="164" fontId="5" fillId="0" borderId="0" xfId="6" applyNumberFormat="1" applyFont="1" applyFill="1"/>
    <xf numFmtId="0" fontId="4" fillId="0" borderId="22" xfId="6" applyFont="1" applyFill="1" applyBorder="1" applyAlignment="1">
      <alignment horizontal="center"/>
    </xf>
    <xf numFmtId="0" fontId="5" fillId="0" borderId="0" xfId="6" quotePrefix="1" applyFont="1" applyFill="1" applyAlignment="1">
      <alignment horizontal="left"/>
    </xf>
    <xf numFmtId="41" fontId="5" fillId="0" borderId="0" xfId="6" applyNumberFormat="1" applyFont="1" applyFill="1"/>
    <xf numFmtId="165" fontId="5" fillId="0" borderId="0" xfId="6" applyNumberFormat="1" applyFont="1" applyFill="1"/>
    <xf numFmtId="171" fontId="4" fillId="0" borderId="19" xfId="6" applyNumberFormat="1" applyFont="1" applyFill="1" applyBorder="1" applyAlignment="1">
      <alignment horizontal="center"/>
    </xf>
    <xf numFmtId="171" fontId="5" fillId="0" borderId="0" xfId="6" applyNumberFormat="1" applyFont="1" applyFill="1"/>
    <xf numFmtId="0" fontId="5" fillId="0" borderId="0" xfId="6" quotePrefix="1" applyFont="1" applyFill="1" applyBorder="1" applyAlignment="1">
      <alignment horizontal="left"/>
    </xf>
    <xf numFmtId="164" fontId="5" fillId="0" borderId="23" xfId="6" applyNumberFormat="1" applyFont="1" applyFill="1" applyBorder="1"/>
    <xf numFmtId="165" fontId="5" fillId="0" borderId="5" xfId="6" applyNumberFormat="1" applyFont="1" applyFill="1" applyBorder="1"/>
    <xf numFmtId="0" fontId="5" fillId="0" borderId="0" xfId="6" quotePrefix="1" applyFont="1" applyFill="1" applyBorder="1" applyAlignment="1">
      <alignment horizontal="left" indent="1"/>
    </xf>
    <xf numFmtId="0" fontId="5" fillId="0" borderId="0" xfId="6" quotePrefix="1" applyFont="1" applyFill="1" applyBorder="1" applyAlignment="1">
      <alignment horizontal="right" wrapText="1"/>
    </xf>
    <xf numFmtId="44" fontId="5" fillId="0" borderId="0" xfId="5" applyFont="1" applyFill="1" applyBorder="1"/>
    <xf numFmtId="0" fontId="5" fillId="0" borderId="0" xfId="6" applyFont="1" applyFill="1" applyBorder="1" applyAlignment="1">
      <alignment horizontal="center" wrapText="1"/>
    </xf>
    <xf numFmtId="164" fontId="5" fillId="0" borderId="0" xfId="6" applyNumberFormat="1" applyFont="1" applyFill="1" applyBorder="1" applyAlignment="1"/>
    <xf numFmtId="164" fontId="5" fillId="0" borderId="0" xfId="6" applyNumberFormat="1" applyFont="1" applyFill="1" applyBorder="1" applyAlignment="1">
      <alignment horizontal="right"/>
    </xf>
    <xf numFmtId="0" fontId="5" fillId="0" borderId="0" xfId="6" applyNumberFormat="1" applyFont="1" applyFill="1" applyBorder="1"/>
    <xf numFmtId="0" fontId="5" fillId="0" borderId="0" xfId="6" applyFont="1" applyFill="1" applyBorder="1" applyAlignment="1"/>
    <xf numFmtId="0" fontId="5" fillId="0" borderId="0" xfId="6" applyFont="1" applyFill="1" applyBorder="1" applyAlignment="1">
      <alignment horizontal="right"/>
    </xf>
    <xf numFmtId="164" fontId="5" fillId="0" borderId="0" xfId="6" quotePrefix="1" applyNumberFormat="1" applyFont="1" applyFill="1" applyBorder="1" applyAlignment="1">
      <alignment horizontal="right"/>
    </xf>
    <xf numFmtId="164" fontId="5" fillId="0" borderId="0" xfId="6" applyNumberFormat="1" applyFont="1" applyFill="1" applyBorder="1"/>
    <xf numFmtId="166" fontId="5" fillId="0" borderId="0" xfId="5" applyNumberFormat="1" applyFont="1" applyFill="1" applyBorder="1"/>
    <xf numFmtId="0" fontId="5" fillId="0" borderId="0" xfId="6" applyFont="1" applyFill="1" applyBorder="1" applyAlignment="1">
      <alignment horizontal="left"/>
    </xf>
    <xf numFmtId="0" fontId="5" fillId="0" borderId="0" xfId="6" applyFont="1" applyFill="1" applyBorder="1" applyAlignment="1">
      <alignment horizontal="left" indent="1"/>
    </xf>
    <xf numFmtId="166" fontId="5" fillId="0" borderId="0" xfId="5" applyNumberFormat="1" applyFont="1" applyFill="1"/>
    <xf numFmtId="0" fontId="5" fillId="0" borderId="0" xfId="0" applyFont="1" applyFill="1" applyAlignment="1">
      <alignment horizontal="center" wrapText="1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centerContinuous" wrapText="1"/>
    </xf>
    <xf numFmtId="0" fontId="5" fillId="3" borderId="0" xfId="7" applyFont="1" applyFill="1"/>
    <xf numFmtId="43" fontId="4" fillId="0" borderId="1" xfId="2" applyFont="1" applyFill="1" applyBorder="1" applyAlignment="1">
      <alignment horizontal="center" wrapText="1"/>
    </xf>
    <xf numFmtId="0" fontId="4" fillId="3" borderId="21" xfId="6" quotePrefix="1" applyFont="1" applyFill="1" applyBorder="1" applyAlignment="1">
      <alignment horizontal="center" wrapText="1"/>
    </xf>
    <xf numFmtId="0" fontId="5" fillId="3" borderId="16" xfId="6" applyFont="1" applyFill="1" applyBorder="1"/>
    <xf numFmtId="44" fontId="5" fillId="3" borderId="16" xfId="5" applyNumberFormat="1" applyFont="1" applyFill="1" applyBorder="1"/>
    <xf numFmtId="44" fontId="5" fillId="3" borderId="16" xfId="5" applyFont="1" applyFill="1" applyBorder="1"/>
    <xf numFmtId="170" fontId="5" fillId="3" borderId="16" xfId="5" applyNumberFormat="1" applyFont="1" applyFill="1" applyBorder="1"/>
    <xf numFmtId="0" fontId="5" fillId="3" borderId="19" xfId="6" applyFont="1" applyFill="1" applyBorder="1"/>
    <xf numFmtId="0" fontId="4" fillId="0" borderId="0" xfId="7" applyFont="1" applyAlignment="1">
      <alignment horizontal="center"/>
    </xf>
    <xf numFmtId="3" fontId="5" fillId="0" borderId="0" xfId="7" applyNumberFormat="1" applyFont="1"/>
    <xf numFmtId="0" fontId="5" fillId="2" borderId="0" xfId="7" applyFont="1" applyFill="1"/>
    <xf numFmtId="3" fontId="5" fillId="2" borderId="0" xfId="7" applyNumberFormat="1" applyFont="1" applyFill="1"/>
    <xf numFmtId="17" fontId="5" fillId="0" borderId="0" xfId="6" applyNumberFormat="1" applyFont="1" applyFill="1"/>
    <xf numFmtId="0" fontId="4" fillId="0" borderId="1" xfId="0" applyFont="1" applyBorder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5" fillId="0" borderId="0" xfId="0" quotePrefix="1" applyFont="1" applyAlignment="1">
      <alignment horizontal="center" vertical="top" wrapText="1"/>
    </xf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165" fontId="5" fillId="0" borderId="0" xfId="0" applyNumberFormat="1" applyFont="1"/>
    <xf numFmtId="0" fontId="5" fillId="0" borderId="0" xfId="0" quotePrefix="1" applyFont="1" applyAlignment="1">
      <alignment horizontal="left" indent="1"/>
    </xf>
    <xf numFmtId="0" fontId="5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left"/>
    </xf>
    <xf numFmtId="0" fontId="4" fillId="0" borderId="34" xfId="15" applyFont="1" applyBorder="1" applyAlignment="1">
      <alignment horizontal="left"/>
    </xf>
    <xf numFmtId="0" fontId="4" fillId="0" borderId="35" xfId="15" applyFont="1" applyBorder="1" applyAlignment="1">
      <alignment horizontal="left"/>
    </xf>
    <xf numFmtId="0" fontId="4" fillId="0" borderId="36" xfId="15" applyFont="1" applyBorder="1" applyAlignment="1">
      <alignment horizontal="left"/>
    </xf>
    <xf numFmtId="0" fontId="4" fillId="0" borderId="0" xfId="15" applyFont="1"/>
    <xf numFmtId="0" fontId="5" fillId="0" borderId="0" xfId="15" applyFont="1"/>
    <xf numFmtId="0" fontId="4" fillId="0" borderId="13" xfId="15" quotePrefix="1" applyFont="1" applyBorder="1" applyAlignment="1">
      <alignment horizontal="left"/>
    </xf>
    <xf numFmtId="0" fontId="4" fillId="0" borderId="0" xfId="15" applyFont="1" applyAlignment="1">
      <alignment horizontal="left"/>
    </xf>
    <xf numFmtId="0" fontId="4" fillId="0" borderId="11" xfId="15" applyFont="1" applyBorder="1" applyAlignment="1">
      <alignment horizontal="left"/>
    </xf>
    <xf numFmtId="0" fontId="4" fillId="0" borderId="13" xfId="15" applyFont="1" applyBorder="1" applyAlignment="1">
      <alignment horizontal="left"/>
    </xf>
    <xf numFmtId="164" fontId="4" fillId="0" borderId="0" xfId="15" applyNumberFormat="1" applyFont="1" applyAlignment="1">
      <alignment horizontal="left"/>
    </xf>
    <xf numFmtId="0" fontId="4" fillId="0" borderId="14" xfId="15" applyFont="1" applyBorder="1" applyAlignment="1">
      <alignment horizontal="center" wrapText="1"/>
    </xf>
    <xf numFmtId="0" fontId="4" fillId="0" borderId="24" xfId="15" applyFont="1" applyBorder="1" applyAlignment="1">
      <alignment horizontal="center" wrapText="1"/>
    </xf>
    <xf numFmtId="164" fontId="4" fillId="0" borderId="24" xfId="15" quotePrefix="1" applyNumberFormat="1" applyFont="1" applyBorder="1" applyAlignment="1">
      <alignment horizontal="center" wrapText="1"/>
    </xf>
    <xf numFmtId="0" fontId="4" fillId="0" borderId="24" xfId="15" quotePrefix="1" applyFont="1" applyBorder="1" applyAlignment="1">
      <alignment horizontal="center" wrapText="1"/>
    </xf>
    <xf numFmtId="0" fontId="4" fillId="0" borderId="25" xfId="15" quotePrefix="1" applyFont="1" applyBorder="1" applyAlignment="1">
      <alignment horizontal="center" wrapText="1"/>
    </xf>
    <xf numFmtId="0" fontId="4" fillId="0" borderId="38" xfId="15" quotePrefix="1" applyFont="1" applyBorder="1" applyAlignment="1">
      <alignment horizontal="center" wrapText="1"/>
    </xf>
    <xf numFmtId="0" fontId="4" fillId="0" borderId="39" xfId="15" quotePrefix="1" applyFont="1" applyBorder="1" applyAlignment="1">
      <alignment horizontal="center" wrapText="1"/>
    </xf>
    <xf numFmtId="0" fontId="5" fillId="0" borderId="34" xfId="15" applyFont="1" applyBorder="1" applyAlignment="1">
      <alignment horizontal="center" wrapText="1"/>
    </xf>
    <xf numFmtId="0" fontId="5" fillId="0" borderId="35" xfId="15" applyFont="1" applyBorder="1" applyAlignment="1">
      <alignment horizontal="center" wrapText="1"/>
    </xf>
    <xf numFmtId="164" fontId="5" fillId="0" borderId="35" xfId="15" applyNumberFormat="1" applyFont="1" applyBorder="1" applyAlignment="1">
      <alignment horizontal="center" vertical="center" wrapText="1"/>
    </xf>
    <xf numFmtId="164" fontId="5" fillId="0" borderId="35" xfId="15" quotePrefix="1" applyNumberFormat="1" applyFont="1" applyBorder="1" applyAlignment="1">
      <alignment horizontal="center" vertical="center" wrapText="1"/>
    </xf>
    <xf numFmtId="0" fontId="5" fillId="0" borderId="35" xfId="15" applyFont="1" applyBorder="1" applyAlignment="1">
      <alignment horizontal="center" vertical="center" wrapText="1"/>
    </xf>
    <xf numFmtId="0" fontId="5" fillId="0" borderId="34" xfId="15" applyFont="1" applyBorder="1" applyAlignment="1">
      <alignment horizontal="center" vertical="center" wrapText="1"/>
    </xf>
    <xf numFmtId="0" fontId="5" fillId="0" borderId="35" xfId="15" quotePrefix="1" applyFont="1" applyBorder="1" applyAlignment="1">
      <alignment horizontal="center" vertical="center" wrapText="1"/>
    </xf>
    <xf numFmtId="0" fontId="5" fillId="0" borderId="36" xfId="15" quotePrefix="1" applyFont="1" applyBorder="1" applyAlignment="1">
      <alignment horizontal="center" vertical="center" wrapText="1"/>
    </xf>
    <xf numFmtId="0" fontId="5" fillId="0" borderId="0" xfId="15" applyFont="1" applyAlignment="1">
      <alignment horizontal="center" wrapText="1"/>
    </xf>
    <xf numFmtId="0" fontId="5" fillId="0" borderId="34" xfId="15" quotePrefix="1" applyFont="1" applyBorder="1" applyAlignment="1">
      <alignment horizontal="center" vertical="center" wrapText="1"/>
    </xf>
    <xf numFmtId="0" fontId="5" fillId="0" borderId="13" xfId="15" applyFont="1" applyBorder="1" applyAlignment="1">
      <alignment horizontal="center"/>
    </xf>
    <xf numFmtId="0" fontId="5" fillId="0" borderId="0" xfId="15" applyFont="1" applyAlignment="1">
      <alignment horizontal="center"/>
    </xf>
    <xf numFmtId="164" fontId="5" fillId="0" borderId="0" xfId="15" applyNumberFormat="1" applyFont="1"/>
    <xf numFmtId="171" fontId="5" fillId="0" borderId="0" xfId="15" applyNumberFormat="1" applyFont="1"/>
    <xf numFmtId="171" fontId="5" fillId="0" borderId="13" xfId="15" applyNumberFormat="1" applyFont="1" applyBorder="1"/>
    <xf numFmtId="165" fontId="5" fillId="0" borderId="0" xfId="15" applyNumberFormat="1" applyFont="1"/>
    <xf numFmtId="166" fontId="5" fillId="0" borderId="11" xfId="15" applyNumberFormat="1" applyFont="1" applyBorder="1" applyAlignment="1">
      <alignment horizontal="center"/>
    </xf>
    <xf numFmtId="165" fontId="5" fillId="0" borderId="13" xfId="15" applyNumberFormat="1" applyFont="1" applyBorder="1"/>
    <xf numFmtId="166" fontId="5" fillId="0" borderId="0" xfId="15" applyNumberFormat="1" applyFont="1" applyAlignment="1">
      <alignment horizontal="center"/>
    </xf>
    <xf numFmtId="165" fontId="5" fillId="0" borderId="11" xfId="15" applyNumberFormat="1" applyFont="1" applyBorder="1" applyAlignment="1">
      <alignment horizontal="center"/>
    </xf>
    <xf numFmtId="16" fontId="5" fillId="0" borderId="0" xfId="15" applyNumberFormat="1" applyFont="1"/>
    <xf numFmtId="172" fontId="5" fillId="0" borderId="11" xfId="15" applyNumberFormat="1" applyFont="1" applyBorder="1" applyAlignment="1">
      <alignment horizontal="center"/>
    </xf>
    <xf numFmtId="172" fontId="5" fillId="0" borderId="0" xfId="15" applyNumberFormat="1" applyFont="1" applyAlignment="1">
      <alignment horizontal="center"/>
    </xf>
    <xf numFmtId="0" fontId="5" fillId="0" borderId="0" xfId="15" quotePrefix="1" applyFont="1" applyAlignment="1">
      <alignment horizontal="left"/>
    </xf>
    <xf numFmtId="0" fontId="5" fillId="0" borderId="0" xfId="15" quotePrefix="1" applyFont="1" applyAlignment="1">
      <alignment horizontal="center"/>
    </xf>
    <xf numFmtId="44" fontId="5" fillId="0" borderId="13" xfId="15" applyNumberFormat="1" applyFont="1" applyBorder="1"/>
    <xf numFmtId="165" fontId="5" fillId="0" borderId="1" xfId="15" applyNumberFormat="1" applyFont="1" applyBorder="1"/>
    <xf numFmtId="44" fontId="5" fillId="0" borderId="11" xfId="15" applyNumberFormat="1" applyFont="1" applyBorder="1" applyAlignment="1">
      <alignment horizontal="center"/>
    </xf>
    <xf numFmtId="165" fontId="5" fillId="0" borderId="37" xfId="15" applyNumberFormat="1" applyFont="1" applyBorder="1"/>
    <xf numFmtId="44" fontId="5" fillId="0" borderId="0" xfId="15" applyNumberFormat="1" applyFont="1" applyAlignment="1">
      <alignment horizontal="center"/>
    </xf>
    <xf numFmtId="165" fontId="5" fillId="0" borderId="5" xfId="15" applyNumberFormat="1" applyFont="1" applyBorder="1"/>
    <xf numFmtId="0" fontId="5" fillId="0" borderId="11" xfId="15" applyFont="1" applyBorder="1"/>
    <xf numFmtId="0" fontId="5" fillId="0" borderId="13" xfId="15" applyFont="1" applyBorder="1"/>
    <xf numFmtId="165" fontId="5" fillId="0" borderId="11" xfId="15" applyNumberFormat="1" applyFont="1" applyBorder="1"/>
    <xf numFmtId="0" fontId="5" fillId="0" borderId="11" xfId="15" applyFont="1" applyBorder="1" applyAlignment="1">
      <alignment horizontal="center"/>
    </xf>
    <xf numFmtId="164" fontId="5" fillId="0" borderId="13" xfId="15" applyNumberFormat="1" applyFont="1" applyBorder="1"/>
    <xf numFmtId="0" fontId="5" fillId="0" borderId="14" xfId="15" applyFont="1" applyBorder="1" applyAlignment="1">
      <alignment horizontal="center"/>
    </xf>
    <xf numFmtId="0" fontId="5" fillId="0" borderId="24" xfId="15" applyFont="1" applyBorder="1"/>
    <xf numFmtId="164" fontId="5" fillId="0" borderId="24" xfId="15" applyNumberFormat="1" applyFont="1" applyBorder="1"/>
    <xf numFmtId="0" fontId="5" fillId="0" borderId="14" xfId="15" applyFont="1" applyBorder="1"/>
    <xf numFmtId="0" fontId="5" fillId="0" borderId="10" xfId="15" applyFont="1" applyBorder="1"/>
    <xf numFmtId="165" fontId="5" fillId="0" borderId="10" xfId="15" applyNumberFormat="1" applyFont="1" applyBorder="1"/>
    <xf numFmtId="0" fontId="4" fillId="0" borderId="0" xfId="15" applyFont="1" applyBorder="1" applyAlignment="1">
      <alignment horizontal="left"/>
    </xf>
    <xf numFmtId="0" fontId="5" fillId="0" borderId="0" xfId="7" quotePrefix="1" applyFont="1" applyAlignment="1">
      <alignment horizontal="center"/>
    </xf>
    <xf numFmtId="0" fontId="5" fillId="0" borderId="0" xfId="7" applyFont="1" applyAlignment="1">
      <alignment horizontal="center"/>
    </xf>
    <xf numFmtId="0" fontId="4" fillId="4" borderId="38" xfId="7" quotePrefix="1" applyFont="1" applyFill="1" applyBorder="1" applyAlignment="1">
      <alignment horizontal="centerContinuous"/>
    </xf>
    <xf numFmtId="0" fontId="4" fillId="4" borderId="39" xfId="7" quotePrefix="1" applyFont="1" applyFill="1" applyBorder="1" applyAlignment="1">
      <alignment horizontal="centerContinuous"/>
    </xf>
    <xf numFmtId="0" fontId="4" fillId="4" borderId="24" xfId="7" applyFont="1" applyFill="1" applyBorder="1" applyAlignment="1">
      <alignment horizontal="center" vertical="center" wrapText="1"/>
    </xf>
    <xf numFmtId="0" fontId="4" fillId="4" borderId="10" xfId="7" applyFont="1" applyFill="1" applyBorder="1" applyAlignment="1">
      <alignment horizontal="center" vertical="center" wrapText="1"/>
    </xf>
    <xf numFmtId="164" fontId="5" fillId="4" borderId="11" xfId="7" applyNumberFormat="1" applyFont="1" applyFill="1" applyBorder="1"/>
    <xf numFmtId="0" fontId="5" fillId="4" borderId="0" xfId="7" applyFont="1" applyFill="1"/>
    <xf numFmtId="164" fontId="5" fillId="4" borderId="5" xfId="7" applyNumberFormat="1" applyFont="1" applyFill="1" applyBorder="1"/>
    <xf numFmtId="164" fontId="5" fillId="4" borderId="41" xfId="7" applyNumberFormat="1" applyFont="1" applyFill="1" applyBorder="1"/>
    <xf numFmtId="0" fontId="5" fillId="4" borderId="24" xfId="7" applyFont="1" applyFill="1" applyBorder="1"/>
    <xf numFmtId="164" fontId="5" fillId="4" borderId="24" xfId="7" applyNumberFormat="1" applyFont="1" applyFill="1" applyBorder="1"/>
    <xf numFmtId="164" fontId="5" fillId="4" borderId="10" xfId="7" applyNumberFormat="1" applyFont="1" applyFill="1" applyBorder="1"/>
    <xf numFmtId="164" fontId="5" fillId="0" borderId="0" xfId="7" applyNumberFormat="1" applyFont="1"/>
    <xf numFmtId="10" fontId="5" fillId="4" borderId="3" xfId="10" applyNumberFormat="1" applyFont="1" applyFill="1" applyBorder="1"/>
    <xf numFmtId="166" fontId="5" fillId="0" borderId="20" xfId="7" quotePrefix="1" applyNumberFormat="1" applyFont="1" applyFill="1" applyBorder="1" applyAlignment="1"/>
    <xf numFmtId="14" fontId="5" fillId="0" borderId="0" xfId="7" applyNumberFormat="1" applyFont="1"/>
    <xf numFmtId="0" fontId="4" fillId="4" borderId="25" xfId="7" applyFont="1" applyFill="1" applyBorder="1" applyAlignment="1">
      <alignment horizontal="center" wrapText="1"/>
    </xf>
    <xf numFmtId="0" fontId="4" fillId="4" borderId="15" xfId="7" applyFont="1" applyFill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7" fontId="4" fillId="0" borderId="0" xfId="7" quotePrefix="1" applyNumberFormat="1" applyFont="1" applyAlignment="1">
      <alignment horizontal="center" wrapText="1"/>
    </xf>
    <xf numFmtId="17" fontId="4" fillId="4" borderId="25" xfId="7" quotePrefix="1" applyNumberFormat="1" applyFont="1" applyFill="1" applyBorder="1" applyAlignment="1">
      <alignment horizontal="center" wrapText="1"/>
    </xf>
    <xf numFmtId="17" fontId="4" fillId="4" borderId="15" xfId="7" quotePrefix="1" applyNumberFormat="1" applyFont="1" applyFill="1" applyBorder="1" applyAlignment="1">
      <alignment horizontal="center" wrapText="1"/>
    </xf>
    <xf numFmtId="17" fontId="4" fillId="4" borderId="26" xfId="7" quotePrefix="1" applyNumberFormat="1" applyFont="1" applyFill="1" applyBorder="1" applyAlignment="1">
      <alignment horizontal="center" wrapText="1"/>
    </xf>
    <xf numFmtId="0" fontId="4" fillId="4" borderId="12" xfId="7" quotePrefix="1" applyFont="1" applyFill="1" applyBorder="1" applyAlignment="1">
      <alignment horizontal="center" wrapText="1"/>
    </xf>
    <xf numFmtId="165" fontId="5" fillId="0" borderId="0" xfId="7" applyNumberFormat="1" applyFont="1"/>
    <xf numFmtId="165" fontId="5" fillId="4" borderId="13" xfId="7" applyNumberFormat="1" applyFont="1" applyFill="1" applyBorder="1"/>
    <xf numFmtId="165" fontId="5" fillId="4" borderId="16" xfId="7" applyNumberFormat="1" applyFont="1" applyFill="1" applyBorder="1"/>
    <xf numFmtId="165" fontId="5" fillId="4" borderId="0" xfId="7" applyNumberFormat="1" applyFont="1" applyFill="1"/>
    <xf numFmtId="166" fontId="5" fillId="4" borderId="0" xfId="7" applyNumberFormat="1" applyFont="1" applyFill="1"/>
    <xf numFmtId="10" fontId="5" fillId="4" borderId="11" xfId="7" applyNumberFormat="1" applyFont="1" applyFill="1" applyBorder="1"/>
    <xf numFmtId="169" fontId="5" fillId="0" borderId="0" xfId="7" applyNumberFormat="1" applyFont="1"/>
    <xf numFmtId="164" fontId="5" fillId="0" borderId="2" xfId="7" applyNumberFormat="1" applyFont="1" applyBorder="1"/>
    <xf numFmtId="165" fontId="5" fillId="4" borderId="27" xfId="7" applyNumberFormat="1" applyFont="1" applyFill="1" applyBorder="1"/>
    <xf numFmtId="165" fontId="5" fillId="4" borderId="17" xfId="7" applyNumberFormat="1" applyFont="1" applyFill="1" applyBorder="1"/>
    <xf numFmtId="165" fontId="5" fillId="4" borderId="2" xfId="7" applyNumberFormat="1" applyFont="1" applyFill="1" applyBorder="1"/>
    <xf numFmtId="166" fontId="5" fillId="4" borderId="2" xfId="7" applyNumberFormat="1" applyFont="1" applyFill="1" applyBorder="1"/>
    <xf numFmtId="10" fontId="5" fillId="4" borderId="28" xfId="7" applyNumberFormat="1" applyFont="1" applyFill="1" applyBorder="1"/>
    <xf numFmtId="165" fontId="5" fillId="4" borderId="29" xfId="5" applyNumberFormat="1" applyFont="1" applyFill="1" applyBorder="1"/>
    <xf numFmtId="165" fontId="5" fillId="4" borderId="18" xfId="5" applyNumberFormat="1" applyFont="1" applyFill="1" applyBorder="1"/>
    <xf numFmtId="165" fontId="5" fillId="4" borderId="3" xfId="5" applyNumberFormat="1" applyFont="1" applyFill="1" applyBorder="1"/>
    <xf numFmtId="166" fontId="5" fillId="4" borderId="3" xfId="7" applyNumberFormat="1" applyFont="1" applyFill="1" applyBorder="1"/>
    <xf numFmtId="10" fontId="5" fillId="4" borderId="30" xfId="7" applyNumberFormat="1" applyFont="1" applyFill="1" applyBorder="1"/>
    <xf numFmtId="165" fontId="5" fillId="4" borderId="24" xfId="7" applyNumberFormat="1" applyFont="1" applyFill="1" applyBorder="1"/>
    <xf numFmtId="166" fontId="5" fillId="4" borderId="31" xfId="7" applyNumberFormat="1" applyFont="1" applyFill="1" applyBorder="1"/>
    <xf numFmtId="10" fontId="5" fillId="4" borderId="32" xfId="7" applyNumberFormat="1" applyFont="1" applyFill="1" applyBorder="1"/>
    <xf numFmtId="165" fontId="5" fillId="4" borderId="24" xfId="5" applyNumberFormat="1" applyFont="1" applyFill="1" applyBorder="1"/>
    <xf numFmtId="10" fontId="5" fillId="4" borderId="10" xfId="7" applyNumberFormat="1" applyFont="1" applyFill="1" applyBorder="1"/>
    <xf numFmtId="0" fontId="5" fillId="4" borderId="13" xfId="7" applyFont="1" applyFill="1" applyBorder="1"/>
    <xf numFmtId="0" fontId="5" fillId="4" borderId="16" xfId="7" applyFont="1" applyFill="1" applyBorder="1"/>
    <xf numFmtId="0" fontId="5" fillId="4" borderId="14" xfId="7" applyFont="1" applyFill="1" applyBorder="1"/>
    <xf numFmtId="0" fontId="5" fillId="4" borderId="19" xfId="7" applyFont="1" applyFill="1" applyBorder="1"/>
    <xf numFmtId="164" fontId="4" fillId="0" borderId="1" xfId="0" quotePrefix="1" applyNumberFormat="1" applyFont="1" applyBorder="1" applyAlignment="1">
      <alignment horizontal="center" wrapText="1"/>
    </xf>
    <xf numFmtId="164" fontId="5" fillId="0" borderId="0" xfId="0" applyNumberFormat="1" applyFont="1" applyAlignment="1">
      <alignment horizontal="center" vertical="top" wrapText="1"/>
    </xf>
    <xf numFmtId="164" fontId="5" fillId="0" borderId="0" xfId="0" applyNumberFormat="1" applyFont="1"/>
    <xf numFmtId="10" fontId="5" fillId="0" borderId="0" xfId="0" applyNumberFormat="1" applyFont="1"/>
    <xf numFmtId="172" fontId="5" fillId="0" borderId="0" xfId="0" applyNumberFormat="1" applyFont="1"/>
    <xf numFmtId="44" fontId="5" fillId="0" borderId="0" xfId="0" applyNumberFormat="1" applyFont="1"/>
    <xf numFmtId="0" fontId="9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4" fillId="0" borderId="0" xfId="6" applyFont="1" applyFill="1" applyAlignment="1">
      <alignment horizontal="center"/>
    </xf>
    <xf numFmtId="0" fontId="4" fillId="0" borderId="0" xfId="15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6" applyFont="1" applyFill="1" applyAlignment="1">
      <alignment horizontal="center"/>
    </xf>
    <xf numFmtId="0" fontId="5" fillId="0" borderId="1" xfId="7" quotePrefix="1" applyFont="1" applyBorder="1" applyAlignment="1">
      <alignment horizontal="center"/>
    </xf>
    <xf numFmtId="0" fontId="5" fillId="0" borderId="0" xfId="7" quotePrefix="1" applyFont="1" applyAlignment="1">
      <alignment horizontal="left" indent="1"/>
    </xf>
    <xf numFmtId="0" fontId="5" fillId="0" borderId="0" xfId="7" quotePrefix="1" applyFont="1" applyFill="1" applyAlignment="1">
      <alignment horizontal="left" indent="2"/>
    </xf>
    <xf numFmtId="0" fontId="5" fillId="0" borderId="0" xfId="7" quotePrefix="1" applyFont="1" applyAlignment="1">
      <alignment horizontal="left" indent="2"/>
    </xf>
    <xf numFmtId="0" fontId="5" fillId="0" borderId="0" xfId="7" quotePrefix="1" applyFont="1" applyAlignment="1">
      <alignment horizontal="left" indent="3"/>
    </xf>
    <xf numFmtId="0" fontId="5" fillId="3" borderId="0" xfId="7" quotePrefix="1" applyFont="1" applyFill="1" applyAlignment="1">
      <alignment horizontal="left" indent="2"/>
    </xf>
    <xf numFmtId="0" fontId="5" fillId="0" borderId="0" xfId="7" quotePrefix="1" applyFont="1" applyFill="1" applyAlignment="1">
      <alignment horizontal="left" indent="3"/>
    </xf>
    <xf numFmtId="0" fontId="5" fillId="0" borderId="0" xfId="7" quotePrefix="1" applyFont="1" applyFill="1" applyAlignment="1">
      <alignment horizontal="left" indent="1"/>
    </xf>
    <xf numFmtId="0" fontId="4" fillId="0" borderId="0" xfId="15" applyFont="1" applyAlignment="1">
      <alignment horizontal="center" wrapText="1"/>
    </xf>
    <xf numFmtId="0" fontId="4" fillId="0" borderId="25" xfId="15" applyFont="1" applyBorder="1" applyAlignment="1">
      <alignment horizontal="center"/>
    </xf>
    <xf numFmtId="0" fontId="4" fillId="0" borderId="38" xfId="15" applyFont="1" applyBorder="1" applyAlignment="1">
      <alignment horizontal="center"/>
    </xf>
    <xf numFmtId="0" fontId="4" fillId="0" borderId="39" xfId="15" applyFont="1" applyBorder="1" applyAlignment="1">
      <alignment horizontal="center"/>
    </xf>
    <xf numFmtId="0" fontId="10" fillId="0" borderId="0" xfId="0" applyFont="1" applyAlignment="1">
      <alignment wrapText="1"/>
    </xf>
    <xf numFmtId="0" fontId="5" fillId="0" borderId="0" xfId="0" applyFont="1" applyFill="1" applyAlignment="1">
      <alignment horizontal="center"/>
    </xf>
    <xf numFmtId="166" fontId="5" fillId="0" borderId="0" xfId="0" applyNumberFormat="1" applyFont="1"/>
    <xf numFmtId="0" fontId="6" fillId="0" borderId="0" xfId="15" applyFont="1" applyAlignment="1">
      <alignment wrapText="1"/>
    </xf>
    <xf numFmtId="10" fontId="11" fillId="0" borderId="0" xfId="15" applyNumberFormat="1" applyFont="1"/>
    <xf numFmtId="0" fontId="4" fillId="4" borderId="0" xfId="0" applyFont="1" applyFill="1"/>
    <xf numFmtId="0" fontId="5" fillId="4" borderId="0" xfId="0" applyFont="1" applyFill="1"/>
    <xf numFmtId="0" fontId="11" fillId="4" borderId="0" xfId="0" applyFont="1" applyFill="1"/>
    <xf numFmtId="0" fontId="4" fillId="4" borderId="0" xfId="0" applyFont="1" applyFill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4" borderId="4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3" fontId="5" fillId="4" borderId="0" xfId="0" applyNumberFormat="1" applyFont="1" applyFill="1" applyBorder="1" applyAlignment="1">
      <alignment horizontal="right"/>
    </xf>
    <xf numFmtId="0" fontId="5" fillId="4" borderId="0" xfId="0" applyFont="1" applyFill="1" applyBorder="1"/>
    <xf numFmtId="3" fontId="5" fillId="0" borderId="0" xfId="7" applyNumberFormat="1" applyFont="1" applyFill="1"/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3" fontId="5" fillId="4" borderId="1" xfId="0" applyNumberFormat="1" applyFont="1" applyFill="1" applyBorder="1" applyAlignment="1">
      <alignment horizontal="right"/>
    </xf>
    <xf numFmtId="0" fontId="4" fillId="2" borderId="0" xfId="7" applyFont="1" applyFill="1"/>
    <xf numFmtId="0" fontId="4" fillId="0" borderId="0" xfId="7" applyFont="1" applyFill="1" applyAlignment="1">
      <alignment horizontal="center"/>
    </xf>
    <xf numFmtId="0" fontId="4" fillId="0" borderId="0" xfId="7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4" fillId="2" borderId="0" xfId="7" quotePrefix="1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165" fontId="5" fillId="0" borderId="0" xfId="1" applyNumberFormat="1" applyFont="1" applyFill="1" applyBorder="1"/>
    <xf numFmtId="165" fontId="4" fillId="0" borderId="5" xfId="1" applyNumberFormat="1" applyFont="1" applyFill="1" applyBorder="1" applyAlignment="1"/>
    <xf numFmtId="165" fontId="5" fillId="0" borderId="5" xfId="1" applyNumberFormat="1" applyFont="1" applyFill="1" applyBorder="1" applyAlignment="1"/>
    <xf numFmtId="165" fontId="5" fillId="0" borderId="0" xfId="1" applyNumberFormat="1" applyFont="1" applyFill="1" applyBorder="1" applyAlignment="1"/>
    <xf numFmtId="165" fontId="4" fillId="0" borderId="2" xfId="1" applyNumberFormat="1" applyFont="1" applyFill="1" applyBorder="1" applyAlignment="1"/>
    <xf numFmtId="164" fontId="5" fillId="0" borderId="0" xfId="2" applyNumberFormat="1" applyFont="1" applyFill="1" applyBorder="1"/>
    <xf numFmtId="41" fontId="5" fillId="0" borderId="0" xfId="1" applyNumberFormat="1" applyFont="1" applyFill="1" applyBorder="1" applyAlignment="1"/>
    <xf numFmtId="165" fontId="4" fillId="0" borderId="3" xfId="1" applyNumberFormat="1" applyFont="1" applyFill="1" applyBorder="1"/>
    <xf numFmtId="10" fontId="5" fillId="0" borderId="0" xfId="12" applyNumberFormat="1" applyFont="1" applyFill="1" applyBorder="1"/>
    <xf numFmtId="9" fontId="5" fillId="0" borderId="0" xfId="12" applyFont="1" applyFill="1" applyBorder="1"/>
    <xf numFmtId="165" fontId="4" fillId="0" borderId="2" xfId="1" applyNumberFormat="1" applyFont="1" applyFill="1" applyBorder="1"/>
    <xf numFmtId="41" fontId="5" fillId="0" borderId="0" xfId="1" applyNumberFormat="1" applyFont="1" applyFill="1" applyBorder="1"/>
    <xf numFmtId="167" fontId="5" fillId="0" borderId="0" xfId="1" applyNumberFormat="1" applyFont="1" applyFill="1" applyBorder="1"/>
    <xf numFmtId="0" fontId="4" fillId="0" borderId="0" xfId="0" applyFont="1" applyFill="1" applyAlignment="1">
      <alignment horizontal="center" wrapText="1"/>
    </xf>
    <xf numFmtId="0" fontId="13" fillId="0" borderId="0" xfId="0" applyFont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65" fontId="5" fillId="0" borderId="0" xfId="15" applyNumberFormat="1" applyFont="1" applyFill="1"/>
    <xf numFmtId="164" fontId="5" fillId="4" borderId="3" xfId="7" applyNumberFormat="1" applyFont="1" applyFill="1" applyBorder="1"/>
    <xf numFmtId="0" fontId="4" fillId="2" borderId="4" xfId="7" quotePrefix="1" applyFont="1" applyFill="1" applyBorder="1" applyAlignment="1">
      <alignment horizontal="center" wrapText="1"/>
    </xf>
    <xf numFmtId="166" fontId="5" fillId="3" borderId="7" xfId="7" applyNumberFormat="1" applyFont="1" applyFill="1" applyBorder="1"/>
    <xf numFmtId="0" fontId="4" fillId="4" borderId="15" xfId="7" quotePrefix="1" applyFont="1" applyFill="1" applyBorder="1" applyAlignment="1">
      <alignment horizontal="centerContinuous"/>
    </xf>
    <xf numFmtId="164" fontId="5" fillId="4" borderId="35" xfId="7" applyNumberFormat="1" applyFont="1" applyFill="1" applyBorder="1"/>
    <xf numFmtId="164" fontId="5" fillId="4" borderId="0" xfId="7" applyNumberFormat="1" applyFont="1" applyFill="1"/>
    <xf numFmtId="164" fontId="5" fillId="4" borderId="1" xfId="7" applyNumberFormat="1" applyFont="1" applyFill="1" applyBorder="1"/>
    <xf numFmtId="0" fontId="4" fillId="0" borderId="1" xfId="7" quotePrefix="1" applyFont="1" applyBorder="1" applyAlignment="1">
      <alignment horizontal="center" wrapText="1"/>
    </xf>
    <xf numFmtId="164" fontId="5" fillId="0" borderId="0" xfId="8" applyNumberFormat="1" applyFont="1" applyFill="1"/>
    <xf numFmtId="165" fontId="5" fillId="4" borderId="13" xfId="5" applyNumberFormat="1" applyFont="1" applyFill="1" applyBorder="1"/>
    <xf numFmtId="165" fontId="5" fillId="4" borderId="16" xfId="5" applyNumberFormat="1" applyFont="1" applyFill="1" applyBorder="1"/>
    <xf numFmtId="41" fontId="5" fillId="3" borderId="0" xfId="6" applyNumberFormat="1" applyFont="1" applyFill="1"/>
    <xf numFmtId="41" fontId="5" fillId="0" borderId="0" xfId="6" applyNumberFormat="1" applyFont="1"/>
    <xf numFmtId="166" fontId="5" fillId="3" borderId="16" xfId="5" applyNumberFormat="1" applyFont="1" applyFill="1" applyBorder="1"/>
    <xf numFmtId="44" fontId="5" fillId="0" borderId="0" xfId="5" quotePrefix="1" applyFont="1" applyFill="1" applyBorder="1"/>
    <xf numFmtId="0" fontId="5" fillId="0" borderId="0" xfId="6" applyFont="1"/>
    <xf numFmtId="167" fontId="4" fillId="0" borderId="0" xfId="7" applyNumberFormat="1" applyFont="1" applyFill="1" applyAlignment="1">
      <alignment horizontal="right"/>
    </xf>
    <xf numFmtId="0" fontId="4" fillId="0" borderId="0" xfId="7" applyFont="1" applyFill="1" applyAlignment="1" applyProtection="1">
      <alignment horizontal="centerContinuous"/>
      <protection locked="0"/>
    </xf>
    <xf numFmtId="0" fontId="4" fillId="0" borderId="0" xfId="7" applyFont="1" applyFill="1" applyAlignment="1">
      <alignment horizontal="centerContinuous"/>
    </xf>
    <xf numFmtId="0" fontId="5" fillId="0" borderId="0" xfId="7" applyFont="1" applyFill="1" applyAlignment="1">
      <alignment horizontal="centerContinuous"/>
    </xf>
    <xf numFmtId="0" fontId="5" fillId="0" borderId="0" xfId="7" applyFont="1" applyFill="1" applyAlignment="1">
      <alignment horizontal="centerContinuous" wrapText="1"/>
    </xf>
    <xf numFmtId="0" fontId="4" fillId="0" borderId="1" xfId="7" applyFont="1" applyFill="1" applyBorder="1" applyAlignment="1">
      <alignment horizontal="center"/>
    </xf>
    <xf numFmtId="0" fontId="4" fillId="0" borderId="1" xfId="7" applyFont="1" applyFill="1" applyBorder="1" applyProtection="1">
      <protection locked="0"/>
    </xf>
    <xf numFmtId="0" fontId="4" fillId="0" borderId="1" xfId="7" applyFont="1" applyFill="1" applyBorder="1"/>
    <xf numFmtId="0" fontId="4" fillId="0" borderId="1" xfId="7" applyFont="1" applyFill="1" applyBorder="1" applyAlignment="1">
      <alignment horizontal="right"/>
    </xf>
    <xf numFmtId="0" fontId="5" fillId="0" borderId="0" xfId="7" quotePrefix="1" applyFont="1" applyFill="1" applyAlignment="1">
      <alignment horizontal="center"/>
    </xf>
    <xf numFmtId="0" fontId="5" fillId="0" borderId="0" xfId="7" applyFont="1" applyFill="1" applyAlignment="1">
      <alignment horizontal="center"/>
    </xf>
    <xf numFmtId="167" fontId="5" fillId="0" borderId="0" xfId="7" applyNumberFormat="1" applyFont="1" applyFill="1"/>
    <xf numFmtId="173" fontId="5" fillId="0" borderId="0" xfId="7" applyNumberFormat="1" applyFont="1" applyFill="1"/>
    <xf numFmtId="167" fontId="5" fillId="0" borderId="1" xfId="7" applyNumberFormat="1" applyFont="1" applyFill="1" applyBorder="1"/>
    <xf numFmtId="167" fontId="4" fillId="0" borderId="0" xfId="7" applyNumberFormat="1" applyFont="1" applyFill="1"/>
    <xf numFmtId="9" fontId="5" fillId="0" borderId="0" xfId="7" applyNumberFormat="1" applyFont="1" applyFill="1"/>
    <xf numFmtId="167" fontId="5" fillId="0" borderId="3" xfId="7" applyNumberFormat="1" applyFont="1" applyFill="1" applyBorder="1" applyProtection="1">
      <protection locked="0"/>
    </xf>
    <xf numFmtId="165" fontId="5" fillId="0" borderId="13" xfId="15" applyNumberFormat="1" applyFont="1" applyFill="1" applyBorder="1"/>
  </cellXfs>
  <cellStyles count="17">
    <cellStyle name="Comma" xfId="2" builtinId="3"/>
    <cellStyle name="Comma 10" xfId="8" xr:uid="{00000000-0005-0000-0000-000001000000}"/>
    <cellStyle name="Currency" xfId="1" builtinId="4"/>
    <cellStyle name="Currency 2" xfId="4" xr:uid="{00000000-0005-0000-0000-000003000000}"/>
    <cellStyle name="Currency 2 12" xfId="5" xr:uid="{00000000-0005-0000-0000-000004000000}"/>
    <cellStyle name="Currency 3" xfId="16" xr:uid="{340720FF-C0EC-462F-B59A-CAAF2B012E30}"/>
    <cellStyle name="Normal" xfId="0" builtinId="0"/>
    <cellStyle name="Normal 2" xfId="3" xr:uid="{00000000-0005-0000-0000-000006000000}"/>
    <cellStyle name="Normal 2 10" xfId="7" xr:uid="{00000000-0005-0000-0000-000007000000}"/>
    <cellStyle name="Normal 2 2" xfId="9" xr:uid="{00000000-0005-0000-0000-000008000000}"/>
    <cellStyle name="Normal 2 3" xfId="11" xr:uid="{00000000-0005-0000-0000-000009000000}"/>
    <cellStyle name="Normal 3" xfId="13" xr:uid="{00000000-0005-0000-0000-00000A000000}"/>
    <cellStyle name="Normal 31" xfId="14" xr:uid="{00000000-0005-0000-0000-00000B000000}"/>
    <cellStyle name="Normal 4" xfId="15" xr:uid="{52AF8F5E-826A-4121-A425-68307179E251}"/>
    <cellStyle name="Normal 510" xfId="6" xr:uid="{00000000-0005-0000-0000-00000C000000}"/>
    <cellStyle name="Percent" xfId="12" builtinId="5"/>
    <cellStyle name="Percent 2" xfId="10" xr:uid="{00000000-0005-0000-0000-00000E000000}"/>
  </cellStyles>
  <dxfs count="2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33CC"/>
      <color rgb="FF00808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customXml" Target="../customXml/item2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customXml" Target="../customXml/item5.xml"/><Relationship Id="rId61" Type="http://schemas.openxmlformats.org/officeDocument/2006/relationships/externalLink" Target="externalLinks/externalLink49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27</xdr:col>
      <xdr:colOff>312994</xdr:colOff>
      <xdr:row>21</xdr:row>
      <xdr:rowOff>118659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8B491-55D0-41AE-ADD7-98D6C59B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8775" y="142875"/>
          <a:ext cx="7866319" cy="313808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28</xdr:col>
      <xdr:colOff>504058</xdr:colOff>
      <xdr:row>62</xdr:row>
      <xdr:rowOff>3738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322E67-8E18-43DD-B17C-FB013BF7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8775" y="3629025"/>
          <a:ext cx="8638408" cy="59187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WC-RB%20GRC%20TY0903%20RY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2F\Due%20Diligence\August%20New%20Model\Fred%20Value%209.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BDJ-4-COS-Model-22GRC-01-20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FCR%20for%20PSE%20S40%20V0%20%20HM%20edit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boljh\Local%20Settings\MSN%20Rate%20v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1%20GRC\RebuttalFiling2011%20GRC\Electric%20Model%202011%20GRC%20Rebuttal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C0\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scartwri\My%20Documents\Projects\PSE\Projects\BHP\Due%20Diligence\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WUTC\Puget%20Sound%20Energy\Semi%20Annual%20Report\Jun_30_01\Proforma%20Adj_not%20us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Reports\SalesOfElectricity\2009%20SOE\04-2009\02-2009%20SOE%20preli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eneral Inputs"/>
      <sheetName val="Input-Allocators"/>
      <sheetName val="Input-Accounts"/>
      <sheetName val="Functionalization"/>
      <sheetName val="Classification"/>
      <sheetName val="Prod_Dem"/>
      <sheetName val="Prod_Energy"/>
      <sheetName val="Trans_Dem"/>
      <sheetName val="Trans_Energy"/>
      <sheetName val="Dist_Dem"/>
      <sheetName val="Dist_Cust"/>
      <sheetName val="Cust_Cust"/>
      <sheetName val="Template"/>
      <sheetName val="DemandTotal"/>
      <sheetName val="EnergyTotal"/>
      <sheetName val="CustomerTotal"/>
      <sheetName val="GrandTotal"/>
      <sheetName val="Summary"/>
      <sheetName val="B - COS Results"/>
      <sheetName val="C-COS Allocation Factors"/>
      <sheetName val="E-Summary of results"/>
      <sheetName val="UnitCost"/>
      <sheetName val="Basic Charge"/>
      <sheetName val="SC Feeder "/>
      <sheetName val="SC Substation O&amp;M"/>
      <sheetName val="SC Substation A&amp;G"/>
      <sheetName val="PCA Cost Alloc for Sch 142"/>
      <sheetName val="Alloc for Sch 141A"/>
      <sheetName val="ErrorCheck"/>
      <sheetName val="Required Sheets"/>
    </sheetNames>
    <sheetDataSet>
      <sheetData sheetId="0"/>
      <sheetData sheetId="1">
        <row r="19">
          <cell r="D19">
            <v>7.1599999999999997E-2</v>
          </cell>
        </row>
        <row r="31">
          <cell r="D31">
            <v>1</v>
          </cell>
        </row>
      </sheetData>
      <sheetData sheetId="2">
        <row r="9">
          <cell r="B9" t="str">
            <v>PRODUCTION</v>
          </cell>
        </row>
        <row r="10">
          <cell r="B10" t="str">
            <v>TRANSMISSION</v>
          </cell>
        </row>
        <row r="11">
          <cell r="B11" t="str">
            <v>DISTRIBUTION</v>
          </cell>
        </row>
        <row r="12">
          <cell r="B12" t="str">
            <v>CUSTOMER</v>
          </cell>
        </row>
        <row r="13">
          <cell r="B13"/>
        </row>
        <row r="14">
          <cell r="B14"/>
        </row>
        <row r="15">
          <cell r="B15"/>
        </row>
        <row r="16">
          <cell r="B16"/>
        </row>
        <row r="19">
          <cell r="B19" t="str">
            <v>DEMAND</v>
          </cell>
        </row>
        <row r="20">
          <cell r="B20" t="str">
            <v>ENERGY</v>
          </cell>
        </row>
        <row r="21">
          <cell r="B21" t="str">
            <v>CUSTOMER</v>
          </cell>
        </row>
        <row r="22">
          <cell r="B22" t="str">
            <v>REN PEAK CREDIT</v>
          </cell>
        </row>
        <row r="23">
          <cell r="B23"/>
        </row>
        <row r="24">
          <cell r="B24"/>
        </row>
        <row r="32">
          <cell r="B32"/>
        </row>
        <row r="33">
          <cell r="B33" t="str">
            <v>CUST_1</v>
          </cell>
        </row>
        <row r="34">
          <cell r="B34" t="str">
            <v>CUST_2</v>
          </cell>
        </row>
        <row r="35">
          <cell r="B35" t="str">
            <v>CUST_3</v>
          </cell>
        </row>
        <row r="36">
          <cell r="B36" t="str">
            <v>CUST_4</v>
          </cell>
        </row>
        <row r="37">
          <cell r="B37" t="str">
            <v>CUST_5</v>
          </cell>
        </row>
        <row r="38">
          <cell r="B38" t="str">
            <v>DEM_1A</v>
          </cell>
        </row>
        <row r="39">
          <cell r="B39" t="str">
            <v>DEM_1B</v>
          </cell>
        </row>
        <row r="40">
          <cell r="B40" t="str">
            <v>DEM_2B</v>
          </cell>
        </row>
        <row r="41">
          <cell r="B41" t="str">
            <v>DEM_3</v>
          </cell>
        </row>
        <row r="42">
          <cell r="B42" t="str">
            <v>DEM_4</v>
          </cell>
        </row>
        <row r="43">
          <cell r="B43" t="str">
            <v>DIR_449</v>
          </cell>
        </row>
        <row r="44">
          <cell r="B44" t="str">
            <v>DIR_SC</v>
          </cell>
        </row>
        <row r="45">
          <cell r="B45" t="str">
            <v>DIR_RESALE_SMALL</v>
          </cell>
        </row>
        <row r="46">
          <cell r="B46" t="str">
            <v>DIR108.360</v>
          </cell>
        </row>
        <row r="47">
          <cell r="B47" t="str">
            <v>DIR108.361</v>
          </cell>
        </row>
        <row r="48">
          <cell r="B48" t="str">
            <v>DIR108.362</v>
          </cell>
        </row>
        <row r="49">
          <cell r="B49" t="str">
            <v>DIR108.364</v>
          </cell>
        </row>
        <row r="50">
          <cell r="B50" t="str">
            <v>DIR108.366</v>
          </cell>
        </row>
        <row r="51">
          <cell r="B51" t="str">
            <v>DIR235.00</v>
          </cell>
        </row>
        <row r="52">
          <cell r="B52" t="str">
            <v>DIR252.00</v>
          </cell>
        </row>
        <row r="53">
          <cell r="B53" t="str">
            <v>DIR360.01</v>
          </cell>
        </row>
        <row r="54">
          <cell r="B54" t="str">
            <v>DIR361.01</v>
          </cell>
        </row>
        <row r="55">
          <cell r="B55" t="str">
            <v>DIR362.01</v>
          </cell>
        </row>
        <row r="56">
          <cell r="B56" t="str">
            <v>DIR364.01</v>
          </cell>
        </row>
        <row r="57">
          <cell r="B57" t="str">
            <v>DIR366.01</v>
          </cell>
        </row>
        <row r="58">
          <cell r="B58" t="str">
            <v>DIR368.03</v>
          </cell>
        </row>
        <row r="59">
          <cell r="B59" t="str">
            <v>DIR373.00</v>
          </cell>
        </row>
        <row r="60">
          <cell r="B60" t="str">
            <v>DIR450.01</v>
          </cell>
        </row>
        <row r="61">
          <cell r="B61" t="str">
            <v>DIR451.02</v>
          </cell>
        </row>
        <row r="62">
          <cell r="B62" t="str">
            <v>DIR451.05</v>
          </cell>
        </row>
        <row r="63">
          <cell r="B63" t="str">
            <v>DIR451.06</v>
          </cell>
        </row>
        <row r="64">
          <cell r="B64" t="str">
            <v>DIR454.05</v>
          </cell>
        </row>
        <row r="65">
          <cell r="B65" t="str">
            <v>ENERGY_1</v>
          </cell>
        </row>
        <row r="66">
          <cell r="B66" t="str">
            <v>ENERGY_2</v>
          </cell>
        </row>
        <row r="67">
          <cell r="B67" t="str">
            <v>METER</v>
          </cell>
        </row>
        <row r="68">
          <cell r="B68" t="str">
            <v>OH_SVC</v>
          </cell>
        </row>
        <row r="69">
          <cell r="B69" t="str">
            <v>OH_TFMR</v>
          </cell>
        </row>
        <row r="70">
          <cell r="B70" t="str">
            <v>PROFORMA</v>
          </cell>
        </row>
        <row r="71">
          <cell r="B71" t="str">
            <v>PROFORMA_RETAIL</v>
          </cell>
        </row>
        <row r="72">
          <cell r="B72" t="str">
            <v>RESID</v>
          </cell>
        </row>
        <row r="73">
          <cell r="B73" t="str">
            <v>UG_TFMR</v>
          </cell>
        </row>
        <row r="74">
          <cell r="B74" t="str">
            <v>DIR904</v>
          </cell>
        </row>
        <row r="75">
          <cell r="B75"/>
        </row>
        <row r="76">
          <cell r="B76"/>
        </row>
        <row r="77">
          <cell r="B77"/>
        </row>
        <row r="78">
          <cell r="B78"/>
        </row>
        <row r="79">
          <cell r="B79"/>
        </row>
        <row r="80">
          <cell r="B80"/>
        </row>
        <row r="81">
          <cell r="B81"/>
        </row>
        <row r="82">
          <cell r="B82"/>
        </row>
        <row r="83">
          <cell r="B83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9">
          <cell r="G39">
            <v>3193663695.1851835</v>
          </cell>
        </row>
      </sheetData>
      <sheetData sheetId="23"/>
      <sheetData sheetId="24"/>
      <sheetData sheetId="25"/>
      <sheetData sheetId="26">
        <row r="2">
          <cell r="A2" t="str">
            <v>UE-22xxxx Adjusted Test Year Twelve Months ended June 2021 @ Proforma Rev Requirement</v>
          </cell>
        </row>
      </sheetData>
      <sheetData sheetId="27">
        <row r="3">
          <cell r="A3" t="str">
            <v>UE-22xxxx Adjusted Test Year Twelve Months ended June 2021 @ Proforma Rev Requirement</v>
          </cell>
        </row>
      </sheetData>
      <sheetData sheetId="28">
        <row r="10">
          <cell r="E10">
            <v>11289696775.032455</v>
          </cell>
        </row>
      </sheetData>
      <sheetData sheetId="29"/>
      <sheetData sheetId="30">
        <row r="24">
          <cell r="G24" t="str">
            <v>Prod_Dem</v>
          </cell>
          <cell r="H24" t="str">
            <v>Prod_Energy</v>
          </cell>
          <cell r="I24" t="str">
            <v>Dist_Cust</v>
          </cell>
        </row>
        <row r="25">
          <cell r="G25" t="str">
            <v>Trans_Dem</v>
          </cell>
          <cell r="H25" t="str">
            <v>Trans_Energy</v>
          </cell>
          <cell r="I25" t="str">
            <v>Cust_Cust</v>
          </cell>
        </row>
        <row r="26">
          <cell r="G26" t="str">
            <v>Dist_Dem</v>
          </cell>
          <cell r="H26" t="str">
            <v/>
          </cell>
          <cell r="I26" t="str">
            <v/>
          </cell>
        </row>
        <row r="27">
          <cell r="G27" t="str">
            <v/>
          </cell>
          <cell r="H27" t="str">
            <v/>
          </cell>
          <cell r="I27" t="str">
            <v/>
          </cell>
        </row>
        <row r="28">
          <cell r="G28" t="str">
            <v/>
          </cell>
          <cell r="H28" t="str">
            <v/>
          </cell>
          <cell r="I28" t="str">
            <v/>
          </cell>
        </row>
        <row r="29">
          <cell r="G29" t="str">
            <v/>
          </cell>
          <cell r="H29" t="str">
            <v/>
          </cell>
          <cell r="I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</row>
        <row r="32">
          <cell r="G32" t="str">
            <v/>
          </cell>
          <cell r="H32" t="str">
            <v/>
          </cell>
          <cell r="I32" t="str">
            <v/>
          </cell>
        </row>
        <row r="33">
          <cell r="G33" t="str">
            <v/>
          </cell>
          <cell r="H33" t="str">
            <v/>
          </cell>
          <cell r="I33" t="str">
            <v/>
          </cell>
        </row>
        <row r="34">
          <cell r="G34" t="str">
            <v/>
          </cell>
          <cell r="H34" t="str">
            <v/>
          </cell>
          <cell r="I34" t="str">
            <v/>
          </cell>
        </row>
        <row r="35">
          <cell r="G35" t="str">
            <v/>
          </cell>
          <cell r="H35" t="str">
            <v/>
          </cell>
          <cell r="I35" t="str">
            <v/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F0DD3-18E8-41DE-9763-50E8623D9D84}">
  <sheetPr>
    <pageSetUpPr fitToPage="1"/>
  </sheetPr>
  <dimension ref="A1:K32"/>
  <sheetViews>
    <sheetView tabSelected="1" zoomScaleNormal="100" workbookViewId="0">
      <pane ySplit="6" topLeftCell="A7" activePane="bottomLeft" state="frozen"/>
      <selection pane="bottomLeft" activeCell="C13" sqref="C13"/>
    </sheetView>
  </sheetViews>
  <sheetFormatPr defaultColWidth="5.7109375" defaultRowHeight="11.25" x14ac:dyDescent="0.2"/>
  <cols>
    <col min="1" max="1" width="4.42578125" style="93" customWidth="1"/>
    <col min="2" max="2" width="28.85546875" style="93" bestFit="1" customWidth="1"/>
    <col min="3" max="3" width="17" style="93" bestFit="1" customWidth="1"/>
    <col min="4" max="4" width="12.85546875" style="93" bestFit="1" customWidth="1"/>
    <col min="5" max="5" width="7.85546875" style="93" bestFit="1" customWidth="1"/>
    <col min="6" max="6" width="11.7109375" style="93" customWidth="1"/>
    <col min="7" max="7" width="1.140625" style="93" customWidth="1"/>
    <col min="8" max="8" width="12.7109375" style="93" customWidth="1"/>
    <col min="9" max="9" width="9.140625" style="93" bestFit="1" customWidth="1"/>
    <col min="10" max="10" width="12" style="93" customWidth="1"/>
    <col min="11" max="11" width="23.42578125" style="93" bestFit="1" customWidth="1"/>
    <col min="12" max="16384" width="5.7109375" style="93"/>
  </cols>
  <sheetData>
    <row r="1" spans="1:11" s="223" customFormat="1" ht="11.25" customHeight="1" x14ac:dyDescent="0.25">
      <c r="A1" s="227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11" s="223" customFormat="1" ht="11.25" customHeight="1" x14ac:dyDescent="0.25">
      <c r="A2" s="227" t="s">
        <v>179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</row>
    <row r="3" spans="1:11" s="223" customFormat="1" ht="11.25" customHeight="1" x14ac:dyDescent="0.25">
      <c r="A3" s="227" t="s">
        <v>180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</row>
    <row r="4" spans="1:11" s="223" customFormat="1" ht="11.25" customHeight="1" x14ac:dyDescent="0.25">
      <c r="A4" s="227" t="s">
        <v>181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</row>
    <row r="5" spans="1:11" s="223" customFormat="1" x14ac:dyDescent="0.2"/>
    <row r="6" spans="1:11" s="224" customFormat="1" ht="54.75" customHeight="1" x14ac:dyDescent="0.2">
      <c r="A6" s="92" t="s">
        <v>1</v>
      </c>
      <c r="B6" s="92" t="s">
        <v>330</v>
      </c>
      <c r="C6" s="92" t="s">
        <v>331</v>
      </c>
      <c r="D6" s="216" t="s">
        <v>332</v>
      </c>
      <c r="E6" s="216" t="s">
        <v>333</v>
      </c>
      <c r="F6" s="216" t="s">
        <v>334</v>
      </c>
      <c r="G6" s="216"/>
      <c r="H6" s="216" t="s">
        <v>335</v>
      </c>
      <c r="I6" s="216" t="s">
        <v>336</v>
      </c>
      <c r="J6" s="216" t="s">
        <v>337</v>
      </c>
      <c r="K6" s="80" t="s">
        <v>338</v>
      </c>
    </row>
    <row r="7" spans="1:11" s="94" customFormat="1" x14ac:dyDescent="0.2">
      <c r="A7" s="95"/>
      <c r="B7" s="95"/>
      <c r="C7" s="95"/>
      <c r="D7" s="217"/>
      <c r="E7" s="217"/>
      <c r="F7" s="217"/>
      <c r="G7" s="217"/>
      <c r="H7" s="217"/>
      <c r="I7" s="217"/>
      <c r="J7" s="217"/>
      <c r="K7" s="96"/>
    </row>
    <row r="8" spans="1:11" x14ac:dyDescent="0.2">
      <c r="A8" s="102"/>
      <c r="C8" s="102"/>
      <c r="D8" s="218"/>
      <c r="E8" s="218"/>
      <c r="F8" s="218"/>
      <c r="G8" s="218"/>
      <c r="H8" s="218"/>
      <c r="I8" s="218"/>
      <c r="J8" s="218"/>
    </row>
    <row r="9" spans="1:11" x14ac:dyDescent="0.2">
      <c r="A9" s="102">
        <v>1</v>
      </c>
      <c r="B9" s="93" t="s">
        <v>3</v>
      </c>
      <c r="C9" s="242" t="s">
        <v>361</v>
      </c>
      <c r="D9" s="243">
        <f>'Exhibit No.__(BDJ-141C)'!L8</f>
        <v>2.6690918983346672E-3</v>
      </c>
      <c r="E9" s="243"/>
      <c r="F9" s="243"/>
      <c r="G9" s="243"/>
      <c r="H9" s="243">
        <f>'Rate Spread and Design'!$J$9</f>
        <v>2.7260000000000001E-3</v>
      </c>
      <c r="I9" s="243"/>
      <c r="J9" s="243"/>
      <c r="K9" s="93" t="s">
        <v>358</v>
      </c>
    </row>
    <row r="10" spans="1:11" x14ac:dyDescent="0.2">
      <c r="A10" s="102">
        <f t="shared" ref="A10:A32" si="0">+A9+1</f>
        <v>2</v>
      </c>
      <c r="C10" s="102"/>
      <c r="D10" s="99"/>
      <c r="E10" s="99"/>
      <c r="F10" s="99"/>
      <c r="G10" s="99"/>
      <c r="H10" s="99"/>
      <c r="I10" s="99"/>
      <c r="J10" s="99"/>
      <c r="K10" s="219"/>
    </row>
    <row r="11" spans="1:11" x14ac:dyDescent="0.2">
      <c r="A11" s="102">
        <f t="shared" si="0"/>
        <v>3</v>
      </c>
      <c r="B11" s="93" t="s">
        <v>339</v>
      </c>
      <c r="C11" s="102"/>
      <c r="D11" s="99"/>
      <c r="E11" s="99"/>
      <c r="F11" s="99"/>
      <c r="G11" s="99"/>
      <c r="H11" s="99"/>
      <c r="I11" s="99"/>
      <c r="J11" s="99"/>
      <c r="K11" s="219"/>
    </row>
    <row r="12" spans="1:11" x14ac:dyDescent="0.2">
      <c r="A12" s="102">
        <f t="shared" si="0"/>
        <v>4</v>
      </c>
      <c r="B12" s="100" t="s">
        <v>340</v>
      </c>
      <c r="C12" s="102" t="s">
        <v>362</v>
      </c>
      <c r="D12" s="243">
        <f>'Exhibit No.__(BDJ-141C)'!$L$10</f>
        <v>2.3455888131475094E-3</v>
      </c>
      <c r="E12" s="243"/>
      <c r="F12" s="243"/>
      <c r="G12" s="243"/>
      <c r="H12" s="243">
        <f>'Rate Spread and Design'!$J$11</f>
        <v>2.3960000000000001E-3</v>
      </c>
      <c r="I12" s="243"/>
      <c r="J12" s="243"/>
      <c r="K12" s="93" t="s">
        <v>358</v>
      </c>
    </row>
    <row r="13" spans="1:11" x14ac:dyDescent="0.2">
      <c r="A13" s="102">
        <f t="shared" si="0"/>
        <v>5</v>
      </c>
      <c r="B13" s="97" t="s">
        <v>341</v>
      </c>
      <c r="C13" s="101" t="s">
        <v>342</v>
      </c>
      <c r="D13" s="243">
        <f>'Exhibit No.__(BDJ-141C)'!$L$12</f>
        <v>4.6706408367337319E-4</v>
      </c>
      <c r="E13" s="221">
        <f>'Exhibit No.__(BDJ-141C)'!$L$13</f>
        <v>1.2041679243889345</v>
      </c>
      <c r="F13" s="221"/>
      <c r="G13" s="243"/>
      <c r="H13" s="243">
        <f>'Rate Spread and Design'!$J$13</f>
        <v>4.8000000000000001E-4</v>
      </c>
      <c r="I13" s="221">
        <f>'Rate Spread and Design'!$J$14</f>
        <v>1.26</v>
      </c>
      <c r="J13" s="221"/>
      <c r="K13" s="93" t="s">
        <v>358</v>
      </c>
    </row>
    <row r="14" spans="1:11" x14ac:dyDescent="0.2">
      <c r="A14" s="102">
        <f t="shared" si="0"/>
        <v>6</v>
      </c>
      <c r="B14" s="97" t="s">
        <v>343</v>
      </c>
      <c r="C14" s="102" t="s">
        <v>344</v>
      </c>
      <c r="D14" s="243">
        <f>'Exhibit No.__(BDJ-141C)'!$L$16</f>
        <v>4.2889123484104742E-4</v>
      </c>
      <c r="E14" s="221">
        <f>'Exhibit No.__(BDJ-141C)'!$L$17</f>
        <v>0.7096914857451817</v>
      </c>
      <c r="F14" s="221"/>
      <c r="G14" s="243"/>
      <c r="H14" s="243">
        <f>'Rate Spread and Design'!$J$17</f>
        <v>4.1800000000000002E-4</v>
      </c>
      <c r="I14" s="221">
        <f>'Rate Spread and Design'!$J$18</f>
        <v>0.68</v>
      </c>
      <c r="J14" s="221"/>
      <c r="K14" s="93" t="s">
        <v>358</v>
      </c>
    </row>
    <row r="15" spans="1:11" x14ac:dyDescent="0.2">
      <c r="A15" s="102">
        <f t="shared" si="0"/>
        <v>7</v>
      </c>
      <c r="B15" s="97" t="s">
        <v>345</v>
      </c>
      <c r="C15" s="102">
        <v>29</v>
      </c>
      <c r="D15" s="243">
        <f>'Exhibit No.__(BDJ-141C)'!$L$20</f>
        <v>4.8316601323873291E-4</v>
      </c>
      <c r="E15" s="221">
        <f>'Exhibit No.__(BDJ-141C)'!$L$21</f>
        <v>4.6670016981572955</v>
      </c>
      <c r="F15" s="221"/>
      <c r="G15" s="243"/>
      <c r="H15" s="243">
        <f>'Rate Spread and Design'!$J$21</f>
        <v>5.0799999999999999E-4</v>
      </c>
      <c r="I15" s="221">
        <f>'Rate Spread and Design'!$J$22</f>
        <v>4.76</v>
      </c>
      <c r="J15" s="221"/>
      <c r="K15" s="93" t="s">
        <v>359</v>
      </c>
    </row>
    <row r="16" spans="1:11" ht="10.5" customHeight="1" x14ac:dyDescent="0.2">
      <c r="A16" s="102">
        <f t="shared" si="0"/>
        <v>8</v>
      </c>
      <c r="C16" s="102"/>
      <c r="D16" s="220"/>
      <c r="E16" s="221"/>
      <c r="F16" s="221"/>
      <c r="G16" s="220"/>
      <c r="H16" s="220"/>
      <c r="I16" s="221"/>
      <c r="J16" s="221"/>
      <c r="K16" s="219"/>
    </row>
    <row r="17" spans="1:11" x14ac:dyDescent="0.2">
      <c r="A17" s="102">
        <f t="shared" si="0"/>
        <v>9</v>
      </c>
      <c r="B17" s="103" t="s">
        <v>346</v>
      </c>
      <c r="C17" s="102"/>
      <c r="D17" s="220"/>
      <c r="E17" s="221"/>
      <c r="F17" s="221"/>
      <c r="G17" s="220"/>
      <c r="H17" s="220"/>
      <c r="I17" s="221"/>
      <c r="J17" s="221"/>
      <c r="K17" s="219"/>
    </row>
    <row r="18" spans="1:11" x14ac:dyDescent="0.2">
      <c r="A18" s="102">
        <f t="shared" si="0"/>
        <v>10</v>
      </c>
      <c r="B18" s="97" t="s">
        <v>347</v>
      </c>
      <c r="C18" s="102" t="s">
        <v>348</v>
      </c>
      <c r="D18" s="243">
        <f>'Exhibit No.__(BDJ-141C)'!$L$24</f>
        <v>4.1177680739104663E-4</v>
      </c>
      <c r="E18" s="221">
        <f>'Exhibit No.__(BDJ-141C)'!$L$25</f>
        <v>0.66644548527539227</v>
      </c>
      <c r="F18" s="221"/>
      <c r="G18" s="243"/>
      <c r="H18" s="243">
        <f>'Rate Spread and Design'!$J$25</f>
        <v>4.0499999999999998E-4</v>
      </c>
      <c r="I18" s="221">
        <f>'Rate Spread and Design'!$J$26</f>
        <v>0.68</v>
      </c>
      <c r="J18" s="221"/>
      <c r="K18" s="93" t="s">
        <v>359</v>
      </c>
    </row>
    <row r="19" spans="1:11" x14ac:dyDescent="0.2">
      <c r="A19" s="102">
        <f t="shared" si="0"/>
        <v>11</v>
      </c>
      <c r="B19" s="97" t="s">
        <v>349</v>
      </c>
      <c r="C19" s="102">
        <v>35</v>
      </c>
      <c r="D19" s="243">
        <f>'Exhibit No.__(BDJ-141C)'!$L$28</f>
        <v>2.832652344567382E-4</v>
      </c>
      <c r="E19" s="221">
        <f>'Exhibit No.__(BDJ-141C)'!$L$29</f>
        <v>0.62184948336923185</v>
      </c>
      <c r="F19" s="221"/>
      <c r="G19" s="243"/>
      <c r="H19" s="243">
        <f>'Rate Spread and Design'!$J$29</f>
        <v>3.1100000000000002E-4</v>
      </c>
      <c r="I19" s="221">
        <f>'Rate Spread and Design'!$J$30</f>
        <v>0.67</v>
      </c>
      <c r="J19" s="221"/>
      <c r="K19" s="93" t="s">
        <v>359</v>
      </c>
    </row>
    <row r="20" spans="1:11" x14ac:dyDescent="0.2">
      <c r="A20" s="102">
        <f t="shared" si="0"/>
        <v>12</v>
      </c>
      <c r="B20" s="97" t="s">
        <v>350</v>
      </c>
      <c r="C20" s="102">
        <v>43</v>
      </c>
      <c r="D20" s="243">
        <f>'Exhibit No.__(BDJ-141C)'!$L$32</f>
        <v>8.8114669203437663E-5</v>
      </c>
      <c r="E20" s="221">
        <f>'Exhibit No.__(BDJ-141C)'!$L$33</f>
        <v>7.0225429046370358E-2</v>
      </c>
      <c r="F20" s="221"/>
      <c r="G20" s="243"/>
      <c r="H20" s="243">
        <f>'Rate Spread and Design'!$J$33</f>
        <v>8.7999999999999998E-5</v>
      </c>
      <c r="I20" s="221">
        <f>'Rate Spread and Design'!$J$34</f>
        <v>7.0000000000000007E-2</v>
      </c>
      <c r="J20" s="221"/>
      <c r="K20" s="93" t="s">
        <v>359</v>
      </c>
    </row>
    <row r="21" spans="1:11" x14ac:dyDescent="0.2">
      <c r="A21" s="102">
        <f t="shared" si="0"/>
        <v>13</v>
      </c>
      <c r="D21" s="220"/>
      <c r="E21" s="221"/>
      <c r="F21" s="221"/>
      <c r="G21" s="220"/>
      <c r="H21" s="220"/>
      <c r="I21" s="221"/>
      <c r="J21" s="221"/>
      <c r="K21" s="219"/>
    </row>
    <row r="22" spans="1:11" x14ac:dyDescent="0.2">
      <c r="A22" s="102">
        <f t="shared" si="0"/>
        <v>14</v>
      </c>
      <c r="B22" s="98" t="s">
        <v>351</v>
      </c>
      <c r="C22" s="102"/>
      <c r="D22" s="220"/>
      <c r="E22" s="221"/>
      <c r="F22" s="221"/>
      <c r="G22" s="220"/>
      <c r="H22" s="220"/>
      <c r="I22" s="221"/>
      <c r="J22" s="221"/>
    </row>
    <row r="23" spans="1:11" x14ac:dyDescent="0.2">
      <c r="A23" s="102">
        <f t="shared" si="0"/>
        <v>15</v>
      </c>
      <c r="B23" s="97" t="s">
        <v>352</v>
      </c>
      <c r="C23" s="102">
        <v>46</v>
      </c>
      <c r="D23" s="243">
        <f>'Exhibit No.__(BDJ-141C)'!$L$36</f>
        <v>1.0241045818165137E-4</v>
      </c>
      <c r="E23" s="221"/>
      <c r="F23" s="221">
        <f>'Exhibit No.__(BDJ-141C)'!$L$37</f>
        <v>9.806322106213429E-2</v>
      </c>
      <c r="G23" s="243"/>
      <c r="H23" s="243">
        <f>'Rate Spread and Design'!$J$37</f>
        <v>9.8999999999999994E-5</v>
      </c>
      <c r="I23" s="221"/>
      <c r="J23" s="221">
        <f>'Rate Spread and Design'!$J$38</f>
        <v>0.08</v>
      </c>
      <c r="K23" s="93" t="s">
        <v>360</v>
      </c>
    </row>
    <row r="24" spans="1:11" x14ac:dyDescent="0.2">
      <c r="A24" s="102">
        <f t="shared" si="0"/>
        <v>16</v>
      </c>
      <c r="B24" s="100" t="s">
        <v>353</v>
      </c>
      <c r="C24" s="102">
        <v>49</v>
      </c>
      <c r="D24" s="243">
        <f>'Exhibit No.__(BDJ-141C)'!$L$40</f>
        <v>3.8427908962902459E-4</v>
      </c>
      <c r="E24" s="221"/>
      <c r="F24" s="221">
        <f>'Exhibit No.__(BDJ-141C)'!$L$41</f>
        <v>0.62313914057762876</v>
      </c>
      <c r="G24" s="243"/>
      <c r="H24" s="243">
        <f>'Rate Spread and Design'!$J$41</f>
        <v>3.7800000000000003E-4</v>
      </c>
      <c r="I24" s="221"/>
      <c r="J24" s="221">
        <f>'Rate Spread and Design'!$J$42</f>
        <v>0.61</v>
      </c>
      <c r="K24" s="93" t="s">
        <v>360</v>
      </c>
    </row>
    <row r="25" spans="1:11" ht="13.15" customHeight="1" x14ac:dyDescent="0.2">
      <c r="A25" s="102">
        <f t="shared" si="0"/>
        <v>17</v>
      </c>
      <c r="B25" s="98"/>
      <c r="C25" s="102"/>
      <c r="D25" s="220"/>
      <c r="E25" s="221"/>
      <c r="F25" s="221"/>
      <c r="G25" s="220"/>
      <c r="H25" s="220"/>
      <c r="I25" s="221"/>
      <c r="J25" s="221"/>
      <c r="K25" s="219"/>
    </row>
    <row r="26" spans="1:11" ht="13.15" customHeight="1" x14ac:dyDescent="0.2">
      <c r="A26" s="102">
        <f t="shared" si="0"/>
        <v>18</v>
      </c>
      <c r="B26" s="93" t="s">
        <v>123</v>
      </c>
      <c r="C26" s="102" t="s">
        <v>5</v>
      </c>
      <c r="D26" s="243">
        <f>'Exhibit No.__(BDJ-141C)'!$L$44</f>
        <v>1.2231064355224773E-3</v>
      </c>
      <c r="E26" s="221"/>
      <c r="F26" s="221"/>
      <c r="G26" s="220"/>
      <c r="H26" s="243">
        <f>'Rate Spread and Design'!$J$45</f>
        <v>1.189E-3</v>
      </c>
      <c r="I26" s="221"/>
      <c r="J26" s="221"/>
      <c r="K26" s="93" t="s">
        <v>366</v>
      </c>
    </row>
    <row r="27" spans="1:11" ht="13.15" customHeight="1" x14ac:dyDescent="0.2">
      <c r="A27" s="102">
        <f t="shared" si="0"/>
        <v>19</v>
      </c>
      <c r="C27" s="102"/>
      <c r="D27" s="220"/>
      <c r="E27" s="221"/>
      <c r="F27" s="221"/>
      <c r="G27" s="220"/>
      <c r="H27" s="220"/>
      <c r="I27" s="221"/>
      <c r="J27" s="221"/>
      <c r="K27" s="219"/>
    </row>
    <row r="28" spans="1:11" ht="13.15" customHeight="1" x14ac:dyDescent="0.2">
      <c r="A28" s="102">
        <f t="shared" si="0"/>
        <v>20</v>
      </c>
      <c r="B28" s="98" t="s">
        <v>354</v>
      </c>
      <c r="C28" s="102">
        <v>5</v>
      </c>
      <c r="D28" s="243">
        <f>'Exhibit No.__(BDJ-141C)'!$L$46</f>
        <v>1.9017880605256552E-3</v>
      </c>
      <c r="E28" s="221"/>
      <c r="F28" s="221"/>
      <c r="G28" s="220"/>
      <c r="H28" s="243">
        <f>'Rate Spread and Design'!$J$47</f>
        <v>2.2060000000000001E-3</v>
      </c>
      <c r="I28" s="221"/>
      <c r="J28" s="221"/>
    </row>
    <row r="29" spans="1:11" ht="13.15" customHeight="1" x14ac:dyDescent="0.2">
      <c r="A29" s="102">
        <f t="shared" si="0"/>
        <v>21</v>
      </c>
      <c r="B29" s="98"/>
      <c r="C29" s="102"/>
      <c r="D29" s="220"/>
      <c r="E29" s="221"/>
      <c r="F29" s="221"/>
      <c r="G29" s="220"/>
      <c r="H29" s="220"/>
      <c r="I29" s="221"/>
      <c r="J29" s="221"/>
      <c r="K29" s="219"/>
    </row>
    <row r="30" spans="1:11" x14ac:dyDescent="0.2">
      <c r="A30" s="102">
        <f t="shared" si="0"/>
        <v>22</v>
      </c>
      <c r="B30" s="222" t="s">
        <v>355</v>
      </c>
      <c r="C30" s="102"/>
      <c r="D30" s="99"/>
      <c r="E30" s="99"/>
      <c r="F30" s="99"/>
      <c r="G30" s="99"/>
      <c r="H30" s="99"/>
      <c r="I30" s="99"/>
      <c r="J30" s="99"/>
      <c r="K30" s="219"/>
    </row>
    <row r="31" spans="1:11" ht="13.15" customHeight="1" x14ac:dyDescent="0.2">
      <c r="A31" s="102">
        <f t="shared" si="0"/>
        <v>23</v>
      </c>
      <c r="B31" s="93" t="s">
        <v>356</v>
      </c>
      <c r="C31" s="101" t="s">
        <v>357</v>
      </c>
      <c r="D31" s="243"/>
      <c r="E31" s="243"/>
      <c r="F31" s="243"/>
      <c r="G31" s="243"/>
      <c r="H31" s="243"/>
      <c r="I31" s="243"/>
      <c r="J31" s="243"/>
      <c r="K31" s="219"/>
    </row>
    <row r="32" spans="1:11" ht="13.15" customHeight="1" x14ac:dyDescent="0.2">
      <c r="A32" s="102">
        <f t="shared" si="0"/>
        <v>24</v>
      </c>
      <c r="B32" s="98" t="s">
        <v>73</v>
      </c>
      <c r="C32" s="102" t="s">
        <v>74</v>
      </c>
      <c r="D32" s="99"/>
      <c r="E32" s="99"/>
      <c r="F32" s="99"/>
      <c r="G32" s="99"/>
      <c r="H32" s="99"/>
      <c r="I32" s="99"/>
      <c r="J32" s="99"/>
      <c r="K32" s="219"/>
    </row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BB5AE-B95D-4DB6-8573-9D1F2BFCDD6F}">
  <sheetPr>
    <tabColor rgb="FFFFC000"/>
  </sheetPr>
  <dimension ref="A1"/>
  <sheetViews>
    <sheetView workbookViewId="0">
      <selection activeCell="Z36" sqref="Z36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6291F-E588-42FD-87E4-211D0B45DEC1}">
  <sheetPr>
    <tabColor theme="5" tint="0.79998168889431442"/>
  </sheetPr>
  <dimension ref="A1:R69"/>
  <sheetViews>
    <sheetView zoomScaleNormal="100" workbookViewId="0">
      <pane xSplit="3" ySplit="7" topLeftCell="D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40625" defaultRowHeight="11.25" x14ac:dyDescent="0.2"/>
  <cols>
    <col min="1" max="1" width="7" style="132" customWidth="1"/>
    <col min="2" max="2" width="35" style="108" customWidth="1"/>
    <col min="3" max="3" width="9.7109375" style="108" bestFit="1" customWidth="1"/>
    <col min="4" max="4" width="12.85546875" style="133" bestFit="1" customWidth="1"/>
    <col min="5" max="5" width="8.5703125" style="108" bestFit="1" customWidth="1"/>
    <col min="6" max="6" width="10.7109375" style="133" bestFit="1" customWidth="1"/>
    <col min="7" max="7" width="10.140625" style="108" customWidth="1"/>
    <col min="8" max="8" width="18" style="108" customWidth="1"/>
    <col min="9" max="10" width="11.28515625" style="108" bestFit="1" customWidth="1"/>
    <col min="11" max="11" width="13.42578125" style="108" bestFit="1" customWidth="1"/>
    <col min="12" max="12" width="10" style="108" bestFit="1" customWidth="1"/>
    <col min="13" max="13" width="1.7109375" style="108" customWidth="1"/>
    <col min="14" max="14" width="11.7109375" style="108" bestFit="1" customWidth="1"/>
    <col min="15" max="15" width="13.42578125" style="108" bestFit="1" customWidth="1"/>
    <col min="16" max="16" width="10" style="108" bestFit="1" customWidth="1"/>
    <col min="17" max="17" width="11" style="108" bestFit="1" customWidth="1"/>
    <col min="18" max="18" width="1.7109375" style="108" customWidth="1"/>
    <col min="19" max="16384" width="9.140625" style="108"/>
  </cols>
  <sheetData>
    <row r="1" spans="1:18" s="107" customFormat="1" x14ac:dyDescent="0.2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6"/>
      <c r="Q1" s="108"/>
    </row>
    <row r="2" spans="1:18" s="107" customFormat="1" x14ac:dyDescent="0.2">
      <c r="A2" s="112" t="s">
        <v>251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11"/>
      <c r="Q2" s="108"/>
    </row>
    <row r="3" spans="1:18" s="107" customFormat="1" ht="29.25" customHeight="1" x14ac:dyDescent="0.25">
      <c r="A3" s="109" t="s">
        <v>183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1"/>
      <c r="N3" s="237" t="s">
        <v>184</v>
      </c>
      <c r="O3" s="244"/>
      <c r="P3" s="244"/>
      <c r="Q3" s="244"/>
      <c r="R3" s="244"/>
    </row>
    <row r="4" spans="1:18" s="107" customFormat="1" ht="12" thickBot="1" x14ac:dyDescent="0.25">
      <c r="A4" s="109" t="s">
        <v>185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1"/>
      <c r="Q4" s="108"/>
    </row>
    <row r="5" spans="1:18" s="107" customFormat="1" ht="12.75" customHeight="1" thickBot="1" x14ac:dyDescent="0.25">
      <c r="A5" s="112"/>
      <c r="B5" s="110"/>
      <c r="C5" s="110"/>
      <c r="D5" s="113"/>
      <c r="E5" s="110"/>
      <c r="F5" s="113"/>
      <c r="G5" s="110"/>
      <c r="H5" s="110"/>
      <c r="I5" s="238">
        <v>2023</v>
      </c>
      <c r="J5" s="239"/>
      <c r="K5" s="239"/>
      <c r="L5" s="240"/>
      <c r="N5" s="238">
        <v>2024</v>
      </c>
      <c r="O5" s="239"/>
      <c r="P5" s="239"/>
      <c r="Q5" s="240"/>
    </row>
    <row r="6" spans="1:18" s="226" customFormat="1" ht="109.5" customHeight="1" thickBot="1" x14ac:dyDescent="0.25">
      <c r="A6" s="114" t="s">
        <v>1</v>
      </c>
      <c r="B6" s="115" t="s">
        <v>186</v>
      </c>
      <c r="C6" s="115" t="s">
        <v>187</v>
      </c>
      <c r="D6" s="116" t="s">
        <v>188</v>
      </c>
      <c r="E6" s="116" t="str">
        <f>CONCATENATE(ROUND(E48*100,2),"% 
2022 GRC Energy (Docket No. UE-22xxxx)")</f>
        <v>20% 
2022 GRC Energy (Docket No. UE-22xxxx)</v>
      </c>
      <c r="F6" s="116" t="s">
        <v>189</v>
      </c>
      <c r="G6" s="116" t="str">
        <f>CONCATENATE(ROUND(G48*100,2),"% 
2022 GRC Demand (Docket No. UE-22xxxx)")</f>
        <v>80% 
2022 GRC Demand (Docket No. UE-22xxxx)</v>
      </c>
      <c r="H6" s="117" t="s">
        <v>190</v>
      </c>
      <c r="I6" s="118" t="s">
        <v>191</v>
      </c>
      <c r="J6" s="119" t="s">
        <v>192</v>
      </c>
      <c r="K6" s="119" t="s">
        <v>193</v>
      </c>
      <c r="L6" s="120" t="s">
        <v>194</v>
      </c>
      <c r="N6" s="118" t="s">
        <v>195</v>
      </c>
      <c r="O6" s="119" t="s">
        <v>196</v>
      </c>
      <c r="P6" s="119" t="s">
        <v>197</v>
      </c>
      <c r="Q6" s="120" t="s">
        <v>198</v>
      </c>
    </row>
    <row r="7" spans="1:18" s="129" customFormat="1" ht="39" customHeight="1" x14ac:dyDescent="0.2">
      <c r="A7" s="121"/>
      <c r="B7" s="122"/>
      <c r="C7" s="122"/>
      <c r="D7" s="123" t="s">
        <v>199</v>
      </c>
      <c r="E7" s="124" t="s">
        <v>200</v>
      </c>
      <c r="F7" s="123" t="s">
        <v>201</v>
      </c>
      <c r="G7" s="124" t="s">
        <v>202</v>
      </c>
      <c r="H7" s="125" t="s">
        <v>203</v>
      </c>
      <c r="I7" s="126" t="s">
        <v>204</v>
      </c>
      <c r="J7" s="127" t="s">
        <v>205</v>
      </c>
      <c r="K7" s="125" t="s">
        <v>206</v>
      </c>
      <c r="L7" s="128" t="s">
        <v>207</v>
      </c>
      <c r="N7" s="130" t="s">
        <v>208</v>
      </c>
      <c r="O7" s="125" t="s">
        <v>209</v>
      </c>
      <c r="P7" s="127" t="s">
        <v>210</v>
      </c>
      <c r="Q7" s="128" t="s">
        <v>211</v>
      </c>
      <c r="R7" s="108"/>
    </row>
    <row r="8" spans="1:18" x14ac:dyDescent="0.2">
      <c r="A8" s="131">
        <v>1</v>
      </c>
      <c r="B8" s="108" t="s">
        <v>212</v>
      </c>
      <c r="C8" s="132">
        <v>7</v>
      </c>
      <c r="D8" s="133">
        <v>11289690774.498602</v>
      </c>
      <c r="E8" s="134">
        <v>0.10977174165570475</v>
      </c>
      <c r="F8" s="133">
        <v>2085925.9513142572</v>
      </c>
      <c r="G8" s="134">
        <f>+F8/F$48*0.8</f>
        <v>0.47242859385465685</v>
      </c>
      <c r="H8" s="134">
        <f>+G8+E8</f>
        <v>0.58220033551036154</v>
      </c>
      <c r="I8" s="135"/>
      <c r="J8" s="136">
        <f>+H8*($I$48)</f>
        <v>29261388.938281883</v>
      </c>
      <c r="K8" s="133">
        <v>10963050375.5</v>
      </c>
      <c r="L8" s="137">
        <f>(+J8/K8)</f>
        <v>2.6690918983346672E-3</v>
      </c>
      <c r="N8" s="138">
        <f>+H8*($N$64)</f>
        <v>31457051.598986581</v>
      </c>
      <c r="O8" s="133">
        <v>11064440869.5</v>
      </c>
      <c r="P8" s="139">
        <f>(+N8/O8)</f>
        <v>2.8430764798698877E-3</v>
      </c>
      <c r="Q8" s="140">
        <f>(+P8-L8)*O8</f>
        <v>1925042.1146011481</v>
      </c>
    </row>
    <row r="9" spans="1:18" x14ac:dyDescent="0.2">
      <c r="A9" s="131">
        <f t="shared" ref="A9:A54" si="0">+A8+1</f>
        <v>2</v>
      </c>
      <c r="C9" s="141"/>
      <c r="E9" s="134"/>
      <c r="G9" s="134"/>
      <c r="H9" s="134"/>
      <c r="I9" s="135"/>
      <c r="J9" s="136"/>
      <c r="K9" s="133"/>
      <c r="L9" s="142"/>
      <c r="N9" s="138"/>
      <c r="O9" s="133"/>
      <c r="P9" s="143"/>
      <c r="Q9" s="140"/>
    </row>
    <row r="10" spans="1:18" x14ac:dyDescent="0.2">
      <c r="A10" s="131">
        <f t="shared" si="0"/>
        <v>3</v>
      </c>
      <c r="B10" s="144" t="s">
        <v>213</v>
      </c>
      <c r="C10" s="145" t="s">
        <v>214</v>
      </c>
      <c r="D10" s="133">
        <v>2650509853.8373485</v>
      </c>
      <c r="E10" s="134">
        <v>2.5771395226212902E-2</v>
      </c>
      <c r="F10" s="133">
        <v>442083.12923040631</v>
      </c>
      <c r="G10" s="134">
        <f>+F10/F$48*0.8</f>
        <v>0.10012470048498022</v>
      </c>
      <c r="H10" s="134">
        <f>+G10+E10</f>
        <v>0.12589609571119312</v>
      </c>
      <c r="I10" s="135"/>
      <c r="J10" s="136">
        <f>+H10*($I$48)</f>
        <v>6327537.786777555</v>
      </c>
      <c r="K10" s="133">
        <v>2697633000</v>
      </c>
      <c r="L10" s="137">
        <f t="shared" ref="L10" si="1">(+J10/K10)</f>
        <v>2.3455888131475094E-3</v>
      </c>
      <c r="N10" s="138">
        <f>+H10*($N$64)</f>
        <v>6802332.0107266968</v>
      </c>
      <c r="O10" s="133">
        <v>2730372000</v>
      </c>
      <c r="P10" s="139">
        <f t="shared" ref="P10" si="2">(+N10/O10)</f>
        <v>2.4913572255819707E-3</v>
      </c>
      <c r="Q10" s="140">
        <f t="shared" ref="Q10" si="3">(+P10-L10)*O10</f>
        <v>398001.99179550487</v>
      </c>
    </row>
    <row r="11" spans="1:18" x14ac:dyDescent="0.2">
      <c r="A11" s="131">
        <f t="shared" si="0"/>
        <v>4</v>
      </c>
      <c r="B11" s="144"/>
      <c r="C11" s="145"/>
      <c r="E11" s="134"/>
      <c r="G11" s="134"/>
      <c r="H11" s="134"/>
      <c r="I11" s="135"/>
      <c r="J11" s="136"/>
      <c r="K11" s="133"/>
      <c r="L11" s="137"/>
      <c r="N11" s="146"/>
      <c r="O11" s="133"/>
      <c r="P11" s="139"/>
      <c r="Q11" s="140"/>
    </row>
    <row r="12" spans="1:18" x14ac:dyDescent="0.2">
      <c r="A12" s="131">
        <f t="shared" si="0"/>
        <v>5</v>
      </c>
      <c r="B12" s="108" t="s">
        <v>215</v>
      </c>
      <c r="C12" s="145" t="s">
        <v>216</v>
      </c>
      <c r="E12" s="134"/>
      <c r="G12" s="134"/>
      <c r="H12" s="134"/>
      <c r="I12" s="135"/>
      <c r="J12" s="136">
        <f>J14*0.2</f>
        <v>1359950.0253676772</v>
      </c>
      <c r="K12" s="133">
        <v>2911699000.0000005</v>
      </c>
      <c r="L12" s="137">
        <f t="shared" ref="L12:L13" si="4">(+J12/K12)</f>
        <v>4.6706408367337319E-4</v>
      </c>
      <c r="N12" s="138">
        <f>N14*0.2</f>
        <v>1461995.4715842691</v>
      </c>
      <c r="O12" s="133">
        <v>2948172000</v>
      </c>
      <c r="P12" s="139">
        <f>(+N12/O12)</f>
        <v>4.9589897454567413E-4</v>
      </c>
      <c r="Q12" s="140">
        <f>(+P12-L12)*O12</f>
        <v>85010.217892773202</v>
      </c>
    </row>
    <row r="13" spans="1:18" x14ac:dyDescent="0.2">
      <c r="A13" s="131">
        <f t="shared" si="0"/>
        <v>6</v>
      </c>
      <c r="B13" s="108" t="s">
        <v>217</v>
      </c>
      <c r="C13" s="145" t="s">
        <v>216</v>
      </c>
      <c r="E13" s="134"/>
      <c r="G13" s="134"/>
      <c r="H13" s="134"/>
      <c r="I13" s="135"/>
      <c r="J13" s="147">
        <f>J14*0.8</f>
        <v>5439800.1014707088</v>
      </c>
      <c r="K13" s="133">
        <v>4517476.3347322866</v>
      </c>
      <c r="L13" s="148">
        <f t="shared" si="4"/>
        <v>1.2041679243889345</v>
      </c>
      <c r="N13" s="149">
        <f>N14*0.8</f>
        <v>5847981.8863370763</v>
      </c>
      <c r="O13" s="133">
        <v>4573600.5929537248</v>
      </c>
      <c r="P13" s="150">
        <f>(+N13/O13)</f>
        <v>1.2786385184895059</v>
      </c>
      <c r="Q13" s="140">
        <f>(+P13-L13)*O13</f>
        <v>340598.75333598972</v>
      </c>
    </row>
    <row r="14" spans="1:18" x14ac:dyDescent="0.2">
      <c r="A14" s="131">
        <f t="shared" si="0"/>
        <v>7</v>
      </c>
      <c r="B14" s="108" t="s">
        <v>218</v>
      </c>
      <c r="C14" s="145" t="s">
        <v>216</v>
      </c>
      <c r="D14" s="133">
        <v>2848339505.8642573</v>
      </c>
      <c r="E14" s="134">
        <v>2.7694929350211114E-2</v>
      </c>
      <c r="F14" s="133">
        <v>475073.8072564879</v>
      </c>
      <c r="G14" s="134">
        <f>+F14/F$48*0.8</f>
        <v>0.10759655710594679</v>
      </c>
      <c r="H14" s="134">
        <f>+G14+E14</f>
        <v>0.13529148645615791</v>
      </c>
      <c r="I14" s="135"/>
      <c r="J14" s="151">
        <f>+H14*($I$48)</f>
        <v>6799750.1268383861</v>
      </c>
      <c r="K14" s="133"/>
      <c r="L14" s="137"/>
      <c r="N14" s="138">
        <f>+H14*($N$64)</f>
        <v>7309977.3579213452</v>
      </c>
      <c r="O14" s="133"/>
      <c r="Q14" s="152"/>
    </row>
    <row r="15" spans="1:18" x14ac:dyDescent="0.2">
      <c r="A15" s="131">
        <f t="shared" si="0"/>
        <v>8</v>
      </c>
      <c r="C15" s="145"/>
      <c r="E15" s="134"/>
      <c r="G15" s="134"/>
      <c r="H15" s="134"/>
      <c r="I15" s="135"/>
      <c r="J15" s="136"/>
      <c r="K15" s="133"/>
      <c r="L15" s="137"/>
      <c r="N15" s="146"/>
      <c r="O15" s="133"/>
      <c r="P15" s="139"/>
      <c r="Q15" s="140"/>
    </row>
    <row r="16" spans="1:18" x14ac:dyDescent="0.2">
      <c r="A16" s="131">
        <f t="shared" si="0"/>
        <v>9</v>
      </c>
      <c r="B16" s="108" t="s">
        <v>219</v>
      </c>
      <c r="C16" s="145" t="s">
        <v>220</v>
      </c>
      <c r="E16" s="134"/>
      <c r="G16" s="134"/>
      <c r="H16" s="134"/>
      <c r="I16" s="135"/>
      <c r="J16" s="136">
        <f>J18*0.2</f>
        <v>785423.8005608269</v>
      </c>
      <c r="K16" s="133">
        <v>1831289000</v>
      </c>
      <c r="L16" s="137">
        <f>(+J16/K16)</f>
        <v>4.2889123484104742E-4</v>
      </c>
      <c r="N16" s="138">
        <f>N18*0.2</f>
        <v>844358.99722416885</v>
      </c>
      <c r="O16" s="133">
        <v>1853862000</v>
      </c>
      <c r="P16" s="139">
        <f>(+N16/O16)</f>
        <v>4.5545946635950724E-4</v>
      </c>
      <c r="Q16" s="140">
        <f>(+P16-L16)*O16</f>
        <v>49253.834819274962</v>
      </c>
    </row>
    <row r="17" spans="1:17" x14ac:dyDescent="0.2">
      <c r="A17" s="131">
        <f t="shared" si="0"/>
        <v>10</v>
      </c>
      <c r="B17" s="108" t="s">
        <v>221</v>
      </c>
      <c r="C17" s="145" t="s">
        <v>220</v>
      </c>
      <c r="E17" s="134"/>
      <c r="G17" s="134"/>
      <c r="H17" s="134"/>
      <c r="I17" s="135"/>
      <c r="J17" s="147">
        <f>J18*0.8</f>
        <v>3141695.2022433076</v>
      </c>
      <c r="K17" s="133">
        <v>4426846.4048776105</v>
      </c>
      <c r="L17" s="148">
        <f>(+J17/K17)</f>
        <v>0.7096914857451817</v>
      </c>
      <c r="N17" s="149">
        <f>N18*0.8</f>
        <v>3377435.9888966754</v>
      </c>
      <c r="O17" s="133">
        <v>4435559.87969926</v>
      </c>
      <c r="P17" s="150">
        <f>(+N17/O17)</f>
        <v>0.76144524716137352</v>
      </c>
      <c r="Q17" s="140">
        <f>(+P17-L17)*O17</f>
        <v>229556.90776118796</v>
      </c>
    </row>
    <row r="18" spans="1:17" x14ac:dyDescent="0.2">
      <c r="A18" s="131">
        <f t="shared" si="0"/>
        <v>11</v>
      </c>
      <c r="B18" s="108" t="s">
        <v>222</v>
      </c>
      <c r="C18" s="145" t="s">
        <v>220</v>
      </c>
      <c r="D18" s="133">
        <v>1761654196.4658761</v>
      </c>
      <c r="E18" s="134">
        <v>1.7128888045184625E-2</v>
      </c>
      <c r="F18" s="133">
        <v>269366.56769329851</v>
      </c>
      <c r="G18" s="134">
        <f>+F18/F$48*0.8</f>
        <v>6.100718423231713E-2</v>
      </c>
      <c r="H18" s="134">
        <f>+G18+E18</f>
        <v>7.8136072277501759E-2</v>
      </c>
      <c r="I18" s="135"/>
      <c r="J18" s="136">
        <f>+H18*($I$48)</f>
        <v>3927119.0028041345</v>
      </c>
      <c r="K18" s="133"/>
      <c r="L18" s="137"/>
      <c r="N18" s="138">
        <f>+H18*($N$64)</f>
        <v>4221794.9861208443</v>
      </c>
      <c r="O18" s="133"/>
      <c r="Q18" s="152"/>
    </row>
    <row r="19" spans="1:17" x14ac:dyDescent="0.2">
      <c r="A19" s="131">
        <f t="shared" si="0"/>
        <v>12</v>
      </c>
      <c r="C19" s="145"/>
      <c r="E19" s="134"/>
      <c r="G19" s="134"/>
      <c r="H19" s="134"/>
      <c r="I19" s="135"/>
      <c r="J19" s="136"/>
      <c r="L19" s="152"/>
      <c r="N19" s="146"/>
      <c r="P19" s="139"/>
      <c r="Q19" s="140"/>
    </row>
    <row r="20" spans="1:17" x14ac:dyDescent="0.2">
      <c r="A20" s="131">
        <f t="shared" si="0"/>
        <v>13</v>
      </c>
      <c r="B20" s="108" t="s">
        <v>223</v>
      </c>
      <c r="C20" s="145">
        <v>29</v>
      </c>
      <c r="E20" s="134"/>
      <c r="G20" s="134"/>
      <c r="H20" s="134"/>
      <c r="I20" s="135"/>
      <c r="J20" s="136">
        <f>J22*0.2</f>
        <v>7296.2737798566613</v>
      </c>
      <c r="K20" s="133">
        <v>15100966.499999998</v>
      </c>
      <c r="L20" s="137">
        <f>(+J20/K20)</f>
        <v>4.8316601323873291E-4</v>
      </c>
      <c r="N20" s="138">
        <f>N22*0.2</f>
        <v>7843.7582459734176</v>
      </c>
      <c r="O20" s="133">
        <v>15233452.5</v>
      </c>
      <c r="P20" s="139">
        <f>(+N20/O20)</f>
        <v>5.1490351553421117E-4</v>
      </c>
      <c r="Q20" s="140">
        <f>(+P20-L20)*O20</f>
        <v>483.47173368680916</v>
      </c>
    </row>
    <row r="21" spans="1:17" x14ac:dyDescent="0.2">
      <c r="A21" s="131">
        <f t="shared" si="0"/>
        <v>14</v>
      </c>
      <c r="B21" s="108" t="s">
        <v>224</v>
      </c>
      <c r="C21" s="145">
        <v>29</v>
      </c>
      <c r="E21" s="134"/>
      <c r="G21" s="134"/>
      <c r="H21" s="134"/>
      <c r="I21" s="135"/>
      <c r="J21" s="147">
        <f>J22*0.8</f>
        <v>29185.095119426645</v>
      </c>
      <c r="K21" s="133">
        <v>6253.5</v>
      </c>
      <c r="L21" s="148">
        <f>(+J21/K21)</f>
        <v>4.6670016981572955</v>
      </c>
      <c r="N21" s="149">
        <f>N22*0.8</f>
        <v>31375.03298389367</v>
      </c>
      <c r="O21" s="133">
        <v>6321</v>
      </c>
      <c r="P21" s="150">
        <f>(+N21/O21)</f>
        <v>4.9636185704625326</v>
      </c>
      <c r="Q21" s="140">
        <f>(+P21-L21)*O21</f>
        <v>1874.9152498414039</v>
      </c>
    </row>
    <row r="22" spans="1:17" x14ac:dyDescent="0.2">
      <c r="A22" s="131">
        <f t="shared" si="0"/>
        <v>15</v>
      </c>
      <c r="B22" s="108" t="s">
        <v>225</v>
      </c>
      <c r="C22" s="145">
        <v>29</v>
      </c>
      <c r="D22" s="133">
        <v>15210528.869569011</v>
      </c>
      <c r="E22" s="134">
        <v>1.478947722189603E-4</v>
      </c>
      <c r="F22" s="133">
        <v>2551.8733588958303</v>
      </c>
      <c r="G22" s="134">
        <f>+F22/F$48*0.8</f>
        <v>5.7795816859113882E-4</v>
      </c>
      <c r="H22" s="134">
        <f>+G22+E22</f>
        <v>7.2585294081009913E-4</v>
      </c>
      <c r="I22" s="135"/>
      <c r="J22" s="136">
        <f>+H22*($I$48)</f>
        <v>36481.368899283305</v>
      </c>
      <c r="K22" s="133"/>
      <c r="L22" s="137"/>
      <c r="N22" s="138">
        <f>+H22*($N$64)</f>
        <v>39218.791229867085</v>
      </c>
      <c r="O22" s="133"/>
      <c r="Q22" s="152"/>
    </row>
    <row r="23" spans="1:17" x14ac:dyDescent="0.2">
      <c r="A23" s="131">
        <f t="shared" si="0"/>
        <v>16</v>
      </c>
      <c r="C23" s="145"/>
      <c r="E23" s="134"/>
      <c r="G23" s="134"/>
      <c r="H23" s="134"/>
      <c r="I23" s="135"/>
      <c r="J23" s="136"/>
      <c r="K23" s="133"/>
      <c r="L23" s="142"/>
      <c r="N23" s="138"/>
      <c r="O23" s="133"/>
      <c r="P23" s="143"/>
      <c r="Q23" s="140"/>
    </row>
    <row r="24" spans="1:17" x14ac:dyDescent="0.2">
      <c r="A24" s="131">
        <f t="shared" si="0"/>
        <v>17</v>
      </c>
      <c r="B24" s="108" t="s">
        <v>226</v>
      </c>
      <c r="C24" s="145" t="s">
        <v>227</v>
      </c>
      <c r="E24" s="134"/>
      <c r="G24" s="134"/>
      <c r="H24" s="134"/>
      <c r="I24" s="135"/>
      <c r="J24" s="136">
        <f>J26*0.2</f>
        <v>548490.00165933324</v>
      </c>
      <c r="K24" s="133">
        <v>1332008000</v>
      </c>
      <c r="L24" s="137">
        <f>(+J24/K24)</f>
        <v>4.1177680739104663E-4</v>
      </c>
      <c r="N24" s="138">
        <f>N26*0.2</f>
        <v>589646.5926521041</v>
      </c>
      <c r="O24" s="133">
        <v>1335448000</v>
      </c>
      <c r="P24" s="139">
        <f>(+N24/O24)</f>
        <v>4.4153467050166243E-4</v>
      </c>
      <c r="Q24" s="140">
        <f>(+P24-L24)*O24</f>
        <v>39740.078775345639</v>
      </c>
    </row>
    <row r="25" spans="1:17" x14ac:dyDescent="0.2">
      <c r="A25" s="131">
        <f t="shared" si="0"/>
        <v>18</v>
      </c>
      <c r="B25" s="108" t="s">
        <v>228</v>
      </c>
      <c r="C25" s="145" t="s">
        <v>227</v>
      </c>
      <c r="E25" s="134"/>
      <c r="G25" s="134"/>
      <c r="H25" s="134"/>
      <c r="I25" s="135"/>
      <c r="J25" s="147">
        <f>J26*0.8</f>
        <v>2193960.006637333</v>
      </c>
      <c r="K25" s="133">
        <v>3292032.2143539358</v>
      </c>
      <c r="L25" s="148">
        <f>(+J25/K25)</f>
        <v>0.66644548527539227</v>
      </c>
      <c r="N25" s="149">
        <f>N26*0.8</f>
        <v>2358586.3706084164</v>
      </c>
      <c r="O25" s="133">
        <v>3273574.4614315722</v>
      </c>
      <c r="P25" s="150">
        <f>(+N25/O25)</f>
        <v>0.72049265975058319</v>
      </c>
      <c r="Q25" s="140">
        <f>(+P25-L25)*O25</f>
        <v>176927.45007452133</v>
      </c>
    </row>
    <row r="26" spans="1:17" x14ac:dyDescent="0.2">
      <c r="A26" s="131">
        <f t="shared" si="0"/>
        <v>19</v>
      </c>
      <c r="B26" s="108" t="s">
        <v>229</v>
      </c>
      <c r="C26" s="145" t="s">
        <v>227</v>
      </c>
      <c r="D26" s="133">
        <v>1244960837.6746433</v>
      </c>
      <c r="E26" s="134">
        <v>1.2104983402502458E-2</v>
      </c>
      <c r="F26" s="133">
        <v>187475.93901391898</v>
      </c>
      <c r="G26" s="134">
        <f>+F26/F$48*0.8</f>
        <v>4.2460277266373442E-2</v>
      </c>
      <c r="H26" s="134">
        <f>+G26+E26</f>
        <v>5.4565260668875903E-2</v>
      </c>
      <c r="I26" s="135"/>
      <c r="J26" s="136">
        <f>+H26*($I$48)</f>
        <v>2742450.0082966662</v>
      </c>
      <c r="K26" s="133"/>
      <c r="L26" s="137"/>
      <c r="N26" s="138">
        <f>+H26*($N$64)</f>
        <v>2948232.9632605202</v>
      </c>
      <c r="O26" s="133"/>
      <c r="Q26" s="152"/>
    </row>
    <row r="27" spans="1:17" x14ac:dyDescent="0.2">
      <c r="A27" s="131">
        <f t="shared" si="0"/>
        <v>20</v>
      </c>
      <c r="C27" s="145"/>
      <c r="E27" s="134"/>
      <c r="G27" s="134"/>
      <c r="H27" s="134"/>
      <c r="I27" s="135"/>
      <c r="J27" s="136"/>
      <c r="K27" s="133"/>
      <c r="L27" s="137"/>
      <c r="N27" s="146"/>
      <c r="O27" s="133"/>
      <c r="P27" s="139"/>
      <c r="Q27" s="140"/>
    </row>
    <row r="28" spans="1:17" x14ac:dyDescent="0.2">
      <c r="A28" s="131">
        <f t="shared" si="0"/>
        <v>21</v>
      </c>
      <c r="B28" s="108" t="s">
        <v>230</v>
      </c>
      <c r="C28" s="145">
        <v>35</v>
      </c>
      <c r="E28" s="134"/>
      <c r="G28" s="134"/>
      <c r="H28" s="134"/>
      <c r="I28" s="135"/>
      <c r="J28" s="136">
        <f>J30*0.2</f>
        <v>1320.8657882717703</v>
      </c>
      <c r="K28" s="133">
        <v>4663000</v>
      </c>
      <c r="L28" s="137">
        <f>(+J28/K28)</f>
        <v>2.832652344567382E-4</v>
      </c>
      <c r="N28" s="138">
        <f>N30*0.2</f>
        <v>1419.9785028878691</v>
      </c>
      <c r="O28" s="133">
        <v>4695000</v>
      </c>
      <c r="P28" s="139">
        <f>(+N28/O28)</f>
        <v>3.0244483554587204E-4</v>
      </c>
      <c r="Q28" s="140">
        <f>(+P28-L28)*O28</f>
        <v>90.048227113483392</v>
      </c>
    </row>
    <row r="29" spans="1:17" x14ac:dyDescent="0.2">
      <c r="A29" s="131">
        <f t="shared" si="0"/>
        <v>22</v>
      </c>
      <c r="B29" s="108" t="s">
        <v>231</v>
      </c>
      <c r="C29" s="145">
        <v>35</v>
      </c>
      <c r="E29" s="134"/>
      <c r="G29" s="134"/>
      <c r="H29" s="134"/>
      <c r="I29" s="135"/>
      <c r="J29" s="147">
        <f>J30*0.8</f>
        <v>5283.4631530870811</v>
      </c>
      <c r="K29" s="133">
        <v>8496.3697717667001</v>
      </c>
      <c r="L29" s="148">
        <f>(+J29/K29)</f>
        <v>0.62184948336923185</v>
      </c>
      <c r="N29" s="149">
        <f>N30*0.8</f>
        <v>5679.9140115514765</v>
      </c>
      <c r="O29" s="133">
        <v>8591.077422783088</v>
      </c>
      <c r="P29" s="150">
        <f>(+N29/O29)</f>
        <v>0.66114105740551721</v>
      </c>
      <c r="Q29" s="140">
        <f>(+P29-L29)*O29</f>
        <v>337.55695460874131</v>
      </c>
    </row>
    <row r="30" spans="1:17" x14ac:dyDescent="0.2">
      <c r="A30" s="131">
        <f t="shared" si="0"/>
        <v>23</v>
      </c>
      <c r="B30" s="108" t="s">
        <v>232</v>
      </c>
      <c r="C30" s="145">
        <v>35</v>
      </c>
      <c r="D30" s="133">
        <v>4166514.0850937385</v>
      </c>
      <c r="E30" s="134">
        <v>4.0511783439354425E-5</v>
      </c>
      <c r="F30" s="133">
        <v>401.31553606995664</v>
      </c>
      <c r="G30" s="134">
        <f>+F30/F$48*0.8</f>
        <v>9.0891497983474736E-5</v>
      </c>
      <c r="H30" s="134">
        <f>+G30+E30</f>
        <v>1.3140328142282915E-4</v>
      </c>
      <c r="I30" s="135"/>
      <c r="J30" s="136">
        <f>+H30*($I$48)</f>
        <v>6604.3289413588509</v>
      </c>
      <c r="K30" s="133"/>
      <c r="L30" s="137"/>
      <c r="N30" s="138">
        <f>+H30*($N$64)</f>
        <v>7099.8925144393452</v>
      </c>
      <c r="O30" s="133"/>
      <c r="Q30" s="152"/>
    </row>
    <row r="31" spans="1:17" x14ac:dyDescent="0.2">
      <c r="A31" s="131">
        <f t="shared" si="0"/>
        <v>24</v>
      </c>
      <c r="C31" s="145"/>
      <c r="E31" s="134"/>
      <c r="G31" s="134"/>
      <c r="H31" s="134"/>
      <c r="I31" s="135"/>
      <c r="J31" s="136"/>
      <c r="K31" s="133"/>
      <c r="L31" s="137"/>
      <c r="N31" s="146"/>
      <c r="O31" s="133"/>
      <c r="P31" s="139"/>
      <c r="Q31" s="140"/>
    </row>
    <row r="32" spans="1:17" x14ac:dyDescent="0.2">
      <c r="A32" s="131">
        <f t="shared" si="0"/>
        <v>25</v>
      </c>
      <c r="B32" s="108" t="s">
        <v>233</v>
      </c>
      <c r="C32" s="145">
        <v>43</v>
      </c>
      <c r="E32" s="134"/>
      <c r="G32" s="134"/>
      <c r="H32" s="134"/>
      <c r="I32" s="135"/>
      <c r="J32" s="136">
        <f>J34*0.2</f>
        <v>10414.272753154297</v>
      </c>
      <c r="K32" s="133">
        <v>118190000</v>
      </c>
      <c r="L32" s="137">
        <f>(+J32/K32)</f>
        <v>8.8114669203437663E-5</v>
      </c>
      <c r="N32" s="138">
        <f>N34*0.2</f>
        <v>11195.719931575139</v>
      </c>
      <c r="O32" s="133">
        <v>119782000</v>
      </c>
      <c r="P32" s="139">
        <f>(+N32/O32)</f>
        <v>9.3467465325133478E-5</v>
      </c>
      <c r="Q32" s="140">
        <f>(+P32-L32)*O32</f>
        <v>641.16862504896812</v>
      </c>
    </row>
    <row r="33" spans="1:17" x14ac:dyDescent="0.2">
      <c r="A33" s="131">
        <f t="shared" si="0"/>
        <v>26</v>
      </c>
      <c r="B33" s="108" t="s">
        <v>234</v>
      </c>
      <c r="C33" s="145">
        <v>43</v>
      </c>
      <c r="E33" s="134"/>
      <c r="G33" s="134"/>
      <c r="H33" s="134"/>
      <c r="I33" s="135"/>
      <c r="J33" s="147">
        <f>J34*0.8</f>
        <v>41657.091012617188</v>
      </c>
      <c r="K33" s="133">
        <v>593190.97908409662</v>
      </c>
      <c r="L33" s="148">
        <f>(+J33/K33)</f>
        <v>7.0225429046370358E-2</v>
      </c>
      <c r="N33" s="149">
        <f>N34*0.8</f>
        <v>44782.879726300554</v>
      </c>
      <c r="O33" s="133">
        <v>600868.62342584261</v>
      </c>
      <c r="P33" s="150">
        <f>(+N33/O33)</f>
        <v>7.4530235030366043E-2</v>
      </c>
      <c r="Q33" s="140">
        <f>(+P33-L33)*O33</f>
        <v>2586.6228457188172</v>
      </c>
    </row>
    <row r="34" spans="1:17" x14ac:dyDescent="0.2">
      <c r="A34" s="131">
        <f t="shared" si="0"/>
        <v>27</v>
      </c>
      <c r="B34" s="108" t="s">
        <v>235</v>
      </c>
      <c r="C34" s="145">
        <v>43</v>
      </c>
      <c r="D34" s="133">
        <v>106553558.62246363</v>
      </c>
      <c r="E34" s="134">
        <v>1.0360398653275369E-3</v>
      </c>
      <c r="F34" s="133">
        <v>0</v>
      </c>
      <c r="G34" s="134">
        <f>+F34/F$48*0.8</f>
        <v>0</v>
      </c>
      <c r="H34" s="134">
        <f>+G34+E34</f>
        <v>1.0360398653275369E-3</v>
      </c>
      <c r="I34" s="135"/>
      <c r="J34" s="136">
        <f>+H34*($I$48)</f>
        <v>52071.363765771479</v>
      </c>
      <c r="K34" s="133"/>
      <c r="L34" s="137"/>
      <c r="N34" s="138">
        <f>+H34*($N$64)</f>
        <v>55978.599657875689</v>
      </c>
      <c r="O34" s="133"/>
      <c r="Q34" s="152"/>
    </row>
    <row r="35" spans="1:17" x14ac:dyDescent="0.2">
      <c r="A35" s="131">
        <f t="shared" si="0"/>
        <v>28</v>
      </c>
      <c r="C35" s="145"/>
      <c r="E35" s="134"/>
      <c r="G35" s="134"/>
      <c r="H35" s="134"/>
      <c r="I35" s="135"/>
      <c r="J35" s="136"/>
      <c r="K35" s="133"/>
      <c r="L35" s="142"/>
      <c r="N35" s="138"/>
      <c r="O35" s="133"/>
      <c r="P35" s="143"/>
      <c r="Q35" s="140"/>
    </row>
    <row r="36" spans="1:17" x14ac:dyDescent="0.2">
      <c r="A36" s="131">
        <f t="shared" si="0"/>
        <v>29</v>
      </c>
      <c r="B36" s="144" t="s">
        <v>236</v>
      </c>
      <c r="C36" s="145">
        <v>46</v>
      </c>
      <c r="E36" s="134"/>
      <c r="G36" s="134"/>
      <c r="H36" s="134"/>
      <c r="I36" s="135"/>
      <c r="J36" s="136">
        <f>J38*0.2</f>
        <v>9168.8621376990232</v>
      </c>
      <c r="K36" s="133">
        <v>89530525.500000015</v>
      </c>
      <c r="L36" s="137">
        <f>(+J36/K36)</f>
        <v>1.0241045818165137E-4</v>
      </c>
      <c r="N36" s="138">
        <f>N38*0.2</f>
        <v>9856.858468951672</v>
      </c>
      <c r="O36" s="133">
        <v>89210525.500000015</v>
      </c>
      <c r="P36" s="139">
        <f>(+N36/O36)</f>
        <v>1.1048985995438028E-4</v>
      </c>
      <c r="Q36" s="140">
        <f>(+P36-L36)*O36</f>
        <v>720.7676778707779</v>
      </c>
    </row>
    <row r="37" spans="1:17" x14ac:dyDescent="0.2">
      <c r="A37" s="131">
        <f t="shared" si="0"/>
        <v>30</v>
      </c>
      <c r="B37" s="144" t="s">
        <v>237</v>
      </c>
      <c r="C37" s="145">
        <v>46</v>
      </c>
      <c r="E37" s="134"/>
      <c r="G37" s="134"/>
      <c r="H37" s="134"/>
      <c r="I37" s="135"/>
      <c r="J37" s="147">
        <f>J38*0.8</f>
        <v>36675.448550796093</v>
      </c>
      <c r="K37" s="133">
        <v>373997.99999999994</v>
      </c>
      <c r="L37" s="148">
        <f>(+J37/K37)</f>
        <v>9.806322106213429E-2</v>
      </c>
      <c r="N37" s="149">
        <f>N38*0.8</f>
        <v>39427.433875806688</v>
      </c>
      <c r="O37" s="133">
        <v>372083.5</v>
      </c>
      <c r="P37" s="150">
        <f>(+N37/O37)</f>
        <v>0.10596394055583408</v>
      </c>
      <c r="Q37" s="140">
        <f>(+P37-L37)*O37</f>
        <v>2939.7273617340456</v>
      </c>
    </row>
    <row r="38" spans="1:17" x14ac:dyDescent="0.2">
      <c r="A38" s="131">
        <f t="shared" si="0"/>
        <v>31</v>
      </c>
      <c r="B38" s="144" t="s">
        <v>238</v>
      </c>
      <c r="C38" s="145">
        <v>46</v>
      </c>
      <c r="D38" s="133">
        <v>93811148.646427751</v>
      </c>
      <c r="E38" s="134">
        <v>9.1214306745243234E-4</v>
      </c>
      <c r="F38" s="133">
        <v>0</v>
      </c>
      <c r="G38" s="134">
        <f>+F38/F$48*0.8</f>
        <v>0</v>
      </c>
      <c r="H38" s="134">
        <f>+G38+E38</f>
        <v>9.1214306745243234E-4</v>
      </c>
      <c r="I38" s="135"/>
      <c r="J38" s="136">
        <f>+H38*($I$48)</f>
        <v>45844.310688495112</v>
      </c>
      <c r="K38" s="133"/>
      <c r="L38" s="137"/>
      <c r="N38" s="138">
        <f>+H38*($N$64)</f>
        <v>49284.29234475836</v>
      </c>
      <c r="O38" s="133"/>
      <c r="Q38" s="152"/>
    </row>
    <row r="39" spans="1:17" x14ac:dyDescent="0.2">
      <c r="A39" s="131">
        <f t="shared" si="0"/>
        <v>32</v>
      </c>
      <c r="B39" s="144"/>
      <c r="C39" s="145"/>
      <c r="E39" s="134"/>
      <c r="G39" s="134"/>
      <c r="H39" s="134"/>
      <c r="I39" s="135"/>
      <c r="J39" s="136"/>
      <c r="K39" s="133"/>
      <c r="L39" s="137"/>
      <c r="N39" s="146"/>
      <c r="O39" s="133"/>
      <c r="P39" s="139"/>
      <c r="Q39" s="140"/>
    </row>
    <row r="40" spans="1:17" x14ac:dyDescent="0.2">
      <c r="A40" s="131">
        <f t="shared" si="0"/>
        <v>33</v>
      </c>
      <c r="B40" s="144" t="s">
        <v>239</v>
      </c>
      <c r="C40" s="145">
        <v>49</v>
      </c>
      <c r="E40" s="134"/>
      <c r="G40" s="134"/>
      <c r="H40" s="134"/>
      <c r="I40" s="135"/>
      <c r="J40" s="136">
        <f>J42*0.2</f>
        <v>193951.42072211314</v>
      </c>
      <c r="K40" s="133">
        <v>504715000</v>
      </c>
      <c r="L40" s="137">
        <f>(+J40/K40)</f>
        <v>3.8427908962902459E-4</v>
      </c>
      <c r="N40" s="138">
        <f>N42*0.2</f>
        <v>208504.79320106067</v>
      </c>
      <c r="O40" s="133">
        <v>499683000</v>
      </c>
      <c r="P40" s="139">
        <f>(+N40/O40)</f>
        <v>4.1727413820574381E-4</v>
      </c>
      <c r="Q40" s="140">
        <f>(+P40-L40)*O40</f>
        <v>16487.064857960788</v>
      </c>
    </row>
    <row r="41" spans="1:17" x14ac:dyDescent="0.2">
      <c r="A41" s="131">
        <f t="shared" si="0"/>
        <v>34</v>
      </c>
      <c r="B41" s="144" t="s">
        <v>240</v>
      </c>
      <c r="C41" s="145">
        <v>49</v>
      </c>
      <c r="E41" s="134"/>
      <c r="G41" s="134"/>
      <c r="H41" s="134"/>
      <c r="I41" s="135"/>
      <c r="J41" s="147">
        <f>J42*0.8</f>
        <v>775805.68288845255</v>
      </c>
      <c r="K41" s="133">
        <v>1244995.9124206307</v>
      </c>
      <c r="L41" s="148">
        <f>(+J41/K41)</f>
        <v>0.62313914057762876</v>
      </c>
      <c r="N41" s="149">
        <f>N42*0.8</f>
        <v>834019.1728042427</v>
      </c>
      <c r="O41" s="133">
        <v>1235914.6702547306</v>
      </c>
      <c r="P41" s="150">
        <f>(+N41/O41)</f>
        <v>0.67481938104379446</v>
      </c>
      <c r="Q41" s="140">
        <f>(+P41-L41)*O41</f>
        <v>63872.367354426373</v>
      </c>
    </row>
    <row r="42" spans="1:17" x14ac:dyDescent="0.2">
      <c r="A42" s="131">
        <f t="shared" si="0"/>
        <v>35</v>
      </c>
      <c r="B42" s="144" t="s">
        <v>241</v>
      </c>
      <c r="C42" s="145">
        <v>49</v>
      </c>
      <c r="D42" s="133">
        <v>477634882.60558343</v>
      </c>
      <c r="E42" s="134">
        <v>4.6441318886753583E-3</v>
      </c>
      <c r="F42" s="133">
        <v>64687.506260655966</v>
      </c>
      <c r="G42" s="134">
        <f>+F42/F$48*0.8</f>
        <v>1.4650677126592749E-2</v>
      </c>
      <c r="H42" s="134">
        <f>+G42+E42</f>
        <v>1.9294809015268109E-2</v>
      </c>
      <c r="I42" s="135"/>
      <c r="J42" s="136">
        <f>+H42*($I$48)</f>
        <v>969757.10361056565</v>
      </c>
      <c r="K42" s="133"/>
      <c r="L42" s="137"/>
      <c r="N42" s="138">
        <f>+H42*($N$64)</f>
        <v>1042523.9660053033</v>
      </c>
      <c r="O42" s="133"/>
      <c r="Q42" s="152"/>
    </row>
    <row r="43" spans="1:17" x14ac:dyDescent="0.2">
      <c r="A43" s="131">
        <f t="shared" si="0"/>
        <v>36</v>
      </c>
      <c r="B43" s="144"/>
      <c r="C43" s="145"/>
      <c r="E43" s="134"/>
      <c r="G43" s="134"/>
      <c r="H43" s="134"/>
      <c r="I43" s="135"/>
      <c r="J43" s="136"/>
      <c r="K43" s="133"/>
      <c r="L43" s="142"/>
      <c r="N43" s="138"/>
      <c r="O43" s="133"/>
      <c r="P43" s="143"/>
      <c r="Q43" s="140"/>
    </row>
    <row r="44" spans="1:17" x14ac:dyDescent="0.2">
      <c r="A44" s="131">
        <f t="shared" si="0"/>
        <v>37</v>
      </c>
      <c r="B44" s="108" t="s">
        <v>123</v>
      </c>
      <c r="C44" s="145" t="s">
        <v>5</v>
      </c>
      <c r="D44" s="133">
        <v>69921349.876824558</v>
      </c>
      <c r="E44" s="134">
        <v>6.798581562777841E-4</v>
      </c>
      <c r="F44" s="133">
        <v>3735.6122611509818</v>
      </c>
      <c r="G44" s="134">
        <f>+F44/F$48*0.8</f>
        <v>8.4605594297814757E-4</v>
      </c>
      <c r="H44" s="134">
        <f>+G44+E44</f>
        <v>1.5259140992559318E-3</v>
      </c>
      <c r="I44" s="135"/>
      <c r="J44" s="136">
        <f>+H44*($I$48)</f>
        <v>76692.442826565893</v>
      </c>
      <c r="K44" s="133">
        <v>62703000</v>
      </c>
      <c r="L44" s="137">
        <f>(+J44/K44)</f>
        <v>1.2231064355224773E-3</v>
      </c>
      <c r="N44" s="138">
        <f>+H44*($N$64)</f>
        <v>82447.150281761889</v>
      </c>
      <c r="O44" s="133">
        <v>61382000</v>
      </c>
      <c r="P44" s="139">
        <f>(+N44/O44)</f>
        <v>1.343181230356813E-3</v>
      </c>
      <c r="Q44" s="140">
        <f t="shared" ref="Q44:Q46" si="5">(+P44-L44)*O44</f>
        <v>7370.4310565211927</v>
      </c>
    </row>
    <row r="45" spans="1:17" x14ac:dyDescent="0.2">
      <c r="A45" s="131">
        <f t="shared" si="0"/>
        <v>38</v>
      </c>
      <c r="C45" s="145"/>
      <c r="E45" s="134"/>
      <c r="G45" s="134"/>
      <c r="H45" s="134"/>
      <c r="I45" s="135"/>
      <c r="J45" s="136"/>
      <c r="K45" s="133"/>
      <c r="L45" s="137"/>
      <c r="N45" s="138"/>
      <c r="O45" s="133"/>
      <c r="P45" s="139"/>
      <c r="Q45" s="140"/>
    </row>
    <row r="46" spans="1:17" x14ac:dyDescent="0.2">
      <c r="A46" s="131">
        <f>+A45+1</f>
        <v>39</v>
      </c>
      <c r="B46" s="144" t="s">
        <v>242</v>
      </c>
      <c r="C46" s="145">
        <v>5</v>
      </c>
      <c r="D46" s="133">
        <v>6940399.9973075157</v>
      </c>
      <c r="E46" s="134">
        <v>6.7482786792761397E-5</v>
      </c>
      <c r="F46" s="133">
        <v>958.58620804307577</v>
      </c>
      <c r="G46" s="134">
        <f>+F46/F$48*0.8</f>
        <v>2.1710431957995774E-4</v>
      </c>
      <c r="H46" s="134">
        <f>+G46+E46</f>
        <v>2.8458710637271911E-4</v>
      </c>
      <c r="I46" s="135"/>
      <c r="J46" s="136">
        <f>+H46*($I$48)</f>
        <v>14303.348003213452</v>
      </c>
      <c r="K46" s="133">
        <v>7521000</v>
      </c>
      <c r="L46" s="137">
        <f>(+J46/K46)</f>
        <v>1.9017880605256552E-3</v>
      </c>
      <c r="N46" s="138">
        <f>+H46*($N$64)</f>
        <v>15376.616507314915</v>
      </c>
      <c r="O46" s="133">
        <v>7552000</v>
      </c>
      <c r="P46" s="139">
        <f>(+N46/O46)</f>
        <v>2.0360985841253862E-3</v>
      </c>
      <c r="Q46" s="140">
        <f t="shared" si="5"/>
        <v>1014.3130742251682</v>
      </c>
    </row>
    <row r="47" spans="1:17" x14ac:dyDescent="0.2">
      <c r="A47" s="131">
        <f>+A46+1</f>
        <v>40</v>
      </c>
      <c r="C47" s="145"/>
      <c r="E47" s="134"/>
      <c r="I47" s="153"/>
      <c r="J47" s="136"/>
      <c r="L47" s="142"/>
      <c r="N47" s="138"/>
      <c r="P47" s="143"/>
      <c r="Q47" s="140"/>
    </row>
    <row r="48" spans="1:17" x14ac:dyDescent="0.2">
      <c r="A48" s="131">
        <f t="shared" si="0"/>
        <v>41</v>
      </c>
      <c r="B48" s="108" t="s">
        <v>98</v>
      </c>
      <c r="C48" s="145"/>
      <c r="D48" s="133">
        <f>SUM(D8:D46)</f>
        <v>20569393551.043995</v>
      </c>
      <c r="E48" s="134">
        <v>0.20000000000000004</v>
      </c>
      <c r="F48" s="133">
        <f>SUM(F8:F46)</f>
        <v>3532260.2881331854</v>
      </c>
      <c r="G48" s="134">
        <f>SUM(G8:G46)</f>
        <v>0.8</v>
      </c>
      <c r="H48" s="134">
        <f>SUM(H8:H46)</f>
        <v>0.99999999999999989</v>
      </c>
      <c r="I48" s="138">
        <f>I64</f>
        <v>50260000.129733883</v>
      </c>
      <c r="J48" s="136">
        <f>SUM(J8,J10,J14,J18,J22,J26,J30,J34,J38,J42,J44,J46)</f>
        <v>50260000.12973389</v>
      </c>
      <c r="K48" s="133"/>
      <c r="L48" s="137"/>
      <c r="N48" s="138">
        <f>SUM(N8,N10,N14,N18,N22,N26,N30,N34,N38,N42,N44,N46)</f>
        <v>54031318.225557312</v>
      </c>
      <c r="O48" s="133"/>
      <c r="P48" s="143"/>
      <c r="Q48" s="154">
        <f>SUM(Q8:Q45)</f>
        <v>3341535.4910002765</v>
      </c>
    </row>
    <row r="49" spans="1:17" x14ac:dyDescent="0.2">
      <c r="A49" s="131">
        <f t="shared" si="0"/>
        <v>42</v>
      </c>
      <c r="C49" s="145"/>
      <c r="E49" s="134"/>
      <c r="G49" s="134"/>
      <c r="H49" s="134"/>
      <c r="I49" s="138"/>
      <c r="J49" s="136"/>
      <c r="K49" s="133"/>
      <c r="L49" s="137"/>
      <c r="N49" s="138"/>
      <c r="O49" s="133"/>
      <c r="P49" s="139"/>
      <c r="Q49" s="140"/>
    </row>
    <row r="50" spans="1:17" x14ac:dyDescent="0.2">
      <c r="A50" s="131">
        <f t="shared" si="0"/>
        <v>43</v>
      </c>
      <c r="B50" s="108" t="s">
        <v>243</v>
      </c>
      <c r="C50" s="145" t="s">
        <v>74</v>
      </c>
      <c r="E50" s="134"/>
      <c r="G50" s="134"/>
      <c r="H50" s="134"/>
      <c r="I50" s="138">
        <f>+I62</f>
        <v>0</v>
      </c>
      <c r="J50" s="136">
        <f>+I50</f>
        <v>0</v>
      </c>
      <c r="K50" s="133">
        <v>289426000</v>
      </c>
      <c r="L50" s="137">
        <f>(+J50/K50)</f>
        <v>0</v>
      </c>
      <c r="N50" s="138">
        <f>+N62</f>
        <v>0</v>
      </c>
      <c r="O50" s="133">
        <v>289426000</v>
      </c>
      <c r="P50" s="139">
        <f>(+N50/O50)</f>
        <v>0</v>
      </c>
      <c r="Q50" s="140">
        <f>(+P50-L50)*O50</f>
        <v>0</v>
      </c>
    </row>
    <row r="51" spans="1:17" x14ac:dyDescent="0.2">
      <c r="A51" s="131">
        <f t="shared" si="0"/>
        <v>44</v>
      </c>
      <c r="C51" s="145"/>
      <c r="I51" s="153"/>
      <c r="J51" s="136"/>
      <c r="L51" s="155"/>
      <c r="N51" s="138"/>
      <c r="P51" s="132"/>
      <c r="Q51" s="140"/>
    </row>
    <row r="52" spans="1:17" x14ac:dyDescent="0.2">
      <c r="A52" s="131">
        <f t="shared" si="0"/>
        <v>45</v>
      </c>
      <c r="B52" s="108" t="s">
        <v>244</v>
      </c>
      <c r="C52" s="145" t="s">
        <v>245</v>
      </c>
      <c r="H52" s="133"/>
      <c r="I52" s="156"/>
      <c r="J52" s="136">
        <v>0</v>
      </c>
      <c r="K52" s="133">
        <v>1895530000</v>
      </c>
      <c r="L52" s="137">
        <f>(+J52/K52)</f>
        <v>0</v>
      </c>
      <c r="N52" s="138">
        <v>0</v>
      </c>
      <c r="O52" s="133">
        <v>1895104000</v>
      </c>
      <c r="P52" s="139">
        <f>(+N52/O52)</f>
        <v>0</v>
      </c>
      <c r="Q52" s="140"/>
    </row>
    <row r="53" spans="1:17" x14ac:dyDescent="0.2">
      <c r="A53" s="131">
        <f t="shared" si="0"/>
        <v>46</v>
      </c>
      <c r="I53" s="153"/>
      <c r="L53" s="152"/>
      <c r="N53" s="153"/>
      <c r="Q53" s="154"/>
    </row>
    <row r="54" spans="1:17" x14ac:dyDescent="0.2">
      <c r="A54" s="131">
        <f t="shared" si="0"/>
        <v>47</v>
      </c>
      <c r="B54" s="108" t="s">
        <v>8</v>
      </c>
      <c r="I54" s="138">
        <f>SUM(I48:I52)</f>
        <v>50260000.129733883</v>
      </c>
      <c r="J54" s="136">
        <f>SUM(J48,J50)</f>
        <v>50260000.12973389</v>
      </c>
      <c r="L54" s="142"/>
      <c r="N54" s="138">
        <f>SUM(N48,N50)</f>
        <v>54031318.225557312</v>
      </c>
      <c r="P54" s="143"/>
      <c r="Q54" s="154">
        <f>SUM(Q48:Q52)</f>
        <v>3341535.4910002765</v>
      </c>
    </row>
    <row r="55" spans="1:17" x14ac:dyDescent="0.2">
      <c r="A55" s="131"/>
      <c r="I55" s="153"/>
      <c r="J55" s="136"/>
      <c r="K55" s="133"/>
      <c r="L55" s="152"/>
      <c r="N55" s="138"/>
      <c r="O55" s="133"/>
      <c r="Q55" s="154"/>
    </row>
    <row r="56" spans="1:17" ht="12" thickBot="1" x14ac:dyDescent="0.25">
      <c r="A56" s="157"/>
      <c r="B56" s="158"/>
      <c r="C56" s="158"/>
      <c r="D56" s="159"/>
      <c r="E56" s="158"/>
      <c r="F56" s="159"/>
      <c r="G56" s="158"/>
      <c r="H56" s="158"/>
      <c r="I56" s="160"/>
      <c r="J56" s="158"/>
      <c r="K56" s="158"/>
      <c r="L56" s="161"/>
      <c r="N56" s="160"/>
      <c r="O56" s="158"/>
      <c r="P56" s="158"/>
      <c r="Q56" s="162"/>
    </row>
    <row r="58" spans="1:17" x14ac:dyDescent="0.2">
      <c r="D58" s="133">
        <v>20569393551.043995</v>
      </c>
      <c r="F58" s="133">
        <v>3532260.2881331854</v>
      </c>
      <c r="K58" s="133">
        <v>22723058867.5</v>
      </c>
      <c r="O58" s="133">
        <v>22914362847.5</v>
      </c>
    </row>
    <row r="59" spans="1:17" x14ac:dyDescent="0.2">
      <c r="C59" s="108" t="s">
        <v>90</v>
      </c>
      <c r="D59" s="133">
        <f>+D58-D48</f>
        <v>0</v>
      </c>
      <c r="F59" s="133">
        <f>+F58-F48</f>
        <v>0</v>
      </c>
      <c r="K59" s="136">
        <f>K58-SUM(K8,K10,K12,K16,K20,K24,K28,K32,K36,K40,K44,K46,K50,K52)</f>
        <v>0</v>
      </c>
      <c r="O59" s="136">
        <f>O58-SUM(O8,O10,O12,O16,O20,O24,O28,O32,O36,O40,O44,O46,O50,O52)</f>
        <v>0</v>
      </c>
    </row>
    <row r="61" spans="1:17" x14ac:dyDescent="0.2">
      <c r="B61" s="144" t="s">
        <v>246</v>
      </c>
      <c r="I61" s="136"/>
      <c r="N61" s="136"/>
    </row>
    <row r="62" spans="1:17" x14ac:dyDescent="0.2">
      <c r="B62" s="144" t="s">
        <v>247</v>
      </c>
      <c r="H62" s="245"/>
      <c r="I62" s="136"/>
      <c r="N62" s="136"/>
    </row>
    <row r="63" spans="1:17" x14ac:dyDescent="0.2">
      <c r="B63" s="144" t="s">
        <v>248</v>
      </c>
      <c r="I63" s="136">
        <v>50260000.129733883</v>
      </c>
      <c r="N63" s="136">
        <v>54031318.225557312</v>
      </c>
    </row>
    <row r="64" spans="1:17" x14ac:dyDescent="0.2">
      <c r="B64" s="108" t="s">
        <v>249</v>
      </c>
      <c r="I64" s="136">
        <v>50260000.129733883</v>
      </c>
      <c r="N64" s="136">
        <v>54031318.225557312</v>
      </c>
    </row>
    <row r="65" spans="2:15" x14ac:dyDescent="0.2">
      <c r="N65" s="136">
        <v>3771318.0958234295</v>
      </c>
    </row>
    <row r="66" spans="2:15" x14ac:dyDescent="0.2">
      <c r="B66" s="108" t="s">
        <v>250</v>
      </c>
      <c r="K66" s="136">
        <v>15267345.136832632</v>
      </c>
      <c r="O66" s="136">
        <v>15307830.010058973</v>
      </c>
    </row>
    <row r="67" spans="2:15" x14ac:dyDescent="0.2">
      <c r="K67" s="136">
        <v>-288621944.57840765</v>
      </c>
      <c r="O67" s="136">
        <v>-288624683.79512894</v>
      </c>
    </row>
    <row r="68" spans="2:15" x14ac:dyDescent="0.2">
      <c r="K68" s="136">
        <v>50260000.129733883</v>
      </c>
      <c r="O68" s="136">
        <v>54031318.225557305</v>
      </c>
    </row>
    <row r="69" spans="2:15" x14ac:dyDescent="0.2">
      <c r="C69" s="108" t="s">
        <v>90</v>
      </c>
      <c r="K69" s="136">
        <v>0</v>
      </c>
      <c r="O69" s="136">
        <v>0</v>
      </c>
    </row>
  </sheetData>
  <mergeCells count="3">
    <mergeCell ref="N3:R3"/>
    <mergeCell ref="I5:L5"/>
    <mergeCell ref="N5:Q5"/>
  </mergeCells>
  <printOptions horizontalCentered="1"/>
  <pageMargins left="0.7" right="0.7" top="0.75" bottom="0.75" header="0.3" footer="0.3"/>
  <pageSetup scale="59" fitToWidth="0" orientation="landscape" r:id="rId1"/>
  <headerFooter alignWithMargins="0">
    <oddFooter>&amp;L&amp;A&amp;RExhibit No. ___(BDJ-5)
Page &amp;P of &amp;N</oddFooter>
  </headerFooter>
  <colBreaks count="1" manualBreakCount="1">
    <brk id="12" max="31" man="1"/>
  </col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522D8-F615-42D0-85E6-25841B5E923F}">
  <sheetPr>
    <tabColor theme="5" tint="0.79998168889431442"/>
  </sheetPr>
  <dimension ref="A1:K22"/>
  <sheetViews>
    <sheetView workbookViewId="0">
      <selection activeCell="H27" sqref="H27"/>
    </sheetView>
  </sheetViews>
  <sheetFormatPr defaultRowHeight="11.25" x14ac:dyDescent="0.2"/>
  <cols>
    <col min="1" max="1" width="5.140625" style="3" bestFit="1" customWidth="1"/>
    <col min="2" max="2" width="54.42578125" style="3" bestFit="1" customWidth="1"/>
    <col min="3" max="3" width="1.5703125" style="3" customWidth="1"/>
    <col min="4" max="4" width="7.42578125" style="3" bestFit="1" customWidth="1"/>
    <col min="5" max="5" width="9" style="3" bestFit="1" customWidth="1"/>
    <col min="6" max="6" width="1.42578125" style="3" customWidth="1"/>
    <col min="7" max="7" width="5.140625" style="3" bestFit="1" customWidth="1"/>
    <col min="8" max="8" width="54.42578125" style="3" bestFit="1" customWidth="1"/>
    <col min="9" max="9" width="1.5703125" style="3" customWidth="1"/>
    <col min="10" max="10" width="7.42578125" style="3" bestFit="1" customWidth="1"/>
    <col min="11" max="11" width="9" style="3" bestFit="1" customWidth="1"/>
    <col min="12" max="256" width="9.140625" style="3"/>
    <col min="257" max="257" width="5" style="3" bestFit="1" customWidth="1"/>
    <col min="258" max="258" width="63" style="3" bestFit="1" customWidth="1"/>
    <col min="259" max="259" width="1.5703125" style="3" customWidth="1"/>
    <col min="260" max="260" width="7.42578125" style="3" bestFit="1" customWidth="1"/>
    <col min="261" max="512" width="9.140625" style="3"/>
    <col min="513" max="513" width="5" style="3" bestFit="1" customWidth="1"/>
    <col min="514" max="514" width="63" style="3" bestFit="1" customWidth="1"/>
    <col min="515" max="515" width="1.5703125" style="3" customWidth="1"/>
    <col min="516" max="516" width="7.42578125" style="3" bestFit="1" customWidth="1"/>
    <col min="517" max="768" width="9.140625" style="3"/>
    <col min="769" max="769" width="5" style="3" bestFit="1" customWidth="1"/>
    <col min="770" max="770" width="63" style="3" bestFit="1" customWidth="1"/>
    <col min="771" max="771" width="1.5703125" style="3" customWidth="1"/>
    <col min="772" max="772" width="7.42578125" style="3" bestFit="1" customWidth="1"/>
    <col min="773" max="1024" width="9.140625" style="3"/>
    <col min="1025" max="1025" width="5" style="3" bestFit="1" customWidth="1"/>
    <col min="1026" max="1026" width="63" style="3" bestFit="1" customWidth="1"/>
    <col min="1027" max="1027" width="1.5703125" style="3" customWidth="1"/>
    <col min="1028" max="1028" width="7.42578125" style="3" bestFit="1" customWidth="1"/>
    <col min="1029" max="1280" width="9.140625" style="3"/>
    <col min="1281" max="1281" width="5" style="3" bestFit="1" customWidth="1"/>
    <col min="1282" max="1282" width="63" style="3" bestFit="1" customWidth="1"/>
    <col min="1283" max="1283" width="1.5703125" style="3" customWidth="1"/>
    <col min="1284" max="1284" width="7.42578125" style="3" bestFit="1" customWidth="1"/>
    <col min="1285" max="1536" width="9.140625" style="3"/>
    <col min="1537" max="1537" width="5" style="3" bestFit="1" customWidth="1"/>
    <col min="1538" max="1538" width="63" style="3" bestFit="1" customWidth="1"/>
    <col min="1539" max="1539" width="1.5703125" style="3" customWidth="1"/>
    <col min="1540" max="1540" width="7.42578125" style="3" bestFit="1" customWidth="1"/>
    <col min="1541" max="1792" width="9.140625" style="3"/>
    <col min="1793" max="1793" width="5" style="3" bestFit="1" customWidth="1"/>
    <col min="1794" max="1794" width="63" style="3" bestFit="1" customWidth="1"/>
    <col min="1795" max="1795" width="1.5703125" style="3" customWidth="1"/>
    <col min="1796" max="1796" width="7.42578125" style="3" bestFit="1" customWidth="1"/>
    <col min="1797" max="2048" width="9.140625" style="3"/>
    <col min="2049" max="2049" width="5" style="3" bestFit="1" customWidth="1"/>
    <col min="2050" max="2050" width="63" style="3" bestFit="1" customWidth="1"/>
    <col min="2051" max="2051" width="1.5703125" style="3" customWidth="1"/>
    <col min="2052" max="2052" width="7.42578125" style="3" bestFit="1" customWidth="1"/>
    <col min="2053" max="2304" width="9.140625" style="3"/>
    <col min="2305" max="2305" width="5" style="3" bestFit="1" customWidth="1"/>
    <col min="2306" max="2306" width="63" style="3" bestFit="1" customWidth="1"/>
    <col min="2307" max="2307" width="1.5703125" style="3" customWidth="1"/>
    <col min="2308" max="2308" width="7.42578125" style="3" bestFit="1" customWidth="1"/>
    <col min="2309" max="2560" width="9.140625" style="3"/>
    <col min="2561" max="2561" width="5" style="3" bestFit="1" customWidth="1"/>
    <col min="2562" max="2562" width="63" style="3" bestFit="1" customWidth="1"/>
    <col min="2563" max="2563" width="1.5703125" style="3" customWidth="1"/>
    <col min="2564" max="2564" width="7.42578125" style="3" bestFit="1" customWidth="1"/>
    <col min="2565" max="2816" width="9.140625" style="3"/>
    <col min="2817" max="2817" width="5" style="3" bestFit="1" customWidth="1"/>
    <col min="2818" max="2818" width="63" style="3" bestFit="1" customWidth="1"/>
    <col min="2819" max="2819" width="1.5703125" style="3" customWidth="1"/>
    <col min="2820" max="2820" width="7.42578125" style="3" bestFit="1" customWidth="1"/>
    <col min="2821" max="3072" width="9.140625" style="3"/>
    <col min="3073" max="3073" width="5" style="3" bestFit="1" customWidth="1"/>
    <col min="3074" max="3074" width="63" style="3" bestFit="1" customWidth="1"/>
    <col min="3075" max="3075" width="1.5703125" style="3" customWidth="1"/>
    <col min="3076" max="3076" width="7.42578125" style="3" bestFit="1" customWidth="1"/>
    <col min="3077" max="3328" width="9.140625" style="3"/>
    <col min="3329" max="3329" width="5" style="3" bestFit="1" customWidth="1"/>
    <col min="3330" max="3330" width="63" style="3" bestFit="1" customWidth="1"/>
    <col min="3331" max="3331" width="1.5703125" style="3" customWidth="1"/>
    <col min="3332" max="3332" width="7.42578125" style="3" bestFit="1" customWidth="1"/>
    <col min="3333" max="3584" width="9.140625" style="3"/>
    <col min="3585" max="3585" width="5" style="3" bestFit="1" customWidth="1"/>
    <col min="3586" max="3586" width="63" style="3" bestFit="1" customWidth="1"/>
    <col min="3587" max="3587" width="1.5703125" style="3" customWidth="1"/>
    <col min="3588" max="3588" width="7.42578125" style="3" bestFit="1" customWidth="1"/>
    <col min="3589" max="3840" width="9.140625" style="3"/>
    <col min="3841" max="3841" width="5" style="3" bestFit="1" customWidth="1"/>
    <col min="3842" max="3842" width="63" style="3" bestFit="1" customWidth="1"/>
    <col min="3843" max="3843" width="1.5703125" style="3" customWidth="1"/>
    <col min="3844" max="3844" width="7.42578125" style="3" bestFit="1" customWidth="1"/>
    <col min="3845" max="4096" width="9.140625" style="3"/>
    <col min="4097" max="4097" width="5" style="3" bestFit="1" customWidth="1"/>
    <col min="4098" max="4098" width="63" style="3" bestFit="1" customWidth="1"/>
    <col min="4099" max="4099" width="1.5703125" style="3" customWidth="1"/>
    <col min="4100" max="4100" width="7.42578125" style="3" bestFit="1" customWidth="1"/>
    <col min="4101" max="4352" width="9.140625" style="3"/>
    <col min="4353" max="4353" width="5" style="3" bestFit="1" customWidth="1"/>
    <col min="4354" max="4354" width="63" style="3" bestFit="1" customWidth="1"/>
    <col min="4355" max="4355" width="1.5703125" style="3" customWidth="1"/>
    <col min="4356" max="4356" width="7.42578125" style="3" bestFit="1" customWidth="1"/>
    <col min="4357" max="4608" width="9.140625" style="3"/>
    <col min="4609" max="4609" width="5" style="3" bestFit="1" customWidth="1"/>
    <col min="4610" max="4610" width="63" style="3" bestFit="1" customWidth="1"/>
    <col min="4611" max="4611" width="1.5703125" style="3" customWidth="1"/>
    <col min="4612" max="4612" width="7.42578125" style="3" bestFit="1" customWidth="1"/>
    <col min="4613" max="4864" width="9.140625" style="3"/>
    <col min="4865" max="4865" width="5" style="3" bestFit="1" customWidth="1"/>
    <col min="4866" max="4866" width="63" style="3" bestFit="1" customWidth="1"/>
    <col min="4867" max="4867" width="1.5703125" style="3" customWidth="1"/>
    <col min="4868" max="4868" width="7.42578125" style="3" bestFit="1" customWidth="1"/>
    <col min="4869" max="5120" width="9.140625" style="3"/>
    <col min="5121" max="5121" width="5" style="3" bestFit="1" customWidth="1"/>
    <col min="5122" max="5122" width="63" style="3" bestFit="1" customWidth="1"/>
    <col min="5123" max="5123" width="1.5703125" style="3" customWidth="1"/>
    <col min="5124" max="5124" width="7.42578125" style="3" bestFit="1" customWidth="1"/>
    <col min="5125" max="5376" width="9.140625" style="3"/>
    <col min="5377" max="5377" width="5" style="3" bestFit="1" customWidth="1"/>
    <col min="5378" max="5378" width="63" style="3" bestFit="1" customWidth="1"/>
    <col min="5379" max="5379" width="1.5703125" style="3" customWidth="1"/>
    <col min="5380" max="5380" width="7.42578125" style="3" bestFit="1" customWidth="1"/>
    <col min="5381" max="5632" width="9.140625" style="3"/>
    <col min="5633" max="5633" width="5" style="3" bestFit="1" customWidth="1"/>
    <col min="5634" max="5634" width="63" style="3" bestFit="1" customWidth="1"/>
    <col min="5635" max="5635" width="1.5703125" style="3" customWidth="1"/>
    <col min="5636" max="5636" width="7.42578125" style="3" bestFit="1" customWidth="1"/>
    <col min="5637" max="5888" width="9.140625" style="3"/>
    <col min="5889" max="5889" width="5" style="3" bestFit="1" customWidth="1"/>
    <col min="5890" max="5890" width="63" style="3" bestFit="1" customWidth="1"/>
    <col min="5891" max="5891" width="1.5703125" style="3" customWidth="1"/>
    <col min="5892" max="5892" width="7.42578125" style="3" bestFit="1" customWidth="1"/>
    <col min="5893" max="6144" width="9.140625" style="3"/>
    <col min="6145" max="6145" width="5" style="3" bestFit="1" customWidth="1"/>
    <col min="6146" max="6146" width="63" style="3" bestFit="1" customWidth="1"/>
    <col min="6147" max="6147" width="1.5703125" style="3" customWidth="1"/>
    <col min="6148" max="6148" width="7.42578125" style="3" bestFit="1" customWidth="1"/>
    <col min="6149" max="6400" width="9.140625" style="3"/>
    <col min="6401" max="6401" width="5" style="3" bestFit="1" customWidth="1"/>
    <col min="6402" max="6402" width="63" style="3" bestFit="1" customWidth="1"/>
    <col min="6403" max="6403" width="1.5703125" style="3" customWidth="1"/>
    <col min="6404" max="6404" width="7.42578125" style="3" bestFit="1" customWidth="1"/>
    <col min="6405" max="6656" width="9.140625" style="3"/>
    <col min="6657" max="6657" width="5" style="3" bestFit="1" customWidth="1"/>
    <col min="6658" max="6658" width="63" style="3" bestFit="1" customWidth="1"/>
    <col min="6659" max="6659" width="1.5703125" style="3" customWidth="1"/>
    <col min="6660" max="6660" width="7.42578125" style="3" bestFit="1" customWidth="1"/>
    <col min="6661" max="6912" width="9.140625" style="3"/>
    <col min="6913" max="6913" width="5" style="3" bestFit="1" customWidth="1"/>
    <col min="6914" max="6914" width="63" style="3" bestFit="1" customWidth="1"/>
    <col min="6915" max="6915" width="1.5703125" style="3" customWidth="1"/>
    <col min="6916" max="6916" width="7.42578125" style="3" bestFit="1" customWidth="1"/>
    <col min="6917" max="7168" width="9.140625" style="3"/>
    <col min="7169" max="7169" width="5" style="3" bestFit="1" customWidth="1"/>
    <col min="7170" max="7170" width="63" style="3" bestFit="1" customWidth="1"/>
    <col min="7171" max="7171" width="1.5703125" style="3" customWidth="1"/>
    <col min="7172" max="7172" width="7.42578125" style="3" bestFit="1" customWidth="1"/>
    <col min="7173" max="7424" width="9.140625" style="3"/>
    <col min="7425" max="7425" width="5" style="3" bestFit="1" customWidth="1"/>
    <col min="7426" max="7426" width="63" style="3" bestFit="1" customWidth="1"/>
    <col min="7427" max="7427" width="1.5703125" style="3" customWidth="1"/>
    <col min="7428" max="7428" width="7.42578125" style="3" bestFit="1" customWidth="1"/>
    <col min="7429" max="7680" width="9.140625" style="3"/>
    <col min="7681" max="7681" width="5" style="3" bestFit="1" customWidth="1"/>
    <col min="7682" max="7682" width="63" style="3" bestFit="1" customWidth="1"/>
    <col min="7683" max="7683" width="1.5703125" style="3" customWidth="1"/>
    <col min="7684" max="7684" width="7.42578125" style="3" bestFit="1" customWidth="1"/>
    <col min="7685" max="7936" width="9.140625" style="3"/>
    <col min="7937" max="7937" width="5" style="3" bestFit="1" customWidth="1"/>
    <col min="7938" max="7938" width="63" style="3" bestFit="1" customWidth="1"/>
    <col min="7939" max="7939" width="1.5703125" style="3" customWidth="1"/>
    <col min="7940" max="7940" width="7.42578125" style="3" bestFit="1" customWidth="1"/>
    <col min="7941" max="8192" width="9.140625" style="3"/>
    <col min="8193" max="8193" width="5" style="3" bestFit="1" customWidth="1"/>
    <col min="8194" max="8194" width="63" style="3" bestFit="1" customWidth="1"/>
    <col min="8195" max="8195" width="1.5703125" style="3" customWidth="1"/>
    <col min="8196" max="8196" width="7.42578125" style="3" bestFit="1" customWidth="1"/>
    <col min="8197" max="8448" width="9.140625" style="3"/>
    <col min="8449" max="8449" width="5" style="3" bestFit="1" customWidth="1"/>
    <col min="8450" max="8450" width="63" style="3" bestFit="1" customWidth="1"/>
    <col min="8451" max="8451" width="1.5703125" style="3" customWidth="1"/>
    <col min="8452" max="8452" width="7.42578125" style="3" bestFit="1" customWidth="1"/>
    <col min="8453" max="8704" width="9.140625" style="3"/>
    <col min="8705" max="8705" width="5" style="3" bestFit="1" customWidth="1"/>
    <col min="8706" max="8706" width="63" style="3" bestFit="1" customWidth="1"/>
    <col min="8707" max="8707" width="1.5703125" style="3" customWidth="1"/>
    <col min="8708" max="8708" width="7.42578125" style="3" bestFit="1" customWidth="1"/>
    <col min="8709" max="8960" width="9.140625" style="3"/>
    <col min="8961" max="8961" width="5" style="3" bestFit="1" customWidth="1"/>
    <col min="8962" max="8962" width="63" style="3" bestFit="1" customWidth="1"/>
    <col min="8963" max="8963" width="1.5703125" style="3" customWidth="1"/>
    <col min="8964" max="8964" width="7.42578125" style="3" bestFit="1" customWidth="1"/>
    <col min="8965" max="9216" width="9.140625" style="3"/>
    <col min="9217" max="9217" width="5" style="3" bestFit="1" customWidth="1"/>
    <col min="9218" max="9218" width="63" style="3" bestFit="1" customWidth="1"/>
    <col min="9219" max="9219" width="1.5703125" style="3" customWidth="1"/>
    <col min="9220" max="9220" width="7.42578125" style="3" bestFit="1" customWidth="1"/>
    <col min="9221" max="9472" width="9.140625" style="3"/>
    <col min="9473" max="9473" width="5" style="3" bestFit="1" customWidth="1"/>
    <col min="9474" max="9474" width="63" style="3" bestFit="1" customWidth="1"/>
    <col min="9475" max="9475" width="1.5703125" style="3" customWidth="1"/>
    <col min="9476" max="9476" width="7.42578125" style="3" bestFit="1" customWidth="1"/>
    <col min="9477" max="9728" width="9.140625" style="3"/>
    <col min="9729" max="9729" width="5" style="3" bestFit="1" customWidth="1"/>
    <col min="9730" max="9730" width="63" style="3" bestFit="1" customWidth="1"/>
    <col min="9731" max="9731" width="1.5703125" style="3" customWidth="1"/>
    <col min="9732" max="9732" width="7.42578125" style="3" bestFit="1" customWidth="1"/>
    <col min="9733" max="9984" width="9.140625" style="3"/>
    <col min="9985" max="9985" width="5" style="3" bestFit="1" customWidth="1"/>
    <col min="9986" max="9986" width="63" style="3" bestFit="1" customWidth="1"/>
    <col min="9987" max="9987" width="1.5703125" style="3" customWidth="1"/>
    <col min="9988" max="9988" width="7.42578125" style="3" bestFit="1" customWidth="1"/>
    <col min="9989" max="10240" width="9.140625" style="3"/>
    <col min="10241" max="10241" width="5" style="3" bestFit="1" customWidth="1"/>
    <col min="10242" max="10242" width="63" style="3" bestFit="1" customWidth="1"/>
    <col min="10243" max="10243" width="1.5703125" style="3" customWidth="1"/>
    <col min="10244" max="10244" width="7.42578125" style="3" bestFit="1" customWidth="1"/>
    <col min="10245" max="10496" width="9.140625" style="3"/>
    <col min="10497" max="10497" width="5" style="3" bestFit="1" customWidth="1"/>
    <col min="10498" max="10498" width="63" style="3" bestFit="1" customWidth="1"/>
    <col min="10499" max="10499" width="1.5703125" style="3" customWidth="1"/>
    <col min="10500" max="10500" width="7.42578125" style="3" bestFit="1" customWidth="1"/>
    <col min="10501" max="10752" width="9.140625" style="3"/>
    <col min="10753" max="10753" width="5" style="3" bestFit="1" customWidth="1"/>
    <col min="10754" max="10754" width="63" style="3" bestFit="1" customWidth="1"/>
    <col min="10755" max="10755" width="1.5703125" style="3" customWidth="1"/>
    <col min="10756" max="10756" width="7.42578125" style="3" bestFit="1" customWidth="1"/>
    <col min="10757" max="11008" width="9.140625" style="3"/>
    <col min="11009" max="11009" width="5" style="3" bestFit="1" customWidth="1"/>
    <col min="11010" max="11010" width="63" style="3" bestFit="1" customWidth="1"/>
    <col min="11011" max="11011" width="1.5703125" style="3" customWidth="1"/>
    <col min="11012" max="11012" width="7.42578125" style="3" bestFit="1" customWidth="1"/>
    <col min="11013" max="11264" width="9.140625" style="3"/>
    <col min="11265" max="11265" width="5" style="3" bestFit="1" customWidth="1"/>
    <col min="11266" max="11266" width="63" style="3" bestFit="1" customWidth="1"/>
    <col min="11267" max="11267" width="1.5703125" style="3" customWidth="1"/>
    <col min="11268" max="11268" width="7.42578125" style="3" bestFit="1" customWidth="1"/>
    <col min="11269" max="11520" width="9.140625" style="3"/>
    <col min="11521" max="11521" width="5" style="3" bestFit="1" customWidth="1"/>
    <col min="11522" max="11522" width="63" style="3" bestFit="1" customWidth="1"/>
    <col min="11523" max="11523" width="1.5703125" style="3" customWidth="1"/>
    <col min="11524" max="11524" width="7.42578125" style="3" bestFit="1" customWidth="1"/>
    <col min="11525" max="11776" width="9.140625" style="3"/>
    <col min="11777" max="11777" width="5" style="3" bestFit="1" customWidth="1"/>
    <col min="11778" max="11778" width="63" style="3" bestFit="1" customWidth="1"/>
    <col min="11779" max="11779" width="1.5703125" style="3" customWidth="1"/>
    <col min="11780" max="11780" width="7.42578125" style="3" bestFit="1" customWidth="1"/>
    <col min="11781" max="12032" width="9.140625" style="3"/>
    <col min="12033" max="12033" width="5" style="3" bestFit="1" customWidth="1"/>
    <col min="12034" max="12034" width="63" style="3" bestFit="1" customWidth="1"/>
    <col min="12035" max="12035" width="1.5703125" style="3" customWidth="1"/>
    <col min="12036" max="12036" width="7.42578125" style="3" bestFit="1" customWidth="1"/>
    <col min="12037" max="12288" width="9.140625" style="3"/>
    <col min="12289" max="12289" width="5" style="3" bestFit="1" customWidth="1"/>
    <col min="12290" max="12290" width="63" style="3" bestFit="1" customWidth="1"/>
    <col min="12291" max="12291" width="1.5703125" style="3" customWidth="1"/>
    <col min="12292" max="12292" width="7.42578125" style="3" bestFit="1" customWidth="1"/>
    <col min="12293" max="12544" width="9.140625" style="3"/>
    <col min="12545" max="12545" width="5" style="3" bestFit="1" customWidth="1"/>
    <col min="12546" max="12546" width="63" style="3" bestFit="1" customWidth="1"/>
    <col min="12547" max="12547" width="1.5703125" style="3" customWidth="1"/>
    <col min="12548" max="12548" width="7.42578125" style="3" bestFit="1" customWidth="1"/>
    <col min="12549" max="12800" width="9.140625" style="3"/>
    <col min="12801" max="12801" width="5" style="3" bestFit="1" customWidth="1"/>
    <col min="12802" max="12802" width="63" style="3" bestFit="1" customWidth="1"/>
    <col min="12803" max="12803" width="1.5703125" style="3" customWidth="1"/>
    <col min="12804" max="12804" width="7.42578125" style="3" bestFit="1" customWidth="1"/>
    <col min="12805" max="13056" width="9.140625" style="3"/>
    <col min="13057" max="13057" width="5" style="3" bestFit="1" customWidth="1"/>
    <col min="13058" max="13058" width="63" style="3" bestFit="1" customWidth="1"/>
    <col min="13059" max="13059" width="1.5703125" style="3" customWidth="1"/>
    <col min="13060" max="13060" width="7.42578125" style="3" bestFit="1" customWidth="1"/>
    <col min="13061" max="13312" width="9.140625" style="3"/>
    <col min="13313" max="13313" width="5" style="3" bestFit="1" customWidth="1"/>
    <col min="13314" max="13314" width="63" style="3" bestFit="1" customWidth="1"/>
    <col min="13315" max="13315" width="1.5703125" style="3" customWidth="1"/>
    <col min="13316" max="13316" width="7.42578125" style="3" bestFit="1" customWidth="1"/>
    <col min="13317" max="13568" width="9.140625" style="3"/>
    <col min="13569" max="13569" width="5" style="3" bestFit="1" customWidth="1"/>
    <col min="13570" max="13570" width="63" style="3" bestFit="1" customWidth="1"/>
    <col min="13571" max="13571" width="1.5703125" style="3" customWidth="1"/>
    <col min="13572" max="13572" width="7.42578125" style="3" bestFit="1" customWidth="1"/>
    <col min="13573" max="13824" width="9.140625" style="3"/>
    <col min="13825" max="13825" width="5" style="3" bestFit="1" customWidth="1"/>
    <col min="13826" max="13826" width="63" style="3" bestFit="1" customWidth="1"/>
    <col min="13827" max="13827" width="1.5703125" style="3" customWidth="1"/>
    <col min="13828" max="13828" width="7.42578125" style="3" bestFit="1" customWidth="1"/>
    <col min="13829" max="14080" width="9.140625" style="3"/>
    <col min="14081" max="14081" width="5" style="3" bestFit="1" customWidth="1"/>
    <col min="14082" max="14082" width="63" style="3" bestFit="1" customWidth="1"/>
    <col min="14083" max="14083" width="1.5703125" style="3" customWidth="1"/>
    <col min="14084" max="14084" width="7.42578125" style="3" bestFit="1" customWidth="1"/>
    <col min="14085" max="14336" width="9.140625" style="3"/>
    <col min="14337" max="14337" width="5" style="3" bestFit="1" customWidth="1"/>
    <col min="14338" max="14338" width="63" style="3" bestFit="1" customWidth="1"/>
    <col min="14339" max="14339" width="1.5703125" style="3" customWidth="1"/>
    <col min="14340" max="14340" width="7.42578125" style="3" bestFit="1" customWidth="1"/>
    <col min="14341" max="14592" width="9.140625" style="3"/>
    <col min="14593" max="14593" width="5" style="3" bestFit="1" customWidth="1"/>
    <col min="14594" max="14594" width="63" style="3" bestFit="1" customWidth="1"/>
    <col min="14595" max="14595" width="1.5703125" style="3" customWidth="1"/>
    <col min="14596" max="14596" width="7.42578125" style="3" bestFit="1" customWidth="1"/>
    <col min="14597" max="14848" width="9.140625" style="3"/>
    <col min="14849" max="14849" width="5" style="3" bestFit="1" customWidth="1"/>
    <col min="14850" max="14850" width="63" style="3" bestFit="1" customWidth="1"/>
    <col min="14851" max="14851" width="1.5703125" style="3" customWidth="1"/>
    <col min="14852" max="14852" width="7.42578125" style="3" bestFit="1" customWidth="1"/>
    <col min="14853" max="15104" width="9.140625" style="3"/>
    <col min="15105" max="15105" width="5" style="3" bestFit="1" customWidth="1"/>
    <col min="15106" max="15106" width="63" style="3" bestFit="1" customWidth="1"/>
    <col min="15107" max="15107" width="1.5703125" style="3" customWidth="1"/>
    <col min="15108" max="15108" width="7.42578125" style="3" bestFit="1" customWidth="1"/>
    <col min="15109" max="15360" width="9.140625" style="3"/>
    <col min="15361" max="15361" width="5" style="3" bestFit="1" customWidth="1"/>
    <col min="15362" max="15362" width="63" style="3" bestFit="1" customWidth="1"/>
    <col min="15363" max="15363" width="1.5703125" style="3" customWidth="1"/>
    <col min="15364" max="15364" width="7.42578125" style="3" bestFit="1" customWidth="1"/>
    <col min="15365" max="15616" width="9.140625" style="3"/>
    <col min="15617" max="15617" width="5" style="3" bestFit="1" customWidth="1"/>
    <col min="15618" max="15618" width="63" style="3" bestFit="1" customWidth="1"/>
    <col min="15619" max="15619" width="1.5703125" style="3" customWidth="1"/>
    <col min="15620" max="15620" width="7.42578125" style="3" bestFit="1" customWidth="1"/>
    <col min="15621" max="15872" width="9.140625" style="3"/>
    <col min="15873" max="15873" width="5" style="3" bestFit="1" customWidth="1"/>
    <col min="15874" max="15874" width="63" style="3" bestFit="1" customWidth="1"/>
    <col min="15875" max="15875" width="1.5703125" style="3" customWidth="1"/>
    <col min="15876" max="15876" width="7.42578125" style="3" bestFit="1" customWidth="1"/>
    <col min="15877" max="16128" width="9.140625" style="3"/>
    <col min="16129" max="16129" width="5" style="3" bestFit="1" customWidth="1"/>
    <col min="16130" max="16130" width="63" style="3" bestFit="1" customWidth="1"/>
    <col min="16131" max="16131" width="1.5703125" style="3" customWidth="1"/>
    <col min="16132" max="16132" width="7.42578125" style="3" bestFit="1" customWidth="1"/>
    <col min="16133" max="16384" width="9.140625" style="3"/>
  </cols>
  <sheetData>
    <row r="1" spans="1:11" s="3" customFormat="1" x14ac:dyDescent="0.2">
      <c r="A1" s="4"/>
      <c r="B1" s="4"/>
      <c r="C1" s="4"/>
      <c r="D1" s="4"/>
      <c r="E1" s="303"/>
      <c r="G1" s="4"/>
      <c r="H1" s="4"/>
      <c r="I1" s="4"/>
      <c r="J1" s="4"/>
      <c r="K1" s="303"/>
    </row>
    <row r="2" spans="1:11" s="3" customFormat="1" x14ac:dyDescent="0.2">
      <c r="A2" s="304" t="s">
        <v>305</v>
      </c>
      <c r="B2" s="305"/>
      <c r="C2" s="305"/>
      <c r="D2" s="305"/>
      <c r="E2" s="305"/>
      <c r="G2" s="304" t="s">
        <v>305</v>
      </c>
      <c r="H2" s="305"/>
      <c r="I2" s="305"/>
      <c r="J2" s="305"/>
      <c r="K2" s="305"/>
    </row>
    <row r="3" spans="1:11" s="3" customFormat="1" x14ac:dyDescent="0.2">
      <c r="A3" s="305" t="s">
        <v>306</v>
      </c>
      <c r="B3" s="305"/>
      <c r="C3" s="305"/>
      <c r="D3" s="305"/>
      <c r="E3" s="305"/>
      <c r="G3" s="305" t="s">
        <v>306</v>
      </c>
      <c r="H3" s="305"/>
      <c r="I3" s="305"/>
      <c r="J3" s="305"/>
      <c r="K3" s="305"/>
    </row>
    <row r="4" spans="1:11" s="3" customFormat="1" x14ac:dyDescent="0.2">
      <c r="A4" s="305" t="s">
        <v>416</v>
      </c>
      <c r="B4" s="306"/>
      <c r="C4" s="306"/>
      <c r="D4" s="306"/>
      <c r="E4" s="307"/>
      <c r="G4" s="305" t="str">
        <f>A4</f>
        <v>FOR THE TWELVE MONTHS ENDED JUNE 30, 2021</v>
      </c>
      <c r="H4" s="306"/>
      <c r="I4" s="306"/>
      <c r="J4" s="306"/>
      <c r="K4" s="307"/>
    </row>
    <row r="5" spans="1:11" s="3" customFormat="1" x14ac:dyDescent="0.2">
      <c r="A5" s="305" t="s">
        <v>417</v>
      </c>
      <c r="B5" s="306"/>
      <c r="C5" s="306"/>
      <c r="D5" s="306"/>
      <c r="E5" s="307"/>
      <c r="G5" s="305" t="str">
        <f>A5</f>
        <v>2022 GENERAL RATE CASE</v>
      </c>
      <c r="H5" s="306"/>
      <c r="I5" s="306"/>
      <c r="J5" s="306"/>
      <c r="K5" s="307"/>
    </row>
    <row r="6" spans="1:11" s="3" customFormat="1" x14ac:dyDescent="0.2">
      <c r="A6" s="304" t="s">
        <v>307</v>
      </c>
      <c r="B6" s="305"/>
      <c r="C6" s="305"/>
      <c r="D6" s="305"/>
      <c r="E6" s="305"/>
      <c r="G6" s="304"/>
      <c r="H6" s="305"/>
      <c r="I6" s="305"/>
      <c r="J6" s="305"/>
      <c r="K6" s="305"/>
    </row>
    <row r="7" spans="1:11" s="3" customFormat="1" x14ac:dyDescent="0.2">
      <c r="A7" s="262" t="s">
        <v>308</v>
      </c>
      <c r="B7" s="4"/>
      <c r="C7" s="4"/>
      <c r="D7" s="4"/>
      <c r="E7" s="4"/>
      <c r="G7" s="262" t="s">
        <v>308</v>
      </c>
      <c r="H7" s="4"/>
      <c r="I7" s="4"/>
      <c r="J7" s="4"/>
      <c r="K7" s="4"/>
    </row>
    <row r="8" spans="1:11" s="3" customFormat="1" x14ac:dyDescent="0.2">
      <c r="A8" s="308" t="s">
        <v>309</v>
      </c>
      <c r="B8" s="309" t="s">
        <v>158</v>
      </c>
      <c r="C8" s="310"/>
      <c r="D8" s="310"/>
      <c r="E8" s="311" t="s">
        <v>310</v>
      </c>
      <c r="G8" s="308" t="s">
        <v>309</v>
      </c>
      <c r="H8" s="309" t="s">
        <v>158</v>
      </c>
      <c r="I8" s="310"/>
      <c r="J8" s="310"/>
      <c r="K8" s="311" t="s">
        <v>310</v>
      </c>
    </row>
    <row r="9" spans="1:11" s="3" customFormat="1" x14ac:dyDescent="0.2">
      <c r="E9" s="312"/>
      <c r="K9" s="312"/>
    </row>
    <row r="10" spans="1:11" s="3" customFormat="1" x14ac:dyDescent="0.2">
      <c r="A10" s="313">
        <v>1</v>
      </c>
      <c r="B10" s="24" t="s">
        <v>311</v>
      </c>
      <c r="E10" s="314">
        <v>7.1970000000000003E-3</v>
      </c>
      <c r="G10" s="313">
        <v>1</v>
      </c>
      <c r="H10" s="24" t="s">
        <v>311</v>
      </c>
      <c r="K10" s="314">
        <f>E10</f>
        <v>7.1970000000000003E-3</v>
      </c>
    </row>
    <row r="11" spans="1:11" s="3" customFormat="1" x14ac:dyDescent="0.2">
      <c r="A11" s="313">
        <v>2</v>
      </c>
      <c r="B11" s="24" t="s">
        <v>312</v>
      </c>
      <c r="E11" s="314">
        <v>2E-3</v>
      </c>
      <c r="G11" s="313">
        <v>2</v>
      </c>
      <c r="H11" s="24" t="s">
        <v>312</v>
      </c>
      <c r="K11" s="314">
        <v>4.0000000000000001E-3</v>
      </c>
    </row>
    <row r="12" spans="1:11" s="3" customFormat="1" x14ac:dyDescent="0.2">
      <c r="A12" s="313">
        <v>3</v>
      </c>
      <c r="B12" s="24" t="s">
        <v>313</v>
      </c>
      <c r="D12" s="315">
        <v>3.8733999999999998E-2</v>
      </c>
      <c r="E12" s="316">
        <f>ROUND(D12-(D12*E10),6)</f>
        <v>3.8455000000000003E-2</v>
      </c>
      <c r="G12" s="313">
        <v>3</v>
      </c>
      <c r="H12" s="24" t="s">
        <v>313</v>
      </c>
      <c r="J12" s="315">
        <f>D12</f>
        <v>3.8733999999999998E-2</v>
      </c>
      <c r="K12" s="316">
        <f>ROUND(J12-(J12*K10),6)</f>
        <v>3.8455000000000003E-2</v>
      </c>
    </row>
    <row r="13" spans="1:11" s="3" customFormat="1" x14ac:dyDescent="0.2">
      <c r="A13" s="313">
        <v>4</v>
      </c>
      <c r="B13" s="24"/>
      <c r="E13" s="314"/>
      <c r="G13" s="313">
        <v>4</v>
      </c>
      <c r="H13" s="24"/>
      <c r="K13" s="314"/>
    </row>
    <row r="14" spans="1:11" s="3" customFormat="1" x14ac:dyDescent="0.2">
      <c r="A14" s="313">
        <v>5</v>
      </c>
      <c r="B14" s="24" t="s">
        <v>314</v>
      </c>
      <c r="E14" s="314">
        <f>ROUND(SUM(E10:E12),6)</f>
        <v>4.7652E-2</v>
      </c>
      <c r="G14" s="313">
        <v>5</v>
      </c>
      <c r="H14" s="24" t="s">
        <v>314</v>
      </c>
      <c r="K14" s="314">
        <f>ROUND(SUM(K10:K12),6)</f>
        <v>4.9652000000000002E-2</v>
      </c>
    </row>
    <row r="15" spans="1:11" s="3" customFormat="1" x14ac:dyDescent="0.2">
      <c r="A15" s="313">
        <v>6</v>
      </c>
      <c r="E15" s="314"/>
      <c r="G15" s="313">
        <v>6</v>
      </c>
      <c r="K15" s="314"/>
    </row>
    <row r="16" spans="1:11" s="3" customFormat="1" x14ac:dyDescent="0.2">
      <c r="A16" s="313">
        <v>7</v>
      </c>
      <c r="B16" s="3" t="s">
        <v>315</v>
      </c>
      <c r="E16" s="317">
        <f>ROUND(1-E14,6)</f>
        <v>0.95234799999999997</v>
      </c>
      <c r="G16" s="313">
        <v>7</v>
      </c>
      <c r="H16" s="3" t="s">
        <v>315</v>
      </c>
      <c r="K16" s="317">
        <f>ROUND(1-K14,6)</f>
        <v>0.95034799999999997</v>
      </c>
    </row>
    <row r="17" spans="1:11" s="3" customFormat="1" x14ac:dyDescent="0.2">
      <c r="A17" s="313">
        <v>8</v>
      </c>
      <c r="B17" s="24" t="s">
        <v>316</v>
      </c>
      <c r="D17" s="318">
        <v>0.21</v>
      </c>
      <c r="E17" s="314">
        <f>ROUND((E16)*D17,6)</f>
        <v>0.199993</v>
      </c>
      <c r="G17" s="313">
        <v>8</v>
      </c>
      <c r="H17" s="24" t="s">
        <v>316</v>
      </c>
      <c r="J17" s="318">
        <f>D17</f>
        <v>0.21</v>
      </c>
      <c r="K17" s="314">
        <f>ROUND((K16)*J17,6)</f>
        <v>0.199573</v>
      </c>
    </row>
    <row r="18" spans="1:11" s="3" customFormat="1" ht="12" thickBot="1" x14ac:dyDescent="0.25">
      <c r="A18" s="313">
        <v>9</v>
      </c>
      <c r="B18" s="24" t="s">
        <v>317</v>
      </c>
      <c r="E18" s="319">
        <f>E16-E17</f>
        <v>0.752355</v>
      </c>
      <c r="G18" s="313">
        <v>9</v>
      </c>
      <c r="H18" s="24" t="s">
        <v>317</v>
      </c>
      <c r="K18" s="319">
        <f>K16-K17</f>
        <v>0.75077499999999997</v>
      </c>
    </row>
    <row r="19" spans="1:11" s="3" customFormat="1" ht="12" thickTop="1" x14ac:dyDescent="0.2"/>
    <row r="22" spans="1:11" s="3" customFormat="1" x14ac:dyDescent="0.2">
      <c r="H22" s="4" t="s">
        <v>318</v>
      </c>
    </row>
  </sheetData>
  <pageMargins left="0.7" right="0.7" top="0.75" bottom="0.75" header="0.3" footer="0.3"/>
  <pageSetup orientation="portrait" horizontalDpi="200" verticalDpi="200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83"/>
  <sheetViews>
    <sheetView zoomScaleNormal="100" workbookViewId="0">
      <pane ySplit="6" topLeftCell="A7" activePane="bottomLeft" state="frozen"/>
      <selection activeCell="C13" sqref="C13"/>
      <selection pane="bottomLeft" activeCell="C13" sqref="C13"/>
    </sheetView>
  </sheetViews>
  <sheetFormatPr defaultColWidth="8.85546875" defaultRowHeight="11.25" x14ac:dyDescent="0.2"/>
  <cols>
    <col min="1" max="1" width="4.42578125" style="48" bestFit="1" customWidth="1"/>
    <col min="2" max="2" width="38.85546875" style="48" bestFit="1" customWidth="1"/>
    <col min="3" max="3" width="17.5703125" style="48" bestFit="1" customWidth="1"/>
    <col min="4" max="4" width="16.140625" style="48" bestFit="1" customWidth="1"/>
    <col min="5" max="6" width="9.42578125" style="48" bestFit="1" customWidth="1"/>
    <col min="7" max="7" width="13.140625" style="48" bestFit="1" customWidth="1"/>
    <col min="8" max="8" width="10" style="48" bestFit="1" customWidth="1"/>
    <col min="9" max="9" width="12.85546875" style="48" customWidth="1"/>
    <col min="10" max="10" width="10.5703125" style="48" bestFit="1" customWidth="1"/>
    <col min="11" max="11" width="9.85546875" style="48" bestFit="1" customWidth="1"/>
    <col min="12" max="12" width="11.28515625" style="48" bestFit="1" customWidth="1"/>
    <col min="13" max="13" width="1.85546875" style="47" customWidth="1"/>
    <col min="14" max="16384" width="8.85546875" style="48"/>
  </cols>
  <sheetData>
    <row r="1" spans="1:13" s="42" customFormat="1" x14ac:dyDescent="0.2">
      <c r="A1" s="228" t="str">
        <f>'Rate Summary'!A1:K1</f>
        <v>Puget Sound Energy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41"/>
    </row>
    <row r="2" spans="1:13" s="42" customFormat="1" ht="10.5" customHeight="1" x14ac:dyDescent="0.2">
      <c r="A2" s="228" t="str">
        <f>'Rate Summary'!A2:K2</f>
        <v>Schedule 141COL Colstrip Adjustment Tracker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41"/>
    </row>
    <row r="3" spans="1:13" s="42" customFormat="1" x14ac:dyDescent="0.2">
      <c r="A3" s="228" t="str">
        <f>'Rate Summary'!A4:K4</f>
        <v>Proposed Rate Effective Janaury 1, 2024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41"/>
    </row>
    <row r="4" spans="1:13" s="42" customFormat="1" x14ac:dyDescent="0.2">
      <c r="A4" s="228" t="s">
        <v>129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41"/>
    </row>
    <row r="5" spans="1:13" s="42" customFormat="1" ht="12" thickBot="1" x14ac:dyDescent="0.25">
      <c r="A5" s="225"/>
      <c r="B5" s="228"/>
      <c r="C5" s="228"/>
      <c r="D5" s="228"/>
      <c r="E5" s="228"/>
      <c r="F5" s="228"/>
      <c r="G5" s="228"/>
      <c r="H5" s="228"/>
      <c r="M5" s="41"/>
    </row>
    <row r="6" spans="1:13" s="42" customFormat="1" ht="101.25" x14ac:dyDescent="0.2">
      <c r="A6" s="43" t="s">
        <v>1</v>
      </c>
      <c r="B6" s="43" t="s">
        <v>2</v>
      </c>
      <c r="C6" s="43" t="s">
        <v>23</v>
      </c>
      <c r="D6" s="43" t="s">
        <v>36</v>
      </c>
      <c r="E6" s="44" t="s">
        <v>421</v>
      </c>
      <c r="F6" s="44" t="s">
        <v>422</v>
      </c>
      <c r="G6" s="44" t="s">
        <v>423</v>
      </c>
      <c r="H6" s="81" t="s">
        <v>327</v>
      </c>
      <c r="I6" s="44" t="s">
        <v>424</v>
      </c>
      <c r="J6" s="44" t="s">
        <v>99</v>
      </c>
      <c r="K6" s="44" t="s">
        <v>328</v>
      </c>
      <c r="L6" s="44" t="s">
        <v>329</v>
      </c>
      <c r="M6" s="41"/>
    </row>
    <row r="7" spans="1:13" ht="12" thickBot="1" x14ac:dyDescent="0.25">
      <c r="A7" s="45"/>
      <c r="B7" s="49"/>
      <c r="C7" s="49"/>
      <c r="D7" s="49"/>
      <c r="E7" s="3"/>
      <c r="F7" s="3"/>
      <c r="G7" s="50"/>
      <c r="H7" s="82"/>
      <c r="I7" s="51"/>
      <c r="J7" s="51"/>
      <c r="K7" s="51"/>
    </row>
    <row r="8" spans="1:13" x14ac:dyDescent="0.2">
      <c r="A8" s="45"/>
      <c r="B8" s="49"/>
      <c r="C8" s="49"/>
      <c r="D8" s="49"/>
      <c r="E8" s="3"/>
      <c r="F8" s="3"/>
      <c r="G8" s="50"/>
      <c r="H8" s="82"/>
      <c r="L8" s="52" t="s">
        <v>100</v>
      </c>
      <c r="M8" s="48"/>
    </row>
    <row r="9" spans="1:13" ht="12" thickBot="1" x14ac:dyDescent="0.25">
      <c r="A9" s="45">
        <v>1</v>
      </c>
      <c r="B9" s="53" t="s">
        <v>101</v>
      </c>
      <c r="C9" s="49"/>
      <c r="D9" s="49"/>
      <c r="E9" s="3"/>
      <c r="F9" s="3"/>
      <c r="G9" s="50"/>
      <c r="H9" s="82"/>
      <c r="I9" s="54"/>
      <c r="J9" s="55">
        <f>SUM(J24:J175)</f>
        <v>4020904</v>
      </c>
      <c r="K9" s="55">
        <f>SUM(K24:K175)</f>
        <v>81948</v>
      </c>
      <c r="L9" s="56">
        <f>SUM(L10:L11)</f>
        <v>1.995417295129303E-2</v>
      </c>
      <c r="M9" s="48"/>
    </row>
    <row r="10" spans="1:13" x14ac:dyDescent="0.2">
      <c r="A10" s="45">
        <f>+A9+1</f>
        <v>2</v>
      </c>
      <c r="B10" s="53" t="s">
        <v>119</v>
      </c>
      <c r="C10" s="49"/>
      <c r="D10" s="49"/>
      <c r="E10" s="3"/>
      <c r="F10" s="3"/>
      <c r="G10" s="50"/>
      <c r="H10" s="82"/>
      <c r="I10" s="54"/>
      <c r="K10" s="298">
        <f>'Rate Spread and Design'!H45</f>
        <v>80233.813836545945</v>
      </c>
      <c r="L10" s="57">
        <f>+K10/J9</f>
        <v>1.995417295129303E-2</v>
      </c>
      <c r="M10" s="48"/>
    </row>
    <row r="11" spans="1:13" x14ac:dyDescent="0.2">
      <c r="A11" s="45">
        <f t="shared" ref="A11:A74" si="0">+A10+1</f>
        <v>3</v>
      </c>
      <c r="B11" s="58" t="s">
        <v>156</v>
      </c>
      <c r="C11" s="49"/>
      <c r="D11" s="49"/>
      <c r="E11" s="3"/>
      <c r="F11" s="3"/>
      <c r="G11" s="50"/>
      <c r="H11" s="82"/>
      <c r="I11" s="54"/>
      <c r="J11" s="55"/>
      <c r="K11" s="55">
        <f>+K10-K9</f>
        <v>-1714.1861634540546</v>
      </c>
      <c r="L11" s="57">
        <v>0</v>
      </c>
      <c r="M11" s="48"/>
    </row>
    <row r="12" spans="1:13" x14ac:dyDescent="0.2">
      <c r="A12" s="45">
        <f t="shared" si="0"/>
        <v>4</v>
      </c>
      <c r="B12" s="49"/>
      <c r="C12" s="49"/>
      <c r="D12" s="49"/>
      <c r="E12" s="3"/>
      <c r="F12" s="3"/>
      <c r="G12" s="50"/>
      <c r="H12" s="82"/>
      <c r="M12" s="48"/>
    </row>
    <row r="13" spans="1:13" x14ac:dyDescent="0.2">
      <c r="A13" s="45">
        <f t="shared" si="0"/>
        <v>5</v>
      </c>
      <c r="B13" s="49" t="s">
        <v>102</v>
      </c>
      <c r="C13" s="49"/>
      <c r="D13" s="49"/>
      <c r="E13" s="3"/>
      <c r="F13" s="3"/>
      <c r="G13" s="50"/>
      <c r="H13" s="82"/>
      <c r="I13" s="51">
        <f>SUM(I24:I29)</f>
        <v>1200</v>
      </c>
      <c r="J13" s="55">
        <f>SUM(J24:J29)</f>
        <v>3357</v>
      </c>
      <c r="K13" s="55">
        <f>SUM(K24:K29)</f>
        <v>67</v>
      </c>
      <c r="L13" s="55"/>
      <c r="M13" s="48"/>
    </row>
    <row r="14" spans="1:13" x14ac:dyDescent="0.2">
      <c r="A14" s="45">
        <f t="shared" si="0"/>
        <v>6</v>
      </c>
      <c r="B14" s="49" t="s">
        <v>103</v>
      </c>
      <c r="C14" s="49"/>
      <c r="D14" s="49"/>
      <c r="E14" s="3"/>
      <c r="F14" s="3"/>
      <c r="G14" s="50"/>
      <c r="H14" s="82"/>
      <c r="I14" s="51">
        <f>SUM(I32:I42)</f>
        <v>140643</v>
      </c>
      <c r="J14" s="55">
        <f>SUM(J32:J42)</f>
        <v>210479</v>
      </c>
      <c r="K14" s="55">
        <f>SUM(K32:K42)</f>
        <v>4065</v>
      </c>
      <c r="L14" s="55"/>
      <c r="M14" s="48"/>
    </row>
    <row r="15" spans="1:13" x14ac:dyDescent="0.2">
      <c r="A15" s="45">
        <f t="shared" si="0"/>
        <v>7</v>
      </c>
      <c r="B15" s="49" t="s">
        <v>104</v>
      </c>
      <c r="C15" s="49"/>
      <c r="D15" s="49"/>
      <c r="E15" s="3"/>
      <c r="F15" s="3"/>
      <c r="G15" s="50"/>
      <c r="H15" s="82"/>
      <c r="I15" s="51">
        <f>SUM(I45:I60)</f>
        <v>218697</v>
      </c>
      <c r="J15" s="55">
        <f>SUM(J45:J60)</f>
        <v>707208</v>
      </c>
      <c r="K15" s="55">
        <f>SUM(K45:K60)</f>
        <v>14639</v>
      </c>
      <c r="L15" s="55"/>
      <c r="M15" s="48"/>
    </row>
    <row r="16" spans="1:13" x14ac:dyDescent="0.2">
      <c r="A16" s="45">
        <f t="shared" si="0"/>
        <v>8</v>
      </c>
      <c r="B16" s="49" t="s">
        <v>105</v>
      </c>
      <c r="E16" s="3"/>
      <c r="F16" s="3"/>
      <c r="G16" s="3"/>
      <c r="H16" s="82"/>
      <c r="I16" s="51">
        <f>SUM(I63:I90)</f>
        <v>1609916</v>
      </c>
      <c r="J16" s="55">
        <f>SUM(J63:J90)</f>
        <v>2153392</v>
      </c>
      <c r="K16" s="55">
        <f>SUM(K63:K90)</f>
        <v>44102</v>
      </c>
      <c r="L16" s="55"/>
      <c r="M16" s="48"/>
    </row>
    <row r="17" spans="1:13" x14ac:dyDescent="0.2">
      <c r="A17" s="45">
        <f t="shared" si="0"/>
        <v>9</v>
      </c>
      <c r="B17" s="58" t="s">
        <v>106</v>
      </c>
      <c r="E17" s="3"/>
      <c r="F17" s="3"/>
      <c r="G17" s="3"/>
      <c r="H17" s="82"/>
      <c r="I17" s="51">
        <f>SUM(I93:I112)</f>
        <v>120344</v>
      </c>
      <c r="J17" s="55">
        <f>SUM(J93:J112)</f>
        <v>329703</v>
      </c>
      <c r="K17" s="55">
        <f>SUM(K93:K112)</f>
        <v>6628</v>
      </c>
      <c r="L17" s="55"/>
      <c r="M17" s="48"/>
    </row>
    <row r="18" spans="1:13" x14ac:dyDescent="0.2">
      <c r="A18" s="45">
        <f t="shared" si="0"/>
        <v>10</v>
      </c>
      <c r="B18" s="58" t="s">
        <v>107</v>
      </c>
      <c r="E18" s="3"/>
      <c r="F18" s="3"/>
      <c r="G18" s="3"/>
      <c r="H18" s="82"/>
      <c r="I18" s="51">
        <f>SUM(I115:I133)</f>
        <v>73276</v>
      </c>
      <c r="J18" s="55">
        <f>SUM(J115:J133)</f>
        <v>195803</v>
      </c>
      <c r="K18" s="55">
        <f>SUM(K115:K133)</f>
        <v>4088</v>
      </c>
      <c r="L18" s="55"/>
      <c r="M18" s="48"/>
    </row>
    <row r="19" spans="1:13" x14ac:dyDescent="0.2">
      <c r="A19" s="45">
        <f t="shared" si="0"/>
        <v>11</v>
      </c>
      <c r="B19" s="49" t="s">
        <v>108</v>
      </c>
      <c r="E19" s="3"/>
      <c r="F19" s="3"/>
      <c r="G19" s="3"/>
      <c r="H19" s="82"/>
      <c r="I19" s="51">
        <f>SUM(I136)</f>
        <v>6934890</v>
      </c>
      <c r="J19" s="55">
        <f>SUM(J136)</f>
        <v>296050</v>
      </c>
      <c r="K19" s="55">
        <f>SUM(K136)</f>
        <v>5895</v>
      </c>
      <c r="L19" s="55"/>
      <c r="M19" s="48"/>
    </row>
    <row r="20" spans="1:13" x14ac:dyDescent="0.2">
      <c r="A20" s="45">
        <f t="shared" si="0"/>
        <v>12</v>
      </c>
      <c r="B20" s="58" t="s">
        <v>109</v>
      </c>
      <c r="E20" s="3"/>
      <c r="F20" s="3"/>
      <c r="G20" s="3"/>
      <c r="H20" s="82"/>
      <c r="I20" s="51">
        <f>SUM(I139:I175)</f>
        <v>17809</v>
      </c>
      <c r="J20" s="55">
        <f>SUM(J139:J175)</f>
        <v>124912</v>
      </c>
      <c r="K20" s="55">
        <f>SUM(K139:K175)</f>
        <v>2464</v>
      </c>
      <c r="L20" s="55"/>
      <c r="M20" s="48"/>
    </row>
    <row r="21" spans="1:13" x14ac:dyDescent="0.2">
      <c r="A21" s="45">
        <f t="shared" si="0"/>
        <v>13</v>
      </c>
      <c r="B21" s="49" t="s">
        <v>110</v>
      </c>
      <c r="E21" s="3"/>
      <c r="F21" s="3"/>
      <c r="G21" s="3"/>
      <c r="H21" s="82"/>
      <c r="I21" s="59">
        <f>SUM(I13:I20)</f>
        <v>9116775</v>
      </c>
      <c r="J21" s="60">
        <f>SUM(J13:J20)</f>
        <v>4020904</v>
      </c>
      <c r="K21" s="60">
        <f>SUM(K13:K20)</f>
        <v>81948</v>
      </c>
      <c r="L21" s="55"/>
      <c r="M21" s="48"/>
    </row>
    <row r="22" spans="1:13" x14ac:dyDescent="0.2">
      <c r="A22" s="45">
        <f t="shared" si="0"/>
        <v>14</v>
      </c>
      <c r="B22" s="49"/>
      <c r="C22" s="49"/>
      <c r="D22" s="49"/>
      <c r="E22" s="3"/>
      <c r="F22" s="3"/>
      <c r="G22" s="50"/>
      <c r="H22" s="82"/>
      <c r="I22" s="54">
        <f>I21-SUM(I24:I175)</f>
        <v>0</v>
      </c>
      <c r="J22" s="54">
        <f t="shared" ref="J22:K22" si="1">J21-SUM(J24:J175)</f>
        <v>0</v>
      </c>
      <c r="K22" s="54">
        <f t="shared" si="1"/>
        <v>0</v>
      </c>
      <c r="L22" s="48" t="s">
        <v>155</v>
      </c>
      <c r="M22" s="48"/>
    </row>
    <row r="23" spans="1:13" x14ac:dyDescent="0.2">
      <c r="A23" s="45">
        <f t="shared" si="0"/>
        <v>15</v>
      </c>
      <c r="B23" s="49" t="s">
        <v>37</v>
      </c>
      <c r="C23" s="49"/>
      <c r="D23" s="49"/>
      <c r="E23" s="3"/>
      <c r="F23" s="3"/>
      <c r="G23" s="50"/>
      <c r="H23" s="82"/>
    </row>
    <row r="24" spans="1:13" x14ac:dyDescent="0.2">
      <c r="A24" s="45">
        <f t="shared" si="0"/>
        <v>16</v>
      </c>
      <c r="B24" s="61" t="s">
        <v>38</v>
      </c>
      <c r="C24" s="58" t="s">
        <v>112</v>
      </c>
      <c r="D24" s="62">
        <v>22</v>
      </c>
      <c r="E24" s="63">
        <v>0.08</v>
      </c>
      <c r="F24" s="63">
        <v>0.42</v>
      </c>
      <c r="G24" s="63">
        <f>SUM(E24:F24)</f>
        <v>0.5</v>
      </c>
      <c r="H24" s="83">
        <f>ROUND(+G24*$L$9,2)</f>
        <v>0.01</v>
      </c>
      <c r="I24" s="299">
        <v>708</v>
      </c>
      <c r="J24" s="55">
        <f>ROUND($I24*G24,0)</f>
        <v>354</v>
      </c>
      <c r="K24" s="55">
        <f>ROUND($I24*H24,0)</f>
        <v>7</v>
      </c>
      <c r="M24" s="48"/>
    </row>
    <row r="25" spans="1:13" x14ac:dyDescent="0.2">
      <c r="A25" s="45">
        <f t="shared" si="0"/>
        <v>17</v>
      </c>
      <c r="B25" s="64"/>
      <c r="C25" s="46"/>
      <c r="D25" s="62"/>
      <c r="E25" s="63"/>
      <c r="F25" s="63"/>
      <c r="G25" s="63"/>
      <c r="H25" s="84"/>
      <c r="I25" s="299"/>
      <c r="J25" s="51"/>
      <c r="K25" s="51"/>
      <c r="M25" s="48"/>
    </row>
    <row r="26" spans="1:13" x14ac:dyDescent="0.2">
      <c r="A26" s="45">
        <f t="shared" si="0"/>
        <v>18</v>
      </c>
      <c r="B26" s="61" t="s">
        <v>113</v>
      </c>
      <c r="C26" s="65" t="s">
        <v>24</v>
      </c>
      <c r="D26" s="66">
        <v>100</v>
      </c>
      <c r="E26" s="63">
        <v>0.37</v>
      </c>
      <c r="F26" s="63">
        <v>1.91</v>
      </c>
      <c r="G26" s="63">
        <f>SUM(E26:F26)</f>
        <v>2.2799999999999998</v>
      </c>
      <c r="H26" s="84">
        <f>ROUND(+G26*$L$9,2)</f>
        <v>0.05</v>
      </c>
      <c r="I26" s="299">
        <v>36</v>
      </c>
      <c r="J26" s="55">
        <f t="shared" ref="J26:J29" si="2">ROUND($I26*G26,0)</f>
        <v>82</v>
      </c>
      <c r="K26" s="55">
        <f t="shared" ref="K26:K29" si="3">ROUND($I26*H26,0)</f>
        <v>2</v>
      </c>
      <c r="M26" s="48"/>
    </row>
    <row r="27" spans="1:13" x14ac:dyDescent="0.2">
      <c r="A27" s="45">
        <f t="shared" si="0"/>
        <v>19</v>
      </c>
      <c r="B27" s="61" t="str">
        <f>+B26</f>
        <v>50E</v>
      </c>
      <c r="C27" s="65" t="s">
        <v>24</v>
      </c>
      <c r="D27" s="66">
        <v>175</v>
      </c>
      <c r="E27" s="63">
        <v>0.64</v>
      </c>
      <c r="F27" s="63">
        <v>3.34</v>
      </c>
      <c r="G27" s="63">
        <f>SUM(E27:F27)</f>
        <v>3.98</v>
      </c>
      <c r="H27" s="84">
        <f>ROUND(+G27*$L$9,2)</f>
        <v>0.08</v>
      </c>
      <c r="I27" s="299">
        <v>240</v>
      </c>
      <c r="J27" s="55">
        <f t="shared" si="2"/>
        <v>955</v>
      </c>
      <c r="K27" s="55">
        <f t="shared" si="3"/>
        <v>19</v>
      </c>
      <c r="M27" s="48"/>
    </row>
    <row r="28" spans="1:13" x14ac:dyDescent="0.2">
      <c r="A28" s="45">
        <f t="shared" si="0"/>
        <v>20</v>
      </c>
      <c r="B28" s="61" t="str">
        <f>+B27</f>
        <v>50E</v>
      </c>
      <c r="C28" s="65" t="s">
        <v>24</v>
      </c>
      <c r="D28" s="66">
        <v>400</v>
      </c>
      <c r="E28" s="63">
        <v>1.46</v>
      </c>
      <c r="F28" s="63">
        <v>7.64</v>
      </c>
      <c r="G28" s="63">
        <f>SUM(E28:F28)</f>
        <v>9.1</v>
      </c>
      <c r="H28" s="84">
        <f>ROUND(+G28*$L$9,2)</f>
        <v>0.18</v>
      </c>
      <c r="I28" s="299">
        <v>216</v>
      </c>
      <c r="J28" s="55">
        <f t="shared" si="2"/>
        <v>1966</v>
      </c>
      <c r="K28" s="55">
        <f t="shared" si="3"/>
        <v>39</v>
      </c>
      <c r="M28" s="48"/>
    </row>
    <row r="29" spans="1:13" x14ac:dyDescent="0.2">
      <c r="A29" s="45">
        <f t="shared" si="0"/>
        <v>21</v>
      </c>
      <c r="B29" s="61" t="str">
        <f>+B28</f>
        <v>50E</v>
      </c>
      <c r="C29" s="65" t="s">
        <v>24</v>
      </c>
      <c r="D29" s="66">
        <v>700</v>
      </c>
      <c r="E29" s="63">
        <v>2.56</v>
      </c>
      <c r="F29" s="63">
        <v>13.37</v>
      </c>
      <c r="G29" s="63">
        <f>SUM(E29:F29)</f>
        <v>15.93</v>
      </c>
      <c r="H29" s="84">
        <f>ROUND(+G29*$L$9,2)</f>
        <v>0.32</v>
      </c>
      <c r="I29" s="299">
        <v>0</v>
      </c>
      <c r="J29" s="55">
        <f t="shared" si="2"/>
        <v>0</v>
      </c>
      <c r="K29" s="55">
        <f t="shared" si="3"/>
        <v>0</v>
      </c>
      <c r="M29" s="48"/>
    </row>
    <row r="30" spans="1:13" x14ac:dyDescent="0.2">
      <c r="A30" s="45">
        <f t="shared" si="0"/>
        <v>22</v>
      </c>
      <c r="B30" s="67"/>
      <c r="C30" s="68"/>
      <c r="D30" s="69"/>
      <c r="E30" s="63"/>
      <c r="F30" s="63"/>
      <c r="G30" s="63"/>
      <c r="H30" s="84"/>
      <c r="I30" s="299"/>
      <c r="J30" s="51"/>
      <c r="K30" s="51"/>
      <c r="M30" s="48"/>
    </row>
    <row r="31" spans="1:13" x14ac:dyDescent="0.2">
      <c r="A31" s="45">
        <f t="shared" si="0"/>
        <v>23</v>
      </c>
      <c r="B31" s="67" t="s">
        <v>39</v>
      </c>
      <c r="C31" s="68"/>
      <c r="D31" s="69"/>
      <c r="E31" s="63"/>
      <c r="F31" s="63"/>
      <c r="G31" s="63"/>
      <c r="H31" s="84"/>
      <c r="I31" s="299"/>
      <c r="J31" s="51"/>
      <c r="K31" s="51"/>
      <c r="M31" s="48"/>
    </row>
    <row r="32" spans="1:13" x14ac:dyDescent="0.2">
      <c r="A32" s="45">
        <f t="shared" si="0"/>
        <v>24</v>
      </c>
      <c r="B32" s="61" t="s">
        <v>40</v>
      </c>
      <c r="C32" s="65" t="s">
        <v>41</v>
      </c>
      <c r="D32" s="69" t="s">
        <v>114</v>
      </c>
      <c r="E32" s="63">
        <v>0.05</v>
      </c>
      <c r="F32" s="63">
        <v>0.28999999999999998</v>
      </c>
      <c r="G32" s="63">
        <f>SUM(E32:F32)</f>
        <v>0.33999999999999997</v>
      </c>
      <c r="H32" s="84">
        <f t="shared" ref="H32:H41" si="4">ROUND(+G32*$L$9,2)</f>
        <v>0.01</v>
      </c>
      <c r="I32" s="299">
        <v>84</v>
      </c>
      <c r="J32" s="55">
        <f t="shared" ref="J32:J42" si="5">ROUND($I32*G32,0)</f>
        <v>29</v>
      </c>
      <c r="K32" s="55">
        <f t="shared" ref="K32:K42" si="6">ROUND($I32*H32,0)</f>
        <v>1</v>
      </c>
      <c r="M32" s="48"/>
    </row>
    <row r="33" spans="1:13" x14ac:dyDescent="0.2">
      <c r="A33" s="45">
        <f t="shared" si="0"/>
        <v>25</v>
      </c>
      <c r="B33" s="61" t="s">
        <v>40</v>
      </c>
      <c r="C33" s="65" t="s">
        <v>41</v>
      </c>
      <c r="D33" s="70" t="s">
        <v>115</v>
      </c>
      <c r="E33" s="63">
        <v>0.16</v>
      </c>
      <c r="F33" s="63">
        <v>0.86</v>
      </c>
      <c r="G33" s="63">
        <f t="shared" ref="G33:G42" si="7">SUM(E33:F33)</f>
        <v>1.02</v>
      </c>
      <c r="H33" s="84">
        <f t="shared" si="4"/>
        <v>0.02</v>
      </c>
      <c r="I33" s="299">
        <v>63075</v>
      </c>
      <c r="J33" s="55">
        <f t="shared" si="5"/>
        <v>64337</v>
      </c>
      <c r="K33" s="55">
        <f t="shared" si="6"/>
        <v>1262</v>
      </c>
      <c r="M33" s="48"/>
    </row>
    <row r="34" spans="1:13" x14ac:dyDescent="0.2">
      <c r="A34" s="45">
        <f t="shared" si="0"/>
        <v>26</v>
      </c>
      <c r="B34" s="61" t="s">
        <v>40</v>
      </c>
      <c r="C34" s="65" t="s">
        <v>41</v>
      </c>
      <c r="D34" s="66" t="s">
        <v>43</v>
      </c>
      <c r="E34" s="63">
        <v>0.27</v>
      </c>
      <c r="F34" s="63">
        <v>1.43</v>
      </c>
      <c r="G34" s="63">
        <f t="shared" si="7"/>
        <v>1.7</v>
      </c>
      <c r="H34" s="84">
        <f t="shared" si="4"/>
        <v>0.03</v>
      </c>
      <c r="I34" s="299">
        <v>35642</v>
      </c>
      <c r="J34" s="55">
        <f t="shared" si="5"/>
        <v>60591</v>
      </c>
      <c r="K34" s="55">
        <f t="shared" si="6"/>
        <v>1069</v>
      </c>
      <c r="M34" s="48"/>
    </row>
    <row r="35" spans="1:13" x14ac:dyDescent="0.2">
      <c r="A35" s="45">
        <f t="shared" si="0"/>
        <v>27</v>
      </c>
      <c r="B35" s="61" t="s">
        <v>40</v>
      </c>
      <c r="C35" s="65" t="s">
        <v>41</v>
      </c>
      <c r="D35" s="66" t="s">
        <v>44</v>
      </c>
      <c r="E35" s="63">
        <v>0.38</v>
      </c>
      <c r="F35" s="63">
        <v>2</v>
      </c>
      <c r="G35" s="63">
        <f t="shared" si="7"/>
        <v>2.38</v>
      </c>
      <c r="H35" s="84">
        <f t="shared" si="4"/>
        <v>0.05</v>
      </c>
      <c r="I35" s="299">
        <v>15405</v>
      </c>
      <c r="J35" s="55">
        <f t="shared" si="5"/>
        <v>36664</v>
      </c>
      <c r="K35" s="55">
        <f t="shared" si="6"/>
        <v>770</v>
      </c>
      <c r="M35" s="48"/>
    </row>
    <row r="36" spans="1:13" x14ac:dyDescent="0.2">
      <c r="A36" s="45">
        <f t="shared" si="0"/>
        <v>28</v>
      </c>
      <c r="B36" s="61" t="s">
        <v>40</v>
      </c>
      <c r="C36" s="65" t="s">
        <v>41</v>
      </c>
      <c r="D36" s="66" t="s">
        <v>45</v>
      </c>
      <c r="E36" s="63">
        <v>0.49</v>
      </c>
      <c r="F36" s="63">
        <v>2.58</v>
      </c>
      <c r="G36" s="63">
        <f t="shared" si="7"/>
        <v>3.0700000000000003</v>
      </c>
      <c r="H36" s="84">
        <f t="shared" si="4"/>
        <v>0.06</v>
      </c>
      <c r="I36" s="299">
        <v>7136</v>
      </c>
      <c r="J36" s="55">
        <f t="shared" si="5"/>
        <v>21908</v>
      </c>
      <c r="K36" s="55">
        <f t="shared" si="6"/>
        <v>428</v>
      </c>
      <c r="M36" s="48"/>
    </row>
    <row r="37" spans="1:13" x14ac:dyDescent="0.2">
      <c r="A37" s="45">
        <f t="shared" si="0"/>
        <v>29</v>
      </c>
      <c r="B37" s="61" t="s">
        <v>40</v>
      </c>
      <c r="C37" s="65" t="s">
        <v>41</v>
      </c>
      <c r="D37" s="66" t="s">
        <v>46</v>
      </c>
      <c r="E37" s="63">
        <v>0.6</v>
      </c>
      <c r="F37" s="63">
        <v>3.15</v>
      </c>
      <c r="G37" s="63">
        <f t="shared" si="7"/>
        <v>3.75</v>
      </c>
      <c r="H37" s="84">
        <f t="shared" si="4"/>
        <v>7.0000000000000007E-2</v>
      </c>
      <c r="I37" s="299">
        <v>921</v>
      </c>
      <c r="J37" s="55">
        <f t="shared" si="5"/>
        <v>3454</v>
      </c>
      <c r="K37" s="55">
        <f t="shared" si="6"/>
        <v>64</v>
      </c>
      <c r="M37" s="48"/>
    </row>
    <row r="38" spans="1:13" x14ac:dyDescent="0.2">
      <c r="A38" s="45">
        <f t="shared" si="0"/>
        <v>30</v>
      </c>
      <c r="B38" s="61" t="s">
        <v>40</v>
      </c>
      <c r="C38" s="65" t="s">
        <v>41</v>
      </c>
      <c r="D38" s="66" t="s">
        <v>47</v>
      </c>
      <c r="E38" s="63">
        <v>0.71</v>
      </c>
      <c r="F38" s="63">
        <v>3.72</v>
      </c>
      <c r="G38" s="63">
        <f t="shared" si="7"/>
        <v>4.43</v>
      </c>
      <c r="H38" s="84">
        <f t="shared" si="4"/>
        <v>0.09</v>
      </c>
      <c r="I38" s="299">
        <v>2412</v>
      </c>
      <c r="J38" s="55">
        <f t="shared" si="5"/>
        <v>10685</v>
      </c>
      <c r="K38" s="55">
        <f t="shared" si="6"/>
        <v>217</v>
      </c>
      <c r="M38" s="48"/>
    </row>
    <row r="39" spans="1:13" x14ac:dyDescent="0.2">
      <c r="A39" s="45">
        <f t="shared" si="0"/>
        <v>31</v>
      </c>
      <c r="B39" s="61" t="s">
        <v>40</v>
      </c>
      <c r="C39" s="65" t="s">
        <v>41</v>
      </c>
      <c r="D39" s="66" t="s">
        <v>48</v>
      </c>
      <c r="E39" s="63">
        <v>0.82</v>
      </c>
      <c r="F39" s="63">
        <v>4.3</v>
      </c>
      <c r="G39" s="63">
        <f t="shared" si="7"/>
        <v>5.12</v>
      </c>
      <c r="H39" s="84">
        <f t="shared" si="4"/>
        <v>0.1</v>
      </c>
      <c r="I39" s="299">
        <v>956</v>
      </c>
      <c r="J39" s="55">
        <f t="shared" si="5"/>
        <v>4895</v>
      </c>
      <c r="K39" s="55">
        <f t="shared" si="6"/>
        <v>96</v>
      </c>
      <c r="M39" s="48"/>
    </row>
    <row r="40" spans="1:13" x14ac:dyDescent="0.2">
      <c r="A40" s="45">
        <f t="shared" si="0"/>
        <v>32</v>
      </c>
      <c r="B40" s="61" t="s">
        <v>40</v>
      </c>
      <c r="C40" s="65" t="s">
        <v>41</v>
      </c>
      <c r="D40" s="66" t="s">
        <v>49</v>
      </c>
      <c r="E40" s="63">
        <v>0.93</v>
      </c>
      <c r="F40" s="63">
        <v>4.87</v>
      </c>
      <c r="G40" s="63">
        <f t="shared" si="7"/>
        <v>5.8</v>
      </c>
      <c r="H40" s="84">
        <f t="shared" si="4"/>
        <v>0.12</v>
      </c>
      <c r="I40" s="299">
        <v>96</v>
      </c>
      <c r="J40" s="55">
        <f t="shared" si="5"/>
        <v>557</v>
      </c>
      <c r="K40" s="55">
        <f t="shared" si="6"/>
        <v>12</v>
      </c>
      <c r="M40" s="48"/>
    </row>
    <row r="41" spans="1:13" x14ac:dyDescent="0.2">
      <c r="A41" s="45">
        <f t="shared" si="0"/>
        <v>33</v>
      </c>
      <c r="B41" s="61" t="s">
        <v>40</v>
      </c>
      <c r="C41" s="65" t="s">
        <v>41</v>
      </c>
      <c r="D41" s="66" t="s">
        <v>50</v>
      </c>
      <c r="E41" s="63">
        <v>1.04</v>
      </c>
      <c r="F41" s="63">
        <v>5.44</v>
      </c>
      <c r="G41" s="63">
        <f t="shared" si="7"/>
        <v>6.48</v>
      </c>
      <c r="H41" s="84">
        <f t="shared" si="4"/>
        <v>0.13</v>
      </c>
      <c r="I41" s="299">
        <v>996</v>
      </c>
      <c r="J41" s="55">
        <f t="shared" si="5"/>
        <v>6454</v>
      </c>
      <c r="K41" s="55">
        <f t="shared" si="6"/>
        <v>129</v>
      </c>
      <c r="M41" s="48"/>
    </row>
    <row r="42" spans="1:13" x14ac:dyDescent="0.2">
      <c r="A42" s="45">
        <f t="shared" si="0"/>
        <v>34</v>
      </c>
      <c r="B42" s="61" t="s">
        <v>40</v>
      </c>
      <c r="C42" s="65" t="s">
        <v>86</v>
      </c>
      <c r="D42" s="71" t="s">
        <v>116</v>
      </c>
      <c r="E42" s="72">
        <v>1.0432E-2</v>
      </c>
      <c r="F42" s="72">
        <v>5.4556E-2</v>
      </c>
      <c r="G42" s="72">
        <f t="shared" si="7"/>
        <v>6.4988000000000004E-2</v>
      </c>
      <c r="H42" s="300">
        <f>'Rate Summary'!$H$26</f>
        <v>1.189E-3</v>
      </c>
      <c r="I42" s="299">
        <v>13920</v>
      </c>
      <c r="J42" s="55">
        <f t="shared" si="5"/>
        <v>905</v>
      </c>
      <c r="K42" s="55">
        <f t="shared" si="6"/>
        <v>17</v>
      </c>
      <c r="M42" s="48"/>
    </row>
    <row r="43" spans="1:13" x14ac:dyDescent="0.2">
      <c r="A43" s="45">
        <f t="shared" si="0"/>
        <v>35</v>
      </c>
      <c r="B43" s="67"/>
      <c r="C43" s="49"/>
      <c r="D43" s="69"/>
      <c r="E43" s="63"/>
      <c r="F43" s="63"/>
      <c r="G43" s="63"/>
      <c r="H43" s="84"/>
      <c r="I43" s="299"/>
      <c r="J43" s="51"/>
      <c r="K43" s="51"/>
      <c r="M43" s="48"/>
    </row>
    <row r="44" spans="1:13" x14ac:dyDescent="0.2">
      <c r="A44" s="45">
        <f t="shared" si="0"/>
        <v>36</v>
      </c>
      <c r="B44" s="67" t="s">
        <v>51</v>
      </c>
      <c r="C44" s="49"/>
      <c r="D44" s="69"/>
      <c r="E44" s="63"/>
      <c r="F44" s="63"/>
      <c r="G44" s="63"/>
      <c r="H44" s="84"/>
      <c r="I44" s="299"/>
      <c r="J44" s="51"/>
      <c r="K44" s="51"/>
      <c r="M44" s="48"/>
    </row>
    <row r="45" spans="1:13" x14ac:dyDescent="0.2">
      <c r="A45" s="45">
        <f t="shared" si="0"/>
        <v>37</v>
      </c>
      <c r="B45" s="61" t="s">
        <v>52</v>
      </c>
      <c r="C45" s="71" t="s">
        <v>25</v>
      </c>
      <c r="D45" s="66">
        <v>50</v>
      </c>
      <c r="E45" s="301">
        <v>0.18</v>
      </c>
      <c r="F45" s="301">
        <v>0.95</v>
      </c>
      <c r="G45" s="63">
        <f t="shared" ref="G45:G52" si="8">SUM(E45:F45)</f>
        <v>1.1299999999999999</v>
      </c>
      <c r="H45" s="84">
        <f t="shared" ref="H45:H52" si="9">ROUND(+G45*$L$9,2)</f>
        <v>0.02</v>
      </c>
      <c r="I45" s="299">
        <v>0</v>
      </c>
      <c r="J45" s="55">
        <f t="shared" ref="J45:J52" si="10">ROUND($I45*G45,0)</f>
        <v>0</v>
      </c>
      <c r="K45" s="55">
        <f t="shared" ref="K45:K52" si="11">ROUND($I45*H45,0)</f>
        <v>0</v>
      </c>
      <c r="M45" s="45"/>
    </row>
    <row r="46" spans="1:13" x14ac:dyDescent="0.2">
      <c r="A46" s="45">
        <f t="shared" si="0"/>
        <v>38</v>
      </c>
      <c r="B46" s="61" t="str">
        <f t="shared" ref="B46:B52" si="12">+B45</f>
        <v xml:space="preserve">52E </v>
      </c>
      <c r="C46" s="71" t="s">
        <v>25</v>
      </c>
      <c r="D46" s="66">
        <v>70</v>
      </c>
      <c r="E46" s="301">
        <v>0.26</v>
      </c>
      <c r="F46" s="301">
        <v>1.34</v>
      </c>
      <c r="G46" s="63">
        <f t="shared" si="8"/>
        <v>1.6</v>
      </c>
      <c r="H46" s="84">
        <f t="shared" si="9"/>
        <v>0.03</v>
      </c>
      <c r="I46" s="299">
        <v>7903</v>
      </c>
      <c r="J46" s="55">
        <f t="shared" si="10"/>
        <v>12645</v>
      </c>
      <c r="K46" s="55">
        <f t="shared" si="11"/>
        <v>237</v>
      </c>
      <c r="M46" s="45"/>
    </row>
    <row r="47" spans="1:13" x14ac:dyDescent="0.2">
      <c r="A47" s="45">
        <f t="shared" si="0"/>
        <v>39</v>
      </c>
      <c r="B47" s="61" t="str">
        <f t="shared" si="12"/>
        <v xml:space="preserve">52E </v>
      </c>
      <c r="C47" s="71" t="s">
        <v>25</v>
      </c>
      <c r="D47" s="66">
        <v>100</v>
      </c>
      <c r="E47" s="301">
        <v>0.37</v>
      </c>
      <c r="F47" s="301">
        <v>1.91</v>
      </c>
      <c r="G47" s="63">
        <f t="shared" si="8"/>
        <v>2.2799999999999998</v>
      </c>
      <c r="H47" s="84">
        <f t="shared" si="9"/>
        <v>0.05</v>
      </c>
      <c r="I47" s="299">
        <v>114177</v>
      </c>
      <c r="J47" s="55">
        <f t="shared" si="10"/>
        <v>260324</v>
      </c>
      <c r="K47" s="55">
        <f t="shared" si="11"/>
        <v>5709</v>
      </c>
      <c r="M47" s="45"/>
    </row>
    <row r="48" spans="1:13" x14ac:dyDescent="0.2">
      <c r="A48" s="45">
        <f t="shared" si="0"/>
        <v>40</v>
      </c>
      <c r="B48" s="61" t="str">
        <f t="shared" si="12"/>
        <v xml:space="preserve">52E </v>
      </c>
      <c r="C48" s="71" t="s">
        <v>25</v>
      </c>
      <c r="D48" s="66">
        <v>150</v>
      </c>
      <c r="E48" s="301">
        <v>0.55000000000000004</v>
      </c>
      <c r="F48" s="301">
        <v>2.86</v>
      </c>
      <c r="G48" s="63">
        <f t="shared" si="8"/>
        <v>3.41</v>
      </c>
      <c r="H48" s="84">
        <f t="shared" si="9"/>
        <v>7.0000000000000007E-2</v>
      </c>
      <c r="I48" s="299">
        <v>53197</v>
      </c>
      <c r="J48" s="55">
        <f t="shared" si="10"/>
        <v>181402</v>
      </c>
      <c r="K48" s="55">
        <f t="shared" si="11"/>
        <v>3724</v>
      </c>
      <c r="M48" s="45"/>
    </row>
    <row r="49" spans="1:13" x14ac:dyDescent="0.2">
      <c r="A49" s="45">
        <f t="shared" si="0"/>
        <v>41</v>
      </c>
      <c r="B49" s="61" t="str">
        <f t="shared" si="12"/>
        <v xml:space="preserve">52E </v>
      </c>
      <c r="C49" s="71" t="s">
        <v>25</v>
      </c>
      <c r="D49" s="66">
        <v>200</v>
      </c>
      <c r="E49" s="301">
        <v>0.73</v>
      </c>
      <c r="F49" s="301">
        <v>3.82</v>
      </c>
      <c r="G49" s="63">
        <f t="shared" si="8"/>
        <v>4.55</v>
      </c>
      <c r="H49" s="84">
        <f t="shared" si="9"/>
        <v>0.09</v>
      </c>
      <c r="I49" s="299">
        <v>11167</v>
      </c>
      <c r="J49" s="55">
        <f t="shared" si="10"/>
        <v>50810</v>
      </c>
      <c r="K49" s="55">
        <f t="shared" si="11"/>
        <v>1005</v>
      </c>
      <c r="M49" s="45"/>
    </row>
    <row r="50" spans="1:13" x14ac:dyDescent="0.2">
      <c r="A50" s="45">
        <f t="shared" si="0"/>
        <v>42</v>
      </c>
      <c r="B50" s="61" t="str">
        <f t="shared" si="12"/>
        <v xml:space="preserve">52E </v>
      </c>
      <c r="C50" s="71" t="s">
        <v>25</v>
      </c>
      <c r="D50" s="66">
        <v>250</v>
      </c>
      <c r="E50" s="301">
        <v>0.91</v>
      </c>
      <c r="F50" s="301">
        <v>4.7699999999999996</v>
      </c>
      <c r="G50" s="63">
        <f t="shared" si="8"/>
        <v>5.68</v>
      </c>
      <c r="H50" s="84">
        <f t="shared" si="9"/>
        <v>0.11</v>
      </c>
      <c r="I50" s="299">
        <v>16521</v>
      </c>
      <c r="J50" s="55">
        <f t="shared" si="10"/>
        <v>93839</v>
      </c>
      <c r="K50" s="55">
        <f t="shared" si="11"/>
        <v>1817</v>
      </c>
      <c r="M50" s="45"/>
    </row>
    <row r="51" spans="1:13" x14ac:dyDescent="0.2">
      <c r="A51" s="45">
        <f t="shared" si="0"/>
        <v>43</v>
      </c>
      <c r="B51" s="61" t="str">
        <f t="shared" si="12"/>
        <v xml:space="preserve">52E </v>
      </c>
      <c r="C51" s="71" t="s">
        <v>25</v>
      </c>
      <c r="D51" s="66">
        <v>310</v>
      </c>
      <c r="E51" s="301">
        <v>1.1299999999999999</v>
      </c>
      <c r="F51" s="301">
        <v>5.92</v>
      </c>
      <c r="G51" s="63">
        <f t="shared" si="8"/>
        <v>7.05</v>
      </c>
      <c r="H51" s="84">
        <f t="shared" si="9"/>
        <v>0.14000000000000001</v>
      </c>
      <c r="I51" s="299">
        <v>1688</v>
      </c>
      <c r="J51" s="55">
        <f t="shared" si="10"/>
        <v>11900</v>
      </c>
      <c r="K51" s="55">
        <f t="shared" si="11"/>
        <v>236</v>
      </c>
      <c r="M51" s="45"/>
    </row>
    <row r="52" spans="1:13" x14ac:dyDescent="0.2">
      <c r="A52" s="45">
        <f t="shared" si="0"/>
        <v>44</v>
      </c>
      <c r="B52" s="61" t="str">
        <f t="shared" si="12"/>
        <v xml:space="preserve">52E </v>
      </c>
      <c r="C52" s="71" t="s">
        <v>25</v>
      </c>
      <c r="D52" s="66">
        <v>400</v>
      </c>
      <c r="E52" s="301">
        <v>1.46</v>
      </c>
      <c r="F52" s="301">
        <v>7.64</v>
      </c>
      <c r="G52" s="63">
        <f t="shared" si="8"/>
        <v>9.1</v>
      </c>
      <c r="H52" s="84">
        <f t="shared" si="9"/>
        <v>0.18</v>
      </c>
      <c r="I52" s="299">
        <v>6943</v>
      </c>
      <c r="J52" s="55">
        <f t="shared" si="10"/>
        <v>63181</v>
      </c>
      <c r="K52" s="55">
        <f t="shared" si="11"/>
        <v>1250</v>
      </c>
      <c r="M52" s="45"/>
    </row>
    <row r="53" spans="1:13" x14ac:dyDescent="0.2">
      <c r="A53" s="45">
        <f t="shared" si="0"/>
        <v>45</v>
      </c>
      <c r="B53" s="73"/>
      <c r="C53" s="71"/>
      <c r="D53" s="66"/>
      <c r="E53" s="63"/>
      <c r="F53" s="63"/>
      <c r="G53" s="63"/>
      <c r="H53" s="84"/>
      <c r="I53" s="299"/>
      <c r="J53" s="51"/>
      <c r="K53" s="51"/>
      <c r="M53" s="45"/>
    </row>
    <row r="54" spans="1:13" x14ac:dyDescent="0.2">
      <c r="A54" s="45">
        <f t="shared" si="0"/>
        <v>46</v>
      </c>
      <c r="B54" s="61" t="str">
        <f>+B49</f>
        <v xml:space="preserve">52E </v>
      </c>
      <c r="C54" s="71" t="s">
        <v>53</v>
      </c>
      <c r="D54" s="66">
        <v>70</v>
      </c>
      <c r="E54" s="301">
        <v>0.26</v>
      </c>
      <c r="F54" s="301">
        <v>1.34</v>
      </c>
      <c r="G54" s="63">
        <f t="shared" ref="G54:G60" si="13">SUM(E54:F54)</f>
        <v>1.6</v>
      </c>
      <c r="H54" s="84">
        <f t="shared" ref="H54:H60" si="14">ROUND(+G54*$L$9,2)</f>
        <v>0.03</v>
      </c>
      <c r="I54" s="299">
        <v>841</v>
      </c>
      <c r="J54" s="55">
        <f t="shared" ref="J54:K60" si="15">ROUND($I54*G54,0)</f>
        <v>1346</v>
      </c>
      <c r="K54" s="55">
        <f t="shared" si="15"/>
        <v>25</v>
      </c>
      <c r="M54" s="45"/>
    </row>
    <row r="55" spans="1:13" x14ac:dyDescent="0.2">
      <c r="A55" s="45">
        <f t="shared" si="0"/>
        <v>47</v>
      </c>
      <c r="B55" s="61" t="str">
        <f>+B50</f>
        <v xml:space="preserve">52E </v>
      </c>
      <c r="C55" s="71" t="s">
        <v>53</v>
      </c>
      <c r="D55" s="66">
        <v>100</v>
      </c>
      <c r="E55" s="301">
        <v>0.37</v>
      </c>
      <c r="F55" s="301">
        <v>1.91</v>
      </c>
      <c r="G55" s="63">
        <f t="shared" si="13"/>
        <v>2.2799999999999998</v>
      </c>
      <c r="H55" s="84">
        <f t="shared" si="14"/>
        <v>0.05</v>
      </c>
      <c r="I55" s="299">
        <v>46</v>
      </c>
      <c r="J55" s="55">
        <f t="shared" si="15"/>
        <v>105</v>
      </c>
      <c r="K55" s="55">
        <f t="shared" si="15"/>
        <v>2</v>
      </c>
      <c r="M55" s="45"/>
    </row>
    <row r="56" spans="1:13" x14ac:dyDescent="0.2">
      <c r="A56" s="45">
        <f t="shared" si="0"/>
        <v>48</v>
      </c>
      <c r="B56" s="61" t="str">
        <f>+B51</f>
        <v xml:space="preserve">52E </v>
      </c>
      <c r="C56" s="71" t="s">
        <v>53</v>
      </c>
      <c r="D56" s="66">
        <v>150</v>
      </c>
      <c r="E56" s="301">
        <v>0.55000000000000004</v>
      </c>
      <c r="F56" s="301">
        <v>2.86</v>
      </c>
      <c r="G56" s="63">
        <f t="shared" si="13"/>
        <v>3.41</v>
      </c>
      <c r="H56" s="84">
        <f t="shared" si="14"/>
        <v>7.0000000000000007E-2</v>
      </c>
      <c r="I56" s="299">
        <v>2376</v>
      </c>
      <c r="J56" s="55">
        <f t="shared" si="15"/>
        <v>8102</v>
      </c>
      <c r="K56" s="55">
        <f t="shared" si="15"/>
        <v>166</v>
      </c>
      <c r="M56" s="45"/>
    </row>
    <row r="57" spans="1:13" x14ac:dyDescent="0.2">
      <c r="A57" s="45">
        <f t="shared" si="0"/>
        <v>49</v>
      </c>
      <c r="B57" s="61" t="str">
        <f>+B52</f>
        <v xml:space="preserve">52E </v>
      </c>
      <c r="C57" s="71" t="s">
        <v>53</v>
      </c>
      <c r="D57" s="66">
        <v>175</v>
      </c>
      <c r="E57" s="301">
        <v>0.64</v>
      </c>
      <c r="F57" s="301">
        <v>3.34</v>
      </c>
      <c r="G57" s="63">
        <f t="shared" si="13"/>
        <v>3.98</v>
      </c>
      <c r="H57" s="84">
        <f t="shared" si="14"/>
        <v>0.08</v>
      </c>
      <c r="I57" s="299">
        <v>2512</v>
      </c>
      <c r="J57" s="55">
        <f t="shared" si="15"/>
        <v>9998</v>
      </c>
      <c r="K57" s="55">
        <f t="shared" si="15"/>
        <v>201</v>
      </c>
      <c r="M57" s="45"/>
    </row>
    <row r="58" spans="1:13" x14ac:dyDescent="0.2">
      <c r="A58" s="45">
        <f t="shared" si="0"/>
        <v>50</v>
      </c>
      <c r="B58" s="61" t="str">
        <f t="shared" ref="B58:C60" si="16">+B57</f>
        <v xml:space="preserve">52E </v>
      </c>
      <c r="C58" s="71" t="str">
        <f t="shared" si="16"/>
        <v>Metal Halide</v>
      </c>
      <c r="D58" s="66">
        <v>250</v>
      </c>
      <c r="E58" s="301">
        <v>0.91</v>
      </c>
      <c r="F58" s="301">
        <v>4.7699999999999996</v>
      </c>
      <c r="G58" s="63">
        <f t="shared" si="13"/>
        <v>5.68</v>
      </c>
      <c r="H58" s="84">
        <f t="shared" si="14"/>
        <v>0.11</v>
      </c>
      <c r="I58" s="299">
        <v>426</v>
      </c>
      <c r="J58" s="55">
        <f t="shared" si="15"/>
        <v>2420</v>
      </c>
      <c r="K58" s="55">
        <f t="shared" si="15"/>
        <v>47</v>
      </c>
      <c r="M58" s="45"/>
    </row>
    <row r="59" spans="1:13" x14ac:dyDescent="0.2">
      <c r="A59" s="45">
        <f t="shared" si="0"/>
        <v>51</v>
      </c>
      <c r="B59" s="61" t="str">
        <f t="shared" si="16"/>
        <v xml:space="preserve">52E </v>
      </c>
      <c r="C59" s="71" t="str">
        <f t="shared" si="16"/>
        <v>Metal Halide</v>
      </c>
      <c r="D59" s="66">
        <v>400</v>
      </c>
      <c r="E59" s="301">
        <v>1.46</v>
      </c>
      <c r="F59" s="301">
        <v>7.64</v>
      </c>
      <c r="G59" s="63">
        <f t="shared" si="13"/>
        <v>9.1</v>
      </c>
      <c r="H59" s="84">
        <f t="shared" si="14"/>
        <v>0.18</v>
      </c>
      <c r="I59" s="299">
        <v>684</v>
      </c>
      <c r="J59" s="55">
        <f t="shared" si="15"/>
        <v>6224</v>
      </c>
      <c r="K59" s="55">
        <f t="shared" si="15"/>
        <v>123</v>
      </c>
      <c r="M59" s="45"/>
    </row>
    <row r="60" spans="1:13" x14ac:dyDescent="0.2">
      <c r="A60" s="45">
        <f t="shared" si="0"/>
        <v>52</v>
      </c>
      <c r="B60" s="61" t="str">
        <f t="shared" si="16"/>
        <v xml:space="preserve">52E </v>
      </c>
      <c r="C60" s="71" t="str">
        <f t="shared" si="16"/>
        <v>Metal Halide</v>
      </c>
      <c r="D60" s="66">
        <v>1000</v>
      </c>
      <c r="E60" s="301">
        <v>3.65</v>
      </c>
      <c r="F60" s="301">
        <v>19.09</v>
      </c>
      <c r="G60" s="63">
        <f t="shared" si="13"/>
        <v>22.74</v>
      </c>
      <c r="H60" s="84">
        <f t="shared" si="14"/>
        <v>0.45</v>
      </c>
      <c r="I60" s="299">
        <v>216</v>
      </c>
      <c r="J60" s="55">
        <f t="shared" si="15"/>
        <v>4912</v>
      </c>
      <c r="K60" s="55">
        <f t="shared" si="15"/>
        <v>97</v>
      </c>
      <c r="M60" s="45"/>
    </row>
    <row r="61" spans="1:13" x14ac:dyDescent="0.2">
      <c r="A61" s="45">
        <f t="shared" si="0"/>
        <v>53</v>
      </c>
      <c r="B61" s="67"/>
      <c r="C61" s="49"/>
      <c r="D61" s="69"/>
      <c r="E61" s="63"/>
      <c r="F61" s="63"/>
      <c r="G61" s="63"/>
      <c r="H61" s="84"/>
      <c r="I61" s="299"/>
      <c r="J61" s="51"/>
      <c r="K61" s="51"/>
      <c r="M61" s="45"/>
    </row>
    <row r="62" spans="1:13" x14ac:dyDescent="0.2">
      <c r="A62" s="45">
        <f t="shared" si="0"/>
        <v>54</v>
      </c>
      <c r="B62" s="67" t="s">
        <v>54</v>
      </c>
      <c r="C62" s="49"/>
      <c r="D62" s="69"/>
      <c r="E62" s="63"/>
      <c r="F62" s="63"/>
      <c r="G62" s="63"/>
      <c r="H62" s="84"/>
      <c r="I62" s="299"/>
      <c r="J62" s="51"/>
      <c r="K62" s="51"/>
      <c r="M62" s="45"/>
    </row>
    <row r="63" spans="1:13" x14ac:dyDescent="0.2">
      <c r="A63" s="45">
        <f t="shared" si="0"/>
        <v>55</v>
      </c>
      <c r="B63" s="61" t="s">
        <v>117</v>
      </c>
      <c r="C63" s="71" t="s">
        <v>25</v>
      </c>
      <c r="D63" s="66">
        <v>50</v>
      </c>
      <c r="E63" s="301">
        <v>0.18</v>
      </c>
      <c r="F63" s="301">
        <v>0.95</v>
      </c>
      <c r="G63" s="63">
        <f t="shared" ref="G63:G71" si="17">SUM(E63:F63)</f>
        <v>1.1299999999999999</v>
      </c>
      <c r="H63" s="84">
        <f t="shared" ref="H63:H71" si="18">ROUND(+G63*$L$9,2)</f>
        <v>0.02</v>
      </c>
      <c r="I63" s="299">
        <v>0</v>
      </c>
      <c r="J63" s="55">
        <f t="shared" ref="J63:K71" si="19">ROUND($I63*G63,0)</f>
        <v>0</v>
      </c>
      <c r="K63" s="55">
        <f t="shared" si="19"/>
        <v>0</v>
      </c>
      <c r="M63" s="45"/>
    </row>
    <row r="64" spans="1:13" x14ac:dyDescent="0.2">
      <c r="A64" s="45">
        <f t="shared" si="0"/>
        <v>56</v>
      </c>
      <c r="B64" s="61" t="str">
        <f t="shared" ref="B64:B71" si="20">+B63</f>
        <v>53E</v>
      </c>
      <c r="C64" s="71" t="s">
        <v>25</v>
      </c>
      <c r="D64" s="66">
        <v>70</v>
      </c>
      <c r="E64" s="301">
        <v>0.26</v>
      </c>
      <c r="F64" s="301">
        <v>1.34</v>
      </c>
      <c r="G64" s="63">
        <f t="shared" si="17"/>
        <v>1.6</v>
      </c>
      <c r="H64" s="84">
        <f t="shared" si="18"/>
        <v>0.03</v>
      </c>
      <c r="I64" s="299">
        <v>44824</v>
      </c>
      <c r="J64" s="55">
        <f t="shared" si="19"/>
        <v>71718</v>
      </c>
      <c r="K64" s="55">
        <f t="shared" si="19"/>
        <v>1345</v>
      </c>
      <c r="M64" s="45"/>
    </row>
    <row r="65" spans="1:13" x14ac:dyDescent="0.2">
      <c r="A65" s="45">
        <f t="shared" si="0"/>
        <v>57</v>
      </c>
      <c r="B65" s="61" t="str">
        <f t="shared" si="20"/>
        <v>53E</v>
      </c>
      <c r="C65" s="71" t="s">
        <v>25</v>
      </c>
      <c r="D65" s="66">
        <v>100</v>
      </c>
      <c r="E65" s="301">
        <v>0.37</v>
      </c>
      <c r="F65" s="301">
        <v>1.91</v>
      </c>
      <c r="G65" s="63">
        <f t="shared" si="17"/>
        <v>2.2799999999999998</v>
      </c>
      <c r="H65" s="84">
        <f t="shared" si="18"/>
        <v>0.05</v>
      </c>
      <c r="I65" s="299">
        <v>339597</v>
      </c>
      <c r="J65" s="55">
        <f t="shared" si="19"/>
        <v>774281</v>
      </c>
      <c r="K65" s="55">
        <f t="shared" si="19"/>
        <v>16980</v>
      </c>
      <c r="M65" s="45"/>
    </row>
    <row r="66" spans="1:13" x14ac:dyDescent="0.2">
      <c r="A66" s="45">
        <f t="shared" si="0"/>
        <v>58</v>
      </c>
      <c r="B66" s="61" t="str">
        <f t="shared" si="20"/>
        <v>53E</v>
      </c>
      <c r="C66" s="71" t="s">
        <v>25</v>
      </c>
      <c r="D66" s="66">
        <v>150</v>
      </c>
      <c r="E66" s="301">
        <v>0.55000000000000004</v>
      </c>
      <c r="F66" s="301">
        <v>2.86</v>
      </c>
      <c r="G66" s="63">
        <f t="shared" si="17"/>
        <v>3.41</v>
      </c>
      <c r="H66" s="84">
        <f t="shared" si="18"/>
        <v>7.0000000000000007E-2</v>
      </c>
      <c r="I66" s="299">
        <v>41152</v>
      </c>
      <c r="J66" s="55">
        <f t="shared" si="19"/>
        <v>140328</v>
      </c>
      <c r="K66" s="55">
        <f t="shared" si="19"/>
        <v>2881</v>
      </c>
      <c r="M66" s="45"/>
    </row>
    <row r="67" spans="1:13" x14ac:dyDescent="0.2">
      <c r="A67" s="45">
        <f t="shared" si="0"/>
        <v>59</v>
      </c>
      <c r="B67" s="61" t="str">
        <f t="shared" si="20"/>
        <v>53E</v>
      </c>
      <c r="C67" s="71" t="s">
        <v>25</v>
      </c>
      <c r="D67" s="66">
        <v>200</v>
      </c>
      <c r="E67" s="301">
        <v>0.73</v>
      </c>
      <c r="F67" s="301">
        <v>3.82</v>
      </c>
      <c r="G67" s="63">
        <f t="shared" si="17"/>
        <v>4.55</v>
      </c>
      <c r="H67" s="84">
        <f t="shared" si="18"/>
        <v>0.09</v>
      </c>
      <c r="I67" s="299">
        <v>55212</v>
      </c>
      <c r="J67" s="55">
        <f t="shared" si="19"/>
        <v>251215</v>
      </c>
      <c r="K67" s="55">
        <f t="shared" si="19"/>
        <v>4969</v>
      </c>
      <c r="M67" s="45"/>
    </row>
    <row r="68" spans="1:13" x14ac:dyDescent="0.2">
      <c r="A68" s="45">
        <f t="shared" si="0"/>
        <v>60</v>
      </c>
      <c r="B68" s="61" t="str">
        <f t="shared" si="20"/>
        <v>53E</v>
      </c>
      <c r="C68" s="71" t="s">
        <v>25</v>
      </c>
      <c r="D68" s="66">
        <v>250</v>
      </c>
      <c r="E68" s="301">
        <v>0.91</v>
      </c>
      <c r="F68" s="301">
        <v>4.7699999999999996</v>
      </c>
      <c r="G68" s="63">
        <f t="shared" si="17"/>
        <v>5.68</v>
      </c>
      <c r="H68" s="84">
        <f t="shared" si="18"/>
        <v>0.11</v>
      </c>
      <c r="I68" s="299">
        <v>21489</v>
      </c>
      <c r="J68" s="55">
        <f t="shared" si="19"/>
        <v>122058</v>
      </c>
      <c r="K68" s="55">
        <f t="shared" si="19"/>
        <v>2364</v>
      </c>
      <c r="M68" s="45"/>
    </row>
    <row r="69" spans="1:13" x14ac:dyDescent="0.2">
      <c r="A69" s="45">
        <f t="shared" si="0"/>
        <v>61</v>
      </c>
      <c r="B69" s="61" t="str">
        <f t="shared" si="20"/>
        <v>53E</v>
      </c>
      <c r="C69" s="71" t="s">
        <v>25</v>
      </c>
      <c r="D69" s="66">
        <v>310</v>
      </c>
      <c r="E69" s="301">
        <v>1.1299999999999999</v>
      </c>
      <c r="F69" s="301">
        <v>5.92</v>
      </c>
      <c r="G69" s="63">
        <f t="shared" si="17"/>
        <v>7.05</v>
      </c>
      <c r="H69" s="84">
        <f t="shared" si="18"/>
        <v>0.14000000000000001</v>
      </c>
      <c r="I69" s="299">
        <v>240</v>
      </c>
      <c r="J69" s="55">
        <f t="shared" si="19"/>
        <v>1692</v>
      </c>
      <c r="K69" s="55">
        <f t="shared" si="19"/>
        <v>34</v>
      </c>
      <c r="M69" s="45"/>
    </row>
    <row r="70" spans="1:13" x14ac:dyDescent="0.2">
      <c r="A70" s="45">
        <f t="shared" si="0"/>
        <v>62</v>
      </c>
      <c r="B70" s="61" t="str">
        <f t="shared" si="20"/>
        <v>53E</v>
      </c>
      <c r="C70" s="71" t="s">
        <v>25</v>
      </c>
      <c r="D70" s="66">
        <v>400</v>
      </c>
      <c r="E70" s="301">
        <v>1.46</v>
      </c>
      <c r="F70" s="301">
        <v>7.64</v>
      </c>
      <c r="G70" s="63">
        <f t="shared" si="17"/>
        <v>9.1</v>
      </c>
      <c r="H70" s="84">
        <f t="shared" si="18"/>
        <v>0.18</v>
      </c>
      <c r="I70" s="299">
        <v>14834</v>
      </c>
      <c r="J70" s="55">
        <f t="shared" si="19"/>
        <v>134989</v>
      </c>
      <c r="K70" s="55">
        <f t="shared" si="19"/>
        <v>2670</v>
      </c>
      <c r="M70" s="45"/>
    </row>
    <row r="71" spans="1:13" x14ac:dyDescent="0.2">
      <c r="A71" s="45">
        <f t="shared" si="0"/>
        <v>63</v>
      </c>
      <c r="B71" s="61" t="str">
        <f t="shared" si="20"/>
        <v>53E</v>
      </c>
      <c r="C71" s="71" t="s">
        <v>25</v>
      </c>
      <c r="D71" s="66">
        <v>1000</v>
      </c>
      <c r="E71" s="301">
        <v>3.65</v>
      </c>
      <c r="F71" s="301">
        <v>19.09</v>
      </c>
      <c r="G71" s="63">
        <f t="shared" si="17"/>
        <v>22.74</v>
      </c>
      <c r="H71" s="84">
        <f t="shared" si="18"/>
        <v>0.45</v>
      </c>
      <c r="I71" s="299">
        <v>0</v>
      </c>
      <c r="J71" s="55">
        <f t="shared" si="19"/>
        <v>0</v>
      </c>
      <c r="K71" s="55">
        <f t="shared" si="19"/>
        <v>0</v>
      </c>
      <c r="M71" s="45"/>
    </row>
    <row r="72" spans="1:13" x14ac:dyDescent="0.2">
      <c r="A72" s="45">
        <f t="shared" si="0"/>
        <v>64</v>
      </c>
      <c r="B72" s="61"/>
      <c r="C72" s="71"/>
      <c r="D72" s="66"/>
      <c r="E72" s="63"/>
      <c r="F72" s="63"/>
      <c r="G72" s="63"/>
      <c r="H72" s="84"/>
      <c r="I72" s="299"/>
      <c r="J72" s="51"/>
      <c r="K72" s="51"/>
      <c r="M72" s="45"/>
    </row>
    <row r="73" spans="1:13" x14ac:dyDescent="0.2">
      <c r="A73" s="45">
        <f t="shared" si="0"/>
        <v>65</v>
      </c>
      <c r="B73" s="61" t="str">
        <f>+B71</f>
        <v>53E</v>
      </c>
      <c r="C73" s="71" t="s">
        <v>53</v>
      </c>
      <c r="D73" s="66">
        <v>70</v>
      </c>
      <c r="E73" s="301">
        <v>0.26</v>
      </c>
      <c r="F73" s="301">
        <v>1.34</v>
      </c>
      <c r="G73" s="63">
        <f t="shared" ref="G73:G78" si="21">SUM(E73:F73)</f>
        <v>1.6</v>
      </c>
      <c r="H73" s="84">
        <f t="shared" ref="H73:H78" si="22">ROUND(+G73*$L$9,2)</f>
        <v>0.03</v>
      </c>
      <c r="I73" s="299">
        <v>0</v>
      </c>
      <c r="J73" s="55">
        <f t="shared" ref="J73:K78" si="23">ROUND($I73*G73,0)</f>
        <v>0</v>
      </c>
      <c r="K73" s="55">
        <f t="shared" si="23"/>
        <v>0</v>
      </c>
      <c r="M73" s="45"/>
    </row>
    <row r="74" spans="1:13" x14ac:dyDescent="0.2">
      <c r="A74" s="45">
        <f t="shared" si="0"/>
        <v>66</v>
      </c>
      <c r="B74" s="61" t="str">
        <f>+B73</f>
        <v>53E</v>
      </c>
      <c r="C74" s="71" t="s">
        <v>53</v>
      </c>
      <c r="D74" s="66">
        <v>100</v>
      </c>
      <c r="E74" s="301">
        <v>0.37</v>
      </c>
      <c r="F74" s="301">
        <v>1.91</v>
      </c>
      <c r="G74" s="63">
        <f t="shared" si="21"/>
        <v>2.2799999999999998</v>
      </c>
      <c r="H74" s="84">
        <f t="shared" si="22"/>
        <v>0.05</v>
      </c>
      <c r="I74" s="299">
        <v>0</v>
      </c>
      <c r="J74" s="55">
        <f t="shared" si="23"/>
        <v>0</v>
      </c>
      <c r="K74" s="55">
        <f t="shared" si="23"/>
        <v>0</v>
      </c>
      <c r="M74" s="45"/>
    </row>
    <row r="75" spans="1:13" x14ac:dyDescent="0.2">
      <c r="A75" s="45">
        <f t="shared" ref="A75:A138" si="24">+A74+1</f>
        <v>67</v>
      </c>
      <c r="B75" s="61" t="str">
        <f>+B74</f>
        <v>53E</v>
      </c>
      <c r="C75" s="71" t="s">
        <v>53</v>
      </c>
      <c r="D75" s="66">
        <v>150</v>
      </c>
      <c r="E75" s="301">
        <v>0.55000000000000004</v>
      </c>
      <c r="F75" s="301">
        <v>2.86</v>
      </c>
      <c r="G75" s="63">
        <f t="shared" si="21"/>
        <v>3.41</v>
      </c>
      <c r="H75" s="84">
        <f t="shared" si="22"/>
        <v>7.0000000000000007E-2</v>
      </c>
      <c r="I75" s="299">
        <v>0</v>
      </c>
      <c r="J75" s="55">
        <f t="shared" si="23"/>
        <v>0</v>
      </c>
      <c r="K75" s="55">
        <f t="shared" si="23"/>
        <v>0</v>
      </c>
      <c r="M75" s="45"/>
    </row>
    <row r="76" spans="1:13" x14ac:dyDescent="0.2">
      <c r="A76" s="45">
        <f t="shared" si="24"/>
        <v>68</v>
      </c>
      <c r="B76" s="61" t="str">
        <f>+B75</f>
        <v>53E</v>
      </c>
      <c r="C76" s="71" t="s">
        <v>53</v>
      </c>
      <c r="D76" s="66">
        <v>175</v>
      </c>
      <c r="E76" s="301">
        <v>0.64</v>
      </c>
      <c r="F76" s="301">
        <v>3.34</v>
      </c>
      <c r="G76" s="63">
        <f t="shared" si="21"/>
        <v>3.98</v>
      </c>
      <c r="H76" s="84">
        <f t="shared" si="22"/>
        <v>0.08</v>
      </c>
      <c r="I76" s="299">
        <v>48</v>
      </c>
      <c r="J76" s="55">
        <f t="shared" si="23"/>
        <v>191</v>
      </c>
      <c r="K76" s="55">
        <f t="shared" si="23"/>
        <v>4</v>
      </c>
      <c r="M76" s="45"/>
    </row>
    <row r="77" spans="1:13" x14ac:dyDescent="0.2">
      <c r="A77" s="45">
        <f t="shared" si="24"/>
        <v>69</v>
      </c>
      <c r="B77" s="61" t="str">
        <f>+B76</f>
        <v>53E</v>
      </c>
      <c r="C77" s="71" t="s">
        <v>53</v>
      </c>
      <c r="D77" s="66">
        <v>250</v>
      </c>
      <c r="E77" s="301">
        <v>0.91</v>
      </c>
      <c r="F77" s="301">
        <v>4.7699999999999996</v>
      </c>
      <c r="G77" s="63">
        <f t="shared" si="21"/>
        <v>5.68</v>
      </c>
      <c r="H77" s="84">
        <f t="shared" si="22"/>
        <v>0.11</v>
      </c>
      <c r="I77" s="299">
        <v>0</v>
      </c>
      <c r="J77" s="55">
        <f t="shared" si="23"/>
        <v>0</v>
      </c>
      <c r="K77" s="55">
        <f t="shared" si="23"/>
        <v>0</v>
      </c>
      <c r="M77" s="45"/>
    </row>
    <row r="78" spans="1:13" x14ac:dyDescent="0.2">
      <c r="A78" s="45">
        <f t="shared" si="24"/>
        <v>70</v>
      </c>
      <c r="B78" s="61" t="str">
        <f>+B77</f>
        <v>53E</v>
      </c>
      <c r="C78" s="71" t="s">
        <v>53</v>
      </c>
      <c r="D78" s="66">
        <v>400</v>
      </c>
      <c r="E78" s="301">
        <v>1.46</v>
      </c>
      <c r="F78" s="301">
        <v>7.64</v>
      </c>
      <c r="G78" s="63">
        <f t="shared" si="21"/>
        <v>9.1</v>
      </c>
      <c r="H78" s="84">
        <f t="shared" si="22"/>
        <v>0.18</v>
      </c>
      <c r="I78" s="299">
        <v>0</v>
      </c>
      <c r="J78" s="55">
        <f t="shared" si="23"/>
        <v>0</v>
      </c>
      <c r="K78" s="55">
        <f t="shared" si="23"/>
        <v>0</v>
      </c>
      <c r="M78" s="45"/>
    </row>
    <row r="79" spans="1:13" x14ac:dyDescent="0.2">
      <c r="A79" s="45">
        <f t="shared" si="24"/>
        <v>71</v>
      </c>
      <c r="B79" s="61"/>
      <c r="C79" s="71"/>
      <c r="D79" s="66"/>
      <c r="E79" s="63"/>
      <c r="F79" s="63"/>
      <c r="G79" s="63"/>
      <c r="H79" s="84"/>
      <c r="I79" s="299"/>
      <c r="J79" s="51"/>
      <c r="K79" s="51"/>
      <c r="M79" s="45"/>
    </row>
    <row r="80" spans="1:13" x14ac:dyDescent="0.2">
      <c r="A80" s="45">
        <f t="shared" si="24"/>
        <v>72</v>
      </c>
      <c r="B80" s="61" t="str">
        <f>+B77</f>
        <v>53E</v>
      </c>
      <c r="C80" s="71" t="s">
        <v>41</v>
      </c>
      <c r="D80" s="69" t="s">
        <v>114</v>
      </c>
      <c r="E80" s="63">
        <v>0.05</v>
      </c>
      <c r="F80" s="63">
        <v>0.28999999999999998</v>
      </c>
      <c r="G80" s="63">
        <f t="shared" ref="G80:G90" si="25">SUM(E80:F80)</f>
        <v>0.33999999999999997</v>
      </c>
      <c r="H80" s="84">
        <f t="shared" ref="H80:H89" si="26">ROUND(+G80*$L$9,2)</f>
        <v>0.01</v>
      </c>
      <c r="I80" s="299">
        <v>135</v>
      </c>
      <c r="J80" s="55">
        <f>ROUND($I80*G80,0)</f>
        <v>46</v>
      </c>
      <c r="K80" s="55">
        <f>ROUND($I80*H80,0)</f>
        <v>1</v>
      </c>
      <c r="M80" s="45"/>
    </row>
    <row r="81" spans="1:13" x14ac:dyDescent="0.2">
      <c r="A81" s="45">
        <f t="shared" si="24"/>
        <v>73</v>
      </c>
      <c r="B81" s="61" t="str">
        <f>+B78</f>
        <v>53E</v>
      </c>
      <c r="C81" s="71" t="s">
        <v>41</v>
      </c>
      <c r="D81" s="70" t="s">
        <v>115</v>
      </c>
      <c r="E81" s="63">
        <v>0.16</v>
      </c>
      <c r="F81" s="63">
        <v>0.86</v>
      </c>
      <c r="G81" s="63">
        <f t="shared" si="25"/>
        <v>1.02</v>
      </c>
      <c r="H81" s="84">
        <f t="shared" si="26"/>
        <v>0.02</v>
      </c>
      <c r="I81" s="299">
        <v>276996</v>
      </c>
      <c r="J81" s="55">
        <f>ROUND($I81*G81,0)</f>
        <v>282536</v>
      </c>
      <c r="K81" s="55">
        <f>ROUND($I81*H81,0)</f>
        <v>5540</v>
      </c>
      <c r="M81" s="45"/>
    </row>
    <row r="82" spans="1:13" x14ac:dyDescent="0.2">
      <c r="A82" s="45">
        <f t="shared" si="24"/>
        <v>74</v>
      </c>
      <c r="B82" s="61" t="str">
        <f t="shared" ref="B82:B90" si="27">B81</f>
        <v>53E</v>
      </c>
      <c r="C82" s="71" t="s">
        <v>41</v>
      </c>
      <c r="D82" s="66" t="s">
        <v>43</v>
      </c>
      <c r="E82" s="63">
        <v>0.27</v>
      </c>
      <c r="F82" s="63">
        <v>1.43</v>
      </c>
      <c r="G82" s="63">
        <f t="shared" si="25"/>
        <v>1.7</v>
      </c>
      <c r="H82" s="84">
        <f t="shared" si="26"/>
        <v>0.03</v>
      </c>
      <c r="I82" s="299">
        <v>17412</v>
      </c>
      <c r="J82" s="55">
        <f t="shared" ref="J82:K90" si="28">ROUND($I82*G82,0)</f>
        <v>29600</v>
      </c>
      <c r="K82" s="55">
        <f t="shared" si="28"/>
        <v>522</v>
      </c>
      <c r="M82" s="45"/>
    </row>
    <row r="83" spans="1:13" x14ac:dyDescent="0.2">
      <c r="A83" s="45">
        <f t="shared" si="24"/>
        <v>75</v>
      </c>
      <c r="B83" s="61" t="str">
        <f t="shared" si="27"/>
        <v>53E</v>
      </c>
      <c r="C83" s="71" t="s">
        <v>41</v>
      </c>
      <c r="D83" s="66" t="s">
        <v>44</v>
      </c>
      <c r="E83" s="63">
        <v>0.38</v>
      </c>
      <c r="F83" s="63">
        <v>2</v>
      </c>
      <c r="G83" s="63">
        <f t="shared" si="25"/>
        <v>2.38</v>
      </c>
      <c r="H83" s="84">
        <f t="shared" si="26"/>
        <v>0.05</v>
      </c>
      <c r="I83" s="299">
        <v>42936</v>
      </c>
      <c r="J83" s="55">
        <f t="shared" si="28"/>
        <v>102188</v>
      </c>
      <c r="K83" s="55">
        <f t="shared" si="28"/>
        <v>2147</v>
      </c>
      <c r="M83" s="45"/>
    </row>
    <row r="84" spans="1:13" x14ac:dyDescent="0.2">
      <c r="A84" s="45">
        <f t="shared" si="24"/>
        <v>76</v>
      </c>
      <c r="B84" s="61" t="str">
        <f t="shared" si="27"/>
        <v>53E</v>
      </c>
      <c r="C84" s="71" t="s">
        <v>41</v>
      </c>
      <c r="D84" s="66" t="s">
        <v>45</v>
      </c>
      <c r="E84" s="63">
        <v>0.49</v>
      </c>
      <c r="F84" s="63">
        <v>2.58</v>
      </c>
      <c r="G84" s="63">
        <f t="shared" si="25"/>
        <v>3.0700000000000003</v>
      </c>
      <c r="H84" s="84">
        <f t="shared" si="26"/>
        <v>0.06</v>
      </c>
      <c r="I84" s="299">
        <v>23604</v>
      </c>
      <c r="J84" s="55">
        <f t="shared" si="28"/>
        <v>72464</v>
      </c>
      <c r="K84" s="55">
        <f t="shared" si="28"/>
        <v>1416</v>
      </c>
      <c r="M84" s="45"/>
    </row>
    <row r="85" spans="1:13" x14ac:dyDescent="0.2">
      <c r="A85" s="45">
        <f t="shared" si="24"/>
        <v>77</v>
      </c>
      <c r="B85" s="61" t="str">
        <f t="shared" si="27"/>
        <v>53E</v>
      </c>
      <c r="C85" s="71" t="s">
        <v>41</v>
      </c>
      <c r="D85" s="66" t="s">
        <v>46</v>
      </c>
      <c r="E85" s="63">
        <v>0.6</v>
      </c>
      <c r="F85" s="63">
        <v>3.15</v>
      </c>
      <c r="G85" s="63">
        <f t="shared" si="25"/>
        <v>3.75</v>
      </c>
      <c r="H85" s="84">
        <f t="shared" si="26"/>
        <v>7.0000000000000007E-2</v>
      </c>
      <c r="I85" s="299">
        <v>20733</v>
      </c>
      <c r="J85" s="55">
        <f t="shared" si="28"/>
        <v>77749</v>
      </c>
      <c r="K85" s="55">
        <f t="shared" si="28"/>
        <v>1451</v>
      </c>
      <c r="M85" s="45"/>
    </row>
    <row r="86" spans="1:13" x14ac:dyDescent="0.2">
      <c r="A86" s="45">
        <f t="shared" si="24"/>
        <v>78</v>
      </c>
      <c r="B86" s="61" t="str">
        <f t="shared" si="27"/>
        <v>53E</v>
      </c>
      <c r="C86" s="71" t="s">
        <v>41</v>
      </c>
      <c r="D86" s="66" t="s">
        <v>47</v>
      </c>
      <c r="E86" s="63">
        <v>0.71</v>
      </c>
      <c r="F86" s="63">
        <v>3.72</v>
      </c>
      <c r="G86" s="63">
        <f t="shared" si="25"/>
        <v>4.43</v>
      </c>
      <c r="H86" s="84">
        <f t="shared" si="26"/>
        <v>0.09</v>
      </c>
      <c r="I86" s="299">
        <v>6199</v>
      </c>
      <c r="J86" s="55">
        <f t="shared" si="28"/>
        <v>27462</v>
      </c>
      <c r="K86" s="55">
        <f t="shared" si="28"/>
        <v>558</v>
      </c>
      <c r="M86" s="45"/>
    </row>
    <row r="87" spans="1:13" x14ac:dyDescent="0.2">
      <c r="A87" s="45">
        <f t="shared" si="24"/>
        <v>79</v>
      </c>
      <c r="B87" s="61" t="str">
        <f t="shared" si="27"/>
        <v>53E</v>
      </c>
      <c r="C87" s="71" t="s">
        <v>41</v>
      </c>
      <c r="D87" s="66" t="s">
        <v>48</v>
      </c>
      <c r="E87" s="63">
        <v>0.82</v>
      </c>
      <c r="F87" s="63">
        <v>4.3</v>
      </c>
      <c r="G87" s="63">
        <f t="shared" si="25"/>
        <v>5.12</v>
      </c>
      <c r="H87" s="84">
        <f t="shared" si="26"/>
        <v>0.1</v>
      </c>
      <c r="I87" s="299">
        <v>1015</v>
      </c>
      <c r="J87" s="55">
        <f t="shared" si="28"/>
        <v>5197</v>
      </c>
      <c r="K87" s="55">
        <f t="shared" si="28"/>
        <v>102</v>
      </c>
      <c r="M87" s="45"/>
    </row>
    <row r="88" spans="1:13" x14ac:dyDescent="0.2">
      <c r="A88" s="45">
        <f t="shared" si="24"/>
        <v>80</v>
      </c>
      <c r="B88" s="61" t="str">
        <f t="shared" si="27"/>
        <v>53E</v>
      </c>
      <c r="C88" s="71" t="s">
        <v>41</v>
      </c>
      <c r="D88" s="66" t="s">
        <v>49</v>
      </c>
      <c r="E88" s="63">
        <v>0.93</v>
      </c>
      <c r="F88" s="63">
        <v>4.87</v>
      </c>
      <c r="G88" s="63">
        <f t="shared" si="25"/>
        <v>5.8</v>
      </c>
      <c r="H88" s="84">
        <f t="shared" si="26"/>
        <v>0.12</v>
      </c>
      <c r="I88" s="299">
        <v>312</v>
      </c>
      <c r="J88" s="55">
        <f t="shared" si="28"/>
        <v>1810</v>
      </c>
      <c r="K88" s="55">
        <f t="shared" si="28"/>
        <v>37</v>
      </c>
      <c r="M88" s="45"/>
    </row>
    <row r="89" spans="1:13" x14ac:dyDescent="0.2">
      <c r="A89" s="45">
        <f t="shared" si="24"/>
        <v>81</v>
      </c>
      <c r="B89" s="61" t="str">
        <f t="shared" si="27"/>
        <v>53E</v>
      </c>
      <c r="C89" s="71" t="s">
        <v>41</v>
      </c>
      <c r="D89" s="66" t="s">
        <v>50</v>
      </c>
      <c r="E89" s="63">
        <v>1.04</v>
      </c>
      <c r="F89" s="63">
        <v>5.44</v>
      </c>
      <c r="G89" s="63">
        <f t="shared" si="25"/>
        <v>6.48</v>
      </c>
      <c r="H89" s="84">
        <f t="shared" si="26"/>
        <v>0.13</v>
      </c>
      <c r="I89" s="299">
        <v>1897</v>
      </c>
      <c r="J89" s="55">
        <f t="shared" si="28"/>
        <v>12293</v>
      </c>
      <c r="K89" s="55">
        <f t="shared" si="28"/>
        <v>247</v>
      </c>
      <c r="M89" s="45"/>
    </row>
    <row r="90" spans="1:13" x14ac:dyDescent="0.2">
      <c r="A90" s="45">
        <f t="shared" si="24"/>
        <v>82</v>
      </c>
      <c r="B90" s="61" t="str">
        <f t="shared" si="27"/>
        <v>53E</v>
      </c>
      <c r="C90" s="71" t="s">
        <v>118</v>
      </c>
      <c r="D90" s="71" t="s">
        <v>116</v>
      </c>
      <c r="E90" s="72">
        <v>1.0432E-2</v>
      </c>
      <c r="F90" s="72">
        <v>5.4556E-2</v>
      </c>
      <c r="G90" s="72">
        <f t="shared" si="25"/>
        <v>6.4988000000000004E-2</v>
      </c>
      <c r="H90" s="300">
        <f>'Rate Summary'!$H$26</f>
        <v>1.189E-3</v>
      </c>
      <c r="I90" s="299">
        <v>701281</v>
      </c>
      <c r="J90" s="55">
        <f t="shared" si="28"/>
        <v>45575</v>
      </c>
      <c r="K90" s="55">
        <f t="shared" si="28"/>
        <v>834</v>
      </c>
      <c r="M90" s="45"/>
    </row>
    <row r="91" spans="1:13" x14ac:dyDescent="0.2">
      <c r="A91" s="45">
        <f t="shared" si="24"/>
        <v>83</v>
      </c>
      <c r="B91" s="74"/>
      <c r="C91" s="71"/>
      <c r="D91" s="66"/>
      <c r="E91" s="63"/>
      <c r="F91" s="63"/>
      <c r="G91" s="63"/>
      <c r="H91" s="84"/>
      <c r="I91" s="299"/>
      <c r="J91" s="51"/>
      <c r="K91" s="51"/>
      <c r="M91" s="45"/>
    </row>
    <row r="92" spans="1:13" x14ac:dyDescent="0.2">
      <c r="A92" s="45">
        <f t="shared" si="24"/>
        <v>84</v>
      </c>
      <c r="B92" s="49" t="s">
        <v>55</v>
      </c>
      <c r="C92" s="49"/>
      <c r="D92" s="69"/>
      <c r="E92" s="63"/>
      <c r="F92" s="63"/>
      <c r="G92" s="63"/>
      <c r="H92" s="84"/>
      <c r="I92" s="299"/>
      <c r="J92" s="51"/>
      <c r="K92" s="51"/>
      <c r="M92" s="45"/>
    </row>
    <row r="93" spans="1:13" x14ac:dyDescent="0.2">
      <c r="A93" s="45">
        <f t="shared" si="24"/>
        <v>85</v>
      </c>
      <c r="B93" s="61" t="s">
        <v>56</v>
      </c>
      <c r="C93" s="71" t="s">
        <v>25</v>
      </c>
      <c r="D93" s="66">
        <v>50</v>
      </c>
      <c r="E93" s="63">
        <v>0.18</v>
      </c>
      <c r="F93" s="63">
        <v>0.95</v>
      </c>
      <c r="G93" s="63">
        <f t="shared" ref="G93:G101" si="29">SUM(E93:F93)</f>
        <v>1.1299999999999999</v>
      </c>
      <c r="H93" s="84">
        <f t="shared" ref="H93:H101" si="30">ROUND(+G93*$L$9,2)</f>
        <v>0.02</v>
      </c>
      <c r="I93" s="299">
        <v>456</v>
      </c>
      <c r="J93" s="55">
        <f t="shared" ref="J93:K101" si="31">ROUND($I93*G93,0)</f>
        <v>515</v>
      </c>
      <c r="K93" s="55">
        <f t="shared" si="31"/>
        <v>9</v>
      </c>
      <c r="M93" s="45"/>
    </row>
    <row r="94" spans="1:13" x14ac:dyDescent="0.2">
      <c r="A94" s="45">
        <f t="shared" si="24"/>
        <v>86</v>
      </c>
      <c r="B94" s="61" t="str">
        <f t="shared" ref="B94:B101" si="32">+B93</f>
        <v>54E</v>
      </c>
      <c r="C94" s="71" t="s">
        <v>25</v>
      </c>
      <c r="D94" s="66">
        <v>70</v>
      </c>
      <c r="E94" s="63">
        <v>0.26</v>
      </c>
      <c r="F94" s="63">
        <v>1.34</v>
      </c>
      <c r="G94" s="63">
        <f t="shared" si="29"/>
        <v>1.6</v>
      </c>
      <c r="H94" s="84">
        <f t="shared" si="30"/>
        <v>0.03</v>
      </c>
      <c r="I94" s="299">
        <v>1807</v>
      </c>
      <c r="J94" s="55">
        <f t="shared" si="31"/>
        <v>2891</v>
      </c>
      <c r="K94" s="55">
        <f t="shared" si="31"/>
        <v>54</v>
      </c>
      <c r="M94" s="45"/>
    </row>
    <row r="95" spans="1:13" x14ac:dyDescent="0.2">
      <c r="A95" s="45">
        <f t="shared" si="24"/>
        <v>87</v>
      </c>
      <c r="B95" s="61" t="str">
        <f t="shared" si="32"/>
        <v>54E</v>
      </c>
      <c r="C95" s="71" t="s">
        <v>25</v>
      </c>
      <c r="D95" s="66">
        <v>100</v>
      </c>
      <c r="E95" s="63">
        <v>0.37</v>
      </c>
      <c r="F95" s="63">
        <v>1.91</v>
      </c>
      <c r="G95" s="63">
        <f t="shared" si="29"/>
        <v>2.2799999999999998</v>
      </c>
      <c r="H95" s="84">
        <f t="shared" si="30"/>
        <v>0.05</v>
      </c>
      <c r="I95" s="299">
        <v>10076</v>
      </c>
      <c r="J95" s="55">
        <f t="shared" si="31"/>
        <v>22973</v>
      </c>
      <c r="K95" s="55">
        <f t="shared" si="31"/>
        <v>504</v>
      </c>
      <c r="M95" s="45"/>
    </row>
    <row r="96" spans="1:13" x14ac:dyDescent="0.2">
      <c r="A96" s="45">
        <f t="shared" si="24"/>
        <v>88</v>
      </c>
      <c r="B96" s="61" t="str">
        <f t="shared" si="32"/>
        <v>54E</v>
      </c>
      <c r="C96" s="71" t="s">
        <v>25</v>
      </c>
      <c r="D96" s="66">
        <v>150</v>
      </c>
      <c r="E96" s="63">
        <v>0.55000000000000004</v>
      </c>
      <c r="F96" s="63">
        <v>2.86</v>
      </c>
      <c r="G96" s="63">
        <f t="shared" si="29"/>
        <v>3.41</v>
      </c>
      <c r="H96" s="84">
        <f t="shared" si="30"/>
        <v>7.0000000000000007E-2</v>
      </c>
      <c r="I96" s="299">
        <v>3609</v>
      </c>
      <c r="J96" s="55">
        <f t="shared" si="31"/>
        <v>12307</v>
      </c>
      <c r="K96" s="55">
        <f t="shared" si="31"/>
        <v>253</v>
      </c>
      <c r="M96" s="45"/>
    </row>
    <row r="97" spans="1:13" x14ac:dyDescent="0.2">
      <c r="A97" s="45">
        <f t="shared" si="24"/>
        <v>89</v>
      </c>
      <c r="B97" s="61" t="str">
        <f t="shared" si="32"/>
        <v>54E</v>
      </c>
      <c r="C97" s="71" t="s">
        <v>25</v>
      </c>
      <c r="D97" s="66">
        <v>200</v>
      </c>
      <c r="E97" s="63">
        <v>0.73</v>
      </c>
      <c r="F97" s="63">
        <v>3.82</v>
      </c>
      <c r="G97" s="63">
        <f t="shared" si="29"/>
        <v>4.55</v>
      </c>
      <c r="H97" s="84">
        <f t="shared" si="30"/>
        <v>0.09</v>
      </c>
      <c r="I97" s="299">
        <v>3387</v>
      </c>
      <c r="J97" s="55">
        <f t="shared" si="31"/>
        <v>15411</v>
      </c>
      <c r="K97" s="55">
        <f t="shared" si="31"/>
        <v>305</v>
      </c>
      <c r="M97" s="45"/>
    </row>
    <row r="98" spans="1:13" x14ac:dyDescent="0.2">
      <c r="A98" s="45">
        <f t="shared" si="24"/>
        <v>90</v>
      </c>
      <c r="B98" s="61" t="str">
        <f t="shared" si="32"/>
        <v>54E</v>
      </c>
      <c r="C98" s="71" t="s">
        <v>25</v>
      </c>
      <c r="D98" s="66">
        <v>250</v>
      </c>
      <c r="E98" s="63">
        <v>0.91</v>
      </c>
      <c r="F98" s="63">
        <v>4.7699999999999996</v>
      </c>
      <c r="G98" s="63">
        <f t="shared" si="29"/>
        <v>5.68</v>
      </c>
      <c r="H98" s="84">
        <f t="shared" si="30"/>
        <v>0.11</v>
      </c>
      <c r="I98" s="299">
        <v>3597</v>
      </c>
      <c r="J98" s="55">
        <f t="shared" si="31"/>
        <v>20431</v>
      </c>
      <c r="K98" s="55">
        <f t="shared" si="31"/>
        <v>396</v>
      </c>
      <c r="M98" s="45"/>
    </row>
    <row r="99" spans="1:13" x14ac:dyDescent="0.2">
      <c r="A99" s="45">
        <f t="shared" si="24"/>
        <v>91</v>
      </c>
      <c r="B99" s="61" t="str">
        <f t="shared" si="32"/>
        <v>54E</v>
      </c>
      <c r="C99" s="71" t="s">
        <v>25</v>
      </c>
      <c r="D99" s="66">
        <v>310</v>
      </c>
      <c r="E99" s="63">
        <v>1.1299999999999999</v>
      </c>
      <c r="F99" s="63">
        <v>5.92</v>
      </c>
      <c r="G99" s="63">
        <f t="shared" si="29"/>
        <v>7.05</v>
      </c>
      <c r="H99" s="84">
        <f t="shared" si="30"/>
        <v>0.14000000000000001</v>
      </c>
      <c r="I99" s="299">
        <v>668</v>
      </c>
      <c r="J99" s="55">
        <f t="shared" si="31"/>
        <v>4709</v>
      </c>
      <c r="K99" s="55">
        <f t="shared" si="31"/>
        <v>94</v>
      </c>
      <c r="M99" s="45"/>
    </row>
    <row r="100" spans="1:13" x14ac:dyDescent="0.2">
      <c r="A100" s="45">
        <f t="shared" si="24"/>
        <v>92</v>
      </c>
      <c r="B100" s="61" t="str">
        <f t="shared" si="32"/>
        <v>54E</v>
      </c>
      <c r="C100" s="71" t="s">
        <v>25</v>
      </c>
      <c r="D100" s="66">
        <v>400</v>
      </c>
      <c r="E100" s="63">
        <v>1.46</v>
      </c>
      <c r="F100" s="63">
        <v>7.64</v>
      </c>
      <c r="G100" s="63">
        <f t="shared" si="29"/>
        <v>9.1</v>
      </c>
      <c r="H100" s="84">
        <f t="shared" si="30"/>
        <v>0.18</v>
      </c>
      <c r="I100" s="299">
        <v>6796</v>
      </c>
      <c r="J100" s="55">
        <f t="shared" si="31"/>
        <v>61844</v>
      </c>
      <c r="K100" s="55">
        <f t="shared" si="31"/>
        <v>1223</v>
      </c>
      <c r="M100" s="45"/>
    </row>
    <row r="101" spans="1:13" x14ac:dyDescent="0.2">
      <c r="A101" s="45">
        <f t="shared" si="24"/>
        <v>93</v>
      </c>
      <c r="B101" s="61" t="str">
        <f t="shared" si="32"/>
        <v>54E</v>
      </c>
      <c r="C101" s="71" t="s">
        <v>25</v>
      </c>
      <c r="D101" s="66">
        <v>1000</v>
      </c>
      <c r="E101" s="63">
        <v>3.65</v>
      </c>
      <c r="F101" s="63">
        <v>19.09</v>
      </c>
      <c r="G101" s="63">
        <f t="shared" si="29"/>
        <v>22.74</v>
      </c>
      <c r="H101" s="84">
        <f t="shared" si="30"/>
        <v>0.45</v>
      </c>
      <c r="I101" s="299">
        <v>0</v>
      </c>
      <c r="J101" s="55">
        <f t="shared" si="31"/>
        <v>0</v>
      </c>
      <c r="K101" s="55">
        <f t="shared" si="31"/>
        <v>0</v>
      </c>
      <c r="M101" s="45"/>
    </row>
    <row r="102" spans="1:13" x14ac:dyDescent="0.2">
      <c r="A102" s="45">
        <f t="shared" si="24"/>
        <v>94</v>
      </c>
      <c r="B102" s="74"/>
      <c r="C102" s="71"/>
      <c r="D102" s="66"/>
      <c r="E102" s="63"/>
      <c r="F102" s="63"/>
      <c r="G102" s="63"/>
      <c r="H102" s="84"/>
      <c r="I102" s="299"/>
      <c r="J102" s="51"/>
      <c r="K102" s="51"/>
      <c r="M102" s="45"/>
    </row>
    <row r="103" spans="1:13" x14ac:dyDescent="0.2">
      <c r="A103" s="45">
        <f t="shared" si="24"/>
        <v>95</v>
      </c>
      <c r="B103" s="61" t="str">
        <f>+B100</f>
        <v>54E</v>
      </c>
      <c r="C103" s="71" t="s">
        <v>41</v>
      </c>
      <c r="D103" s="70" t="s">
        <v>97</v>
      </c>
      <c r="E103" s="63">
        <v>0.05</v>
      </c>
      <c r="F103" s="63">
        <v>0.28999999999999998</v>
      </c>
      <c r="G103" s="63">
        <f t="shared" ref="G103:G112" si="33">SUM(E103:F103)</f>
        <v>0.33999999999999997</v>
      </c>
      <c r="H103" s="84">
        <f t="shared" ref="H103:H112" si="34">ROUND(+G103*$L$9,2)</f>
        <v>0.01</v>
      </c>
      <c r="I103" s="299">
        <v>0</v>
      </c>
      <c r="J103" s="55">
        <f t="shared" ref="J103:K112" si="35">ROUND($I103*G103,0)</f>
        <v>0</v>
      </c>
      <c r="K103" s="55">
        <f t="shared" si="35"/>
        <v>0</v>
      </c>
      <c r="M103" s="45"/>
    </row>
    <row r="104" spans="1:13" x14ac:dyDescent="0.2">
      <c r="A104" s="45">
        <f t="shared" si="24"/>
        <v>96</v>
      </c>
      <c r="B104" s="61" t="str">
        <f>+B101</f>
        <v>54E</v>
      </c>
      <c r="C104" s="71" t="s">
        <v>41</v>
      </c>
      <c r="D104" s="70" t="s">
        <v>42</v>
      </c>
      <c r="E104" s="63">
        <v>0.16</v>
      </c>
      <c r="F104" s="63">
        <v>0.86</v>
      </c>
      <c r="G104" s="63">
        <f t="shared" si="33"/>
        <v>1.02</v>
      </c>
      <c r="H104" s="84">
        <f t="shared" si="34"/>
        <v>0.02</v>
      </c>
      <c r="I104" s="299">
        <v>33052</v>
      </c>
      <c r="J104" s="55">
        <f t="shared" si="35"/>
        <v>33713</v>
      </c>
      <c r="K104" s="55">
        <f t="shared" si="35"/>
        <v>661</v>
      </c>
      <c r="M104" s="45"/>
    </row>
    <row r="105" spans="1:13" x14ac:dyDescent="0.2">
      <c r="A105" s="45">
        <f t="shared" si="24"/>
        <v>97</v>
      </c>
      <c r="B105" s="61" t="str">
        <f t="shared" ref="B105:B112" si="36">+B104</f>
        <v>54E</v>
      </c>
      <c r="C105" s="71" t="s">
        <v>41</v>
      </c>
      <c r="D105" s="66" t="s">
        <v>43</v>
      </c>
      <c r="E105" s="63">
        <v>0.27</v>
      </c>
      <c r="F105" s="63">
        <v>1.43</v>
      </c>
      <c r="G105" s="63">
        <f t="shared" si="33"/>
        <v>1.7</v>
      </c>
      <c r="H105" s="84">
        <f t="shared" si="34"/>
        <v>0.03</v>
      </c>
      <c r="I105" s="299">
        <v>2855</v>
      </c>
      <c r="J105" s="55">
        <f t="shared" si="35"/>
        <v>4854</v>
      </c>
      <c r="K105" s="55">
        <f t="shared" si="35"/>
        <v>86</v>
      </c>
      <c r="M105" s="45"/>
    </row>
    <row r="106" spans="1:13" x14ac:dyDescent="0.2">
      <c r="A106" s="45">
        <f t="shared" si="24"/>
        <v>98</v>
      </c>
      <c r="B106" s="61" t="str">
        <f t="shared" si="36"/>
        <v>54E</v>
      </c>
      <c r="C106" s="71" t="s">
        <v>41</v>
      </c>
      <c r="D106" s="66" t="s">
        <v>44</v>
      </c>
      <c r="E106" s="63">
        <v>0.38</v>
      </c>
      <c r="F106" s="63">
        <v>2</v>
      </c>
      <c r="G106" s="63">
        <f t="shared" si="33"/>
        <v>2.38</v>
      </c>
      <c r="H106" s="84">
        <f t="shared" si="34"/>
        <v>0.05</v>
      </c>
      <c r="I106" s="299">
        <v>33778</v>
      </c>
      <c r="J106" s="55">
        <f t="shared" si="35"/>
        <v>80392</v>
      </c>
      <c r="K106" s="55">
        <f t="shared" si="35"/>
        <v>1689</v>
      </c>
      <c r="M106" s="45"/>
    </row>
    <row r="107" spans="1:13" x14ac:dyDescent="0.2">
      <c r="A107" s="45">
        <f t="shared" si="24"/>
        <v>99</v>
      </c>
      <c r="B107" s="61" t="str">
        <f t="shared" si="36"/>
        <v>54E</v>
      </c>
      <c r="C107" s="71" t="s">
        <v>41</v>
      </c>
      <c r="D107" s="66" t="s">
        <v>45</v>
      </c>
      <c r="E107" s="63">
        <v>0.49</v>
      </c>
      <c r="F107" s="63">
        <v>2.58</v>
      </c>
      <c r="G107" s="63">
        <f t="shared" si="33"/>
        <v>3.0700000000000003</v>
      </c>
      <c r="H107" s="84">
        <f t="shared" si="34"/>
        <v>0.06</v>
      </c>
      <c r="I107" s="299">
        <v>12548</v>
      </c>
      <c r="J107" s="55">
        <f t="shared" si="35"/>
        <v>38522</v>
      </c>
      <c r="K107" s="55">
        <f t="shared" si="35"/>
        <v>753</v>
      </c>
      <c r="M107" s="45"/>
    </row>
    <row r="108" spans="1:13" x14ac:dyDescent="0.2">
      <c r="A108" s="45">
        <f t="shared" si="24"/>
        <v>100</v>
      </c>
      <c r="B108" s="61" t="str">
        <f t="shared" si="36"/>
        <v>54E</v>
      </c>
      <c r="C108" s="71" t="s">
        <v>41</v>
      </c>
      <c r="D108" s="66" t="s">
        <v>46</v>
      </c>
      <c r="E108" s="63">
        <v>0.6</v>
      </c>
      <c r="F108" s="63">
        <v>3.15</v>
      </c>
      <c r="G108" s="63">
        <f t="shared" si="33"/>
        <v>3.75</v>
      </c>
      <c r="H108" s="84">
        <f t="shared" si="34"/>
        <v>7.0000000000000007E-2</v>
      </c>
      <c r="I108" s="299">
        <v>5036</v>
      </c>
      <c r="J108" s="55">
        <f t="shared" si="35"/>
        <v>18885</v>
      </c>
      <c r="K108" s="55">
        <f t="shared" si="35"/>
        <v>353</v>
      </c>
      <c r="M108" s="45"/>
    </row>
    <row r="109" spans="1:13" x14ac:dyDescent="0.2">
      <c r="A109" s="45">
        <f t="shared" si="24"/>
        <v>101</v>
      </c>
      <c r="B109" s="61" t="str">
        <f t="shared" si="36"/>
        <v>54E</v>
      </c>
      <c r="C109" s="71" t="s">
        <v>41</v>
      </c>
      <c r="D109" s="66" t="s">
        <v>47</v>
      </c>
      <c r="E109" s="63">
        <v>0.71</v>
      </c>
      <c r="F109" s="63">
        <v>3.72</v>
      </c>
      <c r="G109" s="63">
        <f t="shared" si="33"/>
        <v>4.43</v>
      </c>
      <c r="H109" s="84">
        <f t="shared" si="34"/>
        <v>0.09</v>
      </c>
      <c r="I109" s="299">
        <v>2164</v>
      </c>
      <c r="J109" s="55">
        <f t="shared" si="35"/>
        <v>9587</v>
      </c>
      <c r="K109" s="55">
        <f t="shared" si="35"/>
        <v>195</v>
      </c>
      <c r="M109" s="45"/>
    </row>
    <row r="110" spans="1:13" x14ac:dyDescent="0.2">
      <c r="A110" s="45">
        <f t="shared" si="24"/>
        <v>102</v>
      </c>
      <c r="B110" s="61" t="str">
        <f t="shared" si="36"/>
        <v>54E</v>
      </c>
      <c r="C110" s="71" t="s">
        <v>41</v>
      </c>
      <c r="D110" s="66" t="s">
        <v>48</v>
      </c>
      <c r="E110" s="63">
        <v>0.82</v>
      </c>
      <c r="F110" s="63">
        <v>4.3</v>
      </c>
      <c r="G110" s="63">
        <f t="shared" si="33"/>
        <v>5.12</v>
      </c>
      <c r="H110" s="84">
        <f t="shared" si="34"/>
        <v>0.1</v>
      </c>
      <c r="I110" s="299">
        <v>468</v>
      </c>
      <c r="J110" s="55">
        <f t="shared" si="35"/>
        <v>2396</v>
      </c>
      <c r="K110" s="55">
        <f t="shared" si="35"/>
        <v>47</v>
      </c>
      <c r="M110" s="45"/>
    </row>
    <row r="111" spans="1:13" x14ac:dyDescent="0.2">
      <c r="A111" s="45">
        <f t="shared" si="24"/>
        <v>103</v>
      </c>
      <c r="B111" s="61" t="str">
        <f t="shared" si="36"/>
        <v>54E</v>
      </c>
      <c r="C111" s="71" t="s">
        <v>41</v>
      </c>
      <c r="D111" s="66" t="s">
        <v>49</v>
      </c>
      <c r="E111" s="63">
        <v>0.93</v>
      </c>
      <c r="F111" s="63">
        <v>4.87</v>
      </c>
      <c r="G111" s="63">
        <f t="shared" si="33"/>
        <v>5.8</v>
      </c>
      <c r="H111" s="84">
        <f t="shared" si="34"/>
        <v>0.12</v>
      </c>
      <c r="I111" s="299">
        <v>47</v>
      </c>
      <c r="J111" s="55">
        <f t="shared" si="35"/>
        <v>273</v>
      </c>
      <c r="K111" s="55">
        <f t="shared" si="35"/>
        <v>6</v>
      </c>
      <c r="M111" s="45"/>
    </row>
    <row r="112" spans="1:13" x14ac:dyDescent="0.2">
      <c r="A112" s="45">
        <f t="shared" si="24"/>
        <v>104</v>
      </c>
      <c r="B112" s="61" t="str">
        <f t="shared" si="36"/>
        <v>54E</v>
      </c>
      <c r="C112" s="71" t="s">
        <v>41</v>
      </c>
      <c r="D112" s="66" t="s">
        <v>50</v>
      </c>
      <c r="E112" s="63">
        <v>1.04</v>
      </c>
      <c r="F112" s="63">
        <v>5.44</v>
      </c>
      <c r="G112" s="63">
        <f t="shared" si="33"/>
        <v>6.48</v>
      </c>
      <c r="H112" s="84">
        <f t="shared" si="34"/>
        <v>0.13</v>
      </c>
      <c r="I112" s="299">
        <v>0</v>
      </c>
      <c r="J112" s="55">
        <f t="shared" si="35"/>
        <v>0</v>
      </c>
      <c r="K112" s="55">
        <f t="shared" si="35"/>
        <v>0</v>
      </c>
      <c r="M112" s="45"/>
    </row>
    <row r="113" spans="1:13" x14ac:dyDescent="0.2">
      <c r="A113" s="45">
        <f t="shared" si="24"/>
        <v>105</v>
      </c>
      <c r="B113" s="74"/>
      <c r="C113" s="71"/>
      <c r="D113" s="66"/>
      <c r="E113" s="63"/>
      <c r="F113" s="63"/>
      <c r="G113" s="63"/>
      <c r="H113" s="84"/>
      <c r="I113" s="299"/>
      <c r="J113" s="51"/>
      <c r="K113" s="51"/>
      <c r="M113" s="45"/>
    </row>
    <row r="114" spans="1:13" x14ac:dyDescent="0.2">
      <c r="A114" s="45">
        <f t="shared" si="24"/>
        <v>106</v>
      </c>
      <c r="B114" s="49" t="s">
        <v>57</v>
      </c>
      <c r="C114" s="71"/>
      <c r="D114" s="66"/>
      <c r="E114" s="63"/>
      <c r="F114" s="63"/>
      <c r="G114" s="63"/>
      <c r="H114" s="84"/>
      <c r="I114" s="299"/>
      <c r="J114" s="51"/>
      <c r="K114" s="51"/>
      <c r="M114" s="45"/>
    </row>
    <row r="115" spans="1:13" x14ac:dyDescent="0.2">
      <c r="A115" s="45">
        <f t="shared" si="24"/>
        <v>107</v>
      </c>
      <c r="B115" s="61" t="s">
        <v>58</v>
      </c>
      <c r="C115" s="71" t="s">
        <v>25</v>
      </c>
      <c r="D115" s="66">
        <v>70</v>
      </c>
      <c r="E115" s="63">
        <v>0.26</v>
      </c>
      <c r="F115" s="63">
        <v>1.34</v>
      </c>
      <c r="G115" s="63">
        <f t="shared" ref="G115:G120" si="37">SUM(E115:F115)</f>
        <v>1.6</v>
      </c>
      <c r="H115" s="84">
        <f t="shared" ref="H115:H120" si="38">ROUND(+G115*$L$9,2)</f>
        <v>0.03</v>
      </c>
      <c r="I115" s="299">
        <v>168</v>
      </c>
      <c r="J115" s="55">
        <f t="shared" ref="J115:K120" si="39">ROUND($I115*G115,0)</f>
        <v>269</v>
      </c>
      <c r="K115" s="55">
        <f t="shared" si="39"/>
        <v>5</v>
      </c>
      <c r="M115" s="45"/>
    </row>
    <row r="116" spans="1:13" x14ac:dyDescent="0.2">
      <c r="A116" s="45">
        <f t="shared" si="24"/>
        <v>108</v>
      </c>
      <c r="B116" s="74" t="str">
        <f>+B115</f>
        <v>55E &amp; 56E</v>
      </c>
      <c r="C116" s="71" t="s">
        <v>25</v>
      </c>
      <c r="D116" s="66">
        <v>100</v>
      </c>
      <c r="E116" s="63">
        <v>0.37</v>
      </c>
      <c r="F116" s="63">
        <v>1.91</v>
      </c>
      <c r="G116" s="63">
        <f t="shared" si="37"/>
        <v>2.2799999999999998</v>
      </c>
      <c r="H116" s="84">
        <f t="shared" si="38"/>
        <v>0.05</v>
      </c>
      <c r="I116" s="299">
        <v>42096</v>
      </c>
      <c r="J116" s="55">
        <f t="shared" si="39"/>
        <v>95979</v>
      </c>
      <c r="K116" s="55">
        <f t="shared" si="39"/>
        <v>2105</v>
      </c>
      <c r="M116" s="45"/>
    </row>
    <row r="117" spans="1:13" x14ac:dyDescent="0.2">
      <c r="A117" s="45">
        <f t="shared" si="24"/>
        <v>109</v>
      </c>
      <c r="B117" s="74" t="str">
        <f>+B116</f>
        <v>55E &amp; 56E</v>
      </c>
      <c r="C117" s="71" t="s">
        <v>25</v>
      </c>
      <c r="D117" s="66">
        <v>150</v>
      </c>
      <c r="E117" s="63">
        <v>0.56000000000000005</v>
      </c>
      <c r="F117" s="63">
        <v>2.86</v>
      </c>
      <c r="G117" s="63">
        <f t="shared" si="37"/>
        <v>3.42</v>
      </c>
      <c r="H117" s="84">
        <f t="shared" si="38"/>
        <v>7.0000000000000007E-2</v>
      </c>
      <c r="I117" s="299">
        <v>5603</v>
      </c>
      <c r="J117" s="55">
        <f t="shared" si="39"/>
        <v>19162</v>
      </c>
      <c r="K117" s="55">
        <f t="shared" si="39"/>
        <v>392</v>
      </c>
      <c r="M117" s="45"/>
    </row>
    <row r="118" spans="1:13" x14ac:dyDescent="0.2">
      <c r="A118" s="45">
        <f t="shared" si="24"/>
        <v>110</v>
      </c>
      <c r="B118" s="74" t="str">
        <f>+B117</f>
        <v>55E &amp; 56E</v>
      </c>
      <c r="C118" s="71" t="s">
        <v>25</v>
      </c>
      <c r="D118" s="66">
        <v>200</v>
      </c>
      <c r="E118" s="63">
        <v>0.74</v>
      </c>
      <c r="F118" s="63">
        <v>3.82</v>
      </c>
      <c r="G118" s="63">
        <f t="shared" si="37"/>
        <v>4.5599999999999996</v>
      </c>
      <c r="H118" s="84">
        <f t="shared" si="38"/>
        <v>0.09</v>
      </c>
      <c r="I118" s="299">
        <v>11751</v>
      </c>
      <c r="J118" s="55">
        <f t="shared" si="39"/>
        <v>53585</v>
      </c>
      <c r="K118" s="55">
        <f t="shared" si="39"/>
        <v>1058</v>
      </c>
      <c r="M118" s="45"/>
    </row>
    <row r="119" spans="1:13" x14ac:dyDescent="0.2">
      <c r="A119" s="45">
        <f t="shared" si="24"/>
        <v>111</v>
      </c>
      <c r="B119" s="74" t="str">
        <f>+B118</f>
        <v>55E &amp; 56E</v>
      </c>
      <c r="C119" s="71" t="s">
        <v>25</v>
      </c>
      <c r="D119" s="66">
        <v>250</v>
      </c>
      <c r="E119" s="63">
        <v>0.93</v>
      </c>
      <c r="F119" s="63">
        <v>4.7699999999999996</v>
      </c>
      <c r="G119" s="63">
        <f t="shared" si="37"/>
        <v>5.6999999999999993</v>
      </c>
      <c r="H119" s="84">
        <f t="shared" si="38"/>
        <v>0.11</v>
      </c>
      <c r="I119" s="299">
        <v>1233</v>
      </c>
      <c r="J119" s="55">
        <f t="shared" si="39"/>
        <v>7028</v>
      </c>
      <c r="K119" s="55">
        <f t="shared" si="39"/>
        <v>136</v>
      </c>
      <c r="M119" s="45"/>
    </row>
    <row r="120" spans="1:13" x14ac:dyDescent="0.2">
      <c r="A120" s="45">
        <f t="shared" si="24"/>
        <v>112</v>
      </c>
      <c r="B120" s="74" t="str">
        <f>+B119</f>
        <v>55E &amp; 56E</v>
      </c>
      <c r="C120" s="71" t="s">
        <v>25</v>
      </c>
      <c r="D120" s="66">
        <v>400</v>
      </c>
      <c r="E120" s="63">
        <v>1.48</v>
      </c>
      <c r="F120" s="63">
        <v>7.64</v>
      </c>
      <c r="G120" s="63">
        <f t="shared" si="37"/>
        <v>9.1199999999999992</v>
      </c>
      <c r="H120" s="84">
        <f t="shared" si="38"/>
        <v>0.18</v>
      </c>
      <c r="I120" s="299">
        <v>449</v>
      </c>
      <c r="J120" s="55">
        <f t="shared" si="39"/>
        <v>4095</v>
      </c>
      <c r="K120" s="55">
        <f t="shared" si="39"/>
        <v>81</v>
      </c>
      <c r="M120" s="45"/>
    </row>
    <row r="121" spans="1:13" x14ac:dyDescent="0.2">
      <c r="A121" s="45">
        <f t="shared" si="24"/>
        <v>113</v>
      </c>
      <c r="B121" s="74"/>
      <c r="C121" s="71"/>
      <c r="D121" s="66"/>
      <c r="E121" s="63"/>
      <c r="F121" s="63"/>
      <c r="G121" s="63"/>
      <c r="H121" s="84"/>
      <c r="I121" s="299"/>
      <c r="J121" s="51"/>
      <c r="K121" s="51"/>
      <c r="M121" s="45"/>
    </row>
    <row r="122" spans="1:13" x14ac:dyDescent="0.2">
      <c r="A122" s="45">
        <f t="shared" si="24"/>
        <v>114</v>
      </c>
      <c r="B122" s="74" t="str">
        <f>+B120</f>
        <v>55E &amp; 56E</v>
      </c>
      <c r="C122" s="71" t="s">
        <v>53</v>
      </c>
      <c r="D122" s="66">
        <v>250</v>
      </c>
      <c r="E122" s="63">
        <v>0.93</v>
      </c>
      <c r="F122" s="63">
        <v>4.7699999999999996</v>
      </c>
      <c r="G122" s="63">
        <f>SUM(E122:F122)</f>
        <v>5.6999999999999993</v>
      </c>
      <c r="H122" s="84">
        <f>ROUND(+G122*$L$9,2)</f>
        <v>0.11</v>
      </c>
      <c r="I122" s="299">
        <v>82</v>
      </c>
      <c r="J122" s="55">
        <f>ROUND($I122*G122,0)</f>
        <v>467</v>
      </c>
      <c r="K122" s="55">
        <f>ROUND($I122*H122,0)</f>
        <v>9</v>
      </c>
      <c r="M122" s="45"/>
    </row>
    <row r="123" spans="1:13" x14ac:dyDescent="0.2">
      <c r="A123" s="45">
        <f t="shared" si="24"/>
        <v>115</v>
      </c>
      <c r="B123" s="74"/>
      <c r="C123" s="71"/>
      <c r="D123" s="66"/>
      <c r="E123" s="63"/>
      <c r="F123" s="63"/>
      <c r="G123" s="63"/>
      <c r="H123" s="84"/>
      <c r="I123" s="299"/>
      <c r="J123" s="51"/>
      <c r="K123" s="51"/>
      <c r="M123" s="45"/>
    </row>
    <row r="124" spans="1:13" x14ac:dyDescent="0.2">
      <c r="A124" s="45">
        <f t="shared" si="24"/>
        <v>116</v>
      </c>
      <c r="B124" s="74" t="s">
        <v>58</v>
      </c>
      <c r="C124" s="71" t="s">
        <v>41</v>
      </c>
      <c r="D124" s="69" t="s">
        <v>114</v>
      </c>
      <c r="E124" s="63">
        <v>0.06</v>
      </c>
      <c r="F124" s="63">
        <v>0.28999999999999998</v>
      </c>
      <c r="G124" s="63">
        <f t="shared" ref="G124:G133" si="40">SUM(E124:F124)</f>
        <v>0.35</v>
      </c>
      <c r="H124" s="84">
        <f t="shared" ref="H124:H133" si="41">ROUND(+G124*$L$9,2)</f>
        <v>0.01</v>
      </c>
      <c r="I124" s="299">
        <v>1</v>
      </c>
      <c r="J124" s="55">
        <f t="shared" ref="J124:K133" si="42">ROUND($I124*G124,0)</f>
        <v>0</v>
      </c>
      <c r="K124" s="55">
        <f t="shared" si="42"/>
        <v>0</v>
      </c>
      <c r="M124" s="45"/>
    </row>
    <row r="125" spans="1:13" x14ac:dyDescent="0.2">
      <c r="A125" s="45">
        <f t="shared" si="24"/>
        <v>117</v>
      </c>
      <c r="B125" s="74" t="s">
        <v>58</v>
      </c>
      <c r="C125" s="71" t="s">
        <v>41</v>
      </c>
      <c r="D125" s="70" t="s">
        <v>42</v>
      </c>
      <c r="E125" s="63">
        <v>0.17</v>
      </c>
      <c r="F125" s="63">
        <v>0.86</v>
      </c>
      <c r="G125" s="63">
        <f t="shared" si="40"/>
        <v>1.03</v>
      </c>
      <c r="H125" s="84">
        <f t="shared" si="41"/>
        <v>0.02</v>
      </c>
      <c r="I125" s="299">
        <v>9533</v>
      </c>
      <c r="J125" s="55">
        <f t="shared" si="42"/>
        <v>9819</v>
      </c>
      <c r="K125" s="55">
        <f t="shared" si="42"/>
        <v>191</v>
      </c>
      <c r="M125" s="45"/>
    </row>
    <row r="126" spans="1:13" x14ac:dyDescent="0.2">
      <c r="A126" s="45">
        <f t="shared" si="24"/>
        <v>118</v>
      </c>
      <c r="B126" s="74" t="s">
        <v>58</v>
      </c>
      <c r="C126" s="71" t="s">
        <v>41</v>
      </c>
      <c r="D126" s="66" t="s">
        <v>43</v>
      </c>
      <c r="E126" s="63">
        <v>0.28000000000000003</v>
      </c>
      <c r="F126" s="63">
        <v>1.43</v>
      </c>
      <c r="G126" s="63">
        <f t="shared" si="40"/>
        <v>1.71</v>
      </c>
      <c r="H126" s="84">
        <f t="shared" si="41"/>
        <v>0.03</v>
      </c>
      <c r="I126" s="299">
        <v>356</v>
      </c>
      <c r="J126" s="55">
        <f t="shared" si="42"/>
        <v>609</v>
      </c>
      <c r="K126" s="55">
        <f t="shared" si="42"/>
        <v>11</v>
      </c>
      <c r="M126" s="45"/>
    </row>
    <row r="127" spans="1:13" x14ac:dyDescent="0.2">
      <c r="A127" s="45">
        <f t="shared" si="24"/>
        <v>119</v>
      </c>
      <c r="B127" s="74" t="s">
        <v>58</v>
      </c>
      <c r="C127" s="71" t="s">
        <v>41</v>
      </c>
      <c r="D127" s="66" t="s">
        <v>44</v>
      </c>
      <c r="E127" s="63">
        <v>0.39</v>
      </c>
      <c r="F127" s="63">
        <v>2</v>
      </c>
      <c r="G127" s="63">
        <f t="shared" si="40"/>
        <v>2.39</v>
      </c>
      <c r="H127" s="84">
        <f t="shared" si="41"/>
        <v>0.05</v>
      </c>
      <c r="I127" s="299">
        <v>2004</v>
      </c>
      <c r="J127" s="55">
        <f t="shared" si="42"/>
        <v>4790</v>
      </c>
      <c r="K127" s="55">
        <f t="shared" si="42"/>
        <v>100</v>
      </c>
      <c r="M127" s="45"/>
    </row>
    <row r="128" spans="1:13" x14ac:dyDescent="0.2">
      <c r="A128" s="45">
        <f t="shared" si="24"/>
        <v>120</v>
      </c>
      <c r="B128" s="74" t="s">
        <v>58</v>
      </c>
      <c r="C128" s="71" t="s">
        <v>41</v>
      </c>
      <c r="D128" s="66" t="s">
        <v>45</v>
      </c>
      <c r="E128" s="63">
        <v>0.5</v>
      </c>
      <c r="F128" s="63">
        <v>2.58</v>
      </c>
      <c r="G128" s="63">
        <f t="shared" si="40"/>
        <v>3.08</v>
      </c>
      <c r="H128" s="84">
        <f t="shared" si="41"/>
        <v>0.06</v>
      </c>
      <c r="I128" s="299">
        <v>0</v>
      </c>
      <c r="J128" s="55">
        <f t="shared" si="42"/>
        <v>0</v>
      </c>
      <c r="K128" s="55">
        <f t="shared" si="42"/>
        <v>0</v>
      </c>
      <c r="M128" s="45"/>
    </row>
    <row r="129" spans="1:17" x14ac:dyDescent="0.2">
      <c r="A129" s="45">
        <f t="shared" si="24"/>
        <v>121</v>
      </c>
      <c r="B129" s="74" t="s">
        <v>58</v>
      </c>
      <c r="C129" s="71" t="s">
        <v>41</v>
      </c>
      <c r="D129" s="66" t="s">
        <v>46</v>
      </c>
      <c r="E129" s="63">
        <v>0.61</v>
      </c>
      <c r="F129" s="63">
        <v>3.15</v>
      </c>
      <c r="G129" s="63">
        <f t="shared" si="40"/>
        <v>3.76</v>
      </c>
      <c r="H129" s="84">
        <f t="shared" si="41"/>
        <v>0.08</v>
      </c>
      <c r="I129" s="299">
        <v>0</v>
      </c>
      <c r="J129" s="55">
        <f t="shared" si="42"/>
        <v>0</v>
      </c>
      <c r="K129" s="55">
        <f t="shared" si="42"/>
        <v>0</v>
      </c>
      <c r="M129" s="45"/>
    </row>
    <row r="130" spans="1:17" x14ac:dyDescent="0.2">
      <c r="A130" s="45">
        <f t="shared" si="24"/>
        <v>122</v>
      </c>
      <c r="B130" s="74" t="s">
        <v>58</v>
      </c>
      <c r="C130" s="71" t="s">
        <v>41</v>
      </c>
      <c r="D130" s="66" t="s">
        <v>47</v>
      </c>
      <c r="E130" s="63">
        <v>0.72</v>
      </c>
      <c r="F130" s="63">
        <v>3.72</v>
      </c>
      <c r="G130" s="63">
        <f t="shared" si="40"/>
        <v>4.4400000000000004</v>
      </c>
      <c r="H130" s="84">
        <f t="shared" si="41"/>
        <v>0.09</v>
      </c>
      <c r="I130" s="299">
        <v>0</v>
      </c>
      <c r="J130" s="55">
        <f t="shared" si="42"/>
        <v>0</v>
      </c>
      <c r="K130" s="55">
        <f t="shared" si="42"/>
        <v>0</v>
      </c>
      <c r="M130" s="45"/>
    </row>
    <row r="131" spans="1:17" x14ac:dyDescent="0.2">
      <c r="A131" s="45">
        <f t="shared" si="24"/>
        <v>123</v>
      </c>
      <c r="B131" s="74" t="s">
        <v>58</v>
      </c>
      <c r="C131" s="71" t="s">
        <v>41</v>
      </c>
      <c r="D131" s="66" t="s">
        <v>48</v>
      </c>
      <c r="E131" s="63">
        <v>0.83</v>
      </c>
      <c r="F131" s="63">
        <v>4.3</v>
      </c>
      <c r="G131" s="63">
        <f t="shared" si="40"/>
        <v>5.13</v>
      </c>
      <c r="H131" s="84">
        <f t="shared" si="41"/>
        <v>0.1</v>
      </c>
      <c r="I131" s="299">
        <v>0</v>
      </c>
      <c r="J131" s="55">
        <f t="shared" si="42"/>
        <v>0</v>
      </c>
      <c r="K131" s="55">
        <f t="shared" si="42"/>
        <v>0</v>
      </c>
      <c r="M131" s="45"/>
    </row>
    <row r="132" spans="1:17" x14ac:dyDescent="0.2">
      <c r="A132" s="45">
        <f t="shared" si="24"/>
        <v>124</v>
      </c>
      <c r="B132" s="74" t="s">
        <v>58</v>
      </c>
      <c r="C132" s="71" t="s">
        <v>41</v>
      </c>
      <c r="D132" s="66" t="s">
        <v>49</v>
      </c>
      <c r="E132" s="63">
        <v>0.94</v>
      </c>
      <c r="F132" s="63">
        <v>4.87</v>
      </c>
      <c r="G132" s="63">
        <f t="shared" si="40"/>
        <v>5.8100000000000005</v>
      </c>
      <c r="H132" s="84">
        <f t="shared" si="41"/>
        <v>0.12</v>
      </c>
      <c r="I132" s="299">
        <v>0</v>
      </c>
      <c r="J132" s="55">
        <f t="shared" si="42"/>
        <v>0</v>
      </c>
      <c r="K132" s="55">
        <f t="shared" si="42"/>
        <v>0</v>
      </c>
      <c r="M132" s="45"/>
    </row>
    <row r="133" spans="1:17" x14ac:dyDescent="0.2">
      <c r="A133" s="45">
        <f t="shared" si="24"/>
        <v>125</v>
      </c>
      <c r="B133" s="74" t="s">
        <v>58</v>
      </c>
      <c r="C133" s="71" t="s">
        <v>41</v>
      </c>
      <c r="D133" s="66" t="s">
        <v>50</v>
      </c>
      <c r="E133" s="63">
        <v>1.06</v>
      </c>
      <c r="F133" s="63">
        <v>5.44</v>
      </c>
      <c r="G133" s="63">
        <f t="shared" si="40"/>
        <v>6.5</v>
      </c>
      <c r="H133" s="84">
        <f t="shared" si="41"/>
        <v>0.13</v>
      </c>
      <c r="I133" s="299">
        <v>0</v>
      </c>
      <c r="J133" s="55">
        <f t="shared" si="42"/>
        <v>0</v>
      </c>
      <c r="K133" s="55">
        <f t="shared" si="42"/>
        <v>0</v>
      </c>
      <c r="M133" s="45"/>
    </row>
    <row r="134" spans="1:17" x14ac:dyDescent="0.2">
      <c r="A134" s="45">
        <f t="shared" si="24"/>
        <v>126</v>
      </c>
      <c r="B134" s="74"/>
      <c r="C134" s="71"/>
      <c r="D134" s="66"/>
      <c r="E134" s="63"/>
      <c r="F134" s="63"/>
      <c r="G134" s="63"/>
      <c r="H134" s="84"/>
      <c r="I134" s="299"/>
      <c r="J134" s="51"/>
      <c r="K134" s="51"/>
      <c r="M134" s="45"/>
    </row>
    <row r="135" spans="1:17" x14ac:dyDescent="0.2">
      <c r="A135" s="45">
        <f t="shared" si="24"/>
        <v>127</v>
      </c>
      <c r="B135" s="49" t="s">
        <v>69</v>
      </c>
      <c r="C135" s="71"/>
      <c r="D135" s="66"/>
      <c r="E135" s="63"/>
      <c r="F135" s="63"/>
      <c r="G135" s="63"/>
      <c r="H135" s="84"/>
      <c r="I135" s="299"/>
      <c r="J135" s="51"/>
      <c r="K135" s="51"/>
      <c r="M135" s="45"/>
    </row>
    <row r="136" spans="1:17" x14ac:dyDescent="0.2">
      <c r="A136" s="45">
        <f t="shared" si="24"/>
        <v>128</v>
      </c>
      <c r="B136" s="74" t="s">
        <v>70</v>
      </c>
      <c r="C136" s="71" t="s">
        <v>71</v>
      </c>
      <c r="D136" s="66">
        <v>0</v>
      </c>
      <c r="E136" s="75">
        <v>2.8600000000000001E-3</v>
      </c>
      <c r="F136" s="75">
        <v>3.9829999999999997E-2</v>
      </c>
      <c r="G136" s="75">
        <f>SUM(E136:F136)</f>
        <v>4.2689999999999999E-2</v>
      </c>
      <c r="H136" s="85">
        <f>ROUND(+G136*$L$9,5)</f>
        <v>8.4999999999999995E-4</v>
      </c>
      <c r="I136" s="299">
        <v>6934890</v>
      </c>
      <c r="J136" s="55">
        <f>ROUND($I136*G136,0)</f>
        <v>296050</v>
      </c>
      <c r="K136" s="55">
        <f>ROUND($I136*H136,0)</f>
        <v>5895</v>
      </c>
      <c r="M136" s="45"/>
    </row>
    <row r="137" spans="1:17" x14ac:dyDescent="0.2">
      <c r="A137" s="45">
        <f t="shared" si="24"/>
        <v>129</v>
      </c>
      <c r="B137" s="74"/>
      <c r="C137" s="71"/>
      <c r="D137" s="66"/>
      <c r="E137" s="63"/>
      <c r="F137" s="63"/>
      <c r="G137" s="63"/>
      <c r="H137" s="84"/>
      <c r="I137" s="299"/>
      <c r="J137" s="51"/>
      <c r="K137" s="51"/>
      <c r="M137" s="45"/>
    </row>
    <row r="138" spans="1:17" x14ac:dyDescent="0.2">
      <c r="A138" s="45">
        <f t="shared" si="24"/>
        <v>130</v>
      </c>
      <c r="B138" s="49" t="s">
        <v>59</v>
      </c>
      <c r="C138" s="71"/>
      <c r="D138" s="66"/>
      <c r="E138" s="63"/>
      <c r="F138" s="63"/>
      <c r="G138" s="63"/>
      <c r="H138" s="84"/>
      <c r="I138" s="299"/>
      <c r="J138" s="51"/>
      <c r="K138" s="51"/>
      <c r="M138" s="45"/>
    </row>
    <row r="139" spans="1:17" x14ac:dyDescent="0.2">
      <c r="A139" s="45">
        <f t="shared" ref="A139:A175" si="43">+A138+1</f>
        <v>131</v>
      </c>
      <c r="B139" s="61" t="s">
        <v>60</v>
      </c>
      <c r="C139" s="71" t="s">
        <v>25</v>
      </c>
      <c r="D139" s="66">
        <v>70</v>
      </c>
      <c r="E139" s="63">
        <v>0.26</v>
      </c>
      <c r="F139" s="63">
        <v>1.34</v>
      </c>
      <c r="G139" s="63">
        <f t="shared" ref="G139:G144" si="44">SUM(E139:F139)</f>
        <v>1.6</v>
      </c>
      <c r="H139" s="84">
        <f t="shared" ref="H139:H144" si="45">ROUND(+G139*$L$9,2)</f>
        <v>0.03</v>
      </c>
      <c r="I139" s="299">
        <v>610</v>
      </c>
      <c r="J139" s="55">
        <f t="shared" ref="J139:K144" si="46">ROUND($I139*G139,0)</f>
        <v>976</v>
      </c>
      <c r="K139" s="55">
        <f t="shared" si="46"/>
        <v>18</v>
      </c>
      <c r="M139" s="45"/>
    </row>
    <row r="140" spans="1:17" x14ac:dyDescent="0.2">
      <c r="A140" s="45">
        <f t="shared" si="43"/>
        <v>132</v>
      </c>
      <c r="B140" s="74" t="str">
        <f>+B139</f>
        <v>58E &amp; 59E - Directional</v>
      </c>
      <c r="C140" s="71" t="s">
        <v>25</v>
      </c>
      <c r="D140" s="66">
        <v>100</v>
      </c>
      <c r="E140" s="63">
        <v>0.37</v>
      </c>
      <c r="F140" s="63">
        <v>1.91</v>
      </c>
      <c r="G140" s="63">
        <f t="shared" si="44"/>
        <v>2.2799999999999998</v>
      </c>
      <c r="H140" s="84">
        <f t="shared" si="45"/>
        <v>0.05</v>
      </c>
      <c r="I140" s="299">
        <v>121</v>
      </c>
      <c r="J140" s="55">
        <f t="shared" si="46"/>
        <v>276</v>
      </c>
      <c r="K140" s="55">
        <f t="shared" si="46"/>
        <v>6</v>
      </c>
      <c r="M140" s="45"/>
      <c r="Q140" s="91"/>
    </row>
    <row r="141" spans="1:17" x14ac:dyDescent="0.2">
      <c r="A141" s="45">
        <f t="shared" si="43"/>
        <v>133</v>
      </c>
      <c r="B141" s="74" t="str">
        <f>+B140</f>
        <v>58E &amp; 59E - Directional</v>
      </c>
      <c r="C141" s="71" t="s">
        <v>25</v>
      </c>
      <c r="D141" s="66">
        <v>150</v>
      </c>
      <c r="E141" s="63">
        <v>0.56000000000000005</v>
      </c>
      <c r="F141" s="63">
        <v>2.86</v>
      </c>
      <c r="G141" s="63">
        <f t="shared" si="44"/>
        <v>3.42</v>
      </c>
      <c r="H141" s="84">
        <f t="shared" si="45"/>
        <v>7.0000000000000007E-2</v>
      </c>
      <c r="I141" s="299">
        <v>1699</v>
      </c>
      <c r="J141" s="55">
        <f t="shared" si="46"/>
        <v>5811</v>
      </c>
      <c r="K141" s="55">
        <f t="shared" si="46"/>
        <v>119</v>
      </c>
      <c r="M141" s="45"/>
      <c r="Q141" s="91"/>
    </row>
    <row r="142" spans="1:17" x14ac:dyDescent="0.2">
      <c r="A142" s="45">
        <f t="shared" si="43"/>
        <v>134</v>
      </c>
      <c r="B142" s="74" t="str">
        <f>+B141</f>
        <v>58E &amp; 59E - Directional</v>
      </c>
      <c r="C142" s="71" t="s">
        <v>25</v>
      </c>
      <c r="D142" s="66">
        <v>200</v>
      </c>
      <c r="E142" s="63">
        <v>0.74</v>
      </c>
      <c r="F142" s="63">
        <v>3.82</v>
      </c>
      <c r="G142" s="63">
        <f t="shared" si="44"/>
        <v>4.5599999999999996</v>
      </c>
      <c r="H142" s="84">
        <f t="shared" si="45"/>
        <v>0.09</v>
      </c>
      <c r="I142" s="299">
        <v>3055</v>
      </c>
      <c r="J142" s="55">
        <f t="shared" si="46"/>
        <v>13931</v>
      </c>
      <c r="K142" s="55">
        <f t="shared" si="46"/>
        <v>275</v>
      </c>
      <c r="M142" s="45"/>
      <c r="Q142" s="91"/>
    </row>
    <row r="143" spans="1:17" x14ac:dyDescent="0.2">
      <c r="A143" s="45">
        <f t="shared" si="43"/>
        <v>135</v>
      </c>
      <c r="B143" s="74" t="str">
        <f>+B142</f>
        <v>58E &amp; 59E - Directional</v>
      </c>
      <c r="C143" s="71" t="s">
        <v>25</v>
      </c>
      <c r="D143" s="66">
        <v>250</v>
      </c>
      <c r="E143" s="63">
        <v>0.93</v>
      </c>
      <c r="F143" s="63">
        <v>4.7699999999999996</v>
      </c>
      <c r="G143" s="63">
        <f t="shared" si="44"/>
        <v>5.6999999999999993</v>
      </c>
      <c r="H143" s="84">
        <f t="shared" si="45"/>
        <v>0.11</v>
      </c>
      <c r="I143" s="299">
        <v>456</v>
      </c>
      <c r="J143" s="55">
        <f t="shared" si="46"/>
        <v>2599</v>
      </c>
      <c r="K143" s="55">
        <f t="shared" si="46"/>
        <v>50</v>
      </c>
      <c r="M143" s="45"/>
      <c r="Q143" s="91"/>
    </row>
    <row r="144" spans="1:17" x14ac:dyDescent="0.2">
      <c r="A144" s="45">
        <f t="shared" si="43"/>
        <v>136</v>
      </c>
      <c r="B144" s="74" t="str">
        <f>+B143</f>
        <v>58E &amp; 59E - Directional</v>
      </c>
      <c r="C144" s="71" t="s">
        <v>25</v>
      </c>
      <c r="D144" s="66">
        <v>400</v>
      </c>
      <c r="E144" s="63">
        <v>1.48</v>
      </c>
      <c r="F144" s="63">
        <v>7.64</v>
      </c>
      <c r="G144" s="63">
        <f t="shared" si="44"/>
        <v>9.1199999999999992</v>
      </c>
      <c r="H144" s="84">
        <f t="shared" si="45"/>
        <v>0.18</v>
      </c>
      <c r="I144" s="299">
        <v>3997</v>
      </c>
      <c r="J144" s="55">
        <f t="shared" si="46"/>
        <v>36453</v>
      </c>
      <c r="K144" s="55">
        <f t="shared" si="46"/>
        <v>719</v>
      </c>
      <c r="M144" s="45"/>
      <c r="Q144" s="91"/>
    </row>
    <row r="145" spans="1:17" x14ac:dyDescent="0.2">
      <c r="A145" s="45">
        <f t="shared" si="43"/>
        <v>137</v>
      </c>
      <c r="B145" s="74"/>
      <c r="C145" s="71"/>
      <c r="D145" s="66"/>
      <c r="E145" s="63"/>
      <c r="F145" s="63"/>
      <c r="G145" s="63"/>
      <c r="H145" s="84"/>
      <c r="I145" s="299"/>
      <c r="J145" s="51"/>
      <c r="K145" s="51"/>
      <c r="M145" s="45"/>
      <c r="Q145" s="91"/>
    </row>
    <row r="146" spans="1:17" x14ac:dyDescent="0.2">
      <c r="A146" s="45">
        <f t="shared" si="43"/>
        <v>138</v>
      </c>
      <c r="B146" s="61" t="s">
        <v>61</v>
      </c>
      <c r="C146" s="71" t="s">
        <v>25</v>
      </c>
      <c r="D146" s="66">
        <v>100</v>
      </c>
      <c r="E146" s="63">
        <v>0.37</v>
      </c>
      <c r="F146" s="63">
        <v>1.91</v>
      </c>
      <c r="G146" s="63">
        <f>SUM(E146:F146)</f>
        <v>2.2799999999999998</v>
      </c>
      <c r="H146" s="84">
        <f>ROUND(+G146*$L$9,2)</f>
        <v>0.05</v>
      </c>
      <c r="I146" s="299">
        <v>0</v>
      </c>
      <c r="J146" s="55">
        <f t="shared" ref="J146:K150" si="47">ROUND($I146*G146,0)</f>
        <v>0</v>
      </c>
      <c r="K146" s="55">
        <f t="shared" si="47"/>
        <v>0</v>
      </c>
      <c r="M146" s="45"/>
      <c r="Q146" s="91"/>
    </row>
    <row r="147" spans="1:17" x14ac:dyDescent="0.2">
      <c r="A147" s="45">
        <f t="shared" si="43"/>
        <v>139</v>
      </c>
      <c r="B147" s="74" t="str">
        <f>B146</f>
        <v>58E &amp; 59E - Horizontal</v>
      </c>
      <c r="C147" s="71" t="s">
        <v>25</v>
      </c>
      <c r="D147" s="66">
        <v>150</v>
      </c>
      <c r="E147" s="63">
        <v>0.56000000000000005</v>
      </c>
      <c r="F147" s="63">
        <v>2.86</v>
      </c>
      <c r="G147" s="63">
        <f>SUM(E147:F147)</f>
        <v>3.42</v>
      </c>
      <c r="H147" s="84">
        <f>ROUND(+G147*$L$9,2)</f>
        <v>7.0000000000000007E-2</v>
      </c>
      <c r="I147" s="299">
        <v>168</v>
      </c>
      <c r="J147" s="55">
        <f t="shared" si="47"/>
        <v>575</v>
      </c>
      <c r="K147" s="55">
        <f t="shared" si="47"/>
        <v>12</v>
      </c>
      <c r="M147" s="45"/>
      <c r="Q147" s="91"/>
    </row>
    <row r="148" spans="1:17" x14ac:dyDescent="0.2">
      <c r="A148" s="45">
        <f t="shared" si="43"/>
        <v>140</v>
      </c>
      <c r="B148" s="74" t="str">
        <f>B147</f>
        <v>58E &amp; 59E - Horizontal</v>
      </c>
      <c r="C148" s="71" t="s">
        <v>25</v>
      </c>
      <c r="D148" s="66">
        <v>200</v>
      </c>
      <c r="E148" s="63">
        <v>0.74</v>
      </c>
      <c r="F148" s="63">
        <v>3.82</v>
      </c>
      <c r="G148" s="63">
        <f>SUM(E148:F148)</f>
        <v>4.5599999999999996</v>
      </c>
      <c r="H148" s="84">
        <f>ROUND(+G148*$L$9,2)</f>
        <v>0.09</v>
      </c>
      <c r="I148" s="299">
        <v>95</v>
      </c>
      <c r="J148" s="55">
        <f t="shared" si="47"/>
        <v>433</v>
      </c>
      <c r="K148" s="55">
        <f t="shared" si="47"/>
        <v>9</v>
      </c>
      <c r="M148" s="45"/>
      <c r="Q148" s="91"/>
    </row>
    <row r="149" spans="1:17" x14ac:dyDescent="0.2">
      <c r="A149" s="45">
        <f t="shared" si="43"/>
        <v>141</v>
      </c>
      <c r="B149" s="74" t="str">
        <f>B148</f>
        <v>58E &amp; 59E - Horizontal</v>
      </c>
      <c r="C149" s="71" t="s">
        <v>25</v>
      </c>
      <c r="D149" s="66">
        <v>250</v>
      </c>
      <c r="E149" s="63">
        <v>0.93</v>
      </c>
      <c r="F149" s="63">
        <v>4.7699999999999996</v>
      </c>
      <c r="G149" s="63">
        <f>SUM(E149:F149)</f>
        <v>5.6999999999999993</v>
      </c>
      <c r="H149" s="84">
        <f>ROUND(+G149*$L$9,2)</f>
        <v>0.11</v>
      </c>
      <c r="I149" s="299">
        <v>377</v>
      </c>
      <c r="J149" s="55">
        <f t="shared" si="47"/>
        <v>2149</v>
      </c>
      <c r="K149" s="55">
        <f t="shared" si="47"/>
        <v>41</v>
      </c>
      <c r="M149" s="45"/>
      <c r="Q149" s="91"/>
    </row>
    <row r="150" spans="1:17" x14ac:dyDescent="0.2">
      <c r="A150" s="45">
        <f t="shared" si="43"/>
        <v>142</v>
      </c>
      <c r="B150" s="74" t="str">
        <f>B149</f>
        <v>58E &amp; 59E - Horizontal</v>
      </c>
      <c r="C150" s="71" t="s">
        <v>25</v>
      </c>
      <c r="D150" s="66">
        <v>400</v>
      </c>
      <c r="E150" s="63">
        <v>1.48</v>
      </c>
      <c r="F150" s="63">
        <v>7.64</v>
      </c>
      <c r="G150" s="63">
        <f>SUM(E150:F150)</f>
        <v>9.1199999999999992</v>
      </c>
      <c r="H150" s="84">
        <f>ROUND(+G150*$L$9,2)</f>
        <v>0.18</v>
      </c>
      <c r="I150" s="299">
        <v>502</v>
      </c>
      <c r="J150" s="55">
        <f t="shared" si="47"/>
        <v>4578</v>
      </c>
      <c r="K150" s="55">
        <f t="shared" si="47"/>
        <v>90</v>
      </c>
      <c r="M150" s="45"/>
      <c r="Q150" s="91"/>
    </row>
    <row r="151" spans="1:17" x14ac:dyDescent="0.2">
      <c r="A151" s="45">
        <f t="shared" si="43"/>
        <v>143</v>
      </c>
      <c r="B151" s="74"/>
      <c r="C151" s="71"/>
      <c r="D151" s="66"/>
      <c r="E151" s="63"/>
      <c r="F151" s="63"/>
      <c r="G151" s="63"/>
      <c r="H151" s="84"/>
      <c r="I151" s="299"/>
      <c r="J151" s="51"/>
      <c r="K151" s="51"/>
      <c r="M151" s="45"/>
      <c r="Q151" s="91"/>
    </row>
    <row r="152" spans="1:17" x14ac:dyDescent="0.2">
      <c r="A152" s="45">
        <f t="shared" si="43"/>
        <v>144</v>
      </c>
      <c r="B152" s="74" t="str">
        <f>B140</f>
        <v>58E &amp; 59E - Directional</v>
      </c>
      <c r="C152" s="71" t="s">
        <v>53</v>
      </c>
      <c r="D152" s="66">
        <v>175</v>
      </c>
      <c r="E152" s="63">
        <v>0.65</v>
      </c>
      <c r="F152" s="63">
        <v>3.34</v>
      </c>
      <c r="G152" s="63">
        <f>SUM(E152:F152)</f>
        <v>3.9899999999999998</v>
      </c>
      <c r="H152" s="84">
        <f>ROUND(+G152*$L$9,2)</f>
        <v>0.08</v>
      </c>
      <c r="I152" s="299">
        <v>36</v>
      </c>
      <c r="J152" s="55">
        <f t="shared" ref="J152:K155" si="48">ROUND($I152*G152,0)</f>
        <v>144</v>
      </c>
      <c r="K152" s="55">
        <f t="shared" si="48"/>
        <v>3</v>
      </c>
      <c r="M152" s="45"/>
      <c r="Q152" s="91"/>
    </row>
    <row r="153" spans="1:17" x14ac:dyDescent="0.2">
      <c r="A153" s="45">
        <f t="shared" si="43"/>
        <v>145</v>
      </c>
      <c r="B153" s="74" t="str">
        <f>B152</f>
        <v>58E &amp; 59E - Directional</v>
      </c>
      <c r="C153" s="71" t="s">
        <v>53</v>
      </c>
      <c r="D153" s="66">
        <v>250</v>
      </c>
      <c r="E153" s="63">
        <v>0.93</v>
      </c>
      <c r="F153" s="63">
        <v>4.7699999999999996</v>
      </c>
      <c r="G153" s="63">
        <f>SUM(E153:F153)</f>
        <v>5.6999999999999993</v>
      </c>
      <c r="H153" s="84">
        <f>ROUND(+G153*$L$9,2)</f>
        <v>0.11</v>
      </c>
      <c r="I153" s="299">
        <v>189</v>
      </c>
      <c r="J153" s="55">
        <f t="shared" si="48"/>
        <v>1077</v>
      </c>
      <c r="K153" s="55">
        <f t="shared" si="48"/>
        <v>21</v>
      </c>
      <c r="M153" s="45"/>
      <c r="Q153" s="91"/>
    </row>
    <row r="154" spans="1:17" x14ac:dyDescent="0.2">
      <c r="A154" s="45">
        <f t="shared" si="43"/>
        <v>146</v>
      </c>
      <c r="B154" s="74" t="str">
        <f>B153</f>
        <v>58E &amp; 59E - Directional</v>
      </c>
      <c r="C154" s="71" t="s">
        <v>53</v>
      </c>
      <c r="D154" s="66">
        <v>400</v>
      </c>
      <c r="E154" s="63">
        <v>1.48</v>
      </c>
      <c r="F154" s="63">
        <v>7.64</v>
      </c>
      <c r="G154" s="63">
        <f>SUM(E154:F154)</f>
        <v>9.1199999999999992</v>
      </c>
      <c r="H154" s="84">
        <f>ROUND(+G154*$L$9,2)</f>
        <v>0.18</v>
      </c>
      <c r="I154" s="299">
        <v>928</v>
      </c>
      <c r="J154" s="55">
        <f t="shared" si="48"/>
        <v>8463</v>
      </c>
      <c r="K154" s="55">
        <f t="shared" si="48"/>
        <v>167</v>
      </c>
      <c r="M154" s="45"/>
      <c r="Q154" s="91"/>
    </row>
    <row r="155" spans="1:17" x14ac:dyDescent="0.2">
      <c r="A155" s="45">
        <f t="shared" si="43"/>
        <v>147</v>
      </c>
      <c r="B155" s="74" t="str">
        <f>B154</f>
        <v>58E &amp; 59E - Directional</v>
      </c>
      <c r="C155" s="71" t="s">
        <v>53</v>
      </c>
      <c r="D155" s="66">
        <v>1000</v>
      </c>
      <c r="E155" s="63">
        <v>3.7</v>
      </c>
      <c r="F155" s="63">
        <v>19.09</v>
      </c>
      <c r="G155" s="63">
        <f>SUM(E155:F155)</f>
        <v>22.79</v>
      </c>
      <c r="H155" s="84">
        <f>ROUND(+G155*$L$9,2)</f>
        <v>0.45</v>
      </c>
      <c r="I155" s="299">
        <v>1385</v>
      </c>
      <c r="J155" s="55">
        <f t="shared" si="48"/>
        <v>31564</v>
      </c>
      <c r="K155" s="55">
        <f t="shared" si="48"/>
        <v>623</v>
      </c>
      <c r="M155" s="45"/>
      <c r="Q155" s="91"/>
    </row>
    <row r="156" spans="1:17" x14ac:dyDescent="0.2">
      <c r="A156" s="45">
        <f t="shared" si="43"/>
        <v>148</v>
      </c>
      <c r="B156" s="74"/>
      <c r="C156" s="71"/>
      <c r="D156" s="66"/>
      <c r="E156" s="63"/>
      <c r="F156" s="63"/>
      <c r="G156" s="63"/>
      <c r="H156" s="84"/>
      <c r="I156" s="299"/>
      <c r="J156" s="51"/>
      <c r="K156" s="51"/>
      <c r="M156" s="45"/>
      <c r="Q156" s="91"/>
    </row>
    <row r="157" spans="1:17" x14ac:dyDescent="0.2">
      <c r="A157" s="45">
        <f t="shared" si="43"/>
        <v>149</v>
      </c>
      <c r="B157" s="74" t="str">
        <f>B146</f>
        <v>58E &amp; 59E - Horizontal</v>
      </c>
      <c r="C157" s="71" t="s">
        <v>53</v>
      </c>
      <c r="D157" s="66">
        <v>250</v>
      </c>
      <c r="E157" s="63">
        <v>0.93</v>
      </c>
      <c r="F157" s="63">
        <v>4.7699999999999996</v>
      </c>
      <c r="G157" s="63">
        <f>SUM(E157:F157)</f>
        <v>5.6999999999999993</v>
      </c>
      <c r="H157" s="84">
        <f>ROUND(+G157*$L$9,2)</f>
        <v>0.11</v>
      </c>
      <c r="I157" s="299">
        <v>86</v>
      </c>
      <c r="J157" s="55">
        <f>ROUND($I157*G157,0)</f>
        <v>490</v>
      </c>
      <c r="K157" s="55">
        <f>ROUND($I157*H157,0)</f>
        <v>9</v>
      </c>
      <c r="M157" s="45"/>
      <c r="Q157" s="91"/>
    </row>
    <row r="158" spans="1:17" x14ac:dyDescent="0.2">
      <c r="A158" s="45">
        <f t="shared" si="43"/>
        <v>150</v>
      </c>
      <c r="B158" s="74" t="str">
        <f>B157</f>
        <v>58E &amp; 59E - Horizontal</v>
      </c>
      <c r="C158" s="71" t="s">
        <v>53</v>
      </c>
      <c r="D158" s="66">
        <v>400</v>
      </c>
      <c r="E158" s="63">
        <v>1.48</v>
      </c>
      <c r="F158" s="63">
        <v>7.64</v>
      </c>
      <c r="G158" s="63">
        <f>SUM(E158:F158)</f>
        <v>9.1199999999999992</v>
      </c>
      <c r="H158" s="84">
        <f>ROUND(+G158*$L$9,2)</f>
        <v>0.18</v>
      </c>
      <c r="I158" s="299">
        <v>468</v>
      </c>
      <c r="J158" s="55">
        <f>ROUND($I158*G158,0)</f>
        <v>4268</v>
      </c>
      <c r="K158" s="55">
        <f>ROUND($I158*H158,0)</f>
        <v>84</v>
      </c>
      <c r="M158" s="45"/>
    </row>
    <row r="159" spans="1:17" x14ac:dyDescent="0.2">
      <c r="A159" s="45">
        <f t="shared" si="43"/>
        <v>151</v>
      </c>
      <c r="B159" s="74"/>
      <c r="C159" s="71"/>
      <c r="D159" s="66"/>
      <c r="E159" s="63"/>
      <c r="F159" s="63"/>
      <c r="G159" s="63"/>
      <c r="H159" s="84"/>
      <c r="I159" s="299"/>
      <c r="J159" s="51"/>
      <c r="K159" s="51"/>
      <c r="M159" s="45"/>
    </row>
    <row r="160" spans="1:17" x14ac:dyDescent="0.2">
      <c r="A160" s="45">
        <f t="shared" si="43"/>
        <v>152</v>
      </c>
      <c r="B160" s="74" t="s">
        <v>62</v>
      </c>
      <c r="C160" s="71" t="s">
        <v>41</v>
      </c>
      <c r="D160" s="69" t="s">
        <v>114</v>
      </c>
      <c r="E160" s="63">
        <v>0.06</v>
      </c>
      <c r="F160" s="63">
        <v>0.28999999999999998</v>
      </c>
      <c r="G160" s="63">
        <f t="shared" ref="G160:G175" si="49">SUM(E160:F160)</f>
        <v>0.35</v>
      </c>
      <c r="H160" s="84">
        <f t="shared" ref="H160:H175" si="50">ROUND(+G160*$L$9,2)</f>
        <v>0.01</v>
      </c>
      <c r="I160" s="299">
        <v>0</v>
      </c>
      <c r="J160" s="55">
        <f t="shared" ref="J160:K175" si="51">ROUND($I160*G160,0)</f>
        <v>0</v>
      </c>
      <c r="K160" s="55">
        <f t="shared" si="51"/>
        <v>0</v>
      </c>
      <c r="M160" s="45"/>
    </row>
    <row r="161" spans="1:13" x14ac:dyDescent="0.2">
      <c r="A161" s="45">
        <f t="shared" si="43"/>
        <v>153</v>
      </c>
      <c r="B161" s="74" t="s">
        <v>62</v>
      </c>
      <c r="C161" s="71" t="s">
        <v>41</v>
      </c>
      <c r="D161" s="70" t="s">
        <v>115</v>
      </c>
      <c r="E161" s="63">
        <v>0.17</v>
      </c>
      <c r="F161" s="63">
        <v>0.86</v>
      </c>
      <c r="G161" s="63">
        <f t="shared" si="49"/>
        <v>1.03</v>
      </c>
      <c r="H161" s="84">
        <f t="shared" si="50"/>
        <v>0.02</v>
      </c>
      <c r="I161" s="299">
        <v>58</v>
      </c>
      <c r="J161" s="55">
        <f t="shared" si="51"/>
        <v>60</v>
      </c>
      <c r="K161" s="55">
        <f t="shared" si="51"/>
        <v>1</v>
      </c>
      <c r="M161" s="45"/>
    </row>
    <row r="162" spans="1:13" x14ac:dyDescent="0.2">
      <c r="A162" s="45">
        <f t="shared" si="43"/>
        <v>154</v>
      </c>
      <c r="B162" s="74" t="str">
        <f t="shared" ref="B162:B175" si="52">B161</f>
        <v>58E &amp; 59E</v>
      </c>
      <c r="C162" s="71" t="s">
        <v>41</v>
      </c>
      <c r="D162" s="66" t="s">
        <v>43</v>
      </c>
      <c r="E162" s="63">
        <v>0.28000000000000003</v>
      </c>
      <c r="F162" s="63">
        <v>1.43</v>
      </c>
      <c r="G162" s="63">
        <f t="shared" si="49"/>
        <v>1.71</v>
      </c>
      <c r="H162" s="84">
        <f t="shared" si="50"/>
        <v>0.03</v>
      </c>
      <c r="I162" s="299">
        <v>843</v>
      </c>
      <c r="J162" s="55">
        <f t="shared" si="51"/>
        <v>1442</v>
      </c>
      <c r="K162" s="55">
        <f t="shared" si="51"/>
        <v>25</v>
      </c>
      <c r="M162" s="45"/>
    </row>
    <row r="163" spans="1:13" x14ac:dyDescent="0.2">
      <c r="A163" s="45">
        <f t="shared" si="43"/>
        <v>155</v>
      </c>
      <c r="B163" s="74" t="str">
        <f t="shared" si="52"/>
        <v>58E &amp; 59E</v>
      </c>
      <c r="C163" s="71" t="s">
        <v>41</v>
      </c>
      <c r="D163" s="66" t="s">
        <v>44</v>
      </c>
      <c r="E163" s="63">
        <v>0.39</v>
      </c>
      <c r="F163" s="63">
        <v>2</v>
      </c>
      <c r="G163" s="63">
        <f t="shared" si="49"/>
        <v>2.39</v>
      </c>
      <c r="H163" s="84">
        <f t="shared" si="50"/>
        <v>0.05</v>
      </c>
      <c r="I163" s="299">
        <v>196</v>
      </c>
      <c r="J163" s="55">
        <f t="shared" si="51"/>
        <v>468</v>
      </c>
      <c r="K163" s="55">
        <f t="shared" si="51"/>
        <v>10</v>
      </c>
      <c r="M163" s="45"/>
    </row>
    <row r="164" spans="1:13" x14ac:dyDescent="0.2">
      <c r="A164" s="45">
        <f t="shared" si="43"/>
        <v>156</v>
      </c>
      <c r="B164" s="74" t="str">
        <f t="shared" si="52"/>
        <v>58E &amp; 59E</v>
      </c>
      <c r="C164" s="71" t="s">
        <v>41</v>
      </c>
      <c r="D164" s="66" t="s">
        <v>45</v>
      </c>
      <c r="E164" s="63">
        <v>0.5</v>
      </c>
      <c r="F164" s="63">
        <v>2.58</v>
      </c>
      <c r="G164" s="63">
        <f t="shared" si="49"/>
        <v>3.08</v>
      </c>
      <c r="H164" s="84">
        <f t="shared" si="50"/>
        <v>0.06</v>
      </c>
      <c r="I164" s="299">
        <v>1740</v>
      </c>
      <c r="J164" s="55">
        <f t="shared" si="51"/>
        <v>5359</v>
      </c>
      <c r="K164" s="55">
        <f t="shared" si="51"/>
        <v>104</v>
      </c>
      <c r="M164" s="45"/>
    </row>
    <row r="165" spans="1:13" x14ac:dyDescent="0.2">
      <c r="A165" s="45">
        <f t="shared" si="43"/>
        <v>157</v>
      </c>
      <c r="B165" s="74" t="str">
        <f t="shared" si="52"/>
        <v>58E &amp; 59E</v>
      </c>
      <c r="C165" s="71" t="s">
        <v>41</v>
      </c>
      <c r="D165" s="66" t="s">
        <v>46</v>
      </c>
      <c r="E165" s="63">
        <v>0.61</v>
      </c>
      <c r="F165" s="63">
        <v>3.15</v>
      </c>
      <c r="G165" s="63">
        <f t="shared" si="49"/>
        <v>3.76</v>
      </c>
      <c r="H165" s="84">
        <f t="shared" si="50"/>
        <v>0.08</v>
      </c>
      <c r="I165" s="299">
        <v>356</v>
      </c>
      <c r="J165" s="55">
        <f t="shared" si="51"/>
        <v>1339</v>
      </c>
      <c r="K165" s="55">
        <f t="shared" si="51"/>
        <v>28</v>
      </c>
      <c r="M165" s="45"/>
    </row>
    <row r="166" spans="1:13" x14ac:dyDescent="0.2">
      <c r="A166" s="45">
        <f t="shared" si="43"/>
        <v>158</v>
      </c>
      <c r="B166" s="74" t="str">
        <f t="shared" si="52"/>
        <v>58E &amp; 59E</v>
      </c>
      <c r="C166" s="71" t="s">
        <v>41</v>
      </c>
      <c r="D166" s="66" t="s">
        <v>47</v>
      </c>
      <c r="E166" s="63">
        <v>0.72</v>
      </c>
      <c r="F166" s="63">
        <v>3.72</v>
      </c>
      <c r="G166" s="63">
        <f t="shared" si="49"/>
        <v>4.4400000000000004</v>
      </c>
      <c r="H166" s="84">
        <f t="shared" si="50"/>
        <v>0.09</v>
      </c>
      <c r="I166" s="299">
        <v>0</v>
      </c>
      <c r="J166" s="55">
        <f t="shared" si="51"/>
        <v>0</v>
      </c>
      <c r="K166" s="55">
        <f t="shared" si="51"/>
        <v>0</v>
      </c>
      <c r="M166" s="45"/>
    </row>
    <row r="167" spans="1:13" x14ac:dyDescent="0.2">
      <c r="A167" s="45">
        <f t="shared" si="43"/>
        <v>159</v>
      </c>
      <c r="B167" s="74" t="str">
        <f t="shared" si="52"/>
        <v>58E &amp; 59E</v>
      </c>
      <c r="C167" s="71" t="s">
        <v>41</v>
      </c>
      <c r="D167" s="66" t="s">
        <v>48</v>
      </c>
      <c r="E167" s="63">
        <v>0.83</v>
      </c>
      <c r="F167" s="63">
        <v>4.3</v>
      </c>
      <c r="G167" s="63">
        <f t="shared" si="49"/>
        <v>5.13</v>
      </c>
      <c r="H167" s="84">
        <f t="shared" si="50"/>
        <v>0.1</v>
      </c>
      <c r="I167" s="299">
        <v>180</v>
      </c>
      <c r="J167" s="55">
        <f t="shared" si="51"/>
        <v>923</v>
      </c>
      <c r="K167" s="55">
        <f t="shared" si="51"/>
        <v>18</v>
      </c>
      <c r="M167" s="45"/>
    </row>
    <row r="168" spans="1:13" x14ac:dyDescent="0.2">
      <c r="A168" s="45">
        <f t="shared" si="43"/>
        <v>160</v>
      </c>
      <c r="B168" s="74" t="str">
        <f t="shared" si="52"/>
        <v>58E &amp; 59E</v>
      </c>
      <c r="C168" s="71" t="s">
        <v>41</v>
      </c>
      <c r="D168" s="66" t="s">
        <v>49</v>
      </c>
      <c r="E168" s="63">
        <v>0.94</v>
      </c>
      <c r="F168" s="63">
        <v>4.87</v>
      </c>
      <c r="G168" s="63">
        <f t="shared" si="49"/>
        <v>5.8100000000000005</v>
      </c>
      <c r="H168" s="84">
        <f t="shared" si="50"/>
        <v>0.12</v>
      </c>
      <c r="I168" s="299">
        <v>264</v>
      </c>
      <c r="J168" s="55">
        <f t="shared" si="51"/>
        <v>1534</v>
      </c>
      <c r="K168" s="55">
        <f t="shared" si="51"/>
        <v>32</v>
      </c>
      <c r="M168" s="45"/>
    </row>
    <row r="169" spans="1:13" x14ac:dyDescent="0.2">
      <c r="A169" s="45">
        <f t="shared" si="43"/>
        <v>161</v>
      </c>
      <c r="B169" s="74" t="str">
        <f t="shared" si="52"/>
        <v>58E &amp; 59E</v>
      </c>
      <c r="C169" s="71" t="s">
        <v>41</v>
      </c>
      <c r="D169" s="66" t="s">
        <v>50</v>
      </c>
      <c r="E169" s="63">
        <v>1.06</v>
      </c>
      <c r="F169" s="63">
        <v>5.44</v>
      </c>
      <c r="G169" s="63">
        <f t="shared" si="49"/>
        <v>6.5</v>
      </c>
      <c r="H169" s="84">
        <f t="shared" si="50"/>
        <v>0.13</v>
      </c>
      <c r="I169" s="299">
        <v>0</v>
      </c>
      <c r="J169" s="55">
        <f t="shared" si="51"/>
        <v>0</v>
      </c>
      <c r="K169" s="55">
        <f t="shared" si="51"/>
        <v>0</v>
      </c>
      <c r="M169" s="45"/>
    </row>
    <row r="170" spans="1:13" x14ac:dyDescent="0.2">
      <c r="A170" s="45">
        <f t="shared" si="43"/>
        <v>162</v>
      </c>
      <c r="B170" s="74" t="str">
        <f t="shared" si="52"/>
        <v>58E &amp; 59E</v>
      </c>
      <c r="C170" s="71" t="s">
        <v>41</v>
      </c>
      <c r="D170" s="66" t="s">
        <v>63</v>
      </c>
      <c r="E170" s="63">
        <v>1.3</v>
      </c>
      <c r="F170" s="63">
        <v>6.68</v>
      </c>
      <c r="G170" s="63">
        <f t="shared" si="49"/>
        <v>7.9799999999999995</v>
      </c>
      <c r="H170" s="84">
        <f t="shared" si="50"/>
        <v>0.16</v>
      </c>
      <c r="I170" s="299">
        <v>0</v>
      </c>
      <c r="J170" s="55">
        <f t="shared" si="51"/>
        <v>0</v>
      </c>
      <c r="K170" s="55">
        <f t="shared" si="51"/>
        <v>0</v>
      </c>
      <c r="M170" s="45"/>
    </row>
    <row r="171" spans="1:13" x14ac:dyDescent="0.2">
      <c r="A171" s="45">
        <f t="shared" si="43"/>
        <v>163</v>
      </c>
      <c r="B171" s="74" t="str">
        <f t="shared" si="52"/>
        <v>58E &amp; 59E</v>
      </c>
      <c r="C171" s="71" t="s">
        <v>41</v>
      </c>
      <c r="D171" s="66" t="s">
        <v>64</v>
      </c>
      <c r="E171" s="63">
        <v>1.67</v>
      </c>
      <c r="F171" s="63">
        <v>8.59</v>
      </c>
      <c r="G171" s="63">
        <f t="shared" si="49"/>
        <v>10.26</v>
      </c>
      <c r="H171" s="84">
        <f t="shared" si="50"/>
        <v>0.2</v>
      </c>
      <c r="I171" s="299">
        <v>0</v>
      </c>
      <c r="J171" s="55">
        <f t="shared" si="51"/>
        <v>0</v>
      </c>
      <c r="K171" s="55">
        <f t="shared" si="51"/>
        <v>0</v>
      </c>
      <c r="M171" s="45"/>
    </row>
    <row r="172" spans="1:13" x14ac:dyDescent="0.2">
      <c r="A172" s="45">
        <f t="shared" si="43"/>
        <v>164</v>
      </c>
      <c r="B172" s="74" t="str">
        <f t="shared" si="52"/>
        <v>58E &amp; 59E</v>
      </c>
      <c r="C172" s="71" t="s">
        <v>41</v>
      </c>
      <c r="D172" s="66" t="s">
        <v>65</v>
      </c>
      <c r="E172" s="63">
        <v>2.04</v>
      </c>
      <c r="F172" s="63">
        <v>10.5</v>
      </c>
      <c r="G172" s="63">
        <f t="shared" si="49"/>
        <v>12.54</v>
      </c>
      <c r="H172" s="84">
        <f t="shared" si="50"/>
        <v>0.25</v>
      </c>
      <c r="I172" s="299">
        <v>0</v>
      </c>
      <c r="J172" s="55">
        <f t="shared" si="51"/>
        <v>0</v>
      </c>
      <c r="K172" s="55">
        <f t="shared" si="51"/>
        <v>0</v>
      </c>
      <c r="M172" s="45"/>
    </row>
    <row r="173" spans="1:13" x14ac:dyDescent="0.2">
      <c r="A173" s="45">
        <f t="shared" si="43"/>
        <v>165</v>
      </c>
      <c r="B173" s="74" t="str">
        <f t="shared" si="52"/>
        <v>58E &amp; 59E</v>
      </c>
      <c r="C173" s="71" t="s">
        <v>41</v>
      </c>
      <c r="D173" s="66" t="s">
        <v>66</v>
      </c>
      <c r="E173" s="63">
        <v>2.41</v>
      </c>
      <c r="F173" s="63">
        <v>12.41</v>
      </c>
      <c r="G173" s="63">
        <f t="shared" si="49"/>
        <v>14.82</v>
      </c>
      <c r="H173" s="84">
        <f t="shared" si="50"/>
        <v>0.3</v>
      </c>
      <c r="I173" s="299">
        <v>0</v>
      </c>
      <c r="J173" s="55">
        <f t="shared" si="51"/>
        <v>0</v>
      </c>
      <c r="K173" s="55">
        <f t="shared" si="51"/>
        <v>0</v>
      </c>
      <c r="M173" s="45"/>
    </row>
    <row r="174" spans="1:13" x14ac:dyDescent="0.2">
      <c r="A174" s="45">
        <f t="shared" si="43"/>
        <v>166</v>
      </c>
      <c r="B174" s="74" t="str">
        <f t="shared" si="52"/>
        <v>58E &amp; 59E</v>
      </c>
      <c r="C174" s="71" t="s">
        <v>41</v>
      </c>
      <c r="D174" s="66" t="s">
        <v>67</v>
      </c>
      <c r="E174" s="63">
        <v>2.78</v>
      </c>
      <c r="F174" s="63">
        <v>14.32</v>
      </c>
      <c r="G174" s="63">
        <f t="shared" si="49"/>
        <v>17.100000000000001</v>
      </c>
      <c r="H174" s="84">
        <f t="shared" si="50"/>
        <v>0.34</v>
      </c>
      <c r="I174" s="299">
        <v>0</v>
      </c>
      <c r="J174" s="55">
        <f t="shared" si="51"/>
        <v>0</v>
      </c>
      <c r="K174" s="55">
        <f t="shared" si="51"/>
        <v>0</v>
      </c>
      <c r="M174" s="45"/>
    </row>
    <row r="175" spans="1:13" x14ac:dyDescent="0.2">
      <c r="A175" s="45">
        <f t="shared" si="43"/>
        <v>167</v>
      </c>
      <c r="B175" s="74" t="str">
        <f t="shared" si="52"/>
        <v>58E &amp; 59E</v>
      </c>
      <c r="C175" s="71" t="s">
        <v>41</v>
      </c>
      <c r="D175" s="66" t="s">
        <v>68</v>
      </c>
      <c r="E175" s="63">
        <v>3.15</v>
      </c>
      <c r="F175" s="63">
        <v>16.23</v>
      </c>
      <c r="G175" s="63">
        <f t="shared" si="49"/>
        <v>19.38</v>
      </c>
      <c r="H175" s="84">
        <f t="shared" si="50"/>
        <v>0.39</v>
      </c>
      <c r="I175" s="299">
        <v>0</v>
      </c>
      <c r="J175" s="55">
        <f t="shared" si="51"/>
        <v>0</v>
      </c>
      <c r="K175" s="55">
        <f t="shared" si="51"/>
        <v>0</v>
      </c>
      <c r="M175" s="45"/>
    </row>
    <row r="176" spans="1:13" ht="12" thickBot="1" x14ac:dyDescent="0.25">
      <c r="B176" s="49"/>
      <c r="H176" s="86"/>
      <c r="I176" s="302"/>
      <c r="M176" s="45"/>
    </row>
    <row r="177" spans="2:13" x14ac:dyDescent="0.2">
      <c r="B177" s="49"/>
      <c r="I177" s="299">
        <v>0</v>
      </c>
      <c r="J177" s="48" t="s">
        <v>90</v>
      </c>
      <c r="M177" s="45"/>
    </row>
    <row r="179" spans="2:13" x14ac:dyDescent="0.2">
      <c r="M179" s="45"/>
    </row>
    <row r="180" spans="2:13" x14ac:dyDescent="0.2">
      <c r="M180" s="45"/>
    </row>
    <row r="181" spans="2:13" x14ac:dyDescent="0.2">
      <c r="M181" s="45"/>
    </row>
    <row r="182" spans="2:13" x14ac:dyDescent="0.2">
      <c r="I182" s="51"/>
      <c r="M182" s="45"/>
    </row>
    <row r="183" spans="2:13" x14ac:dyDescent="0.2">
      <c r="M183" s="45"/>
    </row>
  </sheetData>
  <mergeCells count="5">
    <mergeCell ref="A1:L1"/>
    <mergeCell ref="A2:L2"/>
    <mergeCell ref="B5:H5"/>
    <mergeCell ref="A3:L3"/>
    <mergeCell ref="A4:L4"/>
  </mergeCells>
  <printOptions horizontalCentered="1"/>
  <pageMargins left="0.7" right="0.7" top="0.75" bottom="0.75" header="0.3" footer="0.3"/>
  <pageSetup scale="55" fitToHeight="0" orientation="landscape" r:id="rId1"/>
  <headerFooter alignWithMargins="0">
    <oddHeader>&amp;RAdvice No. 2022-xx
Electric Schedule 120 Rate Design Workpapers
Page &amp;P of &amp;N</oddHeader>
    <oddFooter>&amp;L&amp;F
&amp;A&amp;R&amp;D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40"/>
  <sheetViews>
    <sheetView topLeftCell="M1" zoomScaleNormal="100" workbookViewId="0">
      <pane ySplit="7" topLeftCell="A8" activePane="bottomLeft" state="frozen"/>
      <selection activeCell="C13" sqref="C13"/>
      <selection pane="bottomLeft" activeCell="C13" sqref="C13"/>
    </sheetView>
  </sheetViews>
  <sheetFormatPr defaultColWidth="17.140625" defaultRowHeight="11.25" x14ac:dyDescent="0.2"/>
  <cols>
    <col min="1" max="1" width="5.140625" style="13" customWidth="1"/>
    <col min="2" max="2" width="17.42578125" style="13" bestFit="1" customWidth="1"/>
    <col min="3" max="3" width="15.5703125" style="13" bestFit="1" customWidth="1"/>
    <col min="4" max="4" width="14.85546875" style="13" bestFit="1" customWidth="1"/>
    <col min="5" max="5" width="12.42578125" style="13" bestFit="1" customWidth="1"/>
    <col min="6" max="6" width="10.42578125" style="13" bestFit="1" customWidth="1"/>
    <col min="7" max="7" width="11.28515625" style="13" customWidth="1"/>
    <col min="8" max="8" width="11.5703125" style="13" bestFit="1" customWidth="1"/>
    <col min="9" max="9" width="11.28515625" style="13" bestFit="1" customWidth="1"/>
    <col min="10" max="10" width="12.28515625" style="13" bestFit="1" customWidth="1"/>
    <col min="11" max="11" width="12.7109375" style="13" customWidth="1"/>
    <col min="12" max="12" width="13.42578125" style="13" customWidth="1"/>
    <col min="13" max="13" width="11.28515625" style="13" bestFit="1" customWidth="1"/>
    <col min="14" max="14" width="12.5703125" style="13" bestFit="1" customWidth="1"/>
    <col min="15" max="15" width="13.85546875" style="13" bestFit="1" customWidth="1"/>
    <col min="16" max="16" width="13" style="13" customWidth="1"/>
    <col min="17" max="17" width="13.140625" style="13" customWidth="1"/>
    <col min="18" max="18" width="12.28515625" style="13" bestFit="1" customWidth="1"/>
    <col min="19" max="19" width="12.85546875" style="13" customWidth="1"/>
    <col min="20" max="20" width="12.28515625" style="13" bestFit="1" customWidth="1"/>
    <col min="21" max="21" width="11.28515625" style="13" bestFit="1" customWidth="1"/>
    <col min="22" max="22" width="11.85546875" style="13" bestFit="1" customWidth="1"/>
    <col min="23" max="23" width="13.7109375" style="13" bestFit="1" customWidth="1"/>
    <col min="24" max="24" width="11.5703125" style="13" bestFit="1" customWidth="1"/>
    <col min="25" max="25" width="14.85546875" style="13" bestFit="1" customWidth="1"/>
    <col min="26" max="26" width="0.7109375" style="13" customWidth="1"/>
    <col min="27" max="27" width="11.28515625" style="13" bestFit="1" customWidth="1"/>
    <col min="28" max="28" width="10.7109375" style="13" bestFit="1" customWidth="1"/>
    <col min="29" max="29" width="12.28515625" style="13" customWidth="1"/>
    <col min="30" max="30" width="13.7109375" style="13" customWidth="1"/>
    <col min="31" max="31" width="10.5703125" style="13" customWidth="1"/>
    <col min="32" max="32" width="12" style="13" customWidth="1"/>
    <col min="33" max="33" width="7.85546875" style="13" customWidth="1"/>
    <col min="34" max="16384" width="17.140625" style="13"/>
  </cols>
  <sheetData>
    <row r="1" spans="1:34" x14ac:dyDescent="0.2">
      <c r="A1" s="9" t="s">
        <v>0</v>
      </c>
      <c r="B1" s="9"/>
      <c r="C1" s="9"/>
      <c r="D1" s="9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34" x14ac:dyDescent="0.2">
      <c r="A2" s="9" t="s">
        <v>367</v>
      </c>
      <c r="B2" s="9"/>
      <c r="C2" s="9"/>
      <c r="D2" s="9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34" x14ac:dyDescent="0.2">
      <c r="A3" s="9" t="s">
        <v>368</v>
      </c>
      <c r="B3" s="9"/>
      <c r="C3" s="9"/>
      <c r="D3" s="9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34" x14ac:dyDescent="0.2">
      <c r="A4" s="9" t="s">
        <v>369</v>
      </c>
      <c r="B4" s="9"/>
      <c r="C4" s="9"/>
      <c r="D4" s="9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34" ht="12" thickBot="1" x14ac:dyDescent="0.25">
      <c r="A5" s="164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</row>
    <row r="6" spans="1:34" ht="12" thickBot="1" x14ac:dyDescent="0.25">
      <c r="A6" s="164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80"/>
      <c r="Z6" s="180"/>
      <c r="AA6" s="181" t="s">
        <v>87</v>
      </c>
      <c r="AB6" s="182" t="s">
        <v>125</v>
      </c>
      <c r="AC6" s="165"/>
    </row>
    <row r="7" spans="1:34" s="11" customFormat="1" ht="57" thickBot="1" x14ac:dyDescent="0.25">
      <c r="A7" s="183" t="s">
        <v>1</v>
      </c>
      <c r="B7" s="183" t="s">
        <v>6</v>
      </c>
      <c r="C7" s="294" t="s">
        <v>370</v>
      </c>
      <c r="D7" s="294" t="s">
        <v>371</v>
      </c>
      <c r="E7" s="294" t="s">
        <v>372</v>
      </c>
      <c r="F7" s="294" t="s">
        <v>373</v>
      </c>
      <c r="G7" s="294" t="s">
        <v>374</v>
      </c>
      <c r="H7" s="294" t="s">
        <v>375</v>
      </c>
      <c r="I7" s="294" t="s">
        <v>376</v>
      </c>
      <c r="J7" s="294" t="s">
        <v>377</v>
      </c>
      <c r="K7" s="294" t="s">
        <v>378</v>
      </c>
      <c r="L7" s="294" t="s">
        <v>379</v>
      </c>
      <c r="M7" s="294" t="s">
        <v>380</v>
      </c>
      <c r="N7" s="294" t="s">
        <v>381</v>
      </c>
      <c r="O7" s="294" t="s">
        <v>124</v>
      </c>
      <c r="P7" s="294" t="s">
        <v>382</v>
      </c>
      <c r="Q7" s="294" t="s">
        <v>383</v>
      </c>
      <c r="R7" s="294" t="s">
        <v>384</v>
      </c>
      <c r="S7" s="294" t="s">
        <v>385</v>
      </c>
      <c r="T7" s="294" t="s">
        <v>386</v>
      </c>
      <c r="U7" s="294" t="s">
        <v>387</v>
      </c>
      <c r="V7" s="294" t="s">
        <v>388</v>
      </c>
      <c r="W7" s="294" t="s">
        <v>389</v>
      </c>
      <c r="X7" s="294" t="s">
        <v>390</v>
      </c>
      <c r="Y7" s="294" t="s">
        <v>391</v>
      </c>
      <c r="Z7" s="184"/>
      <c r="AA7" s="185" t="s">
        <v>382</v>
      </c>
      <c r="AB7" s="186" t="s">
        <v>382</v>
      </c>
      <c r="AC7" s="187" t="s">
        <v>126</v>
      </c>
      <c r="AD7" s="187" t="s">
        <v>398</v>
      </c>
      <c r="AE7" s="187" t="s">
        <v>399</v>
      </c>
      <c r="AF7" s="187" t="s">
        <v>400</v>
      </c>
      <c r="AG7" s="188" t="s">
        <v>127</v>
      </c>
    </row>
    <row r="8" spans="1:34" x14ac:dyDescent="0.2">
      <c r="A8" s="165">
        <v>1</v>
      </c>
      <c r="B8" s="165" t="s">
        <v>361</v>
      </c>
      <c r="C8" s="177">
        <v>11231237165.043671</v>
      </c>
      <c r="D8" s="5">
        <v>1195987664.8649354</v>
      </c>
      <c r="E8" s="5">
        <v>23974494.502337527</v>
      </c>
      <c r="F8" s="5">
        <v>0</v>
      </c>
      <c r="G8" s="5">
        <v>572793.09541722725</v>
      </c>
      <c r="H8" s="5">
        <v>56650360.26048027</v>
      </c>
      <c r="I8" s="5">
        <v>30178334.262472346</v>
      </c>
      <c r="J8" s="5">
        <v>0</v>
      </c>
      <c r="K8" s="5">
        <v>0</v>
      </c>
      <c r="L8" s="5">
        <v>0</v>
      </c>
      <c r="M8" s="5">
        <v>29335991.475094069</v>
      </c>
      <c r="N8" s="5">
        <v>20530701.53769983</v>
      </c>
      <c r="O8" s="5">
        <v>14039046.456304589</v>
      </c>
      <c r="P8" s="5">
        <v>29976171.993501555</v>
      </c>
      <c r="Q8" s="5">
        <v>112390990.31059201</v>
      </c>
      <c r="R8" s="5">
        <v>56481891.703004614</v>
      </c>
      <c r="S8" s="5">
        <v>3582764.6556489309</v>
      </c>
      <c r="T8" s="5">
        <v>-9928413.6538986042</v>
      </c>
      <c r="U8" s="5">
        <v>-39039780.385691799</v>
      </c>
      <c r="V8" s="5">
        <v>0</v>
      </c>
      <c r="W8" s="5">
        <v>-75125745.396977112</v>
      </c>
      <c r="X8" s="189">
        <f>SUM(E8:W8)</f>
        <v>253619600.81598538</v>
      </c>
      <c r="Y8" s="189">
        <f>SUM(X8,D8)</f>
        <v>1449607265.6809208</v>
      </c>
      <c r="AA8" s="190">
        <v>-29976171.993501555</v>
      </c>
      <c r="AB8" s="191">
        <v>30616352.511909049</v>
      </c>
      <c r="AC8" s="192">
        <f>SUM(AA8:AB8)</f>
        <v>640180.51840749383</v>
      </c>
      <c r="AD8" s="192">
        <f>SUM(Y8,AC8)</f>
        <v>1450247446.1993284</v>
      </c>
      <c r="AE8" s="193">
        <f>Y8/C8</f>
        <v>0.12906924182784668</v>
      </c>
      <c r="AF8" s="193">
        <f>AD8/C8</f>
        <v>0.12912624182784671</v>
      </c>
      <c r="AG8" s="194">
        <f>AC8/Y8</f>
        <v>4.4162342005562677E-4</v>
      </c>
      <c r="AH8" s="195"/>
    </row>
    <row r="9" spans="1:34" x14ac:dyDescent="0.2">
      <c r="A9" s="165">
        <f t="shared" ref="A9:A36" si="0">+A8+1</f>
        <v>2</v>
      </c>
      <c r="B9" s="165" t="s">
        <v>3</v>
      </c>
      <c r="C9" s="196">
        <f t="shared" ref="C9:E9" si="1">SUM(C8:C8)</f>
        <v>11231237165.043671</v>
      </c>
      <c r="D9" s="6">
        <f t="shared" si="1"/>
        <v>1195987664.8649354</v>
      </c>
      <c r="E9" s="6">
        <f t="shared" si="1"/>
        <v>23974494.502337527</v>
      </c>
      <c r="F9" s="6">
        <f t="shared" ref="F9:Y9" si="2">SUM(F8:F8)</f>
        <v>0</v>
      </c>
      <c r="G9" s="6">
        <f t="shared" si="2"/>
        <v>572793.09541722725</v>
      </c>
      <c r="H9" s="6">
        <f t="shared" si="2"/>
        <v>56650360.26048027</v>
      </c>
      <c r="I9" s="6">
        <f t="shared" si="2"/>
        <v>30178334.262472346</v>
      </c>
      <c r="J9" s="6">
        <f t="shared" si="2"/>
        <v>0</v>
      </c>
      <c r="K9" s="6">
        <f t="shared" si="2"/>
        <v>0</v>
      </c>
      <c r="L9" s="6">
        <f t="shared" si="2"/>
        <v>0</v>
      </c>
      <c r="M9" s="6">
        <f t="shared" si="2"/>
        <v>29335991.475094069</v>
      </c>
      <c r="N9" s="6">
        <f t="shared" si="2"/>
        <v>20530701.53769983</v>
      </c>
      <c r="O9" s="6">
        <f t="shared" si="2"/>
        <v>14039046.456304589</v>
      </c>
      <c r="P9" s="6">
        <f t="shared" si="2"/>
        <v>29976171.993501555</v>
      </c>
      <c r="Q9" s="6">
        <f t="shared" si="2"/>
        <v>112390990.31059201</v>
      </c>
      <c r="R9" s="6">
        <f t="shared" si="2"/>
        <v>56481891.703004614</v>
      </c>
      <c r="S9" s="6">
        <f t="shared" si="2"/>
        <v>3582764.6556489309</v>
      </c>
      <c r="T9" s="6">
        <f t="shared" si="2"/>
        <v>-9928413.6538986042</v>
      </c>
      <c r="U9" s="6">
        <f t="shared" si="2"/>
        <v>-39039780.385691799</v>
      </c>
      <c r="V9" s="6">
        <f t="shared" si="2"/>
        <v>0</v>
      </c>
      <c r="W9" s="6">
        <f t="shared" si="2"/>
        <v>-75125745.396977112</v>
      </c>
      <c r="X9" s="6">
        <f t="shared" si="2"/>
        <v>253619600.81598538</v>
      </c>
      <c r="Y9" s="6">
        <f t="shared" si="2"/>
        <v>1449607265.6809208</v>
      </c>
      <c r="AA9" s="197">
        <f t="shared" ref="AA9:AD9" si="3">SUM(AA8:AA8)</f>
        <v>-29976171.993501555</v>
      </c>
      <c r="AB9" s="198">
        <f t="shared" si="3"/>
        <v>30616352.511909049</v>
      </c>
      <c r="AC9" s="199">
        <f t="shared" si="3"/>
        <v>640180.51840749383</v>
      </c>
      <c r="AD9" s="199">
        <f t="shared" si="3"/>
        <v>1450247446.1993284</v>
      </c>
      <c r="AE9" s="200">
        <f>Y9/C9</f>
        <v>0.12906924182784668</v>
      </c>
      <c r="AF9" s="200">
        <f>AD9/C9</f>
        <v>0.12912624182784671</v>
      </c>
      <c r="AG9" s="201">
        <f>AC9/Y9</f>
        <v>4.4162342005562677E-4</v>
      </c>
      <c r="AH9" s="195"/>
    </row>
    <row r="10" spans="1:34" x14ac:dyDescent="0.2">
      <c r="A10" s="165">
        <f t="shared" si="0"/>
        <v>3</v>
      </c>
      <c r="B10" s="165"/>
      <c r="C10" s="177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AA10" s="190"/>
      <c r="AB10" s="191"/>
      <c r="AC10" s="192"/>
      <c r="AD10" s="192"/>
      <c r="AE10" s="193"/>
      <c r="AF10" s="193"/>
      <c r="AG10" s="194"/>
    </row>
    <row r="11" spans="1:34" x14ac:dyDescent="0.2">
      <c r="A11" s="165">
        <f t="shared" si="0"/>
        <v>4</v>
      </c>
      <c r="B11" s="165" t="s">
        <v>392</v>
      </c>
      <c r="C11" s="177">
        <v>2762363777.023735</v>
      </c>
      <c r="D11" s="5">
        <v>275895023.98780704</v>
      </c>
      <c r="E11" s="5">
        <v>5952401.5927281398</v>
      </c>
      <c r="F11" s="5">
        <v>0</v>
      </c>
      <c r="G11" s="5">
        <v>140880.55262821048</v>
      </c>
      <c r="H11" s="5">
        <v>11811867.510553492</v>
      </c>
      <c r="I11" s="5">
        <v>7289878.0075656362</v>
      </c>
      <c r="J11" s="5">
        <v>0</v>
      </c>
      <c r="K11" s="5">
        <v>-153669.61779083172</v>
      </c>
      <c r="L11" s="5">
        <v>-177663.167065938</v>
      </c>
      <c r="M11" s="5">
        <v>5781627.3853106787</v>
      </c>
      <c r="N11" s="5">
        <v>4667485.7109257914</v>
      </c>
      <c r="O11" s="5">
        <v>2737502.5030305213</v>
      </c>
      <c r="P11" s="5">
        <v>6480505.4208976831</v>
      </c>
      <c r="Q11" s="5">
        <v>21554724.552116208</v>
      </c>
      <c r="R11" s="5">
        <v>10833990.733487088</v>
      </c>
      <c r="S11" s="5">
        <v>765174.76623557473</v>
      </c>
      <c r="T11" s="5">
        <v>-1969565.3730179232</v>
      </c>
      <c r="U11" s="5">
        <v>-6118635.7661075732</v>
      </c>
      <c r="V11" s="5">
        <v>0</v>
      </c>
      <c r="W11" s="5">
        <v>-1722752.565918843</v>
      </c>
      <c r="X11" s="189">
        <f>SUM(E11:W11)</f>
        <v>67873752.245577917</v>
      </c>
      <c r="Y11" s="189">
        <f>SUM(X11,D11)</f>
        <v>343768776.23338497</v>
      </c>
      <c r="AA11" s="190">
        <v>-6480505.4208976831</v>
      </c>
      <c r="AB11" s="191">
        <v>6618623.6097488701</v>
      </c>
      <c r="AC11" s="192">
        <f>SUM(AA11:AB11)</f>
        <v>138118.18885118701</v>
      </c>
      <c r="AD11" s="192">
        <f>SUM(Y11,AC11)</f>
        <v>343906894.42223614</v>
      </c>
      <c r="AE11" s="193">
        <f>Y11/C11</f>
        <v>0.1244473226490731</v>
      </c>
      <c r="AF11" s="193">
        <f>AD11/C11</f>
        <v>0.12449732264907309</v>
      </c>
      <c r="AG11" s="194">
        <f>AC11/Y11</f>
        <v>4.0177642182784637E-4</v>
      </c>
      <c r="AH11" s="195"/>
    </row>
    <row r="12" spans="1:34" x14ac:dyDescent="0.2">
      <c r="A12" s="165">
        <f t="shared" si="0"/>
        <v>5</v>
      </c>
      <c r="B12" s="165" t="s">
        <v>393</v>
      </c>
      <c r="C12" s="177">
        <v>2961290332.0764241</v>
      </c>
      <c r="D12" s="5">
        <v>271040737.09336877</v>
      </c>
      <c r="E12" s="5">
        <v>6584434.8775088107</v>
      </c>
      <c r="F12" s="5">
        <v>0</v>
      </c>
      <c r="G12" s="5">
        <v>153987.09726797405</v>
      </c>
      <c r="H12" s="5">
        <v>12875690.363868292</v>
      </c>
      <c r="I12" s="5">
        <v>7098212.9259871887</v>
      </c>
      <c r="J12" s="5">
        <v>0</v>
      </c>
      <c r="K12" s="5">
        <v>743341.87149714772</v>
      </c>
      <c r="L12" s="5">
        <v>-273140.04027007206</v>
      </c>
      <c r="M12" s="5">
        <v>5863354.8575113202</v>
      </c>
      <c r="N12" s="5">
        <v>4920531.1993182944</v>
      </c>
      <c r="O12" s="5">
        <v>3063786.3471302344</v>
      </c>
      <c r="P12" s="5">
        <v>6806061.8759456314</v>
      </c>
      <c r="Q12" s="5">
        <v>23909789.712634228</v>
      </c>
      <c r="R12" s="5">
        <v>12032275.141172472</v>
      </c>
      <c r="S12" s="5">
        <v>849890.32530593371</v>
      </c>
      <c r="T12" s="5">
        <v>-1981103.2321591277</v>
      </c>
      <c r="U12" s="5">
        <v>9360638.7396935765</v>
      </c>
      <c r="V12" s="5">
        <v>0</v>
      </c>
      <c r="W12" s="5">
        <v>-903314.8677437962</v>
      </c>
      <c r="X12" s="189">
        <f>SUM(E12:W12)</f>
        <v>91104437.194668129</v>
      </c>
      <c r="Y12" s="189">
        <f>SUM(X12,D12)</f>
        <v>362145174.28803688</v>
      </c>
      <c r="AA12" s="190">
        <v>-6806061.8759456314</v>
      </c>
      <c r="AB12" s="191">
        <v>7115715.6148059219</v>
      </c>
      <c r="AC12" s="192">
        <f>SUM(AA12:AB12)</f>
        <v>309653.7388602905</v>
      </c>
      <c r="AD12" s="192">
        <f>SUM(Y12,AC12)</f>
        <v>362454828.02689719</v>
      </c>
      <c r="AE12" s="193">
        <f>Y12/C12</f>
        <v>0.12229303231949726</v>
      </c>
      <c r="AF12" s="193">
        <f>AD12/C12</f>
        <v>0.12239759948587947</v>
      </c>
      <c r="AG12" s="194">
        <f>AC12/Y12</f>
        <v>8.5505416293081224E-4</v>
      </c>
      <c r="AH12" s="195"/>
    </row>
    <row r="13" spans="1:34" x14ac:dyDescent="0.2">
      <c r="A13" s="165">
        <f t="shared" si="0"/>
        <v>6</v>
      </c>
      <c r="B13" s="165" t="s">
        <v>394</v>
      </c>
      <c r="C13" s="177">
        <v>1964892733.640949</v>
      </c>
      <c r="D13" s="5">
        <v>164185183.99574861</v>
      </c>
      <c r="E13" s="5">
        <v>4571813.0266122567</v>
      </c>
      <c r="F13" s="5">
        <v>0</v>
      </c>
      <c r="G13" s="5">
        <v>100209.5294156884</v>
      </c>
      <c r="H13" s="5">
        <v>7822237.9726246176</v>
      </c>
      <c r="I13" s="5">
        <v>4358132.0832156241</v>
      </c>
      <c r="J13" s="5">
        <v>0</v>
      </c>
      <c r="K13" s="5">
        <v>1280556.035166746</v>
      </c>
      <c r="L13" s="5">
        <v>-455534.03108758503</v>
      </c>
      <c r="M13" s="5">
        <v>3369791.038194227</v>
      </c>
      <c r="N13" s="5">
        <v>2961946.6835628254</v>
      </c>
      <c r="O13" s="5">
        <v>1713667.5693741031</v>
      </c>
      <c r="P13" s="5">
        <v>4269025.5467574112</v>
      </c>
      <c r="Q13" s="5">
        <v>14015863.821440812</v>
      </c>
      <c r="R13" s="5">
        <v>7033475.5162577396</v>
      </c>
      <c r="S13" s="5">
        <v>477468.93427475059</v>
      </c>
      <c r="T13" s="5">
        <v>-1133743.1073108276</v>
      </c>
      <c r="U13" s="5">
        <v>3601089.0162261976</v>
      </c>
      <c r="V13" s="5">
        <v>0</v>
      </c>
      <c r="W13" s="5">
        <v>-113351.42558024439</v>
      </c>
      <c r="X13" s="189">
        <f>SUM(E13:W13)</f>
        <v>53872648.209144354</v>
      </c>
      <c r="Y13" s="189">
        <f>SUM(X13,D13)</f>
        <v>218057832.20489296</v>
      </c>
      <c r="AA13" s="190">
        <v>-4269025.5467574112</v>
      </c>
      <c r="AB13" s="191">
        <v>4102647.505672202</v>
      </c>
      <c r="AC13" s="192">
        <f>SUM(AA13:AB13)</f>
        <v>-166378.04108520923</v>
      </c>
      <c r="AD13" s="192">
        <f>SUM(Y13,AC13)</f>
        <v>217891454.16380775</v>
      </c>
      <c r="AE13" s="193">
        <f>Y13/C13</f>
        <v>0.11097696503810235</v>
      </c>
      <c r="AF13" s="193">
        <f>AD13/C13</f>
        <v>0.1108922896569802</v>
      </c>
      <c r="AG13" s="194">
        <f>AC13/Y13</f>
        <v>-7.6299961071279467E-4</v>
      </c>
      <c r="AH13" s="195"/>
    </row>
    <row r="14" spans="1:34" x14ac:dyDescent="0.2">
      <c r="A14" s="165">
        <f t="shared" si="0"/>
        <v>7</v>
      </c>
      <c r="B14" s="165">
        <v>29</v>
      </c>
      <c r="C14" s="177">
        <v>15040573.846487813</v>
      </c>
      <c r="D14" s="5">
        <v>1291170.0369053327</v>
      </c>
      <c r="E14" s="5">
        <v>27862.464465540641</v>
      </c>
      <c r="F14" s="5">
        <v>0</v>
      </c>
      <c r="G14" s="5">
        <v>646.74467539897591</v>
      </c>
      <c r="H14" s="5">
        <v>68133.799524589791</v>
      </c>
      <c r="I14" s="5">
        <v>31690.489094549819</v>
      </c>
      <c r="J14" s="5">
        <v>0</v>
      </c>
      <c r="K14" s="5">
        <v>0</v>
      </c>
      <c r="L14" s="5">
        <v>0</v>
      </c>
      <c r="M14" s="5">
        <v>29780.336216045867</v>
      </c>
      <c r="N14" s="5">
        <v>24991.677467639838</v>
      </c>
      <c r="O14" s="5">
        <v>12962.332427821304</v>
      </c>
      <c r="P14" s="5">
        <v>37190.957051109188</v>
      </c>
      <c r="Q14" s="5">
        <v>121801.58706911912</v>
      </c>
      <c r="R14" s="5">
        <v>61209.125298412575</v>
      </c>
      <c r="S14" s="5">
        <v>5565.0123232004908</v>
      </c>
      <c r="T14" s="5">
        <v>-10062.143903300346</v>
      </c>
      <c r="U14" s="5">
        <v>47543.253928747974</v>
      </c>
      <c r="V14" s="5">
        <v>0</v>
      </c>
      <c r="W14" s="5">
        <v>-100606.39845915698</v>
      </c>
      <c r="X14" s="189">
        <f>SUM(E14:W14)</f>
        <v>358709.23717971821</v>
      </c>
      <c r="Y14" s="189">
        <f>SUM(X14,D14)</f>
        <v>1649879.2740850509</v>
      </c>
      <c r="AA14" s="190">
        <v>-37190.957051109188</v>
      </c>
      <c r="AB14" s="191">
        <v>38143.710666970102</v>
      </c>
      <c r="AC14" s="192">
        <f>SUM(AA14:AB14)</f>
        <v>952.75361586091458</v>
      </c>
      <c r="AD14" s="192">
        <f>SUM(Y14,AC14)</f>
        <v>1650832.0277009117</v>
      </c>
      <c r="AE14" s="193">
        <f>Y14/C14</f>
        <v>0.10969523443218365</v>
      </c>
      <c r="AF14" s="193">
        <f>AD14/C14</f>
        <v>0.10975857999503154</v>
      </c>
      <c r="AG14" s="194">
        <f>AC14/Y14</f>
        <v>5.7746868563414682E-4</v>
      </c>
      <c r="AH14" s="195"/>
    </row>
    <row r="15" spans="1:34" x14ac:dyDescent="0.2">
      <c r="A15" s="165">
        <f t="shared" si="0"/>
        <v>8</v>
      </c>
      <c r="B15" s="164" t="s">
        <v>88</v>
      </c>
      <c r="C15" s="196">
        <f t="shared" ref="C15:E15" si="4">SUM(C11:C14)</f>
        <v>7703587416.5875959</v>
      </c>
      <c r="D15" s="6">
        <f t="shared" si="4"/>
        <v>712412115.11382973</v>
      </c>
      <c r="E15" s="6">
        <f t="shared" si="4"/>
        <v>17136511.961314745</v>
      </c>
      <c r="F15" s="6">
        <f t="shared" ref="F15:Y15" si="5">SUM(F11:F14)</f>
        <v>0</v>
      </c>
      <c r="G15" s="6">
        <f t="shared" si="5"/>
        <v>395723.92398727196</v>
      </c>
      <c r="H15" s="6">
        <f t="shared" si="5"/>
        <v>32577929.646570992</v>
      </c>
      <c r="I15" s="6">
        <f t="shared" si="5"/>
        <v>18777913.505863</v>
      </c>
      <c r="J15" s="6">
        <f t="shared" si="5"/>
        <v>0</v>
      </c>
      <c r="K15" s="6">
        <f t="shared" si="5"/>
        <v>1870228.288873062</v>
      </c>
      <c r="L15" s="6">
        <f t="shared" si="5"/>
        <v>-906337.23842359509</v>
      </c>
      <c r="M15" s="6">
        <f t="shared" si="5"/>
        <v>15044553.617232272</v>
      </c>
      <c r="N15" s="6">
        <f t="shared" si="5"/>
        <v>12574955.271274552</v>
      </c>
      <c r="O15" s="6">
        <f t="shared" si="5"/>
        <v>7527918.7519626794</v>
      </c>
      <c r="P15" s="6">
        <f t="shared" si="5"/>
        <v>17592783.800651837</v>
      </c>
      <c r="Q15" s="6">
        <f t="shared" si="5"/>
        <v>59602179.673260368</v>
      </c>
      <c r="R15" s="6">
        <f t="shared" si="5"/>
        <v>29960950.516215716</v>
      </c>
      <c r="S15" s="6">
        <f t="shared" si="5"/>
        <v>2098099.0381394597</v>
      </c>
      <c r="T15" s="6">
        <f t="shared" si="5"/>
        <v>-5094473.8563911784</v>
      </c>
      <c r="U15" s="6">
        <f t="shared" si="5"/>
        <v>6890635.2437409488</v>
      </c>
      <c r="V15" s="6">
        <f t="shared" si="5"/>
        <v>0</v>
      </c>
      <c r="W15" s="6">
        <f t="shared" si="5"/>
        <v>-2840025.2577020405</v>
      </c>
      <c r="X15" s="6">
        <f t="shared" si="5"/>
        <v>213209546.88657013</v>
      </c>
      <c r="Y15" s="6">
        <f t="shared" si="5"/>
        <v>925621662.00039995</v>
      </c>
      <c r="AA15" s="197">
        <f t="shared" ref="AA15:AD15" si="6">SUM(AA11:AA14)</f>
        <v>-17592783.800651837</v>
      </c>
      <c r="AB15" s="198">
        <f t="shared" si="6"/>
        <v>17875130.440893963</v>
      </c>
      <c r="AC15" s="199">
        <f t="shared" si="6"/>
        <v>282346.64024212922</v>
      </c>
      <c r="AD15" s="199">
        <f t="shared" si="6"/>
        <v>925904008.64064205</v>
      </c>
      <c r="AE15" s="200">
        <f>Y15/C15</f>
        <v>0.12015462562381307</v>
      </c>
      <c r="AF15" s="200">
        <f>AD15/C15</f>
        <v>0.12019127694286401</v>
      </c>
      <c r="AG15" s="201">
        <f>AC15/Y15</f>
        <v>3.0503460737072422E-4</v>
      </c>
      <c r="AH15" s="195"/>
    </row>
    <row r="16" spans="1:34" x14ac:dyDescent="0.2">
      <c r="A16" s="165">
        <f t="shared" si="0"/>
        <v>9</v>
      </c>
      <c r="B16" s="165"/>
      <c r="C16" s="177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AA16" s="190"/>
      <c r="AB16" s="191"/>
      <c r="AC16" s="192"/>
      <c r="AD16" s="192"/>
      <c r="AE16" s="193"/>
      <c r="AF16" s="193"/>
      <c r="AG16" s="194"/>
    </row>
    <row r="17" spans="1:34" x14ac:dyDescent="0.2">
      <c r="A17" s="165">
        <f t="shared" si="0"/>
        <v>10</v>
      </c>
      <c r="B17" s="165" t="s">
        <v>395</v>
      </c>
      <c r="C17" s="177">
        <v>1416593830.9637725</v>
      </c>
      <c r="D17" s="5">
        <v>115404202.61775398</v>
      </c>
      <c r="E17" s="5">
        <v>3016365.128124164</v>
      </c>
      <c r="F17" s="5">
        <v>0</v>
      </c>
      <c r="G17" s="5">
        <v>69413.097717224868</v>
      </c>
      <c r="H17" s="5">
        <v>5436887.1232389593</v>
      </c>
      <c r="I17" s="5">
        <v>3103757.0836416255</v>
      </c>
      <c r="J17" s="5">
        <v>0</v>
      </c>
      <c r="K17" s="5">
        <v>557156.35249099927</v>
      </c>
      <c r="L17" s="5">
        <v>-201374.64947077501</v>
      </c>
      <c r="M17" s="5">
        <v>2445040.9522434715</v>
      </c>
      <c r="N17" s="5">
        <v>2171097.6911794953</v>
      </c>
      <c r="O17" s="5">
        <v>1208628.5705919231</v>
      </c>
      <c r="P17" s="5">
        <v>2845931.9588103774</v>
      </c>
      <c r="Q17" s="5">
        <v>9635728.2641237341</v>
      </c>
      <c r="R17" s="5">
        <v>4851746.0587830842</v>
      </c>
      <c r="S17" s="5">
        <v>356981.64540287066</v>
      </c>
      <c r="T17" s="5">
        <v>-835790.3602686259</v>
      </c>
      <c r="U17" s="5">
        <v>485845.25408873515</v>
      </c>
      <c r="V17" s="5">
        <v>0</v>
      </c>
      <c r="W17" s="5">
        <v>-158698.69824052311</v>
      </c>
      <c r="X17" s="189">
        <f>SUM(E17:W17)</f>
        <v>34988715.472456746</v>
      </c>
      <c r="Y17" s="189">
        <f>SUM(X17,D17)</f>
        <v>150392918.09021074</v>
      </c>
      <c r="AA17" s="190">
        <v>-2845931.9588103774</v>
      </c>
      <c r="AB17" s="191">
        <v>2869781.4034929345</v>
      </c>
      <c r="AC17" s="192">
        <f>SUM(AA17:AB17)</f>
        <v>23849.444682557136</v>
      </c>
      <c r="AD17" s="192">
        <f>SUM(Y17,AC17)</f>
        <v>150416767.5348933</v>
      </c>
      <c r="AE17" s="193">
        <f>Y17/C17</f>
        <v>0.10616516520327614</v>
      </c>
      <c r="AF17" s="193">
        <f>AD17/C17</f>
        <v>0.10618200097098969</v>
      </c>
      <c r="AG17" s="194">
        <f>AC17/Y17</f>
        <v>1.5858090251464791E-4</v>
      </c>
      <c r="AH17" s="195"/>
    </row>
    <row r="18" spans="1:34" x14ac:dyDescent="0.2">
      <c r="A18" s="165">
        <f t="shared" si="0"/>
        <v>11</v>
      </c>
      <c r="B18" s="165">
        <v>35</v>
      </c>
      <c r="C18" s="177">
        <v>4440266.6219169199</v>
      </c>
      <c r="D18" s="5">
        <v>273910.58897433063</v>
      </c>
      <c r="E18" s="5">
        <v>7054.9009495967784</v>
      </c>
      <c r="F18" s="5">
        <v>0</v>
      </c>
      <c r="G18" s="5">
        <v>155.4093317670922</v>
      </c>
      <c r="H18" s="5">
        <v>11651.259615909998</v>
      </c>
      <c r="I18" s="5">
        <v>7366.4023257601702</v>
      </c>
      <c r="J18" s="5">
        <v>0</v>
      </c>
      <c r="K18" s="5">
        <v>0</v>
      </c>
      <c r="L18" s="5">
        <v>0</v>
      </c>
      <c r="M18" s="5">
        <v>7663.9001894286039</v>
      </c>
      <c r="N18" s="5">
        <v>7060.0239288479033</v>
      </c>
      <c r="O18" s="5">
        <v>5527.0378327727894</v>
      </c>
      <c r="P18" s="5">
        <v>6375.5139714292936</v>
      </c>
      <c r="Q18" s="5">
        <v>43095.682395905191</v>
      </c>
      <c r="R18" s="5">
        <v>21645.527063634767</v>
      </c>
      <c r="S18" s="5">
        <v>2628.6378401748166</v>
      </c>
      <c r="T18" s="5">
        <v>-4342.5807562347472</v>
      </c>
      <c r="U18" s="5">
        <v>14035.682791879382</v>
      </c>
      <c r="V18" s="5">
        <v>0</v>
      </c>
      <c r="W18" s="5">
        <v>-29700.943434002274</v>
      </c>
      <c r="X18" s="189">
        <f>SUM(E18:W18)</f>
        <v>100216.45404686978</v>
      </c>
      <c r="Y18" s="189">
        <f>SUM(X18,D18)</f>
        <v>374127.0430212004</v>
      </c>
      <c r="AA18" s="190">
        <v>-6375.5139714292936</v>
      </c>
      <c r="AB18" s="191">
        <v>6912.6574463128709</v>
      </c>
      <c r="AC18" s="192">
        <f>SUM(AA18:AB18)</f>
        <v>537.14347488357726</v>
      </c>
      <c r="AD18" s="192">
        <f>SUM(Y18,AC18)</f>
        <v>374664.18649608397</v>
      </c>
      <c r="AE18" s="193">
        <f>Y18/C18</f>
        <v>8.4257787848713683E-2</v>
      </c>
      <c r="AF18" s="193">
        <f>AD18/C18</f>
        <v>8.4378758844516566E-2</v>
      </c>
      <c r="AG18" s="194">
        <f>AC18/Y18</f>
        <v>1.4357248023183914E-3</v>
      </c>
      <c r="AH18" s="195"/>
    </row>
    <row r="19" spans="1:34" x14ac:dyDescent="0.2">
      <c r="A19" s="165">
        <f t="shared" si="0"/>
        <v>12</v>
      </c>
      <c r="B19" s="165">
        <v>43</v>
      </c>
      <c r="C19" s="177">
        <v>123233807.4336848</v>
      </c>
      <c r="D19" s="5">
        <v>10766322.383334879</v>
      </c>
      <c r="E19" s="5">
        <v>209534.23350390725</v>
      </c>
      <c r="F19" s="5">
        <v>0</v>
      </c>
      <c r="G19" s="5">
        <v>4682.8846824800221</v>
      </c>
      <c r="H19" s="5">
        <v>100435.55305845311</v>
      </c>
      <c r="I19" s="5">
        <v>284916.56278667925</v>
      </c>
      <c r="J19" s="5">
        <v>0</v>
      </c>
      <c r="K19" s="5">
        <v>43677.179999999993</v>
      </c>
      <c r="L19" s="5">
        <v>-14924.789999999999</v>
      </c>
      <c r="M19" s="5">
        <v>188424.49156610406</v>
      </c>
      <c r="N19" s="5">
        <v>185231.42595796983</v>
      </c>
      <c r="O19" s="5">
        <v>97196.747114446727</v>
      </c>
      <c r="P19" s="5">
        <v>51684.934629638068</v>
      </c>
      <c r="Q19" s="5">
        <v>753088.98677804938</v>
      </c>
      <c r="R19" s="5">
        <v>377900.06527079525</v>
      </c>
      <c r="S19" s="5">
        <v>52990.53719648446</v>
      </c>
      <c r="T19" s="5">
        <v>-100189.08544358575</v>
      </c>
      <c r="U19" s="5">
        <v>389542.06529787759</v>
      </c>
      <c r="V19" s="5">
        <v>0</v>
      </c>
      <c r="W19" s="5">
        <v>0</v>
      </c>
      <c r="X19" s="189">
        <f>SUM(E19:W19)</f>
        <v>2624191.7923992989</v>
      </c>
      <c r="Y19" s="189">
        <f>SUM(X19,D19)</f>
        <v>13390514.175734177</v>
      </c>
      <c r="AA19" s="190">
        <v>-51684.934629638068</v>
      </c>
      <c r="AB19" s="191">
        <v>51684.934629638068</v>
      </c>
      <c r="AC19" s="192">
        <f>SUM(AA19:AB19)</f>
        <v>0</v>
      </c>
      <c r="AD19" s="192">
        <f>SUM(Y19,AC19)</f>
        <v>13390514.175734177</v>
      </c>
      <c r="AE19" s="193">
        <f>Y19/C19</f>
        <v>0.10865942110033359</v>
      </c>
      <c r="AF19" s="193">
        <f>AD19/C19</f>
        <v>0.10865942110033359</v>
      </c>
      <c r="AG19" s="194">
        <f>AC19/Y19</f>
        <v>0</v>
      </c>
      <c r="AH19" s="195"/>
    </row>
    <row r="20" spans="1:34" x14ac:dyDescent="0.2">
      <c r="A20" s="165">
        <f t="shared" si="0"/>
        <v>13</v>
      </c>
      <c r="B20" s="164" t="s">
        <v>89</v>
      </c>
      <c r="C20" s="196">
        <f t="shared" ref="C20:E20" si="7">SUM(C17:C19)</f>
        <v>1544267905.0193744</v>
      </c>
      <c r="D20" s="6">
        <f t="shared" si="7"/>
        <v>126444435.59006318</v>
      </c>
      <c r="E20" s="6">
        <f t="shared" si="7"/>
        <v>3232954.2625776683</v>
      </c>
      <c r="F20" s="6">
        <f t="shared" ref="F20:Y20" si="8">SUM(F17:F19)</f>
        <v>0</v>
      </c>
      <c r="G20" s="6">
        <f t="shared" si="8"/>
        <v>74251.391731471987</v>
      </c>
      <c r="H20" s="6">
        <f t="shared" si="8"/>
        <v>5548973.9359133225</v>
      </c>
      <c r="I20" s="6">
        <f t="shared" si="8"/>
        <v>3396040.0487540648</v>
      </c>
      <c r="J20" s="6">
        <f t="shared" si="8"/>
        <v>0</v>
      </c>
      <c r="K20" s="6">
        <f t="shared" si="8"/>
        <v>600833.53249099921</v>
      </c>
      <c r="L20" s="6">
        <f t="shared" si="8"/>
        <v>-216299.43947077502</v>
      </c>
      <c r="M20" s="6">
        <f t="shared" si="8"/>
        <v>2641129.343999004</v>
      </c>
      <c r="N20" s="6">
        <f t="shared" si="8"/>
        <v>2363389.1410663133</v>
      </c>
      <c r="O20" s="6">
        <f t="shared" si="8"/>
        <v>1311352.3555391426</v>
      </c>
      <c r="P20" s="6">
        <f t="shared" si="8"/>
        <v>2903992.4074114449</v>
      </c>
      <c r="Q20" s="6">
        <f t="shared" si="8"/>
        <v>10431912.933297688</v>
      </c>
      <c r="R20" s="6">
        <f t="shared" si="8"/>
        <v>5251291.6511175148</v>
      </c>
      <c r="S20" s="6">
        <f t="shared" si="8"/>
        <v>412600.82043952995</v>
      </c>
      <c r="T20" s="6">
        <f t="shared" si="8"/>
        <v>-940322.02646844636</v>
      </c>
      <c r="U20" s="6">
        <f t="shared" si="8"/>
        <v>889423.00217849214</v>
      </c>
      <c r="V20" s="6">
        <f t="shared" si="8"/>
        <v>0</v>
      </c>
      <c r="W20" s="6">
        <f t="shared" si="8"/>
        <v>-188399.6416745254</v>
      </c>
      <c r="X20" s="6">
        <f t="shared" si="8"/>
        <v>37713123.718902916</v>
      </c>
      <c r="Y20" s="6">
        <f t="shared" si="8"/>
        <v>164157559.3089661</v>
      </c>
      <c r="AA20" s="197">
        <f t="shared" ref="AA20:AD20" si="9">SUM(AA17:AA19)</f>
        <v>-2903992.4074114449</v>
      </c>
      <c r="AB20" s="198">
        <f t="shared" si="9"/>
        <v>2928378.9955688855</v>
      </c>
      <c r="AC20" s="199">
        <f t="shared" si="9"/>
        <v>24386.588157440714</v>
      </c>
      <c r="AD20" s="199">
        <f t="shared" si="9"/>
        <v>164181945.89712358</v>
      </c>
      <c r="AE20" s="200">
        <f>Y20/C20</f>
        <v>0.10630121805640103</v>
      </c>
      <c r="AF20" s="200">
        <f>AD20/C20</f>
        <v>0.10631700973871094</v>
      </c>
      <c r="AG20" s="201">
        <f>AC20/Y20</f>
        <v>1.4855598645653563E-4</v>
      </c>
      <c r="AH20" s="195"/>
    </row>
    <row r="21" spans="1:34" x14ac:dyDescent="0.2">
      <c r="A21" s="165">
        <f t="shared" si="0"/>
        <v>14</v>
      </c>
      <c r="B21" s="165"/>
      <c r="C21" s="177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AA21" s="190"/>
      <c r="AB21" s="191"/>
      <c r="AC21" s="192"/>
      <c r="AD21" s="192"/>
      <c r="AE21" s="193"/>
      <c r="AF21" s="193"/>
      <c r="AG21" s="194"/>
    </row>
    <row r="22" spans="1:34" x14ac:dyDescent="0.2">
      <c r="A22" s="165">
        <f t="shared" si="0"/>
        <v>15</v>
      </c>
      <c r="B22" s="165">
        <v>46</v>
      </c>
      <c r="C22" s="177">
        <v>97204322.458226442</v>
      </c>
      <c r="D22" s="5">
        <v>6287794.4661451252</v>
      </c>
      <c r="E22" s="5">
        <v>176672.27830376479</v>
      </c>
      <c r="F22" s="5">
        <v>0</v>
      </c>
      <c r="G22" s="5">
        <v>3013.33399620502</v>
      </c>
      <c r="H22" s="5">
        <v>94579.805751854336</v>
      </c>
      <c r="I22" s="5">
        <v>166219.39140356722</v>
      </c>
      <c r="J22" s="5">
        <v>0</v>
      </c>
      <c r="K22" s="5">
        <v>66112.663426560059</v>
      </c>
      <c r="L22" s="5">
        <v>-26126.360827200006</v>
      </c>
      <c r="M22" s="5">
        <v>92344.106335315126</v>
      </c>
      <c r="N22" s="5">
        <v>129067.69678434927</v>
      </c>
      <c r="O22" s="5">
        <v>43726.831684315664</v>
      </c>
      <c r="P22" s="5">
        <v>55525.305336674341</v>
      </c>
      <c r="Q22" s="5">
        <v>372156.53421803116</v>
      </c>
      <c r="R22" s="5">
        <v>186855.90168868139</v>
      </c>
      <c r="S22" s="5">
        <v>30910.974541716005</v>
      </c>
      <c r="T22" s="5">
        <v>-43741.9451062019</v>
      </c>
      <c r="U22" s="5">
        <v>0</v>
      </c>
      <c r="V22" s="5">
        <v>0</v>
      </c>
      <c r="W22" s="5">
        <v>0</v>
      </c>
      <c r="X22" s="189">
        <f>SUM(E22:W22)</f>
        <v>1347316.5175376327</v>
      </c>
      <c r="Y22" s="189">
        <f>SUM(X22,D22)</f>
        <v>7635110.9836827582</v>
      </c>
      <c r="AA22" s="190">
        <v>-55525.305336674341</v>
      </c>
      <c r="AB22" s="191">
        <v>46111.599480112607</v>
      </c>
      <c r="AC22" s="192">
        <f>SUM(AA22:AB22)</f>
        <v>-9413.7058565617335</v>
      </c>
      <c r="AD22" s="192">
        <f>SUM(Y22,AC22)</f>
        <v>7625697.2778261965</v>
      </c>
      <c r="AE22" s="193">
        <f>Y22/C22</f>
        <v>7.8547031557819322E-2</v>
      </c>
      <c r="AF22" s="193">
        <f>AD22/C22</f>
        <v>7.8450187038784619E-2</v>
      </c>
      <c r="AG22" s="194">
        <f>AC22/Y22</f>
        <v>-1.2329494458797087E-3</v>
      </c>
      <c r="AH22" s="195"/>
    </row>
    <row r="23" spans="1:34" x14ac:dyDescent="0.2">
      <c r="A23" s="165">
        <f t="shared" si="0"/>
        <v>16</v>
      </c>
      <c r="B23" s="165">
        <v>49</v>
      </c>
      <c r="C23" s="177">
        <v>536308452.81444013</v>
      </c>
      <c r="D23" s="5">
        <v>34548061.520480059</v>
      </c>
      <c r="E23" s="5">
        <v>1054899.3955997371</v>
      </c>
      <c r="F23" s="5">
        <v>0</v>
      </c>
      <c r="G23" s="5">
        <v>25742.805735093127</v>
      </c>
      <c r="H23" s="5">
        <v>1914084.8680947369</v>
      </c>
      <c r="I23" s="5">
        <v>902070.81763388822</v>
      </c>
      <c r="J23" s="5">
        <v>0</v>
      </c>
      <c r="K23" s="5">
        <v>726532.59202114865</v>
      </c>
      <c r="L23" s="5">
        <v>-268768.30364225997</v>
      </c>
      <c r="M23" s="5">
        <v>509493.03017371811</v>
      </c>
      <c r="N23" s="5">
        <v>712109.24596984859</v>
      </c>
      <c r="O23" s="5">
        <v>244067.87442438566</v>
      </c>
      <c r="P23" s="5">
        <v>1029644.4568286424</v>
      </c>
      <c r="Q23" s="5">
        <v>2007660.5710202232</v>
      </c>
      <c r="R23" s="5">
        <v>1001477.9949798215</v>
      </c>
      <c r="S23" s="5">
        <v>117987.85961917683</v>
      </c>
      <c r="T23" s="5">
        <v>-241338.80376649805</v>
      </c>
      <c r="U23" s="5">
        <v>0</v>
      </c>
      <c r="V23" s="5">
        <v>0</v>
      </c>
      <c r="W23" s="5">
        <v>0</v>
      </c>
      <c r="X23" s="189">
        <f>SUM(E23:W23)</f>
        <v>9735664.4046916608</v>
      </c>
      <c r="Y23" s="189">
        <f>SUM(X23,D23)</f>
        <v>44283725.925171718</v>
      </c>
      <c r="AA23" s="190">
        <v>-1029644.4568286424</v>
      </c>
      <c r="AB23" s="191">
        <v>1013141.0898061446</v>
      </c>
      <c r="AC23" s="192">
        <f>SUM(AA23:AB23)</f>
        <v>-16503.367022497812</v>
      </c>
      <c r="AD23" s="192">
        <f>SUM(Y23,AC23)</f>
        <v>44267222.558149219</v>
      </c>
      <c r="AE23" s="193">
        <f>Y23/C23</f>
        <v>8.2571374164959604E-2</v>
      </c>
      <c r="AF23" s="193">
        <f>AD23/C23</f>
        <v>8.2540602009615244E-2</v>
      </c>
      <c r="AG23" s="194">
        <f>AC23/Y23</f>
        <v>-3.7267340716506833E-4</v>
      </c>
      <c r="AH23" s="195"/>
    </row>
    <row r="24" spans="1:34" x14ac:dyDescent="0.2">
      <c r="A24" s="165">
        <f t="shared" si="0"/>
        <v>17</v>
      </c>
      <c r="B24" s="165" t="s">
        <v>4</v>
      </c>
      <c r="C24" s="196">
        <f t="shared" ref="C24:E24" si="10">SUM(C22:C23)</f>
        <v>633512775.27266657</v>
      </c>
      <c r="D24" s="6">
        <f t="shared" si="10"/>
        <v>40835855.986625187</v>
      </c>
      <c r="E24" s="6">
        <f t="shared" si="10"/>
        <v>1231571.6739035018</v>
      </c>
      <c r="F24" s="6">
        <f t="shared" ref="F24:Y24" si="11">SUM(F22:F23)</f>
        <v>0</v>
      </c>
      <c r="G24" s="6">
        <f t="shared" si="11"/>
        <v>28756.139731298146</v>
      </c>
      <c r="H24" s="6">
        <f t="shared" si="11"/>
        <v>2008664.6738465913</v>
      </c>
      <c r="I24" s="6">
        <f t="shared" si="11"/>
        <v>1068290.2090374555</v>
      </c>
      <c r="J24" s="6">
        <f t="shared" si="11"/>
        <v>0</v>
      </c>
      <c r="K24" s="6">
        <f t="shared" si="11"/>
        <v>792645.25544770877</v>
      </c>
      <c r="L24" s="6">
        <f t="shared" si="11"/>
        <v>-294894.66446945997</v>
      </c>
      <c r="M24" s="6">
        <f t="shared" si="11"/>
        <v>601837.13650903327</v>
      </c>
      <c r="N24" s="6">
        <f t="shared" si="11"/>
        <v>841176.94275419787</v>
      </c>
      <c r="O24" s="6">
        <f t="shared" si="11"/>
        <v>287794.7061087013</v>
      </c>
      <c r="P24" s="6">
        <f t="shared" si="11"/>
        <v>1085169.7621653168</v>
      </c>
      <c r="Q24" s="6">
        <f t="shared" si="11"/>
        <v>2379817.1052382542</v>
      </c>
      <c r="R24" s="6">
        <f t="shared" si="11"/>
        <v>1188333.8966685028</v>
      </c>
      <c r="S24" s="6">
        <f t="shared" si="11"/>
        <v>148898.83416089285</v>
      </c>
      <c r="T24" s="6">
        <f t="shared" si="11"/>
        <v>-285080.74887269997</v>
      </c>
      <c r="U24" s="6">
        <f t="shared" si="11"/>
        <v>0</v>
      </c>
      <c r="V24" s="6">
        <f t="shared" si="11"/>
        <v>0</v>
      </c>
      <c r="W24" s="6">
        <f t="shared" si="11"/>
        <v>0</v>
      </c>
      <c r="X24" s="6">
        <f t="shared" si="11"/>
        <v>11082980.922229294</v>
      </c>
      <c r="Y24" s="6">
        <f t="shared" si="11"/>
        <v>51918836.908854477</v>
      </c>
      <c r="AA24" s="197">
        <f t="shared" ref="AA24:AD24" si="12">SUM(AA22:AA23)</f>
        <v>-1085169.7621653168</v>
      </c>
      <c r="AB24" s="198">
        <f t="shared" si="12"/>
        <v>1059252.6892862571</v>
      </c>
      <c r="AC24" s="199">
        <f t="shared" si="12"/>
        <v>-25917.072879059546</v>
      </c>
      <c r="AD24" s="199">
        <f t="shared" si="12"/>
        <v>51892919.835975416</v>
      </c>
      <c r="AE24" s="200">
        <f>Y24/C24</f>
        <v>8.1953890963774784E-2</v>
      </c>
      <c r="AF24" s="200">
        <f>AD24/C24</f>
        <v>8.1912980860789242E-2</v>
      </c>
      <c r="AG24" s="201">
        <f>AC24/Y24</f>
        <v>-4.9918438898309623E-4</v>
      </c>
      <c r="AH24" s="195"/>
    </row>
    <row r="25" spans="1:34" x14ac:dyDescent="0.2">
      <c r="A25" s="165">
        <f t="shared" si="0"/>
        <v>18</v>
      </c>
      <c r="B25" s="165"/>
      <c r="C25" s="177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AA25" s="190"/>
      <c r="AB25" s="191"/>
      <c r="AC25" s="192"/>
      <c r="AD25" s="192"/>
      <c r="AE25" s="193"/>
      <c r="AF25" s="193"/>
      <c r="AG25" s="194"/>
    </row>
    <row r="26" spans="1:34" x14ac:dyDescent="0.2">
      <c r="A26" s="165">
        <f t="shared" si="0"/>
        <v>19</v>
      </c>
      <c r="B26" s="165" t="s">
        <v>5</v>
      </c>
      <c r="C26" s="177">
        <v>67490752.881634608</v>
      </c>
      <c r="D26" s="5">
        <v>16841951.461265463</v>
      </c>
      <c r="E26" s="5">
        <v>143785.15847152899</v>
      </c>
      <c r="F26" s="5">
        <v>0</v>
      </c>
      <c r="G26" s="5">
        <v>3509.5191498449994</v>
      </c>
      <c r="H26" s="5">
        <v>156781.01894403721</v>
      </c>
      <c r="I26" s="5">
        <v>399207.80329486873</v>
      </c>
      <c r="J26" s="5">
        <v>0</v>
      </c>
      <c r="K26" s="5">
        <v>0</v>
      </c>
      <c r="L26" s="5">
        <v>0</v>
      </c>
      <c r="M26" s="5">
        <v>579543.09499459644</v>
      </c>
      <c r="N26" s="5">
        <v>133631.69070563652</v>
      </c>
      <c r="O26" s="5">
        <v>282853.74532693066</v>
      </c>
      <c r="P26" s="5">
        <v>82541.190774239119</v>
      </c>
      <c r="Q26" s="5">
        <v>2374257.1956230239</v>
      </c>
      <c r="R26" s="5">
        <v>1193304.0017001815</v>
      </c>
      <c r="S26" s="5">
        <v>0</v>
      </c>
      <c r="T26" s="5">
        <v>-168929.35446273143</v>
      </c>
      <c r="U26" s="5">
        <v>0</v>
      </c>
      <c r="V26" s="5">
        <v>0</v>
      </c>
      <c r="W26" s="5">
        <v>-11768.370079575026</v>
      </c>
      <c r="X26" s="189">
        <f>SUM(E26:W26)</f>
        <v>5168716.6944425814</v>
      </c>
      <c r="Y26" s="189">
        <f>SUM(X26,D26)</f>
        <v>22010668.155708045</v>
      </c>
      <c r="AA26" s="190">
        <v>-82541.190774239119</v>
      </c>
      <c r="AB26" s="191">
        <v>80246.505176263541</v>
      </c>
      <c r="AC26" s="192">
        <f>SUM(AA26:AB26)</f>
        <v>-2294.6855979755783</v>
      </c>
      <c r="AD26" s="192">
        <f>SUM(Y26,AC26)</f>
        <v>22008373.47011007</v>
      </c>
      <c r="AE26" s="193">
        <f>Y26/C26</f>
        <v>0.32612865045838785</v>
      </c>
      <c r="AF26" s="193">
        <f>AD26/C26</f>
        <v>0.32609465045838787</v>
      </c>
      <c r="AG26" s="194">
        <f>AC26/Y26</f>
        <v>-1.0425333668848646E-4</v>
      </c>
      <c r="AH26" s="195"/>
    </row>
    <row r="27" spans="1:34" x14ac:dyDescent="0.2">
      <c r="A27" s="165">
        <f t="shared" si="0"/>
        <v>20</v>
      </c>
      <c r="B27" s="165" t="s">
        <v>396</v>
      </c>
      <c r="C27" s="177">
        <v>1978304514.9769657</v>
      </c>
      <c r="D27" s="5">
        <v>9197506</v>
      </c>
      <c r="E27" s="5">
        <v>0</v>
      </c>
      <c r="F27" s="5">
        <v>0</v>
      </c>
      <c r="G27" s="5">
        <v>0</v>
      </c>
      <c r="H27" s="5">
        <v>2672689.3997338805</v>
      </c>
      <c r="I27" s="5">
        <v>233439.93276728195</v>
      </c>
      <c r="J27" s="5">
        <v>0</v>
      </c>
      <c r="K27" s="5">
        <v>0</v>
      </c>
      <c r="L27" s="5">
        <v>0</v>
      </c>
      <c r="M27" s="5">
        <v>33631.176754608416</v>
      </c>
      <c r="N27" s="5">
        <v>0</v>
      </c>
      <c r="O27" s="5">
        <v>0</v>
      </c>
      <c r="P27" s="5">
        <v>0</v>
      </c>
      <c r="Q27" s="5">
        <v>116160</v>
      </c>
      <c r="R27" s="5">
        <v>58320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189">
        <f>SUM(E27:W27)</f>
        <v>3114240.5092557706</v>
      </c>
      <c r="Y27" s="189">
        <f>SUM(X27,D27)</f>
        <v>12311746.509255771</v>
      </c>
      <c r="AA27" s="190">
        <v>0</v>
      </c>
      <c r="AB27" s="191">
        <v>0</v>
      </c>
      <c r="AC27" s="192">
        <f>SUM(AA27:AB27)</f>
        <v>0</v>
      </c>
      <c r="AD27" s="192">
        <f>SUM(Y27,AC27)</f>
        <v>12311746.509255771</v>
      </c>
      <c r="AE27" s="193">
        <f>Y27/C27</f>
        <v>6.2233829099859897E-3</v>
      </c>
      <c r="AF27" s="193">
        <f>AD27/C27</f>
        <v>6.2233829099859897E-3</v>
      </c>
      <c r="AG27" s="194">
        <f>AC27/Y27</f>
        <v>0</v>
      </c>
      <c r="AH27" s="189"/>
    </row>
    <row r="28" spans="1:34" x14ac:dyDescent="0.2">
      <c r="A28" s="165">
        <f t="shared" si="0"/>
        <v>21</v>
      </c>
      <c r="B28" s="165" t="s">
        <v>73</v>
      </c>
      <c r="C28" s="177">
        <v>304641655.46200001</v>
      </c>
      <c r="D28" s="5">
        <v>3297886.6134481477</v>
      </c>
      <c r="E28" s="5">
        <v>0</v>
      </c>
      <c r="F28" s="5">
        <v>0</v>
      </c>
      <c r="G28" s="5">
        <v>0</v>
      </c>
      <c r="H28" s="5">
        <v>1288938.8442597222</v>
      </c>
      <c r="I28" s="5">
        <v>187049.976453668</v>
      </c>
      <c r="J28" s="5">
        <v>0</v>
      </c>
      <c r="K28" s="5">
        <v>0</v>
      </c>
      <c r="L28" s="5">
        <v>0</v>
      </c>
      <c r="M28" s="5">
        <v>156890.45256293003</v>
      </c>
      <c r="N28" s="5">
        <v>0</v>
      </c>
      <c r="O28" s="5">
        <v>0</v>
      </c>
      <c r="P28" s="5">
        <v>0</v>
      </c>
      <c r="Q28" s="5">
        <v>549268.90479798603</v>
      </c>
      <c r="R28" s="5">
        <v>276005.33984857204</v>
      </c>
      <c r="S28" s="5">
        <v>0</v>
      </c>
      <c r="T28" s="5">
        <v>-85604.305184822006</v>
      </c>
      <c r="U28" s="5">
        <v>367397.83648717206</v>
      </c>
      <c r="V28" s="5">
        <v>0</v>
      </c>
      <c r="W28" s="5">
        <v>0</v>
      </c>
      <c r="X28" s="189">
        <f>SUM(E28:W28)</f>
        <v>2739947.0492252284</v>
      </c>
      <c r="Y28" s="189">
        <f>SUM(X28,D28)</f>
        <v>6037833.6626733765</v>
      </c>
      <c r="AA28" s="190">
        <v>0</v>
      </c>
      <c r="AB28" s="191">
        <v>0</v>
      </c>
      <c r="AC28" s="192">
        <f>SUM(AA28:AB28)</f>
        <v>0</v>
      </c>
      <c r="AD28" s="192">
        <f>SUM(Y28,AC28)</f>
        <v>6037833.6626733765</v>
      </c>
      <c r="AE28" s="193">
        <f>Y28/C28</f>
        <v>1.9819461831366379E-2</v>
      </c>
      <c r="AF28" s="193">
        <f>AD28/C28</f>
        <v>1.9819461831366379E-2</v>
      </c>
      <c r="AG28" s="194">
        <f>AC28/Y28</f>
        <v>0</v>
      </c>
      <c r="AH28" s="189"/>
    </row>
    <row r="29" spans="1:34" x14ac:dyDescent="0.2">
      <c r="A29" s="165">
        <f t="shared" si="0"/>
        <v>22</v>
      </c>
      <c r="B29" s="165"/>
      <c r="C29" s="17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AA29" s="190"/>
      <c r="AB29" s="191"/>
      <c r="AC29" s="192"/>
      <c r="AD29" s="192"/>
      <c r="AE29" s="193"/>
      <c r="AF29" s="193"/>
      <c r="AG29" s="194"/>
      <c r="AH29" s="189"/>
    </row>
    <row r="30" spans="1:34" ht="12" thickBot="1" x14ac:dyDescent="0.25">
      <c r="A30" s="165">
        <f t="shared" si="0"/>
        <v>23</v>
      </c>
      <c r="B30" s="165" t="s">
        <v>397</v>
      </c>
      <c r="C30" s="22">
        <f t="shared" ref="C30:Y30" si="13">SUM(C9,C15,C20,C24,C26:C28)</f>
        <v>23463042185.243912</v>
      </c>
      <c r="D30" s="8">
        <f t="shared" si="13"/>
        <v>2105017415.630167</v>
      </c>
      <c r="E30" s="8">
        <f t="shared" si="13"/>
        <v>45719317.558604971</v>
      </c>
      <c r="F30" s="8">
        <f t="shared" si="13"/>
        <v>0</v>
      </c>
      <c r="G30" s="8">
        <f t="shared" si="13"/>
        <v>1075034.0700171143</v>
      </c>
      <c r="H30" s="8">
        <f t="shared" si="13"/>
        <v>100904337.77974883</v>
      </c>
      <c r="I30" s="8">
        <f t="shared" si="13"/>
        <v>54240275.738642678</v>
      </c>
      <c r="J30" s="8">
        <f t="shared" si="13"/>
        <v>0</v>
      </c>
      <c r="K30" s="8">
        <f t="shared" si="13"/>
        <v>3263707.07681177</v>
      </c>
      <c r="L30" s="8">
        <f t="shared" si="13"/>
        <v>-1417531.3423638302</v>
      </c>
      <c r="M30" s="8">
        <f t="shared" si="13"/>
        <v>48393576.297146514</v>
      </c>
      <c r="N30" s="8">
        <f t="shared" si="13"/>
        <v>36443854.583500527</v>
      </c>
      <c r="O30" s="8">
        <f t="shared" si="13"/>
        <v>23448966.01524204</v>
      </c>
      <c r="P30" s="8">
        <f t="shared" si="13"/>
        <v>51640659.154504389</v>
      </c>
      <c r="Q30" s="8">
        <f t="shared" si="13"/>
        <v>187844586.12280932</v>
      </c>
      <c r="R30" s="8">
        <f t="shared" si="13"/>
        <v>94410097.108555108</v>
      </c>
      <c r="S30" s="8">
        <f t="shared" si="13"/>
        <v>6242363.3483888134</v>
      </c>
      <c r="T30" s="8">
        <f t="shared" si="13"/>
        <v>-16502823.945278483</v>
      </c>
      <c r="U30" s="8">
        <f t="shared" si="13"/>
        <v>-30892324.303285185</v>
      </c>
      <c r="V30" s="8">
        <f t="shared" si="13"/>
        <v>0</v>
      </c>
      <c r="W30" s="8">
        <f t="shared" si="13"/>
        <v>-78165938.666433245</v>
      </c>
      <c r="X30" s="8">
        <f t="shared" si="13"/>
        <v>526648156.59661132</v>
      </c>
      <c r="Y30" s="8">
        <f t="shared" si="13"/>
        <v>2631665572.2267785</v>
      </c>
      <c r="AA30" s="202">
        <f t="shared" ref="AA30:AD30" si="14">SUM(AA9,AA15,AA20,AA24,AA26:AA28)</f>
        <v>-51640659.154504389</v>
      </c>
      <c r="AB30" s="203">
        <f t="shared" si="14"/>
        <v>52559361.142834418</v>
      </c>
      <c r="AC30" s="204">
        <f t="shared" si="14"/>
        <v>918701.9883300286</v>
      </c>
      <c r="AD30" s="204">
        <f t="shared" si="14"/>
        <v>2632584274.2151089</v>
      </c>
      <c r="AE30" s="205">
        <f>Y30/C30</f>
        <v>0.1121621634334295</v>
      </c>
      <c r="AF30" s="205">
        <f>AD30/C30</f>
        <v>0.11220131871351113</v>
      </c>
      <c r="AG30" s="206">
        <f>AC30/Y30</f>
        <v>3.4909526424083999E-4</v>
      </c>
      <c r="AH30" s="189"/>
    </row>
    <row r="31" spans="1:34" ht="12" thickTop="1" x14ac:dyDescent="0.2">
      <c r="A31" s="165">
        <f t="shared" si="0"/>
        <v>24</v>
      </c>
      <c r="B31" s="165"/>
      <c r="C31" s="17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AA31" s="190"/>
      <c r="AB31" s="191"/>
      <c r="AC31" s="192"/>
      <c r="AD31" s="192"/>
      <c r="AE31" s="193"/>
      <c r="AF31" s="193"/>
      <c r="AG31" s="194"/>
      <c r="AH31" s="189"/>
    </row>
    <row r="32" spans="1:34" x14ac:dyDescent="0.2">
      <c r="A32" s="165">
        <f t="shared" si="0"/>
        <v>25</v>
      </c>
      <c r="B32" s="165">
        <v>5</v>
      </c>
      <c r="C32" s="196">
        <v>6782580.058544145</v>
      </c>
      <c r="D32" s="6">
        <v>309992.4415824787</v>
      </c>
      <c r="E32" s="6">
        <v>13819.732893147968</v>
      </c>
      <c r="F32" s="6">
        <v>0</v>
      </c>
      <c r="G32" s="6">
        <v>345.91158298575141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11096.300975778222</v>
      </c>
      <c r="O32" s="6">
        <v>6330.1732094742101</v>
      </c>
      <c r="P32" s="6">
        <v>12900.467271350964</v>
      </c>
      <c r="Q32" s="6">
        <v>43607.121385287064</v>
      </c>
      <c r="R32" s="6">
        <v>21891.734233404608</v>
      </c>
      <c r="S32" s="6">
        <v>0</v>
      </c>
      <c r="T32" s="6">
        <v>-5133.7847306635476</v>
      </c>
      <c r="U32" s="6">
        <v>0</v>
      </c>
      <c r="V32" s="6">
        <v>0</v>
      </c>
      <c r="W32" s="6">
        <v>0</v>
      </c>
      <c r="X32" s="6">
        <f>SUM(E32:W32)</f>
        <v>104857.65682076525</v>
      </c>
      <c r="Y32" s="6">
        <f>SUM(X32,D32)</f>
        <v>414850.09840324393</v>
      </c>
      <c r="AA32" s="197">
        <v>-12900.467271350964</v>
      </c>
      <c r="AB32" s="198">
        <v>14962.371609148384</v>
      </c>
      <c r="AC32" s="199">
        <f>SUM(AA32:AB32)</f>
        <v>2061.9043377974194</v>
      </c>
      <c r="AD32" s="199">
        <f>SUM(Y32,AC32)</f>
        <v>416912.00274104136</v>
      </c>
      <c r="AE32" s="200">
        <f>Y32/C32</f>
        <v>6.1164054802515654E-2</v>
      </c>
      <c r="AF32" s="200">
        <f>AD32/C32</f>
        <v>6.1468054802515659E-2</v>
      </c>
      <c r="AG32" s="201">
        <f>AC32/Y32</f>
        <v>4.9702394810406929E-3</v>
      </c>
      <c r="AH32" s="189"/>
    </row>
    <row r="33" spans="1:34" ht="12" thickBot="1" x14ac:dyDescent="0.25">
      <c r="A33" s="165">
        <f t="shared" si="0"/>
        <v>26</v>
      </c>
      <c r="B33" s="165"/>
      <c r="C33" s="17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AA33" s="190"/>
      <c r="AB33" s="191"/>
      <c r="AC33" s="207"/>
      <c r="AD33" s="207"/>
      <c r="AE33" s="208"/>
      <c r="AF33" s="208"/>
      <c r="AG33" s="209"/>
      <c r="AH33" s="189"/>
    </row>
    <row r="34" spans="1:34" ht="12" thickBot="1" x14ac:dyDescent="0.25">
      <c r="A34" s="165">
        <f t="shared" si="0"/>
        <v>27</v>
      </c>
      <c r="B34" s="165" t="s">
        <v>128</v>
      </c>
      <c r="C34" s="22">
        <f t="shared" ref="C34:Y34" si="15">SUM(C30,C32)</f>
        <v>23469824765.302456</v>
      </c>
      <c r="D34" s="8">
        <f t="shared" si="15"/>
        <v>2105327408.0717494</v>
      </c>
      <c r="E34" s="8">
        <f t="shared" si="15"/>
        <v>45733137.291498117</v>
      </c>
      <c r="F34" s="8">
        <f t="shared" si="15"/>
        <v>0</v>
      </c>
      <c r="G34" s="8">
        <f t="shared" si="15"/>
        <v>1075379.9816000999</v>
      </c>
      <c r="H34" s="8">
        <f t="shared" si="15"/>
        <v>100904337.77974883</v>
      </c>
      <c r="I34" s="8">
        <f t="shared" si="15"/>
        <v>54240275.738642678</v>
      </c>
      <c r="J34" s="8">
        <f t="shared" si="15"/>
        <v>0</v>
      </c>
      <c r="K34" s="8">
        <f t="shared" si="15"/>
        <v>3263707.07681177</v>
      </c>
      <c r="L34" s="8">
        <f t="shared" si="15"/>
        <v>-1417531.3423638302</v>
      </c>
      <c r="M34" s="8">
        <f t="shared" si="15"/>
        <v>48393576.297146514</v>
      </c>
      <c r="N34" s="8">
        <f t="shared" si="15"/>
        <v>36454950.884476304</v>
      </c>
      <c r="O34" s="8">
        <f t="shared" si="15"/>
        <v>23455296.188451514</v>
      </c>
      <c r="P34" s="8">
        <f t="shared" si="15"/>
        <v>51653559.621775739</v>
      </c>
      <c r="Q34" s="8">
        <f t="shared" si="15"/>
        <v>187888193.2441946</v>
      </c>
      <c r="R34" s="8">
        <f t="shared" si="15"/>
        <v>94431988.842788517</v>
      </c>
      <c r="S34" s="8">
        <f t="shared" si="15"/>
        <v>6242363.3483888134</v>
      </c>
      <c r="T34" s="8">
        <f t="shared" si="15"/>
        <v>-16507957.730009146</v>
      </c>
      <c r="U34" s="8">
        <f t="shared" si="15"/>
        <v>-30892324.303285185</v>
      </c>
      <c r="V34" s="8">
        <f t="shared" si="15"/>
        <v>0</v>
      </c>
      <c r="W34" s="8">
        <f t="shared" si="15"/>
        <v>-78165938.666433245</v>
      </c>
      <c r="X34" s="8">
        <f t="shared" si="15"/>
        <v>526753014.2534321</v>
      </c>
      <c r="Y34" s="8">
        <f t="shared" si="15"/>
        <v>2632080422.325182</v>
      </c>
      <c r="AA34" s="202">
        <f t="shared" ref="AA34:AD34" si="16">SUM(AA30,AA32)</f>
        <v>-51653559.621775739</v>
      </c>
      <c r="AB34" s="203">
        <f t="shared" si="16"/>
        <v>52574323.514443569</v>
      </c>
      <c r="AC34" s="210">
        <f t="shared" si="16"/>
        <v>920763.89266782603</v>
      </c>
      <c r="AD34" s="210">
        <f t="shared" si="16"/>
        <v>2633001186.2178497</v>
      </c>
      <c r="AE34" s="208">
        <f>Y34/C34</f>
        <v>0.11214742541309564</v>
      </c>
      <c r="AF34" s="208">
        <f>AD34/C34</f>
        <v>0.11218665723105233</v>
      </c>
      <c r="AG34" s="211">
        <f>AC34/Y34</f>
        <v>3.4982361665621999E-4</v>
      </c>
      <c r="AH34" s="189"/>
    </row>
    <row r="35" spans="1:34" ht="12" thickTop="1" x14ac:dyDescent="0.2">
      <c r="A35" s="165">
        <f t="shared" si="0"/>
        <v>28</v>
      </c>
      <c r="D35" s="19"/>
      <c r="AA35" s="212"/>
      <c r="AB35" s="213"/>
    </row>
    <row r="36" spans="1:34" x14ac:dyDescent="0.2">
      <c r="A36" s="165">
        <f t="shared" si="0"/>
        <v>29</v>
      </c>
      <c r="B36" s="13" t="s">
        <v>111</v>
      </c>
      <c r="C36" s="295">
        <v>0</v>
      </c>
      <c r="D36" s="295">
        <v>0</v>
      </c>
      <c r="E36" s="295">
        <v>0</v>
      </c>
      <c r="F36" s="295">
        <v>0</v>
      </c>
      <c r="G36" s="295">
        <v>0</v>
      </c>
      <c r="H36" s="295">
        <v>0</v>
      </c>
      <c r="I36" s="295">
        <v>0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95">
        <v>0</v>
      </c>
      <c r="S36" s="295">
        <v>0</v>
      </c>
      <c r="T36" s="295">
        <v>0</v>
      </c>
      <c r="U36" s="295">
        <v>0</v>
      </c>
      <c r="V36" s="295">
        <v>0</v>
      </c>
      <c r="W36" s="295">
        <v>0</v>
      </c>
      <c r="X36" s="295">
        <v>0</v>
      </c>
      <c r="Y36" s="295">
        <v>0</v>
      </c>
      <c r="AA36" s="296">
        <v>0</v>
      </c>
      <c r="AB36" s="297">
        <v>0</v>
      </c>
    </row>
    <row r="37" spans="1:34" ht="12" thickBot="1" x14ac:dyDescent="0.25">
      <c r="Y37" s="13" t="s">
        <v>90</v>
      </c>
      <c r="AA37" s="214"/>
      <c r="AB37" s="215"/>
    </row>
    <row r="38" spans="1:34" x14ac:dyDescent="0.2">
      <c r="Y38" s="189">
        <v>0</v>
      </c>
    </row>
    <row r="40" spans="1:34" x14ac:dyDescent="0.2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</sheetData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89"/>
  <sheetViews>
    <sheetView zoomScaleNormal="100" zoomScaleSheetLayoutView="100" workbookViewId="0">
      <pane ySplit="6" topLeftCell="A7" activePane="bottomLeft" state="frozen"/>
      <selection activeCell="C13" sqref="C13"/>
      <selection pane="bottomLeft" activeCell="C13" sqref="C13"/>
    </sheetView>
  </sheetViews>
  <sheetFormatPr defaultColWidth="8.7109375" defaultRowHeight="11.25" x14ac:dyDescent="0.2"/>
  <cols>
    <col min="1" max="1" width="21.5703125" style="13" customWidth="1"/>
    <col min="2" max="2" width="7.7109375" style="13" bestFit="1" customWidth="1"/>
    <col min="3" max="3" width="12.7109375" style="13" bestFit="1" customWidth="1"/>
    <col min="4" max="4" width="20" style="13" bestFit="1" customWidth="1"/>
    <col min="5" max="5" width="10.28515625" style="13" bestFit="1" customWidth="1"/>
    <col min="6" max="6" width="10" style="13" bestFit="1" customWidth="1"/>
    <col min="7" max="7" width="0.85546875" style="13" customWidth="1"/>
    <col min="8" max="8" width="7.7109375" style="13" bestFit="1" customWidth="1"/>
    <col min="9" max="9" width="9.140625" style="13" bestFit="1" customWidth="1"/>
    <col min="10" max="10" width="7.7109375" style="13" bestFit="1" customWidth="1"/>
    <col min="11" max="11" width="9" style="13" bestFit="1" customWidth="1"/>
    <col min="12" max="13" width="9" style="13" customWidth="1"/>
    <col min="14" max="14" width="4" style="13" customWidth="1"/>
    <col min="15" max="16384" width="8.7109375" style="13"/>
  </cols>
  <sheetData>
    <row r="1" spans="1:18" s="11" customFormat="1" x14ac:dyDescent="0.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3"/>
    </row>
    <row r="2" spans="1:18" s="11" customFormat="1" x14ac:dyDescent="0.2">
      <c r="A2" s="9" t="s">
        <v>22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8" x14ac:dyDescent="0.2">
      <c r="A3" s="9" t="str">
        <f>'Rate Summary'!A4</f>
        <v>Proposed Rate Effective Janaury 1, 2024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5" spans="1:18" x14ac:dyDescent="0.2">
      <c r="C5" s="229" t="s">
        <v>75</v>
      </c>
      <c r="D5" s="229"/>
      <c r="E5" s="229"/>
      <c r="F5" s="229"/>
      <c r="G5" s="14"/>
      <c r="H5" s="229" t="s">
        <v>76</v>
      </c>
      <c r="I5" s="229"/>
      <c r="J5" s="229"/>
      <c r="K5" s="229"/>
      <c r="L5" s="15"/>
      <c r="M5" s="15"/>
      <c r="O5" s="16"/>
      <c r="P5" s="16"/>
      <c r="Q5" s="16"/>
      <c r="R5" s="16"/>
    </row>
    <row r="6" spans="1:18" ht="22.5" x14ac:dyDescent="0.2">
      <c r="A6" s="17" t="s">
        <v>7</v>
      </c>
      <c r="B6" s="17" t="s">
        <v>21</v>
      </c>
      <c r="C6" s="17" t="s">
        <v>77</v>
      </c>
      <c r="D6" s="17" t="s">
        <v>78</v>
      </c>
      <c r="E6" s="17" t="s">
        <v>79</v>
      </c>
      <c r="F6" s="17" t="s">
        <v>80</v>
      </c>
      <c r="H6" s="17" t="s">
        <v>77</v>
      </c>
      <c r="I6" s="17" t="s">
        <v>78</v>
      </c>
      <c r="J6" s="17" t="s">
        <v>79</v>
      </c>
      <c r="K6" s="17" t="s">
        <v>80</v>
      </c>
      <c r="L6" s="18" t="s">
        <v>81</v>
      </c>
      <c r="M6" s="17" t="s">
        <v>91</v>
      </c>
    </row>
    <row r="7" spans="1:18" x14ac:dyDescent="0.2">
      <c r="A7" s="13" t="s">
        <v>401</v>
      </c>
      <c r="B7" s="177">
        <f t="shared" ref="B7:B18" si="0">ROUND(+E75,0)</f>
        <v>1100</v>
      </c>
      <c r="C7" s="1">
        <f t="shared" ref="C7:C18" si="1">ROUND(+$E$27,2)</f>
        <v>7.49</v>
      </c>
      <c r="D7" s="1">
        <f t="shared" ref="D7:D18" si="2">ROUND(IF($B7&gt;600,600*$E$69,$B7*$E$43),2)</f>
        <v>67.209999999999994</v>
      </c>
      <c r="E7" s="1">
        <f t="shared" ref="E7:E18" si="3">ROUND(IF($B7&gt;600,($B7-600)*$E$70,0),2)</f>
        <v>65.72</v>
      </c>
      <c r="F7" s="19">
        <f t="shared" ref="F7:F18" si="4">SUM(C7:E7)</f>
        <v>140.41999999999999</v>
      </c>
      <c r="H7" s="1">
        <f t="shared" ref="H7:H18" si="5">ROUND(+$F$27,2)</f>
        <v>7.49</v>
      </c>
      <c r="I7" s="1">
        <f t="shared" ref="I7:I18" si="6">ROUND(IF($B7&gt;600,600*$F$69,$B7*$F$43),2)</f>
        <v>67.25</v>
      </c>
      <c r="J7" s="1">
        <f t="shared" ref="J7:J18" si="7">ROUND(IF($B7&gt;600,($B7-600)*$F$70,0),2)</f>
        <v>65.75</v>
      </c>
      <c r="K7" s="19">
        <f t="shared" ref="K7:K18" si="8">SUM(H7:J7)</f>
        <v>140.49</v>
      </c>
      <c r="L7" s="19">
        <f t="shared" ref="L7:L18" si="9">+K7-F7</f>
        <v>7.00000000000216E-2</v>
      </c>
      <c r="M7" s="20">
        <f t="shared" ref="M7:M18" si="10">+L7/F7</f>
        <v>4.9850448654053278E-4</v>
      </c>
    </row>
    <row r="8" spans="1:18" x14ac:dyDescent="0.2">
      <c r="A8" s="13" t="s">
        <v>402</v>
      </c>
      <c r="B8" s="177">
        <f t="shared" si="0"/>
        <v>992</v>
      </c>
      <c r="C8" s="1">
        <f t="shared" si="1"/>
        <v>7.49</v>
      </c>
      <c r="D8" s="1">
        <f t="shared" si="2"/>
        <v>67.209999999999994</v>
      </c>
      <c r="E8" s="1">
        <f t="shared" si="3"/>
        <v>51.52</v>
      </c>
      <c r="F8" s="19">
        <f t="shared" si="4"/>
        <v>126.22</v>
      </c>
      <c r="H8" s="1">
        <f t="shared" si="5"/>
        <v>7.49</v>
      </c>
      <c r="I8" s="1">
        <f t="shared" si="6"/>
        <v>67.25</v>
      </c>
      <c r="J8" s="1">
        <f t="shared" si="7"/>
        <v>51.55</v>
      </c>
      <c r="K8" s="19">
        <f t="shared" si="8"/>
        <v>126.28999999999999</v>
      </c>
      <c r="L8" s="19">
        <f t="shared" si="9"/>
        <v>6.9999999999993179E-2</v>
      </c>
      <c r="M8" s="20">
        <f t="shared" si="10"/>
        <v>5.5458722864833762E-4</v>
      </c>
    </row>
    <row r="9" spans="1:18" x14ac:dyDescent="0.2">
      <c r="A9" s="13" t="s">
        <v>403</v>
      </c>
      <c r="B9" s="177">
        <f t="shared" si="0"/>
        <v>959</v>
      </c>
      <c r="C9" s="1">
        <f t="shared" si="1"/>
        <v>7.49</v>
      </c>
      <c r="D9" s="1">
        <f t="shared" si="2"/>
        <v>67.209999999999994</v>
      </c>
      <c r="E9" s="1">
        <f t="shared" si="3"/>
        <v>47.19</v>
      </c>
      <c r="F9" s="19">
        <f t="shared" si="4"/>
        <v>121.88999999999999</v>
      </c>
      <c r="H9" s="1">
        <f t="shared" si="5"/>
        <v>7.49</v>
      </c>
      <c r="I9" s="1">
        <f t="shared" si="6"/>
        <v>67.25</v>
      </c>
      <c r="J9" s="1">
        <f t="shared" si="7"/>
        <v>47.21</v>
      </c>
      <c r="K9" s="19">
        <f t="shared" si="8"/>
        <v>121.94999999999999</v>
      </c>
      <c r="L9" s="19">
        <f t="shared" si="9"/>
        <v>6.0000000000002274E-2</v>
      </c>
      <c r="M9" s="20">
        <f t="shared" si="10"/>
        <v>4.9224710804825894E-4</v>
      </c>
    </row>
    <row r="10" spans="1:18" x14ac:dyDescent="0.2">
      <c r="A10" s="13" t="s">
        <v>404</v>
      </c>
      <c r="B10" s="177">
        <f t="shared" si="0"/>
        <v>803</v>
      </c>
      <c r="C10" s="1">
        <f t="shared" si="1"/>
        <v>7.49</v>
      </c>
      <c r="D10" s="1">
        <f t="shared" si="2"/>
        <v>67.209999999999994</v>
      </c>
      <c r="E10" s="1">
        <f t="shared" si="3"/>
        <v>26.68</v>
      </c>
      <c r="F10" s="19">
        <f t="shared" si="4"/>
        <v>101.38</v>
      </c>
      <c r="H10" s="1">
        <f t="shared" si="5"/>
        <v>7.49</v>
      </c>
      <c r="I10" s="1">
        <f t="shared" si="6"/>
        <v>67.25</v>
      </c>
      <c r="J10" s="1">
        <f t="shared" si="7"/>
        <v>26.69</v>
      </c>
      <c r="K10" s="19">
        <f t="shared" si="8"/>
        <v>101.42999999999999</v>
      </c>
      <c r="L10" s="19">
        <f t="shared" si="9"/>
        <v>4.9999999999997158E-2</v>
      </c>
      <c r="M10" s="20">
        <f t="shared" si="10"/>
        <v>4.931939238508301E-4</v>
      </c>
    </row>
    <row r="11" spans="1:18" x14ac:dyDescent="0.2">
      <c r="A11" s="13" t="s">
        <v>405</v>
      </c>
      <c r="B11" s="177">
        <f t="shared" si="0"/>
        <v>700</v>
      </c>
      <c r="C11" s="1">
        <f t="shared" si="1"/>
        <v>7.49</v>
      </c>
      <c r="D11" s="1">
        <f t="shared" si="2"/>
        <v>67.209999999999994</v>
      </c>
      <c r="E11" s="1">
        <f t="shared" si="3"/>
        <v>13.14</v>
      </c>
      <c r="F11" s="19">
        <f t="shared" si="4"/>
        <v>87.839999999999989</v>
      </c>
      <c r="H11" s="1">
        <f t="shared" si="5"/>
        <v>7.49</v>
      </c>
      <c r="I11" s="1">
        <f t="shared" si="6"/>
        <v>67.25</v>
      </c>
      <c r="J11" s="1">
        <f t="shared" si="7"/>
        <v>13.15</v>
      </c>
      <c r="K11" s="19">
        <f t="shared" si="8"/>
        <v>87.89</v>
      </c>
      <c r="L11" s="19">
        <f t="shared" si="9"/>
        <v>5.0000000000011369E-2</v>
      </c>
      <c r="M11" s="20">
        <f t="shared" si="10"/>
        <v>5.6921675774147741E-4</v>
      </c>
    </row>
    <row r="12" spans="1:18" x14ac:dyDescent="0.2">
      <c r="A12" s="13" t="s">
        <v>406</v>
      </c>
      <c r="B12" s="177">
        <f t="shared" si="0"/>
        <v>669</v>
      </c>
      <c r="C12" s="1">
        <f t="shared" si="1"/>
        <v>7.49</v>
      </c>
      <c r="D12" s="1">
        <f t="shared" si="2"/>
        <v>67.209999999999994</v>
      </c>
      <c r="E12" s="1">
        <f t="shared" si="3"/>
        <v>9.07</v>
      </c>
      <c r="F12" s="19">
        <f t="shared" si="4"/>
        <v>83.769999999999982</v>
      </c>
      <c r="H12" s="1">
        <f t="shared" si="5"/>
        <v>7.49</v>
      </c>
      <c r="I12" s="1">
        <f t="shared" si="6"/>
        <v>67.25</v>
      </c>
      <c r="J12" s="1">
        <f t="shared" si="7"/>
        <v>9.07</v>
      </c>
      <c r="K12" s="19">
        <f t="shared" si="8"/>
        <v>83.81</v>
      </c>
      <c r="L12" s="19">
        <f t="shared" si="9"/>
        <v>4.0000000000020464E-2</v>
      </c>
      <c r="M12" s="20">
        <f t="shared" si="10"/>
        <v>4.7749791094688402E-4</v>
      </c>
    </row>
    <row r="13" spans="1:18" x14ac:dyDescent="0.2">
      <c r="A13" s="13" t="s">
        <v>407</v>
      </c>
      <c r="B13" s="177">
        <f t="shared" si="0"/>
        <v>745</v>
      </c>
      <c r="C13" s="1">
        <f t="shared" si="1"/>
        <v>7.49</v>
      </c>
      <c r="D13" s="1">
        <f t="shared" si="2"/>
        <v>67.209999999999994</v>
      </c>
      <c r="E13" s="1">
        <f t="shared" si="3"/>
        <v>19.059999999999999</v>
      </c>
      <c r="F13" s="19">
        <f t="shared" si="4"/>
        <v>93.759999999999991</v>
      </c>
      <c r="H13" s="1">
        <f t="shared" si="5"/>
        <v>7.49</v>
      </c>
      <c r="I13" s="1">
        <f t="shared" si="6"/>
        <v>67.25</v>
      </c>
      <c r="J13" s="1">
        <f t="shared" si="7"/>
        <v>19.07</v>
      </c>
      <c r="K13" s="19">
        <f t="shared" si="8"/>
        <v>93.81</v>
      </c>
      <c r="L13" s="19">
        <f t="shared" si="9"/>
        <v>5.0000000000011369E-2</v>
      </c>
      <c r="M13" s="20">
        <f t="shared" si="10"/>
        <v>5.3327645051206673E-4</v>
      </c>
    </row>
    <row r="14" spans="1:18" x14ac:dyDescent="0.2">
      <c r="A14" s="13" t="s">
        <v>408</v>
      </c>
      <c r="B14" s="177">
        <f t="shared" si="0"/>
        <v>750</v>
      </c>
      <c r="C14" s="1">
        <f t="shared" si="1"/>
        <v>7.49</v>
      </c>
      <c r="D14" s="1">
        <f t="shared" si="2"/>
        <v>67.209999999999994</v>
      </c>
      <c r="E14" s="1">
        <f t="shared" si="3"/>
        <v>19.72</v>
      </c>
      <c r="F14" s="19">
        <f t="shared" si="4"/>
        <v>94.419999999999987</v>
      </c>
      <c r="H14" s="1">
        <f t="shared" si="5"/>
        <v>7.49</v>
      </c>
      <c r="I14" s="1">
        <f t="shared" si="6"/>
        <v>67.25</v>
      </c>
      <c r="J14" s="1">
        <f t="shared" si="7"/>
        <v>19.72</v>
      </c>
      <c r="K14" s="19">
        <f t="shared" si="8"/>
        <v>94.46</v>
      </c>
      <c r="L14" s="19">
        <f t="shared" si="9"/>
        <v>4.0000000000006253E-2</v>
      </c>
      <c r="M14" s="20">
        <f t="shared" si="10"/>
        <v>4.2363905952135417E-4</v>
      </c>
    </row>
    <row r="15" spans="1:18" x14ac:dyDescent="0.2">
      <c r="A15" s="13" t="s">
        <v>409</v>
      </c>
      <c r="B15" s="177">
        <f t="shared" si="0"/>
        <v>685</v>
      </c>
      <c r="C15" s="1">
        <f t="shared" si="1"/>
        <v>7.49</v>
      </c>
      <c r="D15" s="1">
        <f t="shared" si="2"/>
        <v>67.209999999999994</v>
      </c>
      <c r="E15" s="1">
        <f t="shared" si="3"/>
        <v>11.17</v>
      </c>
      <c r="F15" s="19">
        <f t="shared" si="4"/>
        <v>85.86999999999999</v>
      </c>
      <c r="H15" s="1">
        <f t="shared" si="5"/>
        <v>7.49</v>
      </c>
      <c r="I15" s="1">
        <f t="shared" si="6"/>
        <v>67.25</v>
      </c>
      <c r="J15" s="1">
        <f t="shared" si="7"/>
        <v>11.18</v>
      </c>
      <c r="K15" s="19">
        <f t="shared" si="8"/>
        <v>85.919999999999987</v>
      </c>
      <c r="L15" s="19">
        <f t="shared" si="9"/>
        <v>4.9999999999997158E-2</v>
      </c>
      <c r="M15" s="20">
        <f t="shared" si="10"/>
        <v>5.8227553278207946E-4</v>
      </c>
    </row>
    <row r="16" spans="1:18" x14ac:dyDescent="0.2">
      <c r="A16" s="13" t="s">
        <v>410</v>
      </c>
      <c r="B16" s="177">
        <f t="shared" si="0"/>
        <v>800</v>
      </c>
      <c r="C16" s="1">
        <f t="shared" si="1"/>
        <v>7.49</v>
      </c>
      <c r="D16" s="1">
        <f t="shared" si="2"/>
        <v>67.209999999999994</v>
      </c>
      <c r="E16" s="1">
        <f t="shared" si="3"/>
        <v>26.29</v>
      </c>
      <c r="F16" s="19">
        <f t="shared" si="4"/>
        <v>100.98999999999998</v>
      </c>
      <c r="H16" s="1">
        <f t="shared" si="5"/>
        <v>7.49</v>
      </c>
      <c r="I16" s="1">
        <f t="shared" si="6"/>
        <v>67.25</v>
      </c>
      <c r="J16" s="1">
        <f t="shared" si="7"/>
        <v>26.3</v>
      </c>
      <c r="K16" s="19">
        <f t="shared" si="8"/>
        <v>101.03999999999999</v>
      </c>
      <c r="L16" s="19">
        <f t="shared" si="9"/>
        <v>5.0000000000011369E-2</v>
      </c>
      <c r="M16" s="20">
        <f t="shared" si="10"/>
        <v>4.950985246065093E-4</v>
      </c>
    </row>
    <row r="17" spans="1:13" x14ac:dyDescent="0.2">
      <c r="A17" s="13" t="s">
        <v>411</v>
      </c>
      <c r="B17" s="177">
        <f t="shared" si="0"/>
        <v>964</v>
      </c>
      <c r="C17" s="1">
        <f t="shared" si="1"/>
        <v>7.49</v>
      </c>
      <c r="D17" s="1">
        <f t="shared" si="2"/>
        <v>67.209999999999994</v>
      </c>
      <c r="E17" s="1">
        <f t="shared" si="3"/>
        <v>47.84</v>
      </c>
      <c r="F17" s="19">
        <f t="shared" si="4"/>
        <v>122.53999999999999</v>
      </c>
      <c r="H17" s="1">
        <f t="shared" si="5"/>
        <v>7.49</v>
      </c>
      <c r="I17" s="1">
        <f t="shared" si="6"/>
        <v>67.25</v>
      </c>
      <c r="J17" s="1">
        <f t="shared" si="7"/>
        <v>47.86</v>
      </c>
      <c r="K17" s="19">
        <f t="shared" si="8"/>
        <v>122.6</v>
      </c>
      <c r="L17" s="19">
        <f t="shared" si="9"/>
        <v>6.0000000000002274E-2</v>
      </c>
      <c r="M17" s="20">
        <f t="shared" si="10"/>
        <v>4.8963603721235744E-4</v>
      </c>
    </row>
    <row r="18" spans="1:13" x14ac:dyDescent="0.2">
      <c r="A18" s="13" t="s">
        <v>412</v>
      </c>
      <c r="B18" s="177">
        <f t="shared" si="0"/>
        <v>1157</v>
      </c>
      <c r="C18" s="1">
        <f t="shared" si="1"/>
        <v>7.49</v>
      </c>
      <c r="D18" s="1">
        <f t="shared" si="2"/>
        <v>67.209999999999994</v>
      </c>
      <c r="E18" s="1">
        <f t="shared" si="3"/>
        <v>73.209999999999994</v>
      </c>
      <c r="F18" s="19">
        <f t="shared" si="4"/>
        <v>147.90999999999997</v>
      </c>
      <c r="H18" s="1">
        <f t="shared" si="5"/>
        <v>7.49</v>
      </c>
      <c r="I18" s="1">
        <f t="shared" si="6"/>
        <v>67.25</v>
      </c>
      <c r="J18" s="1">
        <f t="shared" si="7"/>
        <v>73.239999999999995</v>
      </c>
      <c r="K18" s="19">
        <f t="shared" si="8"/>
        <v>147.97999999999999</v>
      </c>
      <c r="L18" s="19">
        <f t="shared" si="9"/>
        <v>7.00000000000216E-2</v>
      </c>
      <c r="M18" s="20">
        <f t="shared" si="10"/>
        <v>4.7326076668258816E-4</v>
      </c>
    </row>
    <row r="19" spans="1:13" x14ac:dyDescent="0.2">
      <c r="C19" s="1"/>
      <c r="H19" s="1"/>
      <c r="M19" s="20"/>
    </row>
    <row r="20" spans="1:13" ht="12" thickBot="1" x14ac:dyDescent="0.25">
      <c r="A20" s="21" t="s">
        <v>8</v>
      </c>
      <c r="B20" s="22">
        <f>SUM(B7:B19)</f>
        <v>10324</v>
      </c>
      <c r="C20" s="2">
        <f>SUM(C7:C19)</f>
        <v>89.88</v>
      </c>
      <c r="D20" s="2">
        <f>SUM(D7:D19)</f>
        <v>806.5200000000001</v>
      </c>
      <c r="E20" s="2">
        <f>SUM(E7:E19)</f>
        <v>410.60999999999996</v>
      </c>
      <c r="F20" s="2">
        <f>SUM(F7:F19)</f>
        <v>1307.0099999999998</v>
      </c>
      <c r="H20" s="2">
        <f>SUM(H7:H19)</f>
        <v>89.88</v>
      </c>
      <c r="I20" s="2">
        <f>SUM(I7:I19)</f>
        <v>807</v>
      </c>
      <c r="J20" s="2">
        <f>SUM(J7:J19)</f>
        <v>410.79</v>
      </c>
      <c r="K20" s="2">
        <f>SUM(K7:K19)</f>
        <v>1307.6699999999998</v>
      </c>
      <c r="L20" s="2">
        <f>+K20-F20</f>
        <v>0.66000000000008185</v>
      </c>
      <c r="M20" s="23">
        <f>+L20/F20</f>
        <v>5.0496935754132106E-4</v>
      </c>
    </row>
    <row r="21" spans="1:13" ht="12" thickTop="1" x14ac:dyDescent="0.2">
      <c r="M21" s="20"/>
    </row>
    <row r="22" spans="1:13" ht="12" thickBot="1" x14ac:dyDescent="0.25">
      <c r="A22" s="24" t="s">
        <v>82</v>
      </c>
      <c r="B22" s="22">
        <f>ROUND(AVERAGE(B7:B18),-2)</f>
        <v>900</v>
      </c>
      <c r="C22" s="25">
        <f>ROUND(+$E$27,2)</f>
        <v>7.49</v>
      </c>
      <c r="D22" s="25">
        <f>ROUND(IF($B22&gt;600,600*$E$69,$B22*$E$43),2)</f>
        <v>67.209999999999994</v>
      </c>
      <c r="E22" s="25">
        <f>ROUND(IF($B22&gt;600,($B22-600)*$E$70,0),2)</f>
        <v>39.43</v>
      </c>
      <c r="F22" s="25">
        <f>SUM(C22:E22)</f>
        <v>114.13</v>
      </c>
      <c r="H22" s="25">
        <f>ROUND(+$F$27,2)</f>
        <v>7.49</v>
      </c>
      <c r="I22" s="25">
        <f>ROUND(IF($B22&gt;600,600*$F$69,$B22*$F$43),2)</f>
        <v>67.25</v>
      </c>
      <c r="J22" s="25">
        <f>ROUND(IF($B22&gt;600,($B22-600)*$F$70,0),2)</f>
        <v>39.450000000000003</v>
      </c>
      <c r="K22" s="25">
        <f>SUM(H22:J22)</f>
        <v>114.19</v>
      </c>
      <c r="L22" s="25">
        <f>+K22-F22</f>
        <v>6.0000000000002274E-2</v>
      </c>
      <c r="M22" s="23">
        <f>+L22/F22</f>
        <v>5.2571628844302355E-4</v>
      </c>
    </row>
    <row r="23" spans="1:13" ht="12.75" thickTop="1" thickBot="1" x14ac:dyDescent="0.25">
      <c r="A23" s="26" t="s">
        <v>82</v>
      </c>
      <c r="B23" s="287">
        <v>800</v>
      </c>
      <c r="C23" s="25">
        <f>ROUND(+$E$27,2)</f>
        <v>7.49</v>
      </c>
      <c r="D23" s="25">
        <f>ROUND(IF($B23&gt;600,600*$E$69,$B23*$E$43),2)</f>
        <v>67.209999999999994</v>
      </c>
      <c r="E23" s="25">
        <f>ROUND(IF($B23&gt;600,($B23-600)*$E$70,0),2)</f>
        <v>26.29</v>
      </c>
      <c r="F23" s="25">
        <f>SUM(C23:E23)</f>
        <v>100.98999999999998</v>
      </c>
      <c r="H23" s="25">
        <f>ROUND(+$F$27,2)</f>
        <v>7.49</v>
      </c>
      <c r="I23" s="25">
        <f>ROUND(IF($B23&gt;600,600*$F$69,$B23*$F$43),2)</f>
        <v>67.25</v>
      </c>
      <c r="J23" s="25">
        <f>ROUND(IF($B23&gt;600,($B23-600)*$F$70,0),2)</f>
        <v>26.3</v>
      </c>
      <c r="K23" s="25">
        <f>SUM(H23:J23)</f>
        <v>101.03999999999999</v>
      </c>
      <c r="L23" s="25">
        <f>+K23-F23</f>
        <v>5.0000000000011369E-2</v>
      </c>
      <c r="M23" s="178">
        <f>+L23/F23</f>
        <v>4.950985246065093E-4</v>
      </c>
    </row>
    <row r="24" spans="1:13" ht="12" thickTop="1" x14ac:dyDescent="0.2"/>
    <row r="25" spans="1:13" ht="45" x14ac:dyDescent="0.2">
      <c r="A25" s="27" t="s">
        <v>30</v>
      </c>
      <c r="B25" s="28"/>
      <c r="C25" s="28"/>
      <c r="D25" s="28"/>
      <c r="E25" s="288" t="s">
        <v>413</v>
      </c>
      <c r="F25" s="288" t="s">
        <v>414</v>
      </c>
    </row>
    <row r="26" spans="1:13" x14ac:dyDescent="0.2">
      <c r="A26" s="230" t="s">
        <v>20</v>
      </c>
      <c r="B26" s="230"/>
      <c r="C26" s="230"/>
      <c r="D26" s="230"/>
      <c r="E26" s="29"/>
      <c r="F26" s="29"/>
    </row>
    <row r="27" spans="1:13" x14ac:dyDescent="0.2">
      <c r="A27" s="231" t="s">
        <v>31</v>
      </c>
      <c r="B27" s="231"/>
      <c r="C27" s="231"/>
      <c r="D27" s="231"/>
      <c r="E27" s="30">
        <v>7.49</v>
      </c>
      <c r="F27" s="30">
        <f>E27</f>
        <v>7.49</v>
      </c>
      <c r="G27" s="3" t="s">
        <v>11</v>
      </c>
      <c r="H27" s="3"/>
    </row>
    <row r="28" spans="1:13" ht="12" thickBot="1" x14ac:dyDescent="0.25">
      <c r="A28" s="233" t="s">
        <v>26</v>
      </c>
      <c r="B28" s="233"/>
      <c r="C28" s="233"/>
      <c r="D28" s="233"/>
      <c r="E28" s="31">
        <f>SUM(E27)</f>
        <v>7.49</v>
      </c>
      <c r="F28" s="31">
        <f>SUM(F27:F27)</f>
        <v>7.49</v>
      </c>
    </row>
    <row r="29" spans="1:13" ht="12" thickTop="1" x14ac:dyDescent="0.2">
      <c r="A29" s="230" t="s">
        <v>19</v>
      </c>
      <c r="B29" s="230"/>
      <c r="C29" s="230"/>
      <c r="D29" s="230"/>
      <c r="E29" s="32"/>
      <c r="F29" s="32"/>
    </row>
    <row r="30" spans="1:13" x14ac:dyDescent="0.2">
      <c r="A30" s="231" t="s">
        <v>18</v>
      </c>
      <c r="B30" s="231"/>
      <c r="C30" s="231"/>
      <c r="D30" s="231"/>
      <c r="E30" s="30">
        <v>8.9437000000000003E-2</v>
      </c>
      <c r="F30" s="30">
        <f t="shared" ref="F30:F42" si="11">E30</f>
        <v>8.9437000000000003E-2</v>
      </c>
      <c r="G30" s="3" t="s">
        <v>27</v>
      </c>
      <c r="H30" s="3"/>
    </row>
    <row r="31" spans="1:13" x14ac:dyDescent="0.2">
      <c r="A31" s="231" t="s">
        <v>13</v>
      </c>
      <c r="B31" s="231"/>
      <c r="C31" s="231"/>
      <c r="D31" s="231"/>
      <c r="E31" s="35">
        <v>2.6870000000000002E-3</v>
      </c>
      <c r="F31" s="35">
        <f t="shared" si="11"/>
        <v>2.6870000000000002E-3</v>
      </c>
      <c r="G31" s="3" t="s">
        <v>27</v>
      </c>
      <c r="H31" s="3"/>
    </row>
    <row r="32" spans="1:13" x14ac:dyDescent="0.2">
      <c r="A32" s="232" t="s">
        <v>321</v>
      </c>
      <c r="B32" s="232"/>
      <c r="C32" s="232"/>
      <c r="D32" s="232"/>
      <c r="E32" s="35">
        <v>0</v>
      </c>
      <c r="F32" s="35">
        <f t="shared" si="11"/>
        <v>0</v>
      </c>
      <c r="G32" s="3" t="s">
        <v>27</v>
      </c>
      <c r="H32" s="3"/>
    </row>
    <row r="33" spans="1:8" s="3" customFormat="1" x14ac:dyDescent="0.2">
      <c r="A33" s="231" t="s">
        <v>12</v>
      </c>
      <c r="B33" s="231"/>
      <c r="C33" s="231"/>
      <c r="D33" s="231"/>
      <c r="E33" s="35">
        <v>2.6120000000000002E-3</v>
      </c>
      <c r="F33" s="35">
        <f t="shared" si="11"/>
        <v>2.6120000000000002E-3</v>
      </c>
      <c r="G33" s="3" t="s">
        <v>27</v>
      </c>
    </row>
    <row r="34" spans="1:8" s="3" customFormat="1" x14ac:dyDescent="0.2">
      <c r="A34" s="231" t="s">
        <v>92</v>
      </c>
      <c r="B34" s="231"/>
      <c r="C34" s="231"/>
      <c r="D34" s="231"/>
      <c r="E34" s="35">
        <v>1.828E-3</v>
      </c>
      <c r="F34" s="35">
        <f t="shared" si="11"/>
        <v>1.828E-3</v>
      </c>
      <c r="G34" s="3" t="s">
        <v>27</v>
      </c>
    </row>
    <row r="35" spans="1:8" s="3" customFormat="1" x14ac:dyDescent="0.2">
      <c r="A35" s="231" t="s">
        <v>124</v>
      </c>
      <c r="B35" s="231"/>
      <c r="C35" s="231"/>
      <c r="D35" s="231"/>
      <c r="E35" s="35">
        <v>1.25E-3</v>
      </c>
      <c r="F35" s="35">
        <f t="shared" si="11"/>
        <v>1.25E-3</v>
      </c>
      <c r="G35" s="3" t="s">
        <v>27</v>
      </c>
    </row>
    <row r="36" spans="1:8" s="3" customFormat="1" x14ac:dyDescent="0.2">
      <c r="A36" s="234" t="s">
        <v>93</v>
      </c>
      <c r="B36" s="234"/>
      <c r="C36" s="234"/>
      <c r="D36" s="234"/>
      <c r="E36" s="289">
        <f>'Rate Summary'!D9</f>
        <v>2.6690918983346672E-3</v>
      </c>
      <c r="F36" s="289">
        <f>'Rate Summary'!H9</f>
        <v>2.7260000000000001E-3</v>
      </c>
      <c r="G36" s="79" t="s">
        <v>27</v>
      </c>
      <c r="H36" s="79"/>
    </row>
    <row r="37" spans="1:8" s="3" customFormat="1" x14ac:dyDescent="0.2">
      <c r="A37" s="231" t="s">
        <v>94</v>
      </c>
      <c r="B37" s="231"/>
      <c r="C37" s="231"/>
      <c r="D37" s="231"/>
      <c r="E37" s="35">
        <v>1.0007E-2</v>
      </c>
      <c r="F37" s="35">
        <f t="shared" si="11"/>
        <v>1.0007E-2</v>
      </c>
      <c r="G37" s="3" t="s">
        <v>27</v>
      </c>
    </row>
    <row r="38" spans="1:8" s="3" customFormat="1" x14ac:dyDescent="0.2">
      <c r="A38" s="231" t="s">
        <v>95</v>
      </c>
      <c r="B38" s="231"/>
      <c r="C38" s="231"/>
      <c r="D38" s="231"/>
      <c r="E38" s="35">
        <v>5.0289999999999996E-3</v>
      </c>
      <c r="F38" s="35">
        <f t="shared" si="11"/>
        <v>5.0289999999999996E-3</v>
      </c>
      <c r="G38" s="3" t="s">
        <v>27</v>
      </c>
    </row>
    <row r="39" spans="1:8" s="3" customFormat="1" x14ac:dyDescent="0.2">
      <c r="A39" s="231" t="s">
        <v>96</v>
      </c>
      <c r="B39" s="231"/>
      <c r="C39" s="231"/>
      <c r="D39" s="231"/>
      <c r="E39" s="35">
        <v>3.19E-4</v>
      </c>
      <c r="F39" s="35">
        <f t="shared" si="11"/>
        <v>3.19E-4</v>
      </c>
      <c r="G39" s="3" t="s">
        <v>27</v>
      </c>
    </row>
    <row r="40" spans="1:8" s="3" customFormat="1" x14ac:dyDescent="0.2">
      <c r="A40" s="231" t="s">
        <v>83</v>
      </c>
      <c r="B40" s="231"/>
      <c r="C40" s="231"/>
      <c r="D40" s="231"/>
      <c r="E40" s="35">
        <v>-8.8400000000000002E-4</v>
      </c>
      <c r="F40" s="35">
        <f t="shared" si="11"/>
        <v>-8.8400000000000002E-4</v>
      </c>
      <c r="G40" s="3" t="s">
        <v>27</v>
      </c>
    </row>
    <row r="41" spans="1:8" s="3" customFormat="1" x14ac:dyDescent="0.2">
      <c r="A41" s="231" t="s">
        <v>10</v>
      </c>
      <c r="B41" s="231"/>
      <c r="C41" s="231"/>
      <c r="D41" s="231"/>
      <c r="E41" s="35">
        <v>-3.4759999999999999E-3</v>
      </c>
      <c r="F41" s="35">
        <f t="shared" si="11"/>
        <v>-3.4759999999999999E-3</v>
      </c>
      <c r="G41" s="3" t="s">
        <v>27</v>
      </c>
    </row>
    <row r="42" spans="1:8" s="3" customFormat="1" x14ac:dyDescent="0.2">
      <c r="A42" s="231" t="s">
        <v>84</v>
      </c>
      <c r="B42" s="231"/>
      <c r="C42" s="231"/>
      <c r="D42" s="231"/>
      <c r="E42" s="37">
        <v>0</v>
      </c>
      <c r="F42" s="37">
        <f t="shared" si="11"/>
        <v>0</v>
      </c>
      <c r="G42" s="3" t="s">
        <v>27</v>
      </c>
    </row>
    <row r="43" spans="1:8" s="3" customFormat="1" ht="12" thickBot="1" x14ac:dyDescent="0.25">
      <c r="A43" s="235" t="s">
        <v>28</v>
      </c>
      <c r="B43" s="235"/>
      <c r="C43" s="235"/>
      <c r="D43" s="235"/>
      <c r="E43" s="34">
        <f>SUM(E30:E42)</f>
        <v>0.11147809189833469</v>
      </c>
      <c r="F43" s="34">
        <f>SUM(F30:F42)</f>
        <v>0.11153500000000002</v>
      </c>
      <c r="G43" s="3" t="s">
        <v>27</v>
      </c>
    </row>
    <row r="44" spans="1:8" s="3" customFormat="1" ht="12" thickTop="1" x14ac:dyDescent="0.2">
      <c r="A44" s="236"/>
      <c r="B44" s="236"/>
      <c r="C44" s="236"/>
      <c r="D44" s="236"/>
      <c r="E44" s="33"/>
      <c r="F44" s="33"/>
    </row>
    <row r="45" spans="1:8" s="3" customFormat="1" x14ac:dyDescent="0.2">
      <c r="A45" s="236" t="s">
        <v>17</v>
      </c>
      <c r="B45" s="236"/>
      <c r="C45" s="236"/>
      <c r="D45" s="236"/>
      <c r="E45" s="35">
        <v>0.10885400000000001</v>
      </c>
      <c r="F45" s="179">
        <f>E45</f>
        <v>0.10885400000000001</v>
      </c>
      <c r="G45" s="3" t="s">
        <v>27</v>
      </c>
    </row>
    <row r="46" spans="1:8" s="3" customFormat="1" x14ac:dyDescent="0.2">
      <c r="A46" s="231" t="s">
        <v>13</v>
      </c>
      <c r="B46" s="231"/>
      <c r="C46" s="231"/>
      <c r="D46" s="231"/>
      <c r="E46" s="33">
        <f>+E31</f>
        <v>2.6870000000000002E-3</v>
      </c>
      <c r="F46" s="33">
        <f>F31</f>
        <v>2.6870000000000002E-3</v>
      </c>
      <c r="G46" s="3" t="s">
        <v>27</v>
      </c>
    </row>
    <row r="47" spans="1:8" s="3" customFormat="1" x14ac:dyDescent="0.2">
      <c r="A47" s="232" t="s">
        <v>321</v>
      </c>
      <c r="B47" s="232"/>
      <c r="C47" s="232"/>
      <c r="D47" s="232"/>
      <c r="E47" s="33">
        <f t="shared" ref="E47:E57" si="12">+E32</f>
        <v>0</v>
      </c>
      <c r="F47" s="33">
        <f t="shared" ref="F47:F57" si="13">F32</f>
        <v>0</v>
      </c>
      <c r="G47" s="3" t="s">
        <v>27</v>
      </c>
    </row>
    <row r="48" spans="1:8" s="3" customFormat="1" x14ac:dyDescent="0.2">
      <c r="A48" s="231" t="s">
        <v>12</v>
      </c>
      <c r="B48" s="231"/>
      <c r="C48" s="231"/>
      <c r="D48" s="231"/>
      <c r="E48" s="33">
        <f t="shared" si="12"/>
        <v>2.6120000000000002E-3</v>
      </c>
      <c r="F48" s="33">
        <f t="shared" si="13"/>
        <v>2.6120000000000002E-3</v>
      </c>
      <c r="G48" s="3" t="s">
        <v>27</v>
      </c>
    </row>
    <row r="49" spans="1:8" s="3" customFormat="1" x14ac:dyDescent="0.2">
      <c r="A49" s="231" t="s">
        <v>92</v>
      </c>
      <c r="B49" s="231"/>
      <c r="C49" s="231"/>
      <c r="D49" s="231"/>
      <c r="E49" s="33">
        <f t="shared" si="12"/>
        <v>1.828E-3</v>
      </c>
      <c r="F49" s="33">
        <f t="shared" si="13"/>
        <v>1.828E-3</v>
      </c>
      <c r="G49" s="3" t="s">
        <v>27</v>
      </c>
    </row>
    <row r="50" spans="1:8" s="3" customFormat="1" x14ac:dyDescent="0.2">
      <c r="A50" s="231" t="s">
        <v>124</v>
      </c>
      <c r="B50" s="231"/>
      <c r="C50" s="231"/>
      <c r="D50" s="231"/>
      <c r="E50" s="33">
        <f t="shared" si="12"/>
        <v>1.25E-3</v>
      </c>
      <c r="F50" s="33">
        <f t="shared" si="13"/>
        <v>1.25E-3</v>
      </c>
      <c r="G50" s="3" t="s">
        <v>27</v>
      </c>
    </row>
    <row r="51" spans="1:8" s="3" customFormat="1" x14ac:dyDescent="0.2">
      <c r="A51" s="234" t="s">
        <v>93</v>
      </c>
      <c r="B51" s="234"/>
      <c r="C51" s="234"/>
      <c r="D51" s="234"/>
      <c r="E51" s="38">
        <f t="shared" si="12"/>
        <v>2.6690918983346672E-3</v>
      </c>
      <c r="F51" s="38">
        <f t="shared" si="13"/>
        <v>2.7260000000000001E-3</v>
      </c>
      <c r="G51" s="79" t="s">
        <v>27</v>
      </c>
      <c r="H51" s="79"/>
    </row>
    <row r="52" spans="1:8" s="3" customFormat="1" x14ac:dyDescent="0.2">
      <c r="A52" s="231" t="s">
        <v>94</v>
      </c>
      <c r="B52" s="231"/>
      <c r="C52" s="231"/>
      <c r="D52" s="231"/>
      <c r="E52" s="33">
        <f t="shared" si="12"/>
        <v>1.0007E-2</v>
      </c>
      <c r="F52" s="33">
        <f t="shared" si="13"/>
        <v>1.0007E-2</v>
      </c>
      <c r="G52" s="3" t="s">
        <v>27</v>
      </c>
    </row>
    <row r="53" spans="1:8" s="3" customFormat="1" x14ac:dyDescent="0.2">
      <c r="A53" s="231" t="s">
        <v>95</v>
      </c>
      <c r="B53" s="231"/>
      <c r="C53" s="231"/>
      <c r="D53" s="231"/>
      <c r="E53" s="33">
        <f t="shared" si="12"/>
        <v>5.0289999999999996E-3</v>
      </c>
      <c r="F53" s="33">
        <f t="shared" si="13"/>
        <v>5.0289999999999996E-3</v>
      </c>
      <c r="G53" s="3" t="s">
        <v>27</v>
      </c>
    </row>
    <row r="54" spans="1:8" s="3" customFormat="1" x14ac:dyDescent="0.2">
      <c r="A54" s="231" t="s">
        <v>96</v>
      </c>
      <c r="B54" s="231"/>
      <c r="C54" s="231"/>
      <c r="D54" s="231"/>
      <c r="E54" s="33">
        <f t="shared" si="12"/>
        <v>3.19E-4</v>
      </c>
      <c r="F54" s="33">
        <f t="shared" si="13"/>
        <v>3.19E-4</v>
      </c>
      <c r="G54" s="3" t="s">
        <v>27</v>
      </c>
    </row>
    <row r="55" spans="1:8" s="3" customFormat="1" x14ac:dyDescent="0.2">
      <c r="A55" s="231" t="s">
        <v>83</v>
      </c>
      <c r="B55" s="231"/>
      <c r="C55" s="231"/>
      <c r="D55" s="231"/>
      <c r="E55" s="33">
        <f t="shared" si="12"/>
        <v>-8.8400000000000002E-4</v>
      </c>
      <c r="F55" s="33">
        <f t="shared" si="13"/>
        <v>-8.8400000000000002E-4</v>
      </c>
      <c r="G55" s="3" t="s">
        <v>27</v>
      </c>
    </row>
    <row r="56" spans="1:8" s="3" customFormat="1" x14ac:dyDescent="0.2">
      <c r="A56" s="231" t="s">
        <v>10</v>
      </c>
      <c r="B56" s="231"/>
      <c r="C56" s="231"/>
      <c r="D56" s="231"/>
      <c r="E56" s="33">
        <f t="shared" si="12"/>
        <v>-3.4759999999999999E-3</v>
      </c>
      <c r="F56" s="33">
        <f t="shared" si="13"/>
        <v>-3.4759999999999999E-3</v>
      </c>
      <c r="G56" s="3" t="s">
        <v>27</v>
      </c>
    </row>
    <row r="57" spans="1:8" s="3" customFormat="1" x14ac:dyDescent="0.2">
      <c r="A57" s="231" t="s">
        <v>84</v>
      </c>
      <c r="B57" s="231"/>
      <c r="C57" s="231"/>
      <c r="D57" s="231"/>
      <c r="E57" s="33">
        <f t="shared" si="12"/>
        <v>0</v>
      </c>
      <c r="F57" s="33">
        <f t="shared" si="13"/>
        <v>0</v>
      </c>
      <c r="G57" s="3" t="s">
        <v>27</v>
      </c>
    </row>
    <row r="58" spans="1:8" s="3" customFormat="1" ht="12" thickBot="1" x14ac:dyDescent="0.25">
      <c r="A58" s="235" t="s">
        <v>29</v>
      </c>
      <c r="B58" s="235"/>
      <c r="C58" s="235"/>
      <c r="D58" s="235"/>
      <c r="E58" s="34">
        <f>SUM(E45:E57)</f>
        <v>0.13089509189833468</v>
      </c>
      <c r="F58" s="34">
        <f>SUM(F45:F57)</f>
        <v>0.13095200000000001</v>
      </c>
      <c r="G58" s="3" t="s">
        <v>27</v>
      </c>
    </row>
    <row r="59" spans="1:8" s="3" customFormat="1" ht="12" thickTop="1" x14ac:dyDescent="0.2">
      <c r="A59" s="236"/>
      <c r="B59" s="236"/>
      <c r="C59" s="236"/>
      <c r="D59" s="236"/>
      <c r="E59" s="33"/>
      <c r="F59" s="33"/>
    </row>
    <row r="60" spans="1:8" s="3" customFormat="1" x14ac:dyDescent="0.2">
      <c r="A60" s="235" t="s">
        <v>9</v>
      </c>
      <c r="B60" s="235"/>
      <c r="C60" s="235"/>
      <c r="D60" s="235"/>
      <c r="E60" s="35">
        <v>-6.6889999999999996E-3</v>
      </c>
      <c r="F60" s="33">
        <f>E60</f>
        <v>-6.6889999999999996E-3</v>
      </c>
      <c r="G60" s="3" t="s">
        <v>27</v>
      </c>
    </row>
    <row r="61" spans="1:8" s="3" customFormat="1" x14ac:dyDescent="0.2">
      <c r="A61" s="236"/>
      <c r="B61" s="236"/>
      <c r="C61" s="236"/>
      <c r="D61" s="236"/>
      <c r="E61" s="33"/>
      <c r="F61" s="33"/>
    </row>
    <row r="62" spans="1:8" s="3" customFormat="1" x14ac:dyDescent="0.2">
      <c r="A62" s="236" t="s">
        <v>32</v>
      </c>
      <c r="B62" s="236"/>
      <c r="C62" s="236"/>
      <c r="D62" s="236"/>
      <c r="E62" s="33"/>
      <c r="F62" s="33"/>
      <c r="G62" s="3" t="s">
        <v>27</v>
      </c>
    </row>
    <row r="63" spans="1:8" s="3" customFormat="1" x14ac:dyDescent="0.2">
      <c r="A63" s="231" t="s">
        <v>16</v>
      </c>
      <c r="B63" s="231"/>
      <c r="C63" s="231"/>
      <c r="D63" s="231"/>
      <c r="E63" s="35">
        <v>0</v>
      </c>
      <c r="F63" s="33">
        <f>E63</f>
        <v>0</v>
      </c>
      <c r="G63" s="3" t="s">
        <v>27</v>
      </c>
    </row>
    <row r="64" spans="1:8" s="3" customFormat="1" x14ac:dyDescent="0.2">
      <c r="A64" s="231" t="s">
        <v>85</v>
      </c>
      <c r="B64" s="231"/>
      <c r="C64" s="231"/>
      <c r="D64" s="231"/>
      <c r="E64" s="35">
        <v>2.1350000000000002E-3</v>
      </c>
      <c r="F64" s="33">
        <f>E64</f>
        <v>2.1350000000000002E-3</v>
      </c>
      <c r="G64" s="3" t="s">
        <v>27</v>
      </c>
    </row>
    <row r="65" spans="1:9" s="3" customFormat="1" x14ac:dyDescent="0.2">
      <c r="A65" s="231" t="s">
        <v>15</v>
      </c>
      <c r="B65" s="231"/>
      <c r="C65" s="231"/>
      <c r="D65" s="231"/>
      <c r="E65" s="35">
        <v>5.1E-5</v>
      </c>
      <c r="F65" s="33">
        <f>E65</f>
        <v>5.1E-5</v>
      </c>
      <c r="G65" s="3" t="s">
        <v>27</v>
      </c>
    </row>
    <row r="66" spans="1:9" s="3" customFormat="1" x14ac:dyDescent="0.2">
      <c r="A66" s="231" t="s">
        <v>14</v>
      </c>
      <c r="B66" s="231"/>
      <c r="C66" s="231"/>
      <c r="D66" s="231"/>
      <c r="E66" s="35">
        <v>5.0439999999999999E-3</v>
      </c>
      <c r="F66" s="33">
        <f>E66</f>
        <v>5.0439999999999999E-3</v>
      </c>
      <c r="G66" s="3" t="s">
        <v>27</v>
      </c>
    </row>
    <row r="67" spans="1:9" ht="12" thickBot="1" x14ac:dyDescent="0.25">
      <c r="A67" s="233" t="s">
        <v>33</v>
      </c>
      <c r="B67" s="233"/>
      <c r="C67" s="233"/>
      <c r="D67" s="233"/>
      <c r="E67" s="34">
        <f>SUM(E63:E66)</f>
        <v>7.2300000000000003E-3</v>
      </c>
      <c r="F67" s="34">
        <f>SUM(F63:F66)</f>
        <v>7.2300000000000003E-3</v>
      </c>
      <c r="G67" s="3" t="s">
        <v>27</v>
      </c>
    </row>
    <row r="68" spans="1:9" ht="12" thickTop="1" x14ac:dyDescent="0.2">
      <c r="A68" s="230"/>
      <c r="B68" s="230"/>
      <c r="C68" s="230"/>
      <c r="D68" s="230"/>
      <c r="E68" s="35"/>
      <c r="F68" s="35"/>
    </row>
    <row r="69" spans="1:9" x14ac:dyDescent="0.2">
      <c r="A69" s="233" t="s">
        <v>34</v>
      </c>
      <c r="B69" s="233"/>
      <c r="C69" s="233"/>
      <c r="D69" s="233"/>
      <c r="E69" s="35">
        <f>SUM(E43,E60:E60,E67)</f>
        <v>0.11201909189833469</v>
      </c>
      <c r="F69" s="35">
        <f>SUM(F43,F60:F60,F67)</f>
        <v>0.11207600000000002</v>
      </c>
      <c r="G69" s="3" t="s">
        <v>27</v>
      </c>
      <c r="I69" s="36"/>
    </row>
    <row r="70" spans="1:9" x14ac:dyDescent="0.2">
      <c r="A70" s="233" t="s">
        <v>35</v>
      </c>
      <c r="B70" s="233"/>
      <c r="C70" s="233"/>
      <c r="D70" s="233"/>
      <c r="E70" s="37">
        <f>SUM(E58,E60:E60,E67)</f>
        <v>0.13143609189833466</v>
      </c>
      <c r="F70" s="37">
        <f>SUM(F58,F60:F60,F67)</f>
        <v>0.13149300000000003</v>
      </c>
      <c r="G70" s="3" t="s">
        <v>27</v>
      </c>
      <c r="I70" s="36"/>
    </row>
    <row r="72" spans="1:9" ht="12" thickBot="1" x14ac:dyDescent="0.25"/>
    <row r="73" spans="1:9" ht="12" thickBot="1" x14ac:dyDescent="0.25">
      <c r="A73" s="290" t="s">
        <v>415</v>
      </c>
      <c r="B73" s="166"/>
      <c r="C73" s="166"/>
      <c r="D73" s="166"/>
      <c r="E73" s="167"/>
    </row>
    <row r="74" spans="1:9" ht="34.5" thickBot="1" x14ac:dyDescent="0.25">
      <c r="A74" s="168" t="s">
        <v>72</v>
      </c>
      <c r="B74" s="168" t="s">
        <v>322</v>
      </c>
      <c r="C74" s="168" t="s">
        <v>323</v>
      </c>
      <c r="D74" s="168" t="s">
        <v>324</v>
      </c>
      <c r="E74" s="169" t="s">
        <v>325</v>
      </c>
    </row>
    <row r="75" spans="1:9" x14ac:dyDescent="0.2">
      <c r="A75" s="171">
        <v>2024</v>
      </c>
      <c r="B75" s="171">
        <v>1</v>
      </c>
      <c r="C75" s="291">
        <v>1192691743.2576599</v>
      </c>
      <c r="D75" s="291">
        <v>1083811</v>
      </c>
      <c r="E75" s="170">
        <f t="shared" ref="E75:E86" si="14">ROUND(+C75/D75,0)</f>
        <v>1100</v>
      </c>
    </row>
    <row r="76" spans="1:9" x14ac:dyDescent="0.2">
      <c r="A76" s="171">
        <v>2024</v>
      </c>
      <c r="B76" s="171">
        <v>2</v>
      </c>
      <c r="C76" s="292">
        <v>1075657420.9360201</v>
      </c>
      <c r="D76" s="292">
        <v>1084492</v>
      </c>
      <c r="E76" s="170">
        <f t="shared" si="14"/>
        <v>992</v>
      </c>
    </row>
    <row r="77" spans="1:9" x14ac:dyDescent="0.2">
      <c r="A77" s="171">
        <v>2024</v>
      </c>
      <c r="B77" s="171">
        <v>3</v>
      </c>
      <c r="C77" s="292">
        <v>1040534573.62798</v>
      </c>
      <c r="D77" s="292">
        <v>1085188</v>
      </c>
      <c r="E77" s="170">
        <f t="shared" si="14"/>
        <v>959</v>
      </c>
    </row>
    <row r="78" spans="1:9" x14ac:dyDescent="0.2">
      <c r="A78" s="171">
        <v>2024</v>
      </c>
      <c r="B78" s="171">
        <v>4</v>
      </c>
      <c r="C78" s="292">
        <v>871564901.43307793</v>
      </c>
      <c r="D78" s="292">
        <v>1085582</v>
      </c>
      <c r="E78" s="170">
        <f t="shared" si="14"/>
        <v>803</v>
      </c>
    </row>
    <row r="79" spans="1:9" x14ac:dyDescent="0.2">
      <c r="A79" s="171">
        <v>2024</v>
      </c>
      <c r="B79" s="171">
        <v>5</v>
      </c>
      <c r="C79" s="292">
        <v>760468027.59418297</v>
      </c>
      <c r="D79" s="292">
        <v>1086150</v>
      </c>
      <c r="E79" s="170">
        <f t="shared" si="14"/>
        <v>700</v>
      </c>
    </row>
    <row r="80" spans="1:9" x14ac:dyDescent="0.2">
      <c r="A80" s="171">
        <v>2024</v>
      </c>
      <c r="B80" s="171">
        <v>6</v>
      </c>
      <c r="C80" s="292">
        <v>726612130.99855494</v>
      </c>
      <c r="D80" s="292">
        <v>1086798</v>
      </c>
      <c r="E80" s="170">
        <f t="shared" si="14"/>
        <v>669</v>
      </c>
    </row>
    <row r="81" spans="1:5" x14ac:dyDescent="0.2">
      <c r="A81" s="171">
        <v>2024</v>
      </c>
      <c r="B81" s="171">
        <v>7</v>
      </c>
      <c r="C81" s="292">
        <v>810211528.78052795</v>
      </c>
      <c r="D81" s="292">
        <v>1087219</v>
      </c>
      <c r="E81" s="170">
        <f t="shared" si="14"/>
        <v>745</v>
      </c>
    </row>
    <row r="82" spans="1:5" x14ac:dyDescent="0.2">
      <c r="A82" s="171">
        <v>2024</v>
      </c>
      <c r="B82" s="171">
        <v>8</v>
      </c>
      <c r="C82" s="292">
        <v>816258861.42774105</v>
      </c>
      <c r="D82" s="292">
        <v>1088254</v>
      </c>
      <c r="E82" s="170">
        <f t="shared" si="14"/>
        <v>750</v>
      </c>
    </row>
    <row r="83" spans="1:5" x14ac:dyDescent="0.2">
      <c r="A83" s="171">
        <v>2024</v>
      </c>
      <c r="B83" s="171">
        <v>9</v>
      </c>
      <c r="C83" s="292">
        <v>745804121.61066496</v>
      </c>
      <c r="D83" s="292">
        <v>1089539</v>
      </c>
      <c r="E83" s="170">
        <f t="shared" si="14"/>
        <v>685</v>
      </c>
    </row>
    <row r="84" spans="1:5" x14ac:dyDescent="0.2">
      <c r="A84" s="171">
        <v>2024</v>
      </c>
      <c r="B84" s="171">
        <v>10</v>
      </c>
      <c r="C84" s="292">
        <v>873182303.91732109</v>
      </c>
      <c r="D84" s="292">
        <v>1090984</v>
      </c>
      <c r="E84" s="170">
        <f t="shared" si="14"/>
        <v>800</v>
      </c>
    </row>
    <row r="85" spans="1:5" x14ac:dyDescent="0.2">
      <c r="A85" s="171">
        <v>2024</v>
      </c>
      <c r="B85" s="171">
        <v>11</v>
      </c>
      <c r="C85" s="292">
        <v>1052963379.7510201</v>
      </c>
      <c r="D85" s="292">
        <v>1092516</v>
      </c>
      <c r="E85" s="170">
        <f t="shared" si="14"/>
        <v>964</v>
      </c>
    </row>
    <row r="86" spans="1:5" x14ac:dyDescent="0.2">
      <c r="A86" s="171">
        <v>2024</v>
      </c>
      <c r="B86" s="171">
        <v>12</v>
      </c>
      <c r="C86" s="293">
        <v>1265288171.70892</v>
      </c>
      <c r="D86" s="293">
        <v>1093821</v>
      </c>
      <c r="E86" s="170">
        <f t="shared" si="14"/>
        <v>1157</v>
      </c>
    </row>
    <row r="87" spans="1:5" x14ac:dyDescent="0.2">
      <c r="A87" s="171"/>
      <c r="B87" s="171" t="s">
        <v>8</v>
      </c>
      <c r="C87" s="172">
        <f>SUM(C75:C86)</f>
        <v>11231237165.043671</v>
      </c>
      <c r="D87" s="172">
        <f>SUM(D75:D86)</f>
        <v>13054354</v>
      </c>
      <c r="E87" s="173">
        <f>SUM(E75:E86)</f>
        <v>10324</v>
      </c>
    </row>
    <row r="88" spans="1:5" x14ac:dyDescent="0.2">
      <c r="A88" s="171"/>
      <c r="B88" s="171"/>
      <c r="C88" s="171"/>
      <c r="D88" s="171"/>
      <c r="E88" s="170"/>
    </row>
    <row r="89" spans="1:5" ht="12" thickBot="1" x14ac:dyDescent="0.25">
      <c r="A89" s="174"/>
      <c r="B89" s="174" t="s">
        <v>326</v>
      </c>
      <c r="C89" s="175"/>
      <c r="D89" s="175"/>
      <c r="E89" s="176">
        <f>ROUND(AVERAGE(E75:E86),0)</f>
        <v>860</v>
      </c>
    </row>
  </sheetData>
  <mergeCells count="47">
    <mergeCell ref="A70:D70"/>
    <mergeCell ref="A64:D64"/>
    <mergeCell ref="A65:D65"/>
    <mergeCell ref="A66:D66"/>
    <mergeCell ref="A67:D67"/>
    <mergeCell ref="A68:D68"/>
    <mergeCell ref="A69:D69"/>
    <mergeCell ref="A49:D49"/>
    <mergeCell ref="A63:D63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52:D52"/>
    <mergeCell ref="A51:D51"/>
    <mergeCell ref="A50:D50"/>
    <mergeCell ref="A43:D43"/>
    <mergeCell ref="A44:D44"/>
    <mergeCell ref="A45:D45"/>
    <mergeCell ref="A46:D46"/>
    <mergeCell ref="A48:D48"/>
    <mergeCell ref="A47:D47"/>
    <mergeCell ref="A38:D38"/>
    <mergeCell ref="A42:D42"/>
    <mergeCell ref="A40:D40"/>
    <mergeCell ref="A41:D41"/>
    <mergeCell ref="A39:D39"/>
    <mergeCell ref="C5:F5"/>
    <mergeCell ref="H5:K5"/>
    <mergeCell ref="A26:D26"/>
    <mergeCell ref="A27:D27"/>
    <mergeCell ref="A37:D37"/>
    <mergeCell ref="A32:D32"/>
    <mergeCell ref="A35:D35"/>
    <mergeCell ref="A28:D28"/>
    <mergeCell ref="A29:D29"/>
    <mergeCell ref="A30:D30"/>
    <mergeCell ref="A31:D31"/>
    <mergeCell ref="A33:D33"/>
    <mergeCell ref="A34:D34"/>
    <mergeCell ref="A36:D36"/>
  </mergeCells>
  <printOptions horizontalCentered="1"/>
  <pageMargins left="0.25" right="0.25" top="0.75" bottom="0.75" header="0.3" footer="0.3"/>
  <pageSetup scale="41" orientation="landscape" r:id="rId1"/>
  <headerFoot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57"/>
  <sheetViews>
    <sheetView zoomScaleNormal="100" workbookViewId="0">
      <pane ySplit="6" topLeftCell="A20" activePane="bottomLeft" state="frozen"/>
      <selection activeCell="C13" sqref="C13"/>
      <selection pane="bottomLeft" activeCell="G49" sqref="G49"/>
    </sheetView>
  </sheetViews>
  <sheetFormatPr defaultColWidth="9.140625" defaultRowHeight="11.25" x14ac:dyDescent="0.2"/>
  <cols>
    <col min="1" max="1" width="4.7109375" style="39" customWidth="1"/>
    <col min="2" max="2" width="51" style="39" bestFit="1" customWidth="1"/>
    <col min="3" max="3" width="9.28515625" style="39" bestFit="1" customWidth="1"/>
    <col min="4" max="4" width="10.28515625" style="39" customWidth="1"/>
    <col min="5" max="5" width="9.5703125" style="39" customWidth="1"/>
    <col min="6" max="6" width="11.28515625" style="39" customWidth="1"/>
    <col min="7" max="7" width="13.85546875" style="39" bestFit="1" customWidth="1"/>
    <col min="8" max="8" width="12.7109375" style="39" bestFit="1" customWidth="1"/>
    <col min="9" max="9" width="15.42578125" style="39" customWidth="1"/>
    <col min="10" max="10" width="13" style="39" customWidth="1"/>
    <col min="11" max="11" width="15.5703125" style="39" customWidth="1"/>
    <col min="12" max="12" width="11.42578125" style="39" customWidth="1"/>
    <col min="13" max="16384" width="9.140625" style="39"/>
  </cols>
  <sheetData>
    <row r="1" spans="1:10" s="40" customFormat="1" ht="12" customHeight="1" x14ac:dyDescent="0.25">
      <c r="A1" s="282" t="str">
        <f>'Rate Summary'!A1:K1</f>
        <v>Puget Sound Energy</v>
      </c>
      <c r="B1" s="283"/>
      <c r="C1" s="283"/>
      <c r="D1" s="283"/>
      <c r="E1" s="283"/>
      <c r="F1" s="283"/>
      <c r="G1" s="283"/>
      <c r="H1" s="283"/>
      <c r="I1" s="283"/>
    </row>
    <row r="2" spans="1:10" s="40" customFormat="1" ht="12" customHeight="1" x14ac:dyDescent="0.25">
      <c r="A2" s="282" t="str">
        <f>'Rate Summary'!A2:K2</f>
        <v>Schedule 141COL Colstrip Adjustment Tracker</v>
      </c>
      <c r="B2" s="283"/>
      <c r="C2" s="283"/>
      <c r="D2" s="283"/>
      <c r="E2" s="283"/>
      <c r="F2" s="283"/>
      <c r="G2" s="283"/>
      <c r="H2" s="283"/>
      <c r="I2" s="283"/>
    </row>
    <row r="3" spans="1:10" s="40" customFormat="1" ht="12" customHeight="1" x14ac:dyDescent="0.25">
      <c r="A3" s="282" t="str">
        <f>'Rate Summary'!A3:K3</f>
        <v>For the Forecasted Period January 1, 2024 to December 31, 2024</v>
      </c>
      <c r="B3" s="283"/>
      <c r="C3" s="283"/>
      <c r="D3" s="283"/>
      <c r="E3" s="283"/>
      <c r="F3" s="283"/>
      <c r="G3" s="283"/>
      <c r="H3" s="283"/>
      <c r="I3" s="283"/>
    </row>
    <row r="4" spans="1:10" s="40" customFormat="1" ht="12" customHeight="1" x14ac:dyDescent="0.25">
      <c r="A4" s="282" t="str">
        <f>'Rate Summary'!A4:K4</f>
        <v>Proposed Rate Effective Janaury 1, 2024</v>
      </c>
      <c r="B4" s="283"/>
      <c r="C4" s="283"/>
      <c r="D4" s="283"/>
      <c r="E4" s="283"/>
      <c r="F4" s="283"/>
      <c r="G4" s="283"/>
      <c r="H4" s="283"/>
      <c r="I4" s="283"/>
    </row>
    <row r="5" spans="1:10" s="40" customFormat="1" ht="15" x14ac:dyDescent="0.25">
      <c r="A5" s="284" t="s">
        <v>182</v>
      </c>
      <c r="B5" s="285"/>
      <c r="C5" s="285"/>
      <c r="D5" s="285"/>
      <c r="E5" s="285"/>
      <c r="F5" s="285"/>
      <c r="G5" s="285"/>
      <c r="H5" s="285"/>
      <c r="I5" s="241"/>
    </row>
    <row r="6" spans="1:10" s="77" customFormat="1" ht="12" thickBot="1" x14ac:dyDescent="0.25">
      <c r="B6" s="78"/>
      <c r="C6" s="78"/>
    </row>
    <row r="7" spans="1:10" s="76" customFormat="1" ht="57" thickBot="1" x14ac:dyDescent="0.25">
      <c r="A7" s="114" t="s">
        <v>1</v>
      </c>
      <c r="B7" s="115" t="s">
        <v>186</v>
      </c>
      <c r="C7" s="115" t="s">
        <v>187</v>
      </c>
      <c r="D7" s="116" t="s">
        <v>364</v>
      </c>
      <c r="E7" s="116" t="s">
        <v>365</v>
      </c>
      <c r="F7" s="117" t="s">
        <v>363</v>
      </c>
      <c r="G7" s="118" t="s">
        <v>418</v>
      </c>
      <c r="H7" s="119" t="s">
        <v>195</v>
      </c>
      <c r="I7" s="119" t="s">
        <v>419</v>
      </c>
      <c r="J7" s="120" t="s">
        <v>420</v>
      </c>
    </row>
    <row r="8" spans="1:10" s="76" customFormat="1" x14ac:dyDescent="0.2">
      <c r="A8" s="121"/>
      <c r="B8" s="122"/>
      <c r="C8" s="122"/>
      <c r="D8" s="124"/>
      <c r="E8" s="124"/>
      <c r="F8" s="125"/>
      <c r="G8" s="126"/>
      <c r="H8" s="127"/>
      <c r="I8" s="125"/>
      <c r="J8" s="128"/>
    </row>
    <row r="9" spans="1:10" x14ac:dyDescent="0.2">
      <c r="A9" s="131">
        <v>1</v>
      </c>
      <c r="B9" s="108" t="s">
        <v>212</v>
      </c>
      <c r="C9" s="132">
        <v>7</v>
      </c>
      <c r="D9" s="134">
        <f>'Exhibit No.__(BDJ-141C)'!E8</f>
        <v>0.10977174165570475</v>
      </c>
      <c r="E9" s="134">
        <f>'Exhibit No.__(BDJ-141C)'!G8</f>
        <v>0.47242859385465685</v>
      </c>
      <c r="F9" s="134">
        <f>+E9+D9</f>
        <v>0.58220033551036154</v>
      </c>
      <c r="G9" s="135"/>
      <c r="H9" s="136">
        <f>+F9*($G$49)</f>
        <v>30612570.758531414</v>
      </c>
      <c r="I9" s="133">
        <f>'F2023 Energy'!E81</f>
        <v>11231237165.043671</v>
      </c>
      <c r="J9" s="137">
        <f>ROUND((+H9/I9),6)</f>
        <v>2.7260000000000001E-3</v>
      </c>
    </row>
    <row r="10" spans="1:10" x14ac:dyDescent="0.2">
      <c r="A10" s="131">
        <f t="shared" ref="A10:A55" si="0">+A9+1</f>
        <v>2</v>
      </c>
      <c r="B10" s="108"/>
      <c r="C10" s="141"/>
      <c r="D10" s="134"/>
      <c r="E10" s="134"/>
      <c r="F10" s="134"/>
      <c r="G10" s="135"/>
      <c r="H10" s="136"/>
      <c r="I10" s="133"/>
      <c r="J10" s="142"/>
    </row>
    <row r="11" spans="1:10" x14ac:dyDescent="0.2">
      <c r="A11" s="131">
        <f t="shared" si="0"/>
        <v>3</v>
      </c>
      <c r="B11" s="144" t="s">
        <v>213</v>
      </c>
      <c r="C11" s="145" t="s">
        <v>214</v>
      </c>
      <c r="D11" s="134">
        <f>'Exhibit No.__(BDJ-141C)'!E10</f>
        <v>2.5771395226212902E-2</v>
      </c>
      <c r="E11" s="134">
        <f>'Exhibit No.__(BDJ-141C)'!G10</f>
        <v>0.10012470048498022</v>
      </c>
      <c r="F11" s="134">
        <f>+E11+D11</f>
        <v>0.12589609571119312</v>
      </c>
      <c r="G11" s="135"/>
      <c r="H11" s="136">
        <f>+F11*($G$49)</f>
        <v>6619719.8852578672</v>
      </c>
      <c r="I11" s="133">
        <f>SUM('F2023 Energy'!G81,'F2023 Energy'!K81:L81,'F2023 Energy'!Z81)</f>
        <v>2762363777.023735</v>
      </c>
      <c r="J11" s="137">
        <f>ROUND((+H11/I11),6)</f>
        <v>2.3960000000000001E-3</v>
      </c>
    </row>
    <row r="12" spans="1:10" x14ac:dyDescent="0.2">
      <c r="A12" s="131">
        <f t="shared" si="0"/>
        <v>4</v>
      </c>
      <c r="B12" s="144"/>
      <c r="C12" s="145"/>
      <c r="D12" s="134"/>
      <c r="E12" s="134"/>
      <c r="F12" s="134"/>
      <c r="G12" s="135"/>
      <c r="H12" s="136"/>
      <c r="I12" s="133"/>
      <c r="J12" s="137"/>
    </row>
    <row r="13" spans="1:10" x14ac:dyDescent="0.2">
      <c r="A13" s="131">
        <f t="shared" si="0"/>
        <v>5</v>
      </c>
      <c r="B13" s="108" t="s">
        <v>215</v>
      </c>
      <c r="C13" s="145" t="s">
        <v>216</v>
      </c>
      <c r="D13" s="134"/>
      <c r="E13" s="134"/>
      <c r="F13" s="134"/>
      <c r="G13" s="135"/>
      <c r="H13" s="136">
        <f>H15*0.2</f>
        <v>1422747.4460437922</v>
      </c>
      <c r="I13" s="133">
        <f>SUM('F2023 Energy'!F81,'F2023 Energy'!I81,'F2023 Energy'!M81:N81,'F2023 Energy'!AA81)</f>
        <v>2961290332.0764241</v>
      </c>
      <c r="J13" s="137">
        <f>ROUND((+H13/I13),6)</f>
        <v>4.8000000000000001E-4</v>
      </c>
    </row>
    <row r="14" spans="1:10" x14ac:dyDescent="0.2">
      <c r="A14" s="131">
        <f t="shared" si="0"/>
        <v>6</v>
      </c>
      <c r="B14" s="108" t="s">
        <v>217</v>
      </c>
      <c r="C14" s="145" t="s">
        <v>216</v>
      </c>
      <c r="D14" s="134"/>
      <c r="E14" s="134"/>
      <c r="F14" s="134"/>
      <c r="G14" s="135"/>
      <c r="H14" s="147">
        <f>H15*0.8</f>
        <v>5690989.7841751687</v>
      </c>
      <c r="I14" s="133">
        <f>SUM('F2023 Demand'!D80,'F2023 Demand'!F80,'F2023 Demand'!H80:J80)</f>
        <v>4519282.7423882829</v>
      </c>
      <c r="J14" s="148">
        <f>ROUND((+H14/I14),2)</f>
        <v>1.26</v>
      </c>
    </row>
    <row r="15" spans="1:10" x14ac:dyDescent="0.2">
      <c r="A15" s="131">
        <f t="shared" si="0"/>
        <v>7</v>
      </c>
      <c r="B15" s="108" t="s">
        <v>218</v>
      </c>
      <c r="C15" s="145" t="s">
        <v>216</v>
      </c>
      <c r="D15" s="134">
        <f>'Exhibit No.__(BDJ-141C)'!E14</f>
        <v>2.7694929350211114E-2</v>
      </c>
      <c r="E15" s="134">
        <f>'Exhibit No.__(BDJ-141C)'!G14</f>
        <v>0.10759655710594679</v>
      </c>
      <c r="F15" s="134">
        <f>+E15+D15</f>
        <v>0.13529148645615791</v>
      </c>
      <c r="G15" s="135"/>
      <c r="H15" s="151">
        <f>+F15*($G$49)</f>
        <v>7113737.23021896</v>
      </c>
      <c r="I15" s="133"/>
      <c r="J15" s="137"/>
    </row>
    <row r="16" spans="1:10" x14ac:dyDescent="0.2">
      <c r="A16" s="131">
        <f t="shared" si="0"/>
        <v>8</v>
      </c>
      <c r="B16" s="108"/>
      <c r="C16" s="145"/>
      <c r="D16" s="134"/>
      <c r="E16" s="134"/>
      <c r="F16" s="134"/>
      <c r="G16" s="135"/>
      <c r="H16" s="136"/>
      <c r="I16" s="133"/>
      <c r="J16" s="137"/>
    </row>
    <row r="17" spans="1:10" x14ac:dyDescent="0.2">
      <c r="A17" s="131">
        <f t="shared" si="0"/>
        <v>9</v>
      </c>
      <c r="B17" s="108" t="s">
        <v>219</v>
      </c>
      <c r="C17" s="145" t="s">
        <v>220</v>
      </c>
      <c r="D17" s="134"/>
      <c r="E17" s="134"/>
      <c r="F17" s="134"/>
      <c r="G17" s="135"/>
      <c r="H17" s="136">
        <f>H19*0.2</f>
        <v>821691.74268577097</v>
      </c>
      <c r="I17" s="133">
        <f>SUM('F2023 Energy'!J81,'F2023 Energy'!O81:P81)</f>
        <v>1964892733.6409488</v>
      </c>
      <c r="J17" s="137">
        <f>ROUND((+H17/I17),6)</f>
        <v>4.1800000000000002E-4</v>
      </c>
    </row>
    <row r="18" spans="1:10" x14ac:dyDescent="0.2">
      <c r="A18" s="131">
        <f t="shared" si="0"/>
        <v>10</v>
      </c>
      <c r="B18" s="108" t="s">
        <v>221</v>
      </c>
      <c r="C18" s="145" t="s">
        <v>220</v>
      </c>
      <c r="D18" s="134"/>
      <c r="E18" s="134"/>
      <c r="F18" s="134"/>
      <c r="G18" s="135"/>
      <c r="H18" s="147">
        <f>H19*0.8</f>
        <v>3286766.9707430839</v>
      </c>
      <c r="I18" s="133">
        <f>SUM('F2023 Demand'!G80,'F2023 Demand'!K80:L80)</f>
        <v>4825474.0338386549</v>
      </c>
      <c r="J18" s="148">
        <f>ROUND((+H18/I18),2)</f>
        <v>0.68</v>
      </c>
    </row>
    <row r="19" spans="1:10" x14ac:dyDescent="0.2">
      <c r="A19" s="131">
        <f t="shared" si="0"/>
        <v>11</v>
      </c>
      <c r="B19" s="108" t="s">
        <v>222</v>
      </c>
      <c r="C19" s="145" t="s">
        <v>220</v>
      </c>
      <c r="D19" s="134">
        <f>'Exhibit No.__(BDJ-141C)'!E18</f>
        <v>1.7128888045184625E-2</v>
      </c>
      <c r="E19" s="134">
        <f>'Exhibit No.__(BDJ-141C)'!G18</f>
        <v>6.100718423231713E-2</v>
      </c>
      <c r="F19" s="134">
        <f>+E19+D19</f>
        <v>7.8136072277501759E-2</v>
      </c>
      <c r="G19" s="135"/>
      <c r="H19" s="136">
        <f>+F19*($G$49)</f>
        <v>4108458.7134288545</v>
      </c>
      <c r="I19" s="133"/>
      <c r="J19" s="137"/>
    </row>
    <row r="20" spans="1:10" x14ac:dyDescent="0.2">
      <c r="A20" s="131">
        <f t="shared" si="0"/>
        <v>12</v>
      </c>
      <c r="B20" s="108"/>
      <c r="C20" s="145"/>
      <c r="D20" s="134"/>
      <c r="E20" s="134"/>
      <c r="F20" s="134"/>
      <c r="G20" s="135"/>
      <c r="H20" s="136"/>
      <c r="I20" s="108"/>
      <c r="J20" s="152"/>
    </row>
    <row r="21" spans="1:10" x14ac:dyDescent="0.2">
      <c r="A21" s="131">
        <f t="shared" si="0"/>
        <v>13</v>
      </c>
      <c r="B21" s="108" t="s">
        <v>223</v>
      </c>
      <c r="C21" s="145">
        <v>29</v>
      </c>
      <c r="D21" s="134"/>
      <c r="E21" s="134"/>
      <c r="F21" s="134"/>
      <c r="G21" s="135"/>
      <c r="H21" s="136">
        <f>H23*0.2</f>
        <v>7633.1884939086631</v>
      </c>
      <c r="I21" s="133">
        <f>SUM('F2023 Energy'!Q81)</f>
        <v>15040573.846487813</v>
      </c>
      <c r="J21" s="137">
        <f>ROUND((+H21/I21),6)</f>
        <v>5.0799999999999999E-4</v>
      </c>
    </row>
    <row r="22" spans="1:10" x14ac:dyDescent="0.2">
      <c r="A22" s="131">
        <f t="shared" si="0"/>
        <v>14</v>
      </c>
      <c r="B22" s="108" t="s">
        <v>224</v>
      </c>
      <c r="C22" s="145">
        <v>29</v>
      </c>
      <c r="D22" s="134"/>
      <c r="E22" s="134"/>
      <c r="F22" s="134"/>
      <c r="G22" s="135"/>
      <c r="H22" s="147">
        <f>H23*0.8</f>
        <v>30532.753975634652</v>
      </c>
      <c r="I22" s="133">
        <f>SUM('F2023 Demand'!M80)</f>
        <v>6408.2141077635069</v>
      </c>
      <c r="J22" s="148">
        <f>ROUND((+H22/I22),2)</f>
        <v>4.76</v>
      </c>
    </row>
    <row r="23" spans="1:10" x14ac:dyDescent="0.2">
      <c r="A23" s="131">
        <f t="shared" si="0"/>
        <v>15</v>
      </c>
      <c r="B23" s="108" t="s">
        <v>225</v>
      </c>
      <c r="C23" s="145">
        <v>29</v>
      </c>
      <c r="D23" s="134">
        <f>'Exhibit No.__(BDJ-141C)'!E22</f>
        <v>1.478947722189603E-4</v>
      </c>
      <c r="E23" s="134">
        <f>'Exhibit No.__(BDJ-141C)'!G22</f>
        <v>5.7795816859113882E-4</v>
      </c>
      <c r="F23" s="134">
        <f>+E23+D23</f>
        <v>7.2585294081009913E-4</v>
      </c>
      <c r="G23" s="135"/>
      <c r="H23" s="136">
        <f>+F23*($G$49)</f>
        <v>38165.942469543312</v>
      </c>
      <c r="I23" s="133"/>
      <c r="J23" s="137"/>
    </row>
    <row r="24" spans="1:10" x14ac:dyDescent="0.2">
      <c r="A24" s="131">
        <f t="shared" si="0"/>
        <v>16</v>
      </c>
      <c r="B24" s="108"/>
      <c r="C24" s="145"/>
      <c r="D24" s="134"/>
      <c r="E24" s="134"/>
      <c r="F24" s="134"/>
      <c r="G24" s="135"/>
      <c r="H24" s="136"/>
      <c r="I24" s="133"/>
      <c r="J24" s="142"/>
    </row>
    <row r="25" spans="1:10" x14ac:dyDescent="0.2">
      <c r="A25" s="131">
        <f t="shared" si="0"/>
        <v>17</v>
      </c>
      <c r="B25" s="108" t="s">
        <v>226</v>
      </c>
      <c r="C25" s="145" t="s">
        <v>227</v>
      </c>
      <c r="D25" s="134"/>
      <c r="E25" s="134"/>
      <c r="F25" s="134"/>
      <c r="G25" s="135"/>
      <c r="H25" s="136">
        <f>H27*0.2</f>
        <v>573817.22451925545</v>
      </c>
      <c r="I25" s="133">
        <f>SUM('F2023 Energy'!H81,'F2023 Energy'!R81:S81)</f>
        <v>1416593830.9637728</v>
      </c>
      <c r="J25" s="137">
        <f>ROUND((+H25/I25),6)</f>
        <v>4.0499999999999998E-4</v>
      </c>
    </row>
    <row r="26" spans="1:10" x14ac:dyDescent="0.2">
      <c r="A26" s="131">
        <f t="shared" si="0"/>
        <v>18</v>
      </c>
      <c r="B26" s="108" t="s">
        <v>228</v>
      </c>
      <c r="C26" s="145" t="s">
        <v>227</v>
      </c>
      <c r="D26" s="134"/>
      <c r="E26" s="134"/>
      <c r="F26" s="134"/>
      <c r="G26" s="135"/>
      <c r="H26" s="147">
        <f>H27*0.8</f>
        <v>2295268.8980770218</v>
      </c>
      <c r="I26" s="133">
        <f>SUM('F2023 Demand'!E80,'F2023 Demand'!N80:O80)</f>
        <v>3376560.149930303</v>
      </c>
      <c r="J26" s="148">
        <f>ROUND((+H26/I26),2)</f>
        <v>0.68</v>
      </c>
    </row>
    <row r="27" spans="1:10" x14ac:dyDescent="0.2">
      <c r="A27" s="131">
        <f t="shared" si="0"/>
        <v>19</v>
      </c>
      <c r="B27" s="108" t="s">
        <v>229</v>
      </c>
      <c r="C27" s="145" t="s">
        <v>227</v>
      </c>
      <c r="D27" s="134">
        <f>'Exhibit No.__(BDJ-141C)'!E26</f>
        <v>1.2104983402502458E-2</v>
      </c>
      <c r="E27" s="134">
        <f>'Exhibit No.__(BDJ-141C)'!G26</f>
        <v>4.2460277266373442E-2</v>
      </c>
      <c r="F27" s="134">
        <f>+E27+D27</f>
        <v>5.4565260668875903E-2</v>
      </c>
      <c r="G27" s="135"/>
      <c r="H27" s="136">
        <f>+F27*($G$49)</f>
        <v>2869086.1225962769</v>
      </c>
      <c r="I27" s="133"/>
      <c r="J27" s="137"/>
    </row>
    <row r="28" spans="1:10" x14ac:dyDescent="0.2">
      <c r="A28" s="131">
        <f t="shared" si="0"/>
        <v>20</v>
      </c>
      <c r="B28" s="108"/>
      <c r="C28" s="145"/>
      <c r="D28" s="134"/>
      <c r="E28" s="134"/>
      <c r="F28" s="134"/>
      <c r="G28" s="135"/>
      <c r="H28" s="136"/>
      <c r="I28" s="133"/>
      <c r="J28" s="137"/>
    </row>
    <row r="29" spans="1:10" x14ac:dyDescent="0.2">
      <c r="A29" s="131">
        <f t="shared" si="0"/>
        <v>21</v>
      </c>
      <c r="B29" s="108" t="s">
        <v>230</v>
      </c>
      <c r="C29" s="145">
        <v>35</v>
      </c>
      <c r="D29" s="134"/>
      <c r="E29" s="134"/>
      <c r="F29" s="134"/>
      <c r="G29" s="135"/>
      <c r="H29" s="136">
        <f>H31*0.2</f>
        <v>1381.858444630863</v>
      </c>
      <c r="I29" s="133">
        <f>SUM('F2023 Energy'!T81)</f>
        <v>4440266.6219169199</v>
      </c>
      <c r="J29" s="137">
        <f>ROUND((+H29/I29),6)</f>
        <v>3.1100000000000002E-4</v>
      </c>
    </row>
    <row r="30" spans="1:10" x14ac:dyDescent="0.2">
      <c r="A30" s="131">
        <f t="shared" si="0"/>
        <v>22</v>
      </c>
      <c r="B30" s="108" t="s">
        <v>231</v>
      </c>
      <c r="C30" s="145">
        <v>35</v>
      </c>
      <c r="D30" s="134"/>
      <c r="E30" s="134"/>
      <c r="F30" s="134"/>
      <c r="G30" s="135"/>
      <c r="H30" s="147">
        <f>H31*0.8</f>
        <v>5527.433778523452</v>
      </c>
      <c r="I30" s="133">
        <f>SUM('F2023 Demand'!P80)</f>
        <v>8256.3201893980731</v>
      </c>
      <c r="J30" s="148">
        <f>ROUND((+H30/I30),2)</f>
        <v>0.67</v>
      </c>
    </row>
    <row r="31" spans="1:10" x14ac:dyDescent="0.2">
      <c r="A31" s="131">
        <f t="shared" si="0"/>
        <v>23</v>
      </c>
      <c r="B31" s="108" t="s">
        <v>232</v>
      </c>
      <c r="C31" s="145">
        <v>35</v>
      </c>
      <c r="D31" s="134">
        <f>'Exhibit No.__(BDJ-141C)'!E30</f>
        <v>4.0511783439354425E-5</v>
      </c>
      <c r="E31" s="134">
        <f>'Exhibit No.__(BDJ-141C)'!G30</f>
        <v>9.0891497983474736E-5</v>
      </c>
      <c r="F31" s="134">
        <f>+E31+D31</f>
        <v>1.3140328142282915E-4</v>
      </c>
      <c r="G31" s="135"/>
      <c r="H31" s="136">
        <f>+F31*($G$49)</f>
        <v>6909.2922231543143</v>
      </c>
      <c r="I31" s="133"/>
      <c r="J31" s="137"/>
    </row>
    <row r="32" spans="1:10" x14ac:dyDescent="0.2">
      <c r="A32" s="131">
        <f t="shared" si="0"/>
        <v>24</v>
      </c>
      <c r="B32" s="108"/>
      <c r="C32" s="145"/>
      <c r="D32" s="134"/>
      <c r="E32" s="134"/>
      <c r="F32" s="134"/>
      <c r="G32" s="135"/>
      <c r="H32" s="136"/>
      <c r="I32" s="133"/>
      <c r="J32" s="137"/>
    </row>
    <row r="33" spans="1:10" x14ac:dyDescent="0.2">
      <c r="A33" s="131">
        <f t="shared" si="0"/>
        <v>25</v>
      </c>
      <c r="B33" s="108" t="s">
        <v>233</v>
      </c>
      <c r="C33" s="145">
        <v>43</v>
      </c>
      <c r="D33" s="134"/>
      <c r="E33" s="134"/>
      <c r="F33" s="134"/>
      <c r="G33" s="135"/>
      <c r="H33" s="136">
        <f>H35*0.2</f>
        <v>10895.165032220813</v>
      </c>
      <c r="I33" s="133">
        <f>'F2023 Energy'!U81</f>
        <v>123233807.4336848</v>
      </c>
      <c r="J33" s="137">
        <f>ROUND((+H33/I33),6)</f>
        <v>8.7999999999999998E-5</v>
      </c>
    </row>
    <row r="34" spans="1:10" x14ac:dyDescent="0.2">
      <c r="A34" s="131">
        <f t="shared" si="0"/>
        <v>26</v>
      </c>
      <c r="B34" s="108" t="s">
        <v>234</v>
      </c>
      <c r="C34" s="145">
        <v>43</v>
      </c>
      <c r="D34" s="134"/>
      <c r="E34" s="134"/>
      <c r="F34" s="134"/>
      <c r="G34" s="135"/>
      <c r="H34" s="147">
        <f>H35*0.8</f>
        <v>43580.660128883253</v>
      </c>
      <c r="I34" s="133">
        <f>'F2023 Demand'!Q80</f>
        <v>583433.70822105429</v>
      </c>
      <c r="J34" s="148">
        <f>ROUND((+H34/I34),2)</f>
        <v>7.0000000000000007E-2</v>
      </c>
    </row>
    <row r="35" spans="1:10" x14ac:dyDescent="0.2">
      <c r="A35" s="131">
        <f t="shared" si="0"/>
        <v>27</v>
      </c>
      <c r="B35" s="108" t="s">
        <v>235</v>
      </c>
      <c r="C35" s="145">
        <v>43</v>
      </c>
      <c r="D35" s="134">
        <f>'Exhibit No.__(BDJ-141C)'!E34</f>
        <v>1.0360398653275369E-3</v>
      </c>
      <c r="E35" s="134">
        <f>'Exhibit No.__(BDJ-141C)'!G34</f>
        <v>0</v>
      </c>
      <c r="F35" s="134">
        <f>+E35+D35</f>
        <v>1.0360398653275369E-3</v>
      </c>
      <c r="G35" s="135"/>
      <c r="H35" s="136">
        <f>+F35*($G$49)</f>
        <v>54475.825161104061</v>
      </c>
      <c r="I35" s="133"/>
      <c r="J35" s="137"/>
    </row>
    <row r="36" spans="1:10" x14ac:dyDescent="0.2">
      <c r="A36" s="131">
        <f t="shared" si="0"/>
        <v>28</v>
      </c>
      <c r="B36" s="108"/>
      <c r="C36" s="145"/>
      <c r="D36" s="134"/>
      <c r="E36" s="134"/>
      <c r="F36" s="134"/>
      <c r="G36" s="135"/>
      <c r="H36" s="136"/>
      <c r="I36" s="133"/>
      <c r="J36" s="142"/>
    </row>
    <row r="37" spans="1:10" x14ac:dyDescent="0.2">
      <c r="A37" s="131">
        <f t="shared" si="0"/>
        <v>29</v>
      </c>
      <c r="B37" s="144" t="s">
        <v>236</v>
      </c>
      <c r="C37" s="145">
        <v>46</v>
      </c>
      <c r="D37" s="134"/>
      <c r="E37" s="134"/>
      <c r="F37" s="134"/>
      <c r="G37" s="135"/>
      <c r="H37" s="136">
        <f>H39*0.2</f>
        <v>9592.2459989013605</v>
      </c>
      <c r="I37" s="133">
        <f>SUM('F2023 Energy'!V81:W81)</f>
        <v>97204322.458226457</v>
      </c>
      <c r="J37" s="137">
        <f>ROUND((+H37/I37),6)</f>
        <v>9.8999999999999994E-5</v>
      </c>
    </row>
    <row r="38" spans="1:10" x14ac:dyDescent="0.2">
      <c r="A38" s="131">
        <f t="shared" si="0"/>
        <v>30</v>
      </c>
      <c r="B38" s="144" t="s">
        <v>237</v>
      </c>
      <c r="C38" s="145">
        <v>46</v>
      </c>
      <c r="D38" s="134"/>
      <c r="E38" s="134"/>
      <c r="F38" s="134"/>
      <c r="G38" s="135"/>
      <c r="H38" s="147">
        <f>H39*0.8</f>
        <v>38368.983995605442</v>
      </c>
      <c r="I38" s="133">
        <f>SUM('F2023 Demand'!R80:S80)</f>
        <v>456104.64445935236</v>
      </c>
      <c r="J38" s="148">
        <f>ROUND((+H38/I38),2)</f>
        <v>0.08</v>
      </c>
    </row>
    <row r="39" spans="1:10" x14ac:dyDescent="0.2">
      <c r="A39" s="131">
        <f t="shared" si="0"/>
        <v>31</v>
      </c>
      <c r="B39" s="144" t="s">
        <v>238</v>
      </c>
      <c r="C39" s="145">
        <v>46</v>
      </c>
      <c r="D39" s="134">
        <f>'Exhibit No.__(BDJ-141C)'!E38</f>
        <v>9.1214306745243234E-4</v>
      </c>
      <c r="E39" s="134">
        <f>'Exhibit No.__(BDJ-141C)'!G38</f>
        <v>0</v>
      </c>
      <c r="F39" s="134">
        <f>+E39+D39</f>
        <v>9.1214306745243234E-4</v>
      </c>
      <c r="G39" s="135"/>
      <c r="H39" s="136">
        <f>+F39*($G$49)</f>
        <v>47961.229994506801</v>
      </c>
      <c r="I39" s="133"/>
      <c r="J39" s="137"/>
    </row>
    <row r="40" spans="1:10" x14ac:dyDescent="0.2">
      <c r="A40" s="131">
        <f t="shared" si="0"/>
        <v>32</v>
      </c>
      <c r="B40" s="144"/>
      <c r="C40" s="145"/>
      <c r="D40" s="134"/>
      <c r="E40" s="134"/>
      <c r="F40" s="134"/>
      <c r="G40" s="135"/>
      <c r="H40" s="136"/>
      <c r="I40" s="133"/>
      <c r="J40" s="137"/>
    </row>
    <row r="41" spans="1:10" x14ac:dyDescent="0.2">
      <c r="A41" s="131">
        <f t="shared" si="0"/>
        <v>33</v>
      </c>
      <c r="B41" s="144" t="s">
        <v>239</v>
      </c>
      <c r="C41" s="145">
        <v>49</v>
      </c>
      <c r="D41" s="134"/>
      <c r="E41" s="134"/>
      <c r="F41" s="134"/>
      <c r="G41" s="135"/>
      <c r="H41" s="136">
        <f>H43*0.2</f>
        <v>202907.37405173917</v>
      </c>
      <c r="I41" s="133">
        <f>SUM('F2023 Energy'!X81:Y81)</f>
        <v>536308452.81444001</v>
      </c>
      <c r="J41" s="137">
        <f>ROUND((+H41/I41),6)</f>
        <v>3.7800000000000003E-4</v>
      </c>
    </row>
    <row r="42" spans="1:10" x14ac:dyDescent="0.2">
      <c r="A42" s="131">
        <f t="shared" si="0"/>
        <v>34</v>
      </c>
      <c r="B42" s="144" t="s">
        <v>240</v>
      </c>
      <c r="C42" s="145">
        <v>49</v>
      </c>
      <c r="D42" s="134"/>
      <c r="E42" s="134"/>
      <c r="F42" s="134"/>
      <c r="G42" s="135"/>
      <c r="H42" s="147">
        <f>H43*0.8</f>
        <v>811629.49620695668</v>
      </c>
      <c r="I42" s="133">
        <f>SUM('F2023 Demand'!T80:U80)</f>
        <v>1328551.6305611252</v>
      </c>
      <c r="J42" s="148">
        <f>ROUND((+H42/I42),2)</f>
        <v>0.61</v>
      </c>
    </row>
    <row r="43" spans="1:10" x14ac:dyDescent="0.2">
      <c r="A43" s="131">
        <f t="shared" si="0"/>
        <v>35</v>
      </c>
      <c r="B43" s="144" t="s">
        <v>241</v>
      </c>
      <c r="C43" s="145">
        <v>49</v>
      </c>
      <c r="D43" s="134">
        <f>'Exhibit No.__(BDJ-141C)'!E42</f>
        <v>4.6441318886753583E-3</v>
      </c>
      <c r="E43" s="134">
        <f>'Exhibit No.__(BDJ-141C)'!G42</f>
        <v>1.4650677126592749E-2</v>
      </c>
      <c r="F43" s="134">
        <f>+E43+D43</f>
        <v>1.9294809015268109E-2</v>
      </c>
      <c r="G43" s="135"/>
      <c r="H43" s="136">
        <f>+F43*($G$49)</f>
        <v>1014536.8702586958</v>
      </c>
      <c r="I43" s="133"/>
      <c r="J43" s="137"/>
    </row>
    <row r="44" spans="1:10" x14ac:dyDescent="0.2">
      <c r="A44" s="131">
        <f t="shared" si="0"/>
        <v>36</v>
      </c>
      <c r="B44" s="144"/>
      <c r="C44" s="145"/>
      <c r="D44" s="134"/>
      <c r="E44" s="134"/>
      <c r="F44" s="134"/>
      <c r="G44" s="135"/>
      <c r="H44" s="136"/>
      <c r="I44" s="133"/>
      <c r="J44" s="142"/>
    </row>
    <row r="45" spans="1:10" x14ac:dyDescent="0.2">
      <c r="A45" s="131">
        <f t="shared" si="0"/>
        <v>37</v>
      </c>
      <c r="B45" s="108" t="s">
        <v>123</v>
      </c>
      <c r="C45" s="145" t="s">
        <v>5</v>
      </c>
      <c r="D45" s="134">
        <f>'Exhibit No.__(BDJ-141C)'!E44</f>
        <v>6.798581562777841E-4</v>
      </c>
      <c r="E45" s="134">
        <f>'Exhibit No.__(BDJ-141C)'!G44</f>
        <v>8.4605594297814757E-4</v>
      </c>
      <c r="F45" s="134">
        <f>+E45+D45</f>
        <v>1.5259140992559318E-3</v>
      </c>
      <c r="G45" s="135"/>
      <c r="H45" s="136">
        <f>+F45*($G$49)</f>
        <v>80233.813836545945</v>
      </c>
      <c r="I45" s="133">
        <f>SUM('F2023 Energy'!AB81:AK81,'F2023 Energy'!C81)</f>
        <v>67490752.881634608</v>
      </c>
      <c r="J45" s="137">
        <f>ROUND((+H45/I45),6)</f>
        <v>1.189E-3</v>
      </c>
    </row>
    <row r="46" spans="1:10" x14ac:dyDescent="0.2">
      <c r="A46" s="131">
        <f t="shared" si="0"/>
        <v>38</v>
      </c>
      <c r="B46" s="108"/>
      <c r="C46" s="145"/>
      <c r="D46" s="134"/>
      <c r="E46" s="134"/>
      <c r="F46" s="134"/>
      <c r="G46" s="135"/>
      <c r="H46" s="136"/>
      <c r="I46" s="133"/>
      <c r="J46" s="137"/>
    </row>
    <row r="47" spans="1:10" x14ac:dyDescent="0.2">
      <c r="A47" s="131">
        <f>+A46+1</f>
        <v>39</v>
      </c>
      <c r="B47" s="144" t="s">
        <v>242</v>
      </c>
      <c r="C47" s="145">
        <v>5</v>
      </c>
      <c r="D47" s="134">
        <f>'Exhibit No.__(BDJ-141C)'!E46</f>
        <v>6.7482786792761397E-5</v>
      </c>
      <c r="E47" s="134">
        <f>'Exhibit No.__(BDJ-141C)'!G46</f>
        <v>2.1710431957995774E-4</v>
      </c>
      <c r="F47" s="134">
        <f>+E47+D47</f>
        <v>2.8458710637271911E-4</v>
      </c>
      <c r="G47" s="135"/>
      <c r="H47" s="136">
        <f>+F47*($G$49)</f>
        <v>14963.823274274842</v>
      </c>
      <c r="I47" s="133">
        <f>'F2023 Energy'!D81</f>
        <v>6782580.058544145</v>
      </c>
      <c r="J47" s="137">
        <f>ROUND((+H47/I47),6)</f>
        <v>2.2060000000000001E-3</v>
      </c>
    </row>
    <row r="48" spans="1:10" x14ac:dyDescent="0.2">
      <c r="A48" s="131">
        <f>+A47+1</f>
        <v>40</v>
      </c>
      <c r="B48" s="108"/>
      <c r="C48" s="145"/>
      <c r="D48" s="134"/>
      <c r="E48" s="108"/>
      <c r="F48" s="108"/>
      <c r="G48" s="153"/>
      <c r="H48" s="136"/>
      <c r="I48" s="108"/>
      <c r="J48" s="142"/>
    </row>
    <row r="49" spans="1:10" x14ac:dyDescent="0.2">
      <c r="A49" s="131">
        <f t="shared" si="0"/>
        <v>41</v>
      </c>
      <c r="B49" s="108" t="s">
        <v>98</v>
      </c>
      <c r="C49" s="145"/>
      <c r="D49" s="134">
        <f>'Exhibit No.__(BDJ-141C)'!E48</f>
        <v>0.20000000000000004</v>
      </c>
      <c r="E49" s="134">
        <f>'Exhibit No.__(BDJ-141C)'!G48</f>
        <v>0.8</v>
      </c>
      <c r="F49" s="134">
        <f>SUM(F9:F47)</f>
        <v>0.99999999999999989</v>
      </c>
      <c r="G49" s="320">
        <f>'Revenue Requirment'!C57</f>
        <v>52580819.507251203</v>
      </c>
      <c r="H49" s="136">
        <f>SUM(H9,H11,H15,H19,H23,H27,H31,H35,H39,H43,H45,H47)</f>
        <v>52580819.507251211</v>
      </c>
      <c r="I49" s="133"/>
      <c r="J49" s="137"/>
    </row>
    <row r="50" spans="1:10" x14ac:dyDescent="0.2">
      <c r="A50" s="131">
        <f t="shared" si="0"/>
        <v>42</v>
      </c>
      <c r="B50" s="108"/>
      <c r="C50" s="145"/>
      <c r="D50" s="134"/>
      <c r="E50" s="134"/>
      <c r="F50" s="134"/>
      <c r="G50" s="138"/>
      <c r="H50" s="136"/>
      <c r="I50" s="133"/>
      <c r="J50" s="137"/>
    </row>
    <row r="51" spans="1:10" x14ac:dyDescent="0.2">
      <c r="A51" s="131">
        <f t="shared" si="0"/>
        <v>43</v>
      </c>
      <c r="B51" s="108" t="s">
        <v>320</v>
      </c>
      <c r="C51" s="145" t="s">
        <v>74</v>
      </c>
      <c r="D51" s="134"/>
      <c r="E51" s="134"/>
      <c r="F51" s="134"/>
      <c r="G51" s="138">
        <v>0</v>
      </c>
      <c r="H51" s="136">
        <f>+G51</f>
        <v>0</v>
      </c>
      <c r="I51" s="133">
        <f>'F2023 Energy'!AQ81</f>
        <v>304641655.46200001</v>
      </c>
      <c r="J51" s="137">
        <f>ROUND((+H51/I51),6)</f>
        <v>0</v>
      </c>
    </row>
    <row r="52" spans="1:10" x14ac:dyDescent="0.2">
      <c r="A52" s="131">
        <f t="shared" si="0"/>
        <v>44</v>
      </c>
      <c r="B52" s="108"/>
      <c r="C52" s="145"/>
      <c r="D52" s="108"/>
      <c r="E52" s="108"/>
      <c r="F52" s="108"/>
      <c r="G52" s="153"/>
      <c r="H52" s="136"/>
      <c r="I52" s="108"/>
      <c r="J52" s="155"/>
    </row>
    <row r="53" spans="1:10" x14ac:dyDescent="0.2">
      <c r="A53" s="131">
        <f t="shared" si="0"/>
        <v>45</v>
      </c>
      <c r="B53" s="108" t="s">
        <v>244</v>
      </c>
      <c r="C53" s="145" t="s">
        <v>245</v>
      </c>
      <c r="D53" s="108"/>
      <c r="E53" s="108"/>
      <c r="F53" s="133"/>
      <c r="G53" s="156"/>
      <c r="H53" s="286">
        <v>0</v>
      </c>
      <c r="I53" s="133">
        <f>SUM('F2023 Energy'!AM81:AO81)</f>
        <v>1978304514.9769659</v>
      </c>
      <c r="J53" s="137">
        <f>ROUND((+H53/I53),6)</f>
        <v>0</v>
      </c>
    </row>
    <row r="54" spans="1:10" x14ac:dyDescent="0.2">
      <c r="A54" s="131">
        <f t="shared" si="0"/>
        <v>46</v>
      </c>
      <c r="B54" s="108"/>
      <c r="C54" s="108"/>
      <c r="D54" s="108"/>
      <c r="E54" s="108"/>
      <c r="F54" s="108"/>
      <c r="G54" s="153"/>
      <c r="H54" s="108"/>
      <c r="I54" s="108"/>
      <c r="J54" s="152"/>
    </row>
    <row r="55" spans="1:10" x14ac:dyDescent="0.2">
      <c r="A55" s="131">
        <f t="shared" si="0"/>
        <v>47</v>
      </c>
      <c r="B55" s="108" t="s">
        <v>8</v>
      </c>
      <c r="C55" s="108"/>
      <c r="D55" s="108"/>
      <c r="E55" s="108"/>
      <c r="F55" s="108"/>
      <c r="G55" s="138">
        <f>SUM(G49:G53)</f>
        <v>52580819.507251203</v>
      </c>
      <c r="H55" s="136">
        <f>SUM(H49,H51)</f>
        <v>52580819.507251211</v>
      </c>
      <c r="I55" s="108"/>
      <c r="J55" s="142"/>
    </row>
    <row r="56" spans="1:10" x14ac:dyDescent="0.2">
      <c r="A56" s="131"/>
      <c r="B56" s="108"/>
      <c r="C56" s="108"/>
      <c r="D56" s="108"/>
      <c r="E56" s="108"/>
      <c r="F56" s="108"/>
      <c r="G56" s="153"/>
      <c r="H56" s="136"/>
      <c r="I56" s="133"/>
      <c r="J56" s="152"/>
    </row>
    <row r="57" spans="1:10" ht="12" thickBot="1" x14ac:dyDescent="0.25">
      <c r="A57" s="157"/>
      <c r="B57" s="158"/>
      <c r="C57" s="158"/>
      <c r="D57" s="158"/>
      <c r="E57" s="158"/>
      <c r="F57" s="158"/>
      <c r="G57" s="160"/>
      <c r="H57" s="158"/>
      <c r="I57" s="158"/>
      <c r="J57" s="161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67" fitToHeight="0" orientation="landscape" r:id="rId1"/>
  <headerFooter alignWithMargins="0">
    <oddFooter xml:space="preserve">&amp;L&amp;F
&amp;A&amp;RPage &amp;P of &amp;N
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E60"/>
  <sheetViews>
    <sheetView workbookViewId="0">
      <pane ySplit="5" topLeftCell="A33" activePane="bottomLeft" state="frozen"/>
      <selection activeCell="C13" sqref="C13"/>
      <selection pane="bottomLeft" activeCell="C13" sqref="C13"/>
    </sheetView>
  </sheetViews>
  <sheetFormatPr defaultRowHeight="11.25" x14ac:dyDescent="0.2"/>
  <cols>
    <col min="1" max="1" width="5.28515625" style="93" customWidth="1"/>
    <col min="2" max="2" width="38.28515625" style="93" bestFit="1" customWidth="1"/>
    <col min="3" max="3" width="12.140625" style="93" bestFit="1" customWidth="1"/>
    <col min="4" max="4" width="15.28515625" style="93" bestFit="1" customWidth="1"/>
    <col min="5" max="7" width="14.7109375" style="93" bestFit="1" customWidth="1"/>
    <col min="8" max="8" width="12.28515625" style="93" bestFit="1" customWidth="1"/>
    <col min="9" max="16384" width="9.140625" style="93"/>
  </cols>
  <sheetData>
    <row r="1" spans="1:3" s="93" customFormat="1" x14ac:dyDescent="0.2">
      <c r="A1" s="223" t="s">
        <v>157</v>
      </c>
    </row>
    <row r="2" spans="1:3" s="93" customFormat="1" x14ac:dyDescent="0.2">
      <c r="A2" s="223" t="s">
        <v>252</v>
      </c>
    </row>
    <row r="3" spans="1:3" s="93" customFormat="1" x14ac:dyDescent="0.2">
      <c r="A3" s="223" t="s">
        <v>253</v>
      </c>
    </row>
    <row r="4" spans="1:3" s="93" customFormat="1" x14ac:dyDescent="0.2">
      <c r="C4" s="266" t="s">
        <v>254</v>
      </c>
    </row>
    <row r="5" spans="1:3" s="93" customFormat="1" x14ac:dyDescent="0.2">
      <c r="A5" s="267" t="s">
        <v>255</v>
      </c>
      <c r="B5" s="267" t="s">
        <v>256</v>
      </c>
      <c r="C5" s="267" t="s">
        <v>257</v>
      </c>
    </row>
    <row r="6" spans="1:3" s="93" customFormat="1" x14ac:dyDescent="0.2">
      <c r="B6" s="268" t="s">
        <v>258</v>
      </c>
    </row>
    <row r="7" spans="1:3" s="93" customFormat="1" x14ac:dyDescent="0.2">
      <c r="A7" s="102">
        <f>ROW()</f>
        <v>7</v>
      </c>
      <c r="B7" s="97" t="s">
        <v>259</v>
      </c>
      <c r="C7" s="269">
        <v>531269628.93000007</v>
      </c>
    </row>
    <row r="8" spans="1:3" s="93" customFormat="1" x14ac:dyDescent="0.2">
      <c r="A8" s="102">
        <f>ROW()</f>
        <v>8</v>
      </c>
      <c r="B8" s="97" t="s">
        <v>260</v>
      </c>
      <c r="C8" s="269">
        <v>-449376609.27875507</v>
      </c>
    </row>
    <row r="9" spans="1:3" s="93" customFormat="1" x14ac:dyDescent="0.2">
      <c r="A9" s="102">
        <f>ROW()</f>
        <v>9</v>
      </c>
      <c r="B9" s="97" t="s">
        <v>261</v>
      </c>
      <c r="C9" s="269">
        <v>-21534310.368832793</v>
      </c>
    </row>
    <row r="10" spans="1:3" s="93" customFormat="1" x14ac:dyDescent="0.2">
      <c r="A10" s="102">
        <f>ROW()</f>
        <v>10</v>
      </c>
      <c r="B10" s="223" t="s">
        <v>262</v>
      </c>
      <c r="C10" s="270">
        <f>SUM(C7:C9)</f>
        <v>60358709.282412201</v>
      </c>
    </row>
    <row r="11" spans="1:3" s="93" customFormat="1" x14ac:dyDescent="0.2">
      <c r="A11" s="102"/>
      <c r="B11" s="97"/>
      <c r="C11" s="271"/>
    </row>
    <row r="12" spans="1:3" s="93" customFormat="1" x14ac:dyDescent="0.2">
      <c r="A12" s="102"/>
      <c r="B12" s="268" t="s">
        <v>263</v>
      </c>
      <c r="C12" s="272"/>
    </row>
    <row r="13" spans="1:3" s="93" customFormat="1" x14ac:dyDescent="0.2">
      <c r="A13" s="102">
        <f>ROW()</f>
        <v>13</v>
      </c>
      <c r="B13" s="97" t="s">
        <v>264</v>
      </c>
      <c r="C13" s="269">
        <v>110972218.59999999</v>
      </c>
    </row>
    <row r="14" spans="1:3" s="93" customFormat="1" x14ac:dyDescent="0.2">
      <c r="A14" s="102">
        <f>ROW()</f>
        <v>14</v>
      </c>
      <c r="B14" s="97" t="s">
        <v>265</v>
      </c>
      <c r="C14" s="269">
        <v>0</v>
      </c>
    </row>
    <row r="15" spans="1:3" s="93" customFormat="1" x14ac:dyDescent="0.2">
      <c r="A15" s="102">
        <f>ROW()</f>
        <v>15</v>
      </c>
      <c r="B15" s="97" t="s">
        <v>266</v>
      </c>
      <c r="C15" s="269">
        <v>-23304165.899999999</v>
      </c>
    </row>
    <row r="16" spans="1:3" s="93" customFormat="1" x14ac:dyDescent="0.2">
      <c r="A16" s="102">
        <f>ROW()</f>
        <v>16</v>
      </c>
      <c r="B16" s="97" t="s">
        <v>267</v>
      </c>
      <c r="C16" s="269">
        <v>0</v>
      </c>
    </row>
    <row r="17" spans="1:5" s="93" customFormat="1" x14ac:dyDescent="0.2">
      <c r="A17" s="102">
        <f>ROW()</f>
        <v>17</v>
      </c>
      <c r="B17" s="223" t="s">
        <v>268</v>
      </c>
      <c r="C17" s="273">
        <f>SUM(C13:C16)</f>
        <v>87668052.699999988</v>
      </c>
    </row>
    <row r="18" spans="1:5" s="93" customFormat="1" x14ac:dyDescent="0.2">
      <c r="A18" s="102"/>
      <c r="C18" s="274"/>
    </row>
    <row r="19" spans="1:5" s="93" customFormat="1" x14ac:dyDescent="0.2">
      <c r="A19" s="102"/>
      <c r="B19" s="268" t="s">
        <v>269</v>
      </c>
      <c r="C19" s="274"/>
    </row>
    <row r="20" spans="1:5" s="93" customFormat="1" x14ac:dyDescent="0.2">
      <c r="A20" s="102">
        <f>ROW()</f>
        <v>20</v>
      </c>
      <c r="B20" s="97" t="s">
        <v>270</v>
      </c>
      <c r="C20" s="269">
        <v>-95934500</v>
      </c>
    </row>
    <row r="21" spans="1:5" s="93" customFormat="1" x14ac:dyDescent="0.2">
      <c r="A21" s="102">
        <f>ROW()</f>
        <v>21</v>
      </c>
      <c r="B21" s="97" t="s">
        <v>271</v>
      </c>
      <c r="C21" s="269">
        <v>47226280.32</v>
      </c>
    </row>
    <row r="22" spans="1:5" s="93" customFormat="1" x14ac:dyDescent="0.2">
      <c r="A22" s="102">
        <f>ROW()</f>
        <v>22</v>
      </c>
      <c r="B22" s="97" t="s">
        <v>272</v>
      </c>
      <c r="C22" s="269">
        <v>-102557.17</v>
      </c>
    </row>
    <row r="23" spans="1:5" s="93" customFormat="1" x14ac:dyDescent="0.2">
      <c r="A23" s="102">
        <f>ROW()</f>
        <v>23</v>
      </c>
      <c r="B23" s="97" t="s">
        <v>273</v>
      </c>
      <c r="C23" s="269">
        <v>-29828416.211151935</v>
      </c>
    </row>
    <row r="24" spans="1:5" s="93" customFormat="1" x14ac:dyDescent="0.2">
      <c r="A24" s="102">
        <f>ROW()</f>
        <v>24</v>
      </c>
      <c r="B24" s="97" t="s">
        <v>274</v>
      </c>
      <c r="C24" s="269">
        <v>27831597.100000001</v>
      </c>
    </row>
    <row r="25" spans="1:5" s="93" customFormat="1" x14ac:dyDescent="0.2">
      <c r="A25" s="102">
        <f>ROW()</f>
        <v>25</v>
      </c>
      <c r="B25" s="97" t="s">
        <v>275</v>
      </c>
      <c r="C25" s="269">
        <v>-117565.55</v>
      </c>
    </row>
    <row r="26" spans="1:5" s="93" customFormat="1" x14ac:dyDescent="0.2">
      <c r="A26" s="102">
        <f>ROW()</f>
        <v>26</v>
      </c>
      <c r="B26" s="223" t="s">
        <v>276</v>
      </c>
      <c r="C26" s="270">
        <f>SUM(C20:C25)</f>
        <v>-50925161.511151932</v>
      </c>
    </row>
    <row r="27" spans="1:5" s="93" customFormat="1" x14ac:dyDescent="0.2">
      <c r="A27" s="102"/>
      <c r="B27" s="97"/>
      <c r="C27" s="271"/>
      <c r="E27" s="275"/>
    </row>
    <row r="28" spans="1:5" s="93" customFormat="1" x14ac:dyDescent="0.2">
      <c r="A28" s="102"/>
      <c r="B28" s="268" t="s">
        <v>277</v>
      </c>
      <c r="C28" s="272"/>
    </row>
    <row r="29" spans="1:5" s="93" customFormat="1" x14ac:dyDescent="0.2">
      <c r="A29" s="102">
        <f>ROW()</f>
        <v>29</v>
      </c>
      <c r="B29" s="97" t="s">
        <v>278</v>
      </c>
      <c r="C29" s="269">
        <v>-240042970.06</v>
      </c>
    </row>
    <row r="30" spans="1:5" s="93" customFormat="1" x14ac:dyDescent="0.2">
      <c r="A30" s="102">
        <f>ROW()</f>
        <v>30</v>
      </c>
      <c r="B30" s="97" t="s">
        <v>279</v>
      </c>
      <c r="C30" s="269">
        <v>-17551177.859999999</v>
      </c>
    </row>
    <row r="31" spans="1:5" s="93" customFormat="1" x14ac:dyDescent="0.2">
      <c r="A31" s="102">
        <f>ROW()</f>
        <v>31</v>
      </c>
      <c r="B31" s="97" t="s">
        <v>280</v>
      </c>
      <c r="C31" s="269">
        <v>5000000</v>
      </c>
    </row>
    <row r="32" spans="1:5" s="93" customFormat="1" x14ac:dyDescent="0.2">
      <c r="A32" s="102">
        <f>ROW()</f>
        <v>32</v>
      </c>
      <c r="B32" s="97" t="s">
        <v>281</v>
      </c>
      <c r="C32" s="269">
        <v>50409023.710000001</v>
      </c>
    </row>
    <row r="33" spans="1:3" s="93" customFormat="1" x14ac:dyDescent="0.2">
      <c r="A33" s="102">
        <f>ROW()</f>
        <v>33</v>
      </c>
      <c r="B33" s="97" t="s">
        <v>282</v>
      </c>
      <c r="C33" s="269">
        <v>3685747.35</v>
      </c>
    </row>
    <row r="34" spans="1:3" s="93" customFormat="1" x14ac:dyDescent="0.2">
      <c r="A34" s="102">
        <f>ROW()</f>
        <v>34</v>
      </c>
      <c r="B34" s="97" t="s">
        <v>283</v>
      </c>
      <c r="C34" s="269">
        <v>0</v>
      </c>
    </row>
    <row r="35" spans="1:3" s="93" customFormat="1" x14ac:dyDescent="0.2">
      <c r="A35" s="102">
        <f>ROW()</f>
        <v>35</v>
      </c>
      <c r="B35" s="97" t="s">
        <v>284</v>
      </c>
      <c r="C35" s="269">
        <v>0</v>
      </c>
    </row>
    <row r="36" spans="1:3" s="93" customFormat="1" x14ac:dyDescent="0.2">
      <c r="A36" s="102">
        <f>ROW()</f>
        <v>36</v>
      </c>
      <c r="B36" s="223" t="s">
        <v>285</v>
      </c>
      <c r="C36" s="273">
        <f>SUM(C29:C35)</f>
        <v>-198499376.86000001</v>
      </c>
    </row>
    <row r="37" spans="1:3" s="93" customFormat="1" x14ac:dyDescent="0.2">
      <c r="A37" s="102"/>
      <c r="C37" s="274"/>
    </row>
    <row r="38" spans="1:3" s="93" customFormat="1" ht="12" thickBot="1" x14ac:dyDescent="0.25">
      <c r="A38" s="102">
        <f>ROW()</f>
        <v>38</v>
      </c>
      <c r="B38" s="268" t="s">
        <v>286</v>
      </c>
      <c r="C38" s="276">
        <f>C10+C17+C26+C36</f>
        <v>-101397776.38873976</v>
      </c>
    </row>
    <row r="39" spans="1:3" s="93" customFormat="1" ht="12" thickTop="1" x14ac:dyDescent="0.2">
      <c r="A39" s="102"/>
      <c r="C39" s="269"/>
    </row>
    <row r="40" spans="1:3" s="93" customFormat="1" x14ac:dyDescent="0.2">
      <c r="A40" s="102">
        <f>ROW()</f>
        <v>40</v>
      </c>
      <c r="B40" s="97" t="s">
        <v>287</v>
      </c>
      <c r="C40" s="277">
        <v>7.1599999999999997E-2</v>
      </c>
    </row>
    <row r="41" spans="1:3" s="93" customFormat="1" x14ac:dyDescent="0.2">
      <c r="A41" s="102">
        <f>ROW()</f>
        <v>41</v>
      </c>
      <c r="B41" s="97" t="s">
        <v>288</v>
      </c>
      <c r="C41" s="277">
        <v>2.5499999999999998E-2</v>
      </c>
    </row>
    <row r="42" spans="1:3" s="93" customFormat="1" x14ac:dyDescent="0.2">
      <c r="A42" s="102">
        <f>ROW()</f>
        <v>42</v>
      </c>
      <c r="B42" s="97" t="s">
        <v>289</v>
      </c>
      <c r="C42" s="278">
        <v>0.21</v>
      </c>
    </row>
    <row r="43" spans="1:3" s="93" customFormat="1" x14ac:dyDescent="0.2">
      <c r="A43" s="102">
        <f>ROW()</f>
        <v>43</v>
      </c>
      <c r="B43" s="223" t="s">
        <v>290</v>
      </c>
      <c r="C43" s="279">
        <f>C38*C40</f>
        <v>-7260080.7894337671</v>
      </c>
    </row>
    <row r="44" spans="1:3" s="93" customFormat="1" x14ac:dyDescent="0.2">
      <c r="A44" s="102"/>
      <c r="C44" s="269"/>
    </row>
    <row r="45" spans="1:3" s="93" customFormat="1" x14ac:dyDescent="0.2">
      <c r="A45" s="102"/>
      <c r="B45" s="223" t="s">
        <v>291</v>
      </c>
      <c r="C45" s="269"/>
    </row>
    <row r="46" spans="1:3" s="93" customFormat="1" x14ac:dyDescent="0.2">
      <c r="A46" s="102">
        <f>ROW()</f>
        <v>46</v>
      </c>
      <c r="B46" s="97" t="s">
        <v>292</v>
      </c>
      <c r="C46" s="269">
        <v>-27787152.27333333</v>
      </c>
    </row>
    <row r="47" spans="1:3" s="93" customFormat="1" x14ac:dyDescent="0.2">
      <c r="A47" s="102">
        <f>ROW()</f>
        <v>47</v>
      </c>
      <c r="B47" s="97" t="s">
        <v>293</v>
      </c>
      <c r="C47" s="269">
        <v>-882698.53499999992</v>
      </c>
    </row>
    <row r="48" spans="1:3" s="93" customFormat="1" x14ac:dyDescent="0.2">
      <c r="A48" s="102">
        <f>ROW()</f>
        <v>48</v>
      </c>
      <c r="B48" s="97" t="s">
        <v>294</v>
      </c>
      <c r="C48" s="269">
        <v>-1308230.145</v>
      </c>
    </row>
    <row r="49" spans="1:4" s="93" customFormat="1" x14ac:dyDescent="0.2">
      <c r="A49" s="102">
        <f>ROW()</f>
        <v>49</v>
      </c>
      <c r="B49" s="97" t="s">
        <v>295</v>
      </c>
      <c r="C49" s="280">
        <f>-SUM(C7:C8)/2.5</f>
        <v>-32757207.860498</v>
      </c>
      <c r="D49" s="280"/>
    </row>
    <row r="50" spans="1:4" s="93" customFormat="1" x14ac:dyDescent="0.2">
      <c r="A50" s="102">
        <f>ROW()</f>
        <v>50</v>
      </c>
      <c r="B50" s="97" t="s">
        <v>296</v>
      </c>
      <c r="C50" s="269">
        <v>-890151.00149815506</v>
      </c>
    </row>
    <row r="51" spans="1:4" s="93" customFormat="1" x14ac:dyDescent="0.2">
      <c r="A51" s="102">
        <f>ROW()</f>
        <v>51</v>
      </c>
      <c r="B51" s="97" t="s">
        <v>297</v>
      </c>
      <c r="C51" s="269">
        <v>2877583.3600000003</v>
      </c>
    </row>
    <row r="52" spans="1:4" s="93" customFormat="1" x14ac:dyDescent="0.2">
      <c r="A52" s="102">
        <f>ROW()</f>
        <v>52</v>
      </c>
      <c r="B52" s="97" t="s">
        <v>298</v>
      </c>
      <c r="C52" s="269">
        <v>650068.53912000044</v>
      </c>
    </row>
    <row r="53" spans="1:4" s="93" customFormat="1" x14ac:dyDescent="0.2">
      <c r="A53" s="102">
        <f>ROW()</f>
        <v>53</v>
      </c>
      <c r="B53" s="97" t="s">
        <v>299</v>
      </c>
      <c r="C53" s="280">
        <f>SUM(C46:C50)*-C42</f>
        <v>13361342.361219192</v>
      </c>
    </row>
    <row r="54" spans="1:4" s="93" customFormat="1" x14ac:dyDescent="0.2">
      <c r="A54" s="102">
        <f>ROW()</f>
        <v>54</v>
      </c>
      <c r="B54" s="223" t="s">
        <v>300</v>
      </c>
      <c r="C54" s="279">
        <f>C43-SUM(C46:C53)</f>
        <v>39476364.765556522</v>
      </c>
    </row>
    <row r="55" spans="1:4" s="93" customFormat="1" x14ac:dyDescent="0.2">
      <c r="A55" s="102"/>
      <c r="C55" s="269"/>
    </row>
    <row r="56" spans="1:4" s="93" customFormat="1" x14ac:dyDescent="0.2">
      <c r="A56" s="102">
        <f>ROW()</f>
        <v>56</v>
      </c>
      <c r="B56" s="97" t="s">
        <v>301</v>
      </c>
      <c r="C56" s="281">
        <f>'2022 GRC Conversion Factor'!K18</f>
        <v>0.75077499999999997</v>
      </c>
    </row>
    <row r="57" spans="1:4" s="93" customFormat="1" ht="12" thickBot="1" x14ac:dyDescent="0.25">
      <c r="A57" s="102">
        <f>ROW()</f>
        <v>57</v>
      </c>
      <c r="B57" s="223" t="s">
        <v>302</v>
      </c>
      <c r="C57" s="276">
        <f>C54/C56</f>
        <v>52580819.507251203</v>
      </c>
    </row>
    <row r="58" spans="1:4" s="93" customFormat="1" ht="12" thickTop="1" x14ac:dyDescent="0.2"/>
    <row r="59" spans="1:4" s="93" customFormat="1" x14ac:dyDescent="0.2">
      <c r="A59" s="102">
        <f>ROW()</f>
        <v>59</v>
      </c>
      <c r="B59" s="97" t="s">
        <v>303</v>
      </c>
      <c r="C59" s="280">
        <f>'Exhibit No.__(BDJ-141C)'!I63</f>
        <v>50260000.129733883</v>
      </c>
    </row>
    <row r="60" spans="1:4" s="93" customFormat="1" x14ac:dyDescent="0.2">
      <c r="A60" s="102">
        <f>ROW()</f>
        <v>60</v>
      </c>
      <c r="B60" s="223" t="s">
        <v>304</v>
      </c>
      <c r="C60" s="279">
        <f>C57-C59</f>
        <v>2320819.3775173202</v>
      </c>
    </row>
  </sheetData>
  <conditionalFormatting sqref="E6">
    <cfRule type="cellIs" dxfId="1" priority="2" operator="notEqual">
      <formula>0</formula>
    </cfRule>
  </conditionalFormatting>
  <conditionalFormatting sqref="F6">
    <cfRule type="cellIs" dxfId="0" priority="1" operator="notEqual">
      <formula>0</formula>
    </cfRule>
  </conditionalFormatting>
  <pageMargins left="0.7" right="0.7" top="0.75" bottom="0.75" header="0.3" footer="0.3"/>
  <pageSetup orientation="portrait" horizontalDpi="360" verticalDpi="36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</sheetPr>
  <dimension ref="A1:AS82"/>
  <sheetViews>
    <sheetView zoomScaleNormal="100" workbookViewId="0">
      <pane xSplit="2" ySplit="7" topLeftCell="C6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80.28515625" defaultRowHeight="11.25" x14ac:dyDescent="0.2"/>
  <cols>
    <col min="1" max="1" width="30.140625" style="13" customWidth="1"/>
    <col min="2" max="2" width="6.5703125" style="13" bestFit="1" customWidth="1"/>
    <col min="3" max="3" width="7.5703125" style="13" bestFit="1" customWidth="1"/>
    <col min="4" max="4" width="7.85546875" style="13" bestFit="1" customWidth="1"/>
    <col min="5" max="5" width="11.7109375" style="13" customWidth="1"/>
    <col min="6" max="6" width="7.85546875" style="13" bestFit="1" customWidth="1"/>
    <col min="7" max="7" width="9.5703125" style="13" bestFit="1" customWidth="1"/>
    <col min="8" max="8" width="8.7109375" style="13" bestFit="1" customWidth="1"/>
    <col min="9" max="9" width="9.5703125" style="13" bestFit="1" customWidth="1"/>
    <col min="10" max="10" width="8.7109375" style="13" bestFit="1" customWidth="1"/>
    <col min="11" max="11" width="10.85546875" style="13" bestFit="1" customWidth="1"/>
    <col min="12" max="12" width="9.5703125" style="13" bestFit="1" customWidth="1"/>
    <col min="13" max="13" width="10.85546875" style="13" bestFit="1" customWidth="1"/>
    <col min="14" max="14" width="9.5703125" style="13" bestFit="1" customWidth="1"/>
    <col min="15" max="15" width="10.85546875" style="13" bestFit="1" customWidth="1"/>
    <col min="16" max="16" width="9.5703125" style="13" bestFit="1" customWidth="1"/>
    <col min="17" max="17" width="8.7109375" style="13" bestFit="1" customWidth="1"/>
    <col min="18" max="18" width="10.85546875" style="13" bestFit="1" customWidth="1"/>
    <col min="19" max="19" width="9.5703125" style="13" bestFit="1" customWidth="1"/>
    <col min="20" max="20" width="7.85546875" style="13" bestFit="1" customWidth="1"/>
    <col min="21" max="21" width="10" style="13" customWidth="1"/>
    <col min="22" max="23" width="8.7109375" style="13" bestFit="1" customWidth="1"/>
    <col min="24" max="25" width="9.5703125" style="13" bestFit="1" customWidth="1"/>
    <col min="26" max="26" width="8.7109375" style="13" bestFit="1" customWidth="1"/>
    <col min="27" max="27" width="8.5703125" style="13" bestFit="1" customWidth="1"/>
    <col min="28" max="28" width="7.5703125" style="13" bestFit="1" customWidth="1"/>
    <col min="29" max="29" width="7.85546875" style="13" bestFit="1" customWidth="1"/>
    <col min="30" max="31" width="8.7109375" style="13" bestFit="1" customWidth="1"/>
    <col min="32" max="36" width="7.85546875" style="13" bestFit="1" customWidth="1"/>
    <col min="37" max="37" width="7.5703125" style="13" bestFit="1" customWidth="1"/>
    <col min="38" max="38" width="11.7109375" style="11" customWidth="1"/>
    <col min="39" max="39" width="9.5703125" style="13" bestFit="1" customWidth="1"/>
    <col min="40" max="40" width="10.85546875" style="13" bestFit="1" customWidth="1"/>
    <col min="41" max="41" width="9.5703125" style="13" bestFit="1" customWidth="1"/>
    <col min="42" max="42" width="14.140625" style="13" bestFit="1" customWidth="1"/>
    <col min="43" max="43" width="9.5703125" style="13" bestFit="1" customWidth="1"/>
    <col min="44" max="44" width="5.42578125" style="13" bestFit="1" customWidth="1"/>
    <col min="45" max="45" width="14.42578125" style="13" customWidth="1"/>
    <col min="46" max="46" width="13.7109375" style="13" customWidth="1"/>
    <col min="47" max="16384" width="80.28515625" style="13"/>
  </cols>
  <sheetData>
    <row r="1" spans="1:45" x14ac:dyDescent="0.2">
      <c r="A1" s="246" t="s">
        <v>120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6" t="str">
        <f>A1</f>
        <v>Delivered Monthly Sales &amp; Transportation by Rate Schedule</v>
      </c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62"/>
    </row>
    <row r="2" spans="1:45" x14ac:dyDescent="0.2">
      <c r="A2" s="248" t="s">
        <v>159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8" t="str">
        <f>A2</f>
        <v xml:space="preserve">Reconciled to LFG's F23 Final Forecast as of May 26th, 2023; </v>
      </c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62"/>
    </row>
    <row r="3" spans="1:45" x14ac:dyDescent="0.2">
      <c r="A3" s="246" t="s">
        <v>160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6" t="str">
        <f>A3</f>
        <v>Monthly kWh Sales Projections, 2023 - 2028</v>
      </c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62"/>
    </row>
    <row r="4" spans="1:45" x14ac:dyDescent="0.2">
      <c r="A4" s="248" t="s">
        <v>121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8" t="s">
        <v>121</v>
      </c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50"/>
    </row>
    <row r="5" spans="1:45" s="87" customFormat="1" x14ac:dyDescent="0.2">
      <c r="A5" s="246"/>
      <c r="B5" s="248"/>
      <c r="C5" s="248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6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63"/>
    </row>
    <row r="6" spans="1:45" s="87" customFormat="1" x14ac:dyDescent="0.2">
      <c r="A6" s="246"/>
      <c r="B6" s="248"/>
      <c r="C6" s="248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6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</row>
    <row r="7" spans="1:45" x14ac:dyDescent="0.2">
      <c r="A7" s="250" t="s">
        <v>72</v>
      </c>
      <c r="B7" s="250" t="s">
        <v>7</v>
      </c>
      <c r="C7" s="250" t="s">
        <v>161</v>
      </c>
      <c r="D7" s="252" t="s">
        <v>133</v>
      </c>
      <c r="E7" s="252" t="s">
        <v>162</v>
      </c>
      <c r="F7" s="252" t="s">
        <v>134</v>
      </c>
      <c r="G7" s="252" t="s">
        <v>163</v>
      </c>
      <c r="H7" s="252" t="s">
        <v>135</v>
      </c>
      <c r="I7" s="252" t="s">
        <v>136</v>
      </c>
      <c r="J7" s="252" t="s">
        <v>137</v>
      </c>
      <c r="K7" s="252" t="s">
        <v>164</v>
      </c>
      <c r="L7" s="252" t="s">
        <v>165</v>
      </c>
      <c r="M7" s="252" t="s">
        <v>138</v>
      </c>
      <c r="N7" s="252" t="s">
        <v>139</v>
      </c>
      <c r="O7" s="252" t="s">
        <v>141</v>
      </c>
      <c r="P7" s="252" t="s">
        <v>142</v>
      </c>
      <c r="Q7" s="252" t="s">
        <v>143</v>
      </c>
      <c r="R7" s="252" t="s">
        <v>144</v>
      </c>
      <c r="S7" s="252" t="s">
        <v>145</v>
      </c>
      <c r="T7" s="252" t="s">
        <v>146</v>
      </c>
      <c r="U7" s="252" t="s">
        <v>147</v>
      </c>
      <c r="V7" s="252" t="s">
        <v>148</v>
      </c>
      <c r="W7" s="252" t="s">
        <v>149</v>
      </c>
      <c r="X7" s="252" t="s">
        <v>150</v>
      </c>
      <c r="Y7" s="252" t="s">
        <v>151</v>
      </c>
      <c r="Z7" s="252" t="s">
        <v>166</v>
      </c>
      <c r="AA7" s="252" t="s">
        <v>140</v>
      </c>
      <c r="AB7" s="252" t="s">
        <v>167</v>
      </c>
      <c r="AC7" s="252" t="s">
        <v>168</v>
      </c>
      <c r="AD7" s="252" t="s">
        <v>169</v>
      </c>
      <c r="AE7" s="252" t="s">
        <v>170</v>
      </c>
      <c r="AF7" s="252" t="s">
        <v>171</v>
      </c>
      <c r="AG7" s="252" t="s">
        <v>172</v>
      </c>
      <c r="AH7" s="252" t="s">
        <v>173</v>
      </c>
      <c r="AI7" s="252" t="s">
        <v>174</v>
      </c>
      <c r="AJ7" s="252" t="s">
        <v>175</v>
      </c>
      <c r="AK7" s="251" t="s">
        <v>176</v>
      </c>
      <c r="AL7" s="264" t="s">
        <v>130</v>
      </c>
      <c r="AM7" s="250" t="s">
        <v>152</v>
      </c>
      <c r="AN7" s="252" t="s">
        <v>153</v>
      </c>
      <c r="AO7" s="251" t="s">
        <v>154</v>
      </c>
      <c r="AP7" s="264" t="s">
        <v>131</v>
      </c>
      <c r="AQ7" s="264" t="s">
        <v>177</v>
      </c>
      <c r="AS7" s="88"/>
    </row>
    <row r="8" spans="1:45" x14ac:dyDescent="0.2">
      <c r="A8" s="254">
        <v>2023</v>
      </c>
      <c r="B8" s="254">
        <v>1</v>
      </c>
      <c r="C8" s="255">
        <v>589.99999999999795</v>
      </c>
      <c r="D8" s="255">
        <v>1128752.0423596499</v>
      </c>
      <c r="E8" s="255">
        <v>1233199002.9924099</v>
      </c>
      <c r="F8" s="255">
        <v>259810</v>
      </c>
      <c r="G8" s="255">
        <v>28130227.939986799</v>
      </c>
      <c r="H8" s="255">
        <v>2513339.4479685198</v>
      </c>
      <c r="I8" s="255">
        <v>13600102.910411401</v>
      </c>
      <c r="J8" s="255">
        <v>1591111.4095497101</v>
      </c>
      <c r="K8" s="255">
        <v>230797445.61287183</v>
      </c>
      <c r="L8" s="255">
        <v>7809305.72320069</v>
      </c>
      <c r="M8" s="255">
        <v>238605858.01642036</v>
      </c>
      <c r="N8" s="255">
        <v>12643159.830638601</v>
      </c>
      <c r="O8" s="255">
        <v>139163264.56060171</v>
      </c>
      <c r="P8" s="255">
        <v>14994628.9150798</v>
      </c>
      <c r="Q8" s="255">
        <v>296174.39931032696</v>
      </c>
      <c r="R8" s="255">
        <v>73707072.323089898</v>
      </c>
      <c r="S8" s="255">
        <v>40702299.566143006</v>
      </c>
      <c r="T8" s="255">
        <v>0</v>
      </c>
      <c r="U8" s="255">
        <v>14912253.1083757</v>
      </c>
      <c r="V8" s="255">
        <v>1665891.3208457099</v>
      </c>
      <c r="W8" s="255">
        <v>5743500.3832223201</v>
      </c>
      <c r="X8" s="255">
        <v>37477645.3857731</v>
      </c>
      <c r="Y8" s="255">
        <v>8836603.0415333007</v>
      </c>
      <c r="Z8" s="255">
        <v>1031144.3761902599</v>
      </c>
      <c r="AA8" s="255">
        <v>110190.418926181</v>
      </c>
      <c r="AB8" s="255">
        <v>4414.6576666666597</v>
      </c>
      <c r="AC8" s="255">
        <v>281535.50104048202</v>
      </c>
      <c r="AD8" s="255">
        <v>1026785.31151821</v>
      </c>
      <c r="AE8" s="255">
        <v>2958319.33400374</v>
      </c>
      <c r="AF8" s="255">
        <v>495673.46594475</v>
      </c>
      <c r="AG8" s="255">
        <v>175884.82296912</v>
      </c>
      <c r="AH8" s="255">
        <v>142410.655380854</v>
      </c>
      <c r="AI8" s="255">
        <v>341484.28502584499</v>
      </c>
      <c r="AJ8" s="255">
        <v>175873.251738886</v>
      </c>
      <c r="AK8" s="255">
        <v>7009.7274291333997</v>
      </c>
      <c r="AL8" s="255">
        <v>2114528764.7376266</v>
      </c>
      <c r="AM8" s="255">
        <v>5697625.5414347295</v>
      </c>
      <c r="AN8" s="255">
        <v>137759413.152055</v>
      </c>
      <c r="AO8" s="255">
        <v>26363693.724510599</v>
      </c>
      <c r="AP8" s="255">
        <v>2284349497.1556268</v>
      </c>
      <c r="AQ8" s="255">
        <v>26645815.232999999</v>
      </c>
      <c r="AS8" s="88"/>
    </row>
    <row r="9" spans="1:45" x14ac:dyDescent="0.2">
      <c r="A9" s="256"/>
      <c r="B9" s="254">
        <v>2</v>
      </c>
      <c r="C9" s="255">
        <v>589.99999999999795</v>
      </c>
      <c r="D9" s="255">
        <v>563351.8966776341</v>
      </c>
      <c r="E9" s="255">
        <v>1057608977.9159799</v>
      </c>
      <c r="F9" s="255">
        <v>233365.535</v>
      </c>
      <c r="G9" s="255">
        <v>25849612.583047301</v>
      </c>
      <c r="H9" s="255">
        <v>2246213.3721839702</v>
      </c>
      <c r="I9" s="255">
        <v>12376435.177844699</v>
      </c>
      <c r="J9" s="255">
        <v>1466518.6946304301</v>
      </c>
      <c r="K9" s="255">
        <v>210946038.45547074</v>
      </c>
      <c r="L9" s="255">
        <v>7327017.9328255095</v>
      </c>
      <c r="M9" s="255">
        <v>223546072.81592259</v>
      </c>
      <c r="N9" s="255">
        <v>12677694.418908801</v>
      </c>
      <c r="O9" s="255">
        <v>131815311.54591902</v>
      </c>
      <c r="P9" s="255">
        <v>15228962.782524001</v>
      </c>
      <c r="Q9" s="255">
        <v>281552.61533801001</v>
      </c>
      <c r="R9" s="255">
        <v>70052274.216486305</v>
      </c>
      <c r="S9" s="255">
        <v>40057548.094161995</v>
      </c>
      <c r="T9" s="255">
        <v>0</v>
      </c>
      <c r="U9" s="255">
        <v>14292758.158922002</v>
      </c>
      <c r="V9" s="255">
        <v>1573650.17495946</v>
      </c>
      <c r="W9" s="255">
        <v>5615582.1954502696</v>
      </c>
      <c r="X9" s="255">
        <v>33996090.921648696</v>
      </c>
      <c r="Y9" s="255">
        <v>8248323.1831336198</v>
      </c>
      <c r="Z9" s="255">
        <v>774450.37054681103</v>
      </c>
      <c r="AA9" s="255">
        <v>107716.87058862101</v>
      </c>
      <c r="AB9" s="255">
        <v>4414.6576666666597</v>
      </c>
      <c r="AC9" s="255">
        <v>237270.25680660599</v>
      </c>
      <c r="AD9" s="255">
        <v>859069.83980116504</v>
      </c>
      <c r="AE9" s="255">
        <v>2467359.69648202</v>
      </c>
      <c r="AF9" s="255">
        <v>413412.00675331801</v>
      </c>
      <c r="AG9" s="255">
        <v>176893.648260313</v>
      </c>
      <c r="AH9" s="255">
        <v>148737.43418252899</v>
      </c>
      <c r="AI9" s="255">
        <v>182676.65692077301</v>
      </c>
      <c r="AJ9" s="255">
        <v>174567.62818458999</v>
      </c>
      <c r="AK9" s="255">
        <v>6778.2306747869297</v>
      </c>
      <c r="AL9" s="255">
        <v>1881557289.9839029</v>
      </c>
      <c r="AM9" s="255">
        <v>5071180.0543486802</v>
      </c>
      <c r="AN9" s="255">
        <v>122592334.507975</v>
      </c>
      <c r="AO9" s="255">
        <v>22807057.313676801</v>
      </c>
      <c r="AP9" s="255">
        <v>2032027861.8599036</v>
      </c>
      <c r="AQ9" s="255">
        <v>23421842.578000002</v>
      </c>
      <c r="AS9" s="88"/>
    </row>
    <row r="10" spans="1:45" x14ac:dyDescent="0.2">
      <c r="A10" s="256"/>
      <c r="B10" s="254">
        <v>3</v>
      </c>
      <c r="C10" s="255">
        <v>589.99999999999795</v>
      </c>
      <c r="D10" s="255">
        <v>713246.47284271894</v>
      </c>
      <c r="E10" s="255">
        <v>1051469810.0270702</v>
      </c>
      <c r="F10" s="255">
        <v>213526.34</v>
      </c>
      <c r="G10" s="255">
        <v>26539446.2658455</v>
      </c>
      <c r="H10" s="255">
        <v>2476151.0115753398</v>
      </c>
      <c r="I10" s="255">
        <v>13134476.824901599</v>
      </c>
      <c r="J10" s="255">
        <v>1571932.65725724</v>
      </c>
      <c r="K10" s="255">
        <v>226374514.60268098</v>
      </c>
      <c r="L10" s="255">
        <v>8488071.3361407109</v>
      </c>
      <c r="M10" s="255">
        <v>239940786.9660387</v>
      </c>
      <c r="N10" s="255">
        <v>14354808.527404401</v>
      </c>
      <c r="O10" s="255">
        <v>138791704.77696228</v>
      </c>
      <c r="P10" s="255">
        <v>17312985.9532151</v>
      </c>
      <c r="Q10" s="255">
        <v>306199.09056296502</v>
      </c>
      <c r="R10" s="255">
        <v>75656229.357290298</v>
      </c>
      <c r="S10" s="255">
        <v>45273296.864469305</v>
      </c>
      <c r="T10" s="255">
        <v>0</v>
      </c>
      <c r="U10" s="255">
        <v>15316459.196919601</v>
      </c>
      <c r="V10" s="255">
        <v>1623053.14736792</v>
      </c>
      <c r="W10" s="255">
        <v>6358117.9854570096</v>
      </c>
      <c r="X10" s="255">
        <v>36824874.562698103</v>
      </c>
      <c r="Y10" s="255">
        <v>8079935.6270586103</v>
      </c>
      <c r="Z10" s="255">
        <v>745235.32773482706</v>
      </c>
      <c r="AA10" s="255">
        <v>103698.75067091201</v>
      </c>
      <c r="AB10" s="255">
        <v>4414.6576666666597</v>
      </c>
      <c r="AC10" s="255">
        <v>255123.54914789199</v>
      </c>
      <c r="AD10" s="255">
        <v>914238.72827574704</v>
      </c>
      <c r="AE10" s="255">
        <v>2625811.8800127502</v>
      </c>
      <c r="AF10" s="255">
        <v>439961.04833055002</v>
      </c>
      <c r="AG10" s="255">
        <v>176142.173036308</v>
      </c>
      <c r="AH10" s="255">
        <v>143292.05613411198</v>
      </c>
      <c r="AI10" s="255">
        <v>206670.77353742</v>
      </c>
      <c r="AJ10" s="255">
        <v>176531.25794217401</v>
      </c>
      <c r="AK10" s="255">
        <v>7054.5508786228702</v>
      </c>
      <c r="AL10" s="255">
        <v>1936618392.3471262</v>
      </c>
      <c r="AM10" s="255">
        <v>5388739.3331968198</v>
      </c>
      <c r="AN10" s="255">
        <v>132004692.358606</v>
      </c>
      <c r="AO10" s="255">
        <v>24606694.322740298</v>
      </c>
      <c r="AP10" s="255">
        <v>2098618518.3616695</v>
      </c>
      <c r="AQ10" s="255">
        <v>24943829.895999998</v>
      </c>
      <c r="AS10" s="88"/>
    </row>
    <row r="11" spans="1:45" x14ac:dyDescent="0.2">
      <c r="A11" s="256"/>
      <c r="B11" s="254">
        <v>4</v>
      </c>
      <c r="C11" s="255">
        <v>589.99999999999795</v>
      </c>
      <c r="D11" s="255">
        <v>656943.41295584105</v>
      </c>
      <c r="E11" s="255">
        <v>908664822.91687799</v>
      </c>
      <c r="F11" s="255">
        <v>180149.25</v>
      </c>
      <c r="G11" s="255">
        <v>22590575.923502401</v>
      </c>
      <c r="H11" s="255">
        <v>2187593.2449459601</v>
      </c>
      <c r="I11" s="255">
        <v>11217736.7762124</v>
      </c>
      <c r="J11" s="255">
        <v>1371345.0028506198</v>
      </c>
      <c r="K11" s="255">
        <v>197947201.274602</v>
      </c>
      <c r="L11" s="255">
        <v>6972592.9121889202</v>
      </c>
      <c r="M11" s="255">
        <v>216616863.51228803</v>
      </c>
      <c r="N11" s="255">
        <v>12512164.9500762</v>
      </c>
      <c r="O11" s="255">
        <v>131921457.44438006</v>
      </c>
      <c r="P11" s="255">
        <v>16030910.5184479</v>
      </c>
      <c r="Q11" s="255">
        <v>328805.47518221405</v>
      </c>
      <c r="R11" s="255">
        <v>72158290.673677504</v>
      </c>
      <c r="S11" s="255">
        <v>40877358.341230102</v>
      </c>
      <c r="T11" s="255">
        <v>0</v>
      </c>
      <c r="U11" s="255">
        <v>11757227.23356</v>
      </c>
      <c r="V11" s="255">
        <v>1656515.4808095999</v>
      </c>
      <c r="W11" s="255">
        <v>5973250.8915920695</v>
      </c>
      <c r="X11" s="255">
        <v>35322282.504987501</v>
      </c>
      <c r="Y11" s="255">
        <v>8932599.3507242687</v>
      </c>
      <c r="Z11" s="255">
        <v>647306.870972228</v>
      </c>
      <c r="AA11" s="255">
        <v>87227.212893670498</v>
      </c>
      <c r="AB11" s="255">
        <v>4414.6576666666597</v>
      </c>
      <c r="AC11" s="255">
        <v>270289.83926885598</v>
      </c>
      <c r="AD11" s="255">
        <v>958756.55170598999</v>
      </c>
      <c r="AE11" s="255">
        <v>2753672.8270718497</v>
      </c>
      <c r="AF11" s="255">
        <v>461384.45521542599</v>
      </c>
      <c r="AG11" s="255">
        <v>179622.88159845301</v>
      </c>
      <c r="AH11" s="255">
        <v>151408.86464513899</v>
      </c>
      <c r="AI11" s="255">
        <v>193854.52962117901</v>
      </c>
      <c r="AJ11" s="255">
        <v>177348.895016589</v>
      </c>
      <c r="AK11" s="255">
        <v>6932.3934050272101</v>
      </c>
      <c r="AL11" s="255">
        <v>1711769497.0701733</v>
      </c>
      <c r="AM11" s="255">
        <v>5084113.6330665108</v>
      </c>
      <c r="AN11" s="255">
        <v>122346229.387835</v>
      </c>
      <c r="AO11" s="255">
        <v>22461336.832989097</v>
      </c>
      <c r="AP11" s="255">
        <v>1861661176.9240637</v>
      </c>
      <c r="AQ11" s="255">
        <v>23819517.236000001</v>
      </c>
    </row>
    <row r="12" spans="1:45" x14ac:dyDescent="0.2">
      <c r="A12" s="256"/>
      <c r="B12" s="254">
        <v>5</v>
      </c>
      <c r="C12" s="255">
        <v>589.99999999999795</v>
      </c>
      <c r="D12" s="255">
        <v>453745.342042048</v>
      </c>
      <c r="E12" s="255">
        <v>757191217.76400399</v>
      </c>
      <c r="F12" s="255">
        <v>165744.375</v>
      </c>
      <c r="G12" s="255">
        <v>19565438.9751615</v>
      </c>
      <c r="H12" s="255">
        <v>1930744.64081693</v>
      </c>
      <c r="I12" s="255">
        <v>10229924.2554047</v>
      </c>
      <c r="J12" s="255">
        <v>1225151.0684114401</v>
      </c>
      <c r="K12" s="255">
        <v>189403188.58174917</v>
      </c>
      <c r="L12" s="255">
        <v>6775219.7839183304</v>
      </c>
      <c r="M12" s="255">
        <v>213189376.40076461</v>
      </c>
      <c r="N12" s="255">
        <v>12618192.0586622</v>
      </c>
      <c r="O12" s="255">
        <v>136865851.34382427</v>
      </c>
      <c r="P12" s="255">
        <v>16911006.724389803</v>
      </c>
      <c r="Q12" s="255">
        <v>749758.87717014307</v>
      </c>
      <c r="R12" s="255">
        <v>73130332.094532102</v>
      </c>
      <c r="S12" s="255">
        <v>42941294.693591297</v>
      </c>
      <c r="T12" s="255">
        <v>303413.31071008998</v>
      </c>
      <c r="U12" s="255">
        <v>9755253.9106863495</v>
      </c>
      <c r="V12" s="255">
        <v>1661218.4553394599</v>
      </c>
      <c r="W12" s="255">
        <v>6698608.93353887</v>
      </c>
      <c r="X12" s="255">
        <v>35803297.517822698</v>
      </c>
      <c r="Y12" s="255">
        <v>8961780.3936379291</v>
      </c>
      <c r="Z12" s="255">
        <v>563281.33774756198</v>
      </c>
      <c r="AA12" s="255">
        <v>67729.112893822705</v>
      </c>
      <c r="AB12" s="255">
        <v>4414.6576666666597</v>
      </c>
      <c r="AC12" s="255">
        <v>277115.46839902096</v>
      </c>
      <c r="AD12" s="255">
        <v>973091.52977183391</v>
      </c>
      <c r="AE12" s="255">
        <v>2794844.7382377698</v>
      </c>
      <c r="AF12" s="255">
        <v>468282.90720896597</v>
      </c>
      <c r="AG12" s="255">
        <v>174516.84109720303</v>
      </c>
      <c r="AH12" s="255">
        <v>142318.08331236901</v>
      </c>
      <c r="AI12" s="255">
        <v>387241.800342909</v>
      </c>
      <c r="AJ12" s="255">
        <v>174883.92849483099</v>
      </c>
      <c r="AK12" s="255">
        <v>6977.0112039926507</v>
      </c>
      <c r="AL12" s="255">
        <v>1552565046.9175549</v>
      </c>
      <c r="AM12" s="255">
        <v>5606209.0855913805</v>
      </c>
      <c r="AN12" s="255">
        <v>125180723.93655699</v>
      </c>
      <c r="AO12" s="255">
        <v>24346770.437794197</v>
      </c>
      <c r="AP12" s="255">
        <v>1707698750.3774974</v>
      </c>
      <c r="AQ12" s="255">
        <v>23775373.113000002</v>
      </c>
    </row>
    <row r="13" spans="1:45" x14ac:dyDescent="0.2">
      <c r="A13" s="256"/>
      <c r="B13" s="254">
        <v>6</v>
      </c>
      <c r="C13" s="255">
        <v>589.99999999999795</v>
      </c>
      <c r="D13" s="255">
        <v>316191.35604183102</v>
      </c>
      <c r="E13" s="255">
        <v>721696398.09395695</v>
      </c>
      <c r="F13" s="255">
        <v>183269.5</v>
      </c>
      <c r="G13" s="255">
        <v>18362213.9415312</v>
      </c>
      <c r="H13" s="255">
        <v>1739820.99422476</v>
      </c>
      <c r="I13" s="255">
        <v>9602265.3454274498</v>
      </c>
      <c r="J13" s="255">
        <v>1098939.6649414201</v>
      </c>
      <c r="K13" s="255">
        <v>185799540.57507527</v>
      </c>
      <c r="L13" s="255">
        <v>6489788.4310320793</v>
      </c>
      <c r="M13" s="255">
        <v>213989535.35029462</v>
      </c>
      <c r="N13" s="255">
        <v>12575709.1773942</v>
      </c>
      <c r="O13" s="255">
        <v>139215981.0542897</v>
      </c>
      <c r="P13" s="255">
        <v>17229147.837166402</v>
      </c>
      <c r="Q13" s="255">
        <v>1498824.0689745701</v>
      </c>
      <c r="R13" s="255">
        <v>72668315.429375097</v>
      </c>
      <c r="S13" s="255">
        <v>43585648.252616405</v>
      </c>
      <c r="T13" s="255">
        <v>651388.70427946304</v>
      </c>
      <c r="U13" s="255">
        <v>8222085.0154746091</v>
      </c>
      <c r="V13" s="255">
        <v>1812664.7680647899</v>
      </c>
      <c r="W13" s="255">
        <v>7360954.3233088097</v>
      </c>
      <c r="X13" s="255">
        <v>34952092.003897697</v>
      </c>
      <c r="Y13" s="255">
        <v>8479419.1271246392</v>
      </c>
      <c r="Z13" s="255">
        <v>480564.676238699</v>
      </c>
      <c r="AA13" s="255">
        <v>63429.272893754896</v>
      </c>
      <c r="AB13" s="255">
        <v>4414.6576666666597</v>
      </c>
      <c r="AC13" s="255">
        <v>265680.17519129702</v>
      </c>
      <c r="AD13" s="255">
        <v>923655.92019121698</v>
      </c>
      <c r="AE13" s="255">
        <v>2652859.2732626898</v>
      </c>
      <c r="AF13" s="255">
        <v>444492.90363192605</v>
      </c>
      <c r="AG13" s="255">
        <v>166947.482775126</v>
      </c>
      <c r="AH13" s="255">
        <v>140879.92774350999</v>
      </c>
      <c r="AI13" s="255">
        <v>214173.011846104</v>
      </c>
      <c r="AJ13" s="255">
        <v>164335.14179346399</v>
      </c>
      <c r="AK13" s="255">
        <v>6426.1242582339701</v>
      </c>
      <c r="AL13" s="255">
        <v>1513058641.5819845</v>
      </c>
      <c r="AM13" s="255">
        <v>5265028.1725273598</v>
      </c>
      <c r="AN13" s="255">
        <v>137885013.77633601</v>
      </c>
      <c r="AO13" s="255">
        <v>26380775.3105556</v>
      </c>
      <c r="AP13" s="255">
        <v>1682589458.8414035</v>
      </c>
      <c r="AQ13" s="255">
        <v>23957451.417000003</v>
      </c>
    </row>
    <row r="14" spans="1:45" x14ac:dyDescent="0.2">
      <c r="A14" s="256"/>
      <c r="B14" s="254">
        <v>7</v>
      </c>
      <c r="C14" s="255">
        <v>589.99999999999795</v>
      </c>
      <c r="D14" s="255">
        <v>275197.79103856999</v>
      </c>
      <c r="E14" s="255">
        <v>798904951.02388203</v>
      </c>
      <c r="F14" s="255">
        <v>214898.875</v>
      </c>
      <c r="G14" s="255">
        <v>18654252.715044599</v>
      </c>
      <c r="H14" s="255">
        <v>1840700.9375428499</v>
      </c>
      <c r="I14" s="255">
        <v>10258874.619038301</v>
      </c>
      <c r="J14" s="255">
        <v>1425510.6191247001</v>
      </c>
      <c r="K14" s="255">
        <v>199934647.79025263</v>
      </c>
      <c r="L14" s="255">
        <v>6166278.1126185497</v>
      </c>
      <c r="M14" s="255">
        <v>228966214.52481517</v>
      </c>
      <c r="N14" s="255">
        <v>11973758.545846099</v>
      </c>
      <c r="O14" s="255">
        <v>153335820.37333423</v>
      </c>
      <c r="P14" s="255">
        <v>16446560.756704701</v>
      </c>
      <c r="Q14" s="255">
        <v>2732259.6120546199</v>
      </c>
      <c r="R14" s="255">
        <v>77373046.258655995</v>
      </c>
      <c r="S14" s="255">
        <v>41854319.298057899</v>
      </c>
      <c r="T14" s="255">
        <v>680827.92413860792</v>
      </c>
      <c r="U14" s="255">
        <v>6414380.8076003799</v>
      </c>
      <c r="V14" s="255">
        <v>2139442.0753497104</v>
      </c>
      <c r="W14" s="255">
        <v>8001020.5980756599</v>
      </c>
      <c r="X14" s="255">
        <v>36280944.901534505</v>
      </c>
      <c r="Y14" s="255">
        <v>9229246.6473782007</v>
      </c>
      <c r="Z14" s="255">
        <v>535251.10777351307</v>
      </c>
      <c r="AA14" s="255">
        <v>63472.684004793104</v>
      </c>
      <c r="AB14" s="255">
        <v>4414.6576666666597</v>
      </c>
      <c r="AC14" s="255">
        <v>324412.13138295501</v>
      </c>
      <c r="AD14" s="255">
        <v>1116732.81827599</v>
      </c>
      <c r="AE14" s="255">
        <v>3207401.0981350397</v>
      </c>
      <c r="AF14" s="255">
        <v>537407.71008515405</v>
      </c>
      <c r="AG14" s="255">
        <v>175584.24496549901</v>
      </c>
      <c r="AH14" s="255">
        <v>143502.13366683101</v>
      </c>
      <c r="AI14" s="255">
        <v>224014.69597048001</v>
      </c>
      <c r="AJ14" s="255">
        <v>175857.29005364998</v>
      </c>
      <c r="AK14" s="255">
        <v>7067.1360055552996</v>
      </c>
      <c r="AL14" s="255">
        <v>1639618862.515074</v>
      </c>
      <c r="AM14" s="255">
        <v>5369402.4264000896</v>
      </c>
      <c r="AN14" s="255">
        <v>144132432.180509</v>
      </c>
      <c r="AO14" s="255">
        <v>27238283.712629501</v>
      </c>
      <c r="AP14" s="255">
        <v>1816358980.8346128</v>
      </c>
      <c r="AQ14" s="255">
        <v>26489769.160999998</v>
      </c>
    </row>
    <row r="15" spans="1:45" x14ac:dyDescent="0.2">
      <c r="A15" s="256"/>
      <c r="B15" s="254">
        <v>8</v>
      </c>
      <c r="C15" s="255">
        <v>589.99999999999795</v>
      </c>
      <c r="D15" s="255">
        <v>266824.141981186</v>
      </c>
      <c r="E15" s="255">
        <v>804454489.60931396</v>
      </c>
      <c r="F15" s="255">
        <v>236361</v>
      </c>
      <c r="G15" s="255">
        <v>18515819.072619699</v>
      </c>
      <c r="H15" s="255">
        <v>1740220.09492414</v>
      </c>
      <c r="I15" s="255">
        <v>10135139.410012299</v>
      </c>
      <c r="J15" s="255">
        <v>2138960.7997342702</v>
      </c>
      <c r="K15" s="255">
        <v>200053977.90249625</v>
      </c>
      <c r="L15" s="255">
        <v>6717218.3554034196</v>
      </c>
      <c r="M15" s="255">
        <v>229315431.96608537</v>
      </c>
      <c r="N15" s="255">
        <v>13219558.5866496</v>
      </c>
      <c r="O15" s="255">
        <v>155837008.74575475</v>
      </c>
      <c r="P15" s="255">
        <v>18173464.929486599</v>
      </c>
      <c r="Q15" s="255">
        <v>4065476.2359716301</v>
      </c>
      <c r="R15" s="255">
        <v>76655904.065023705</v>
      </c>
      <c r="S15" s="255">
        <v>45412476.606486507</v>
      </c>
      <c r="T15" s="255">
        <v>961592.569099118</v>
      </c>
      <c r="U15" s="255">
        <v>5306053.5468998998</v>
      </c>
      <c r="V15" s="255">
        <v>2130391.7373395404</v>
      </c>
      <c r="W15" s="255">
        <v>7413057.2073120903</v>
      </c>
      <c r="X15" s="255">
        <v>36343566.889940903</v>
      </c>
      <c r="Y15" s="255">
        <v>9307884.2317324709</v>
      </c>
      <c r="Z15" s="255">
        <v>513554.46984143899</v>
      </c>
      <c r="AA15" s="255">
        <v>66369.617323953091</v>
      </c>
      <c r="AB15" s="255">
        <v>4414.6576666666597</v>
      </c>
      <c r="AC15" s="255">
        <v>300703.69394773501</v>
      </c>
      <c r="AD15" s="255">
        <v>1025024.42861538</v>
      </c>
      <c r="AE15" s="255">
        <v>2944002.7409884003</v>
      </c>
      <c r="AF15" s="255">
        <v>493274.68661120295</v>
      </c>
      <c r="AG15" s="255">
        <v>170842.68307012701</v>
      </c>
      <c r="AH15" s="255">
        <v>143475.45878101399</v>
      </c>
      <c r="AI15" s="255">
        <v>207522.51861285602</v>
      </c>
      <c r="AJ15" s="255">
        <v>168030.10369354099</v>
      </c>
      <c r="AK15" s="255">
        <v>6607.9874943494397</v>
      </c>
      <c r="AL15" s="255">
        <v>1654445290.7509141</v>
      </c>
      <c r="AM15" s="255">
        <v>5390473.9787382297</v>
      </c>
      <c r="AN15" s="255">
        <v>143434554.101513</v>
      </c>
      <c r="AO15" s="255">
        <v>28301388.411624599</v>
      </c>
      <c r="AP15" s="255">
        <v>1831571707.24279</v>
      </c>
      <c r="AQ15" s="255">
        <v>27146373.211999997</v>
      </c>
    </row>
    <row r="16" spans="1:45" x14ac:dyDescent="0.2">
      <c r="A16" s="256"/>
      <c r="B16" s="254">
        <v>9</v>
      </c>
      <c r="C16" s="255">
        <v>589.99999999999795</v>
      </c>
      <c r="D16" s="255">
        <v>303455.82264052099</v>
      </c>
      <c r="E16" s="255">
        <v>736809003.36971402</v>
      </c>
      <c r="F16" s="255">
        <v>198473.625</v>
      </c>
      <c r="G16" s="255">
        <v>16754962.1927948</v>
      </c>
      <c r="H16" s="255">
        <v>1579167.65324026</v>
      </c>
      <c r="I16" s="255">
        <v>9115549.4936294705</v>
      </c>
      <c r="J16" s="255">
        <v>1391039.1742724602</v>
      </c>
      <c r="K16" s="255">
        <v>180364086.48515782</v>
      </c>
      <c r="L16" s="255">
        <v>6200883.2516812896</v>
      </c>
      <c r="M16" s="255">
        <v>207564496.04435828</v>
      </c>
      <c r="N16" s="255">
        <v>12139560.4959794</v>
      </c>
      <c r="O16" s="255">
        <v>135528107.2425991</v>
      </c>
      <c r="P16" s="255">
        <v>16122099.325843999</v>
      </c>
      <c r="Q16" s="255">
        <v>2908965.43200851</v>
      </c>
      <c r="R16" s="255">
        <v>68309899.629993603</v>
      </c>
      <c r="S16" s="255">
        <v>41692309.681951001</v>
      </c>
      <c r="T16" s="255">
        <v>768071.80331637594</v>
      </c>
      <c r="U16" s="255">
        <v>5857837.7568670399</v>
      </c>
      <c r="V16" s="255">
        <v>1842640.6470208899</v>
      </c>
      <c r="W16" s="255">
        <v>6311600.0385459606</v>
      </c>
      <c r="X16" s="255">
        <v>35615760.647003196</v>
      </c>
      <c r="Y16" s="255">
        <v>8121573.0012063105</v>
      </c>
      <c r="Z16" s="255">
        <v>617127.21844573691</v>
      </c>
      <c r="AA16" s="255">
        <v>67440.283997858001</v>
      </c>
      <c r="AB16" s="255">
        <v>4414.6576666666597</v>
      </c>
      <c r="AC16" s="255">
        <v>307211.19924169499</v>
      </c>
      <c r="AD16" s="255">
        <v>1037091.49715146</v>
      </c>
      <c r="AE16" s="255">
        <v>2978660.9226416098</v>
      </c>
      <c r="AF16" s="255">
        <v>499081.74767656199</v>
      </c>
      <c r="AG16" s="255">
        <v>171052.05903961998</v>
      </c>
      <c r="AH16" s="255">
        <v>139371.066309063</v>
      </c>
      <c r="AI16" s="255">
        <v>261256.78160813497</v>
      </c>
      <c r="AJ16" s="255">
        <v>171392.71377139702</v>
      </c>
      <c r="AK16" s="255">
        <v>6930.7582406155498</v>
      </c>
      <c r="AL16" s="255">
        <v>1501761163.7206142</v>
      </c>
      <c r="AM16" s="255">
        <v>4818825.13771779</v>
      </c>
      <c r="AN16" s="255">
        <v>135023900.66299102</v>
      </c>
      <c r="AO16" s="255">
        <v>26166092.633272201</v>
      </c>
      <c r="AP16" s="255">
        <v>1667769982.1545951</v>
      </c>
      <c r="AQ16" s="255">
        <v>24716404.288999997</v>
      </c>
    </row>
    <row r="17" spans="1:43" x14ac:dyDescent="0.2">
      <c r="A17" s="256"/>
      <c r="B17" s="254">
        <v>10</v>
      </c>
      <c r="C17" s="255">
        <v>589.99999999999795</v>
      </c>
      <c r="D17" s="255">
        <v>478271.99885301699</v>
      </c>
      <c r="E17" s="255">
        <v>867518030.40715706</v>
      </c>
      <c r="F17" s="255">
        <v>173928</v>
      </c>
      <c r="G17" s="255">
        <v>18566108.1225692</v>
      </c>
      <c r="H17" s="255">
        <v>1686777.0923750401</v>
      </c>
      <c r="I17" s="255">
        <v>10023494.608096</v>
      </c>
      <c r="J17" s="255">
        <v>1183460.0809520101</v>
      </c>
      <c r="K17" s="255">
        <v>187981541.13079706</v>
      </c>
      <c r="L17" s="255">
        <v>6036210.89665116</v>
      </c>
      <c r="M17" s="255">
        <v>218959338.91443035</v>
      </c>
      <c r="N17" s="255">
        <v>11980474.493404001</v>
      </c>
      <c r="O17" s="255">
        <v>141133997.41740409</v>
      </c>
      <c r="P17" s="255">
        <v>16176318.423478801</v>
      </c>
      <c r="Q17" s="255">
        <v>1304335.2286823299</v>
      </c>
      <c r="R17" s="255">
        <v>72512305.720277905</v>
      </c>
      <c r="S17" s="255">
        <v>41821146.708410196</v>
      </c>
      <c r="T17" s="255">
        <v>776622.34677468601</v>
      </c>
      <c r="U17" s="255">
        <v>8443600.0467555895</v>
      </c>
      <c r="V17" s="255">
        <v>1495149.9074860602</v>
      </c>
      <c r="W17" s="255">
        <v>6089253.5935778292</v>
      </c>
      <c r="X17" s="255">
        <v>36126638.345194399</v>
      </c>
      <c r="Y17" s="255">
        <v>8512271.8611972202</v>
      </c>
      <c r="Z17" s="255">
        <v>788433.63075596909</v>
      </c>
      <c r="AA17" s="255">
        <v>71363.639537717099</v>
      </c>
      <c r="AB17" s="255">
        <v>4414.6576666666597</v>
      </c>
      <c r="AC17" s="255">
        <v>348631.844184888</v>
      </c>
      <c r="AD17" s="255">
        <v>1165660.77900666</v>
      </c>
      <c r="AE17" s="255">
        <v>3347928.5299511296</v>
      </c>
      <c r="AF17" s="255">
        <v>560953.41672606801</v>
      </c>
      <c r="AG17" s="255">
        <v>178415.257420749</v>
      </c>
      <c r="AH17" s="255">
        <v>150284.78470434499</v>
      </c>
      <c r="AI17" s="255">
        <v>470927.78701069998</v>
      </c>
      <c r="AJ17" s="255">
        <v>175810.17030969702</v>
      </c>
      <c r="AK17" s="255">
        <v>6907.6302323764494</v>
      </c>
      <c r="AL17" s="255">
        <v>1666249597.4720311</v>
      </c>
      <c r="AM17" s="255">
        <v>4632547.1605164399</v>
      </c>
      <c r="AN17" s="255">
        <v>135212902.273498</v>
      </c>
      <c r="AO17" s="255">
        <v>26580174.0093465</v>
      </c>
      <c r="AP17" s="255">
        <v>1832675220.9153922</v>
      </c>
      <c r="AQ17" s="255">
        <v>24706922.309999999</v>
      </c>
    </row>
    <row r="18" spans="1:43" x14ac:dyDescent="0.2">
      <c r="A18" s="256"/>
      <c r="B18" s="254">
        <v>11</v>
      </c>
      <c r="C18" s="255">
        <v>589.99999999999795</v>
      </c>
      <c r="D18" s="255">
        <v>659269.24182298209</v>
      </c>
      <c r="E18" s="255">
        <v>1041166324.80314</v>
      </c>
      <c r="F18" s="255">
        <v>196629.25</v>
      </c>
      <c r="G18" s="255">
        <v>20860062.5425064</v>
      </c>
      <c r="H18" s="255">
        <v>1846462.0251818702</v>
      </c>
      <c r="I18" s="255">
        <v>11217472.865198901</v>
      </c>
      <c r="J18" s="255">
        <v>1263976.1997577299</v>
      </c>
      <c r="K18" s="255">
        <v>196046689.71377233</v>
      </c>
      <c r="L18" s="255">
        <v>6348753.0046168501</v>
      </c>
      <c r="M18" s="255">
        <v>219249569.75122797</v>
      </c>
      <c r="N18" s="255">
        <v>11723665.7342117</v>
      </c>
      <c r="O18" s="255">
        <v>141334357.70957687</v>
      </c>
      <c r="P18" s="255">
        <v>15047811.489871299</v>
      </c>
      <c r="Q18" s="255">
        <v>371452.91631802003</v>
      </c>
      <c r="R18" s="255">
        <v>73167281.216016203</v>
      </c>
      <c r="S18" s="255">
        <v>39616399.313086897</v>
      </c>
      <c r="T18" s="255">
        <v>304713.71278100001</v>
      </c>
      <c r="U18" s="255">
        <v>10886017.8272804</v>
      </c>
      <c r="V18" s="255">
        <v>1510244.9906027301</v>
      </c>
      <c r="W18" s="255">
        <v>5067116.1127085499</v>
      </c>
      <c r="X18" s="255">
        <v>35671902.207028598</v>
      </c>
      <c r="Y18" s="255">
        <v>8268489.6238106191</v>
      </c>
      <c r="Z18" s="255">
        <v>801839.70367950597</v>
      </c>
      <c r="AA18" s="255">
        <v>89630.050449432907</v>
      </c>
      <c r="AB18" s="255">
        <v>4414.6576666666597</v>
      </c>
      <c r="AC18" s="255">
        <v>307863.27126220299</v>
      </c>
      <c r="AD18" s="255">
        <v>1019595.3897286</v>
      </c>
      <c r="AE18" s="255">
        <v>2928409.8390853703</v>
      </c>
      <c r="AF18" s="255">
        <v>490662.05867696798</v>
      </c>
      <c r="AG18" s="255">
        <v>166827.258140669</v>
      </c>
      <c r="AH18" s="255">
        <v>135968.75708559802</v>
      </c>
      <c r="AI18" s="255">
        <v>235261.040398988</v>
      </c>
      <c r="AJ18" s="255">
        <v>167317.27486508299</v>
      </c>
      <c r="AK18" s="255">
        <v>6713.6567894797799</v>
      </c>
      <c r="AL18" s="255">
        <v>1848179755.2083461</v>
      </c>
      <c r="AM18" s="255">
        <v>4543039.3524747398</v>
      </c>
      <c r="AN18" s="255">
        <v>133598389.742828</v>
      </c>
      <c r="AO18" s="255">
        <v>25053034.379129898</v>
      </c>
      <c r="AP18" s="255">
        <v>2011374218.6827786</v>
      </c>
      <c r="AQ18" s="255">
        <v>26143386.014999997</v>
      </c>
    </row>
    <row r="19" spans="1:43" x14ac:dyDescent="0.2">
      <c r="A19" s="258"/>
      <c r="B19" s="259">
        <v>12</v>
      </c>
      <c r="C19" s="260">
        <v>589.99999999999795</v>
      </c>
      <c r="D19" s="260">
        <v>874904.36358921393</v>
      </c>
      <c r="E19" s="260">
        <v>1264875204.4405499</v>
      </c>
      <c r="F19" s="260">
        <v>242994.14285714302</v>
      </c>
      <c r="G19" s="260">
        <v>26865212.337403797</v>
      </c>
      <c r="H19" s="260">
        <v>2332558.74283766</v>
      </c>
      <c r="I19" s="260">
        <v>13205755.8671859</v>
      </c>
      <c r="J19" s="260">
        <v>1498910.6558940101</v>
      </c>
      <c r="K19" s="260">
        <v>226891228.54564685</v>
      </c>
      <c r="L19" s="260">
        <v>6608397.7475512</v>
      </c>
      <c r="M19" s="260">
        <v>246225186.78545767</v>
      </c>
      <c r="N19" s="260">
        <v>11516133.623682899</v>
      </c>
      <c r="O19" s="260">
        <v>149730683.21682566</v>
      </c>
      <c r="P19" s="260">
        <v>14029631.416329999</v>
      </c>
      <c r="Q19" s="260">
        <v>265815.494744892</v>
      </c>
      <c r="R19" s="260">
        <v>77578207.501966402</v>
      </c>
      <c r="S19" s="260">
        <v>37409466.097286597</v>
      </c>
      <c r="T19" s="260">
        <v>0</v>
      </c>
      <c r="U19" s="260">
        <v>14082056.989842201</v>
      </c>
      <c r="V19" s="260">
        <v>1679278.6233675098</v>
      </c>
      <c r="W19" s="260">
        <v>5441203.4557413999</v>
      </c>
      <c r="X19" s="260">
        <v>36704096.082566701</v>
      </c>
      <c r="Y19" s="260">
        <v>8748192.4385786802</v>
      </c>
      <c r="Z19" s="260">
        <v>1002423.9429419501</v>
      </c>
      <c r="AA19" s="260">
        <v>108908.459927082</v>
      </c>
      <c r="AB19" s="260">
        <v>4414.6576666666597</v>
      </c>
      <c r="AC19" s="260">
        <v>336276.14637464599</v>
      </c>
      <c r="AD19" s="260">
        <v>1103239.74600515</v>
      </c>
      <c r="AE19" s="260">
        <v>3168647.2493088599</v>
      </c>
      <c r="AF19" s="260">
        <v>530914.41020857496</v>
      </c>
      <c r="AG19" s="260">
        <v>171710.31484651699</v>
      </c>
      <c r="AH19" s="260">
        <v>144069.47767498801</v>
      </c>
      <c r="AI19" s="260">
        <v>240249.62879934401</v>
      </c>
      <c r="AJ19" s="260">
        <v>168803.11864394203</v>
      </c>
      <c r="AK19" s="260">
        <v>6659.3235988671204</v>
      </c>
      <c r="AL19" s="260">
        <v>2153792025.0459032</v>
      </c>
      <c r="AM19" s="260">
        <v>4946969.8740437599</v>
      </c>
      <c r="AN19" s="260">
        <v>136573465.93939802</v>
      </c>
      <c r="AO19" s="260">
        <v>25657466.181662902</v>
      </c>
      <c r="AP19" s="260">
        <v>2320969927.041008</v>
      </c>
      <c r="AQ19" s="260">
        <v>28874971.001999997</v>
      </c>
    </row>
    <row r="20" spans="1:43" x14ac:dyDescent="0.2">
      <c r="A20" s="254">
        <f>A8+1</f>
        <v>2024</v>
      </c>
      <c r="B20" s="254">
        <v>1</v>
      </c>
      <c r="C20" s="255">
        <v>589.99999999999795</v>
      </c>
      <c r="D20" s="255">
        <v>855565.87971811299</v>
      </c>
      <c r="E20" s="255">
        <v>1192691743.2576599</v>
      </c>
      <c r="F20" s="255">
        <v>259810</v>
      </c>
      <c r="G20" s="255">
        <v>27813780.3325046</v>
      </c>
      <c r="H20" s="255">
        <v>2530274.5451644901</v>
      </c>
      <c r="I20" s="255">
        <v>13479396.110401299</v>
      </c>
      <c r="J20" s="255">
        <v>1601832.4549668401</v>
      </c>
      <c r="K20" s="255">
        <v>229541221.56578368</v>
      </c>
      <c r="L20" s="255">
        <v>7655008.4437875701</v>
      </c>
      <c r="M20" s="255">
        <v>237440044.67140436</v>
      </c>
      <c r="N20" s="255">
        <v>12393354.632302301</v>
      </c>
      <c r="O20" s="255">
        <v>149106082.16658735</v>
      </c>
      <c r="P20" s="255">
        <v>14698363.0843629</v>
      </c>
      <c r="Q20" s="255">
        <v>292842.62111573998</v>
      </c>
      <c r="R20" s="255">
        <v>78560131.171277002</v>
      </c>
      <c r="S20" s="255">
        <v>39898098.231028698</v>
      </c>
      <c r="T20" s="255">
        <v>0</v>
      </c>
      <c r="U20" s="255">
        <v>14744499.515039001</v>
      </c>
      <c r="V20" s="255">
        <v>1657929.91103097</v>
      </c>
      <c r="W20" s="255">
        <v>5700654.6769037796</v>
      </c>
      <c r="X20" s="255">
        <v>37302025.238667399</v>
      </c>
      <c r="Y20" s="255">
        <v>8771915.997836709</v>
      </c>
      <c r="Z20" s="255">
        <v>997452.93988059903</v>
      </c>
      <c r="AA20" s="255">
        <v>110190.418926181</v>
      </c>
      <c r="AB20" s="255">
        <v>4414.6576666666597</v>
      </c>
      <c r="AC20" s="255">
        <v>327649.49862566905</v>
      </c>
      <c r="AD20" s="255">
        <v>1064940.81676492</v>
      </c>
      <c r="AE20" s="255">
        <v>3058647.77074767</v>
      </c>
      <c r="AF20" s="255">
        <v>512483.73500599305</v>
      </c>
      <c r="AG20" s="255">
        <v>172334.80350611199</v>
      </c>
      <c r="AH20" s="255">
        <v>136964.33891802499</v>
      </c>
      <c r="AI20" s="255">
        <v>353065.38247379899</v>
      </c>
      <c r="AJ20" s="255">
        <v>169043.05064750201</v>
      </c>
      <c r="AK20" s="255">
        <v>6868.2446770475199</v>
      </c>
      <c r="AL20" s="255">
        <v>2083909220.1653833</v>
      </c>
      <c r="AM20" s="255">
        <v>5679938.9346383195</v>
      </c>
      <c r="AN20" s="255">
        <v>137331779.472866</v>
      </c>
      <c r="AO20" s="255">
        <v>26281855.3725137</v>
      </c>
      <c r="AP20" s="255">
        <v>2253202793.9454012</v>
      </c>
      <c r="AQ20" s="255">
        <v>26645815.232999999</v>
      </c>
    </row>
    <row r="21" spans="1:43" x14ac:dyDescent="0.2">
      <c r="A21" s="256"/>
      <c r="B21" s="254">
        <v>2</v>
      </c>
      <c r="C21" s="255">
        <v>589.99999999999795</v>
      </c>
      <c r="D21" s="255">
        <v>885131.02685962501</v>
      </c>
      <c r="E21" s="255">
        <v>1075657420.9360201</v>
      </c>
      <c r="F21" s="255">
        <v>233365.535</v>
      </c>
      <c r="G21" s="255">
        <v>25058783.476412997</v>
      </c>
      <c r="H21" s="255">
        <v>2224874.4670955599</v>
      </c>
      <c r="I21" s="255">
        <v>11962045.125668699</v>
      </c>
      <c r="J21" s="255">
        <v>1452586.84664902</v>
      </c>
      <c r="K21" s="255">
        <v>205829197.09850881</v>
      </c>
      <c r="L21" s="255">
        <v>7206852.9477127902</v>
      </c>
      <c r="M21" s="255">
        <v>218228566.87651831</v>
      </c>
      <c r="N21" s="255">
        <v>12469776.958479701</v>
      </c>
      <c r="O21" s="255">
        <v>139152253.45427388</v>
      </c>
      <c r="P21" s="255">
        <v>14979203.862480201</v>
      </c>
      <c r="Q21" s="255">
        <v>272938.94646606996</v>
      </c>
      <c r="R21" s="255">
        <v>73539440.461367995</v>
      </c>
      <c r="S21" s="255">
        <v>39400593.967050798</v>
      </c>
      <c r="T21" s="255">
        <v>0</v>
      </c>
      <c r="U21" s="255">
        <v>13855493.223912001</v>
      </c>
      <c r="V21" s="255">
        <v>1626111.00776819</v>
      </c>
      <c r="W21" s="255">
        <v>5791233.8177327104</v>
      </c>
      <c r="X21" s="255">
        <v>35132278.661460899</v>
      </c>
      <c r="Y21" s="255">
        <v>8507334.01460867</v>
      </c>
      <c r="Z21" s="255">
        <v>793306.544258793</v>
      </c>
      <c r="AA21" s="255">
        <v>107716.87058862101</v>
      </c>
      <c r="AB21" s="255">
        <v>4414.6576666666597</v>
      </c>
      <c r="AC21" s="255">
        <v>292911.59281819302</v>
      </c>
      <c r="AD21" s="255">
        <v>943261.73618003307</v>
      </c>
      <c r="AE21" s="255">
        <v>2709169.7127010599</v>
      </c>
      <c r="AF21" s="255">
        <v>453927.85217330302</v>
      </c>
      <c r="AG21" s="255">
        <v>177936.46461262502</v>
      </c>
      <c r="AH21" s="255">
        <v>146989.31541398901</v>
      </c>
      <c r="AI21" s="255">
        <v>200579.618307325</v>
      </c>
      <c r="AJ21" s="255">
        <v>172248.69473933298</v>
      </c>
      <c r="AK21" s="255">
        <v>6818.1894288571102</v>
      </c>
      <c r="AL21" s="255">
        <v>1899475353.9609361</v>
      </c>
      <c r="AM21" s="255">
        <v>5324543.6320088999</v>
      </c>
      <c r="AN21" s="255">
        <v>128717226.965308</v>
      </c>
      <c r="AO21" s="255">
        <v>23946531.277323499</v>
      </c>
      <c r="AP21" s="255">
        <v>2057463655.8355763</v>
      </c>
      <c r="AQ21" s="255">
        <v>23421842.578000002</v>
      </c>
    </row>
    <row r="22" spans="1:43" x14ac:dyDescent="0.2">
      <c r="A22" s="256"/>
      <c r="B22" s="254">
        <v>3</v>
      </c>
      <c r="C22" s="255">
        <v>589.99999999999795</v>
      </c>
      <c r="D22" s="255">
        <v>836527.18470560608</v>
      </c>
      <c r="E22" s="255">
        <v>1040534573.62798</v>
      </c>
      <c r="F22" s="255">
        <v>213526.34</v>
      </c>
      <c r="G22" s="255">
        <v>25054948.374284398</v>
      </c>
      <c r="H22" s="255">
        <v>2395675.3372626398</v>
      </c>
      <c r="I22" s="255">
        <v>12274940.531071002</v>
      </c>
      <c r="J22" s="255">
        <v>1520844.35934021</v>
      </c>
      <c r="K22" s="255">
        <v>215154712.62799975</v>
      </c>
      <c r="L22" s="255">
        <v>7737487.4062884599</v>
      </c>
      <c r="M22" s="255">
        <v>228140776.75055701</v>
      </c>
      <c r="N22" s="255">
        <v>13085440.2374727</v>
      </c>
      <c r="O22" s="255">
        <v>144567583.82284072</v>
      </c>
      <c r="P22" s="255">
        <v>15782031.685793899</v>
      </c>
      <c r="Q22" s="255">
        <v>289071.68331469805</v>
      </c>
      <c r="R22" s="255">
        <v>78322645.436249986</v>
      </c>
      <c r="S22" s="255">
        <v>41269865.727738097</v>
      </c>
      <c r="T22" s="255">
        <v>0</v>
      </c>
      <c r="U22" s="255">
        <v>14459724.9924359</v>
      </c>
      <c r="V22" s="255">
        <v>1623152.1569568699</v>
      </c>
      <c r="W22" s="255">
        <v>6530820.1685013399</v>
      </c>
      <c r="X22" s="255">
        <v>36830507.285405703</v>
      </c>
      <c r="Y22" s="255">
        <v>8300206.2346096206</v>
      </c>
      <c r="Z22" s="255">
        <v>849308.99452865799</v>
      </c>
      <c r="AA22" s="255">
        <v>103698.75067091201</v>
      </c>
      <c r="AB22" s="255">
        <v>4414.6576666666597</v>
      </c>
      <c r="AC22" s="255">
        <v>351359.30021873099</v>
      </c>
      <c r="AD22" s="255">
        <v>1121149.8872611502</v>
      </c>
      <c r="AE22" s="255">
        <v>3220087.4915871499</v>
      </c>
      <c r="AF22" s="255">
        <v>539533.34559058095</v>
      </c>
      <c r="AG22" s="255">
        <v>168920.258278166</v>
      </c>
      <c r="AH22" s="255">
        <v>134882.261993263</v>
      </c>
      <c r="AI22" s="255">
        <v>253444.64994242199</v>
      </c>
      <c r="AJ22" s="255">
        <v>166060.39959492101</v>
      </c>
      <c r="AK22" s="255">
        <v>6765.3108617423704</v>
      </c>
      <c r="AL22" s="255">
        <v>1901845277.2790034</v>
      </c>
      <c r="AM22" s="255">
        <v>5487793.3634467497</v>
      </c>
      <c r="AN22" s="255">
        <v>134431159.103708</v>
      </c>
      <c r="AO22" s="255">
        <v>25059006.467211701</v>
      </c>
      <c r="AP22" s="255">
        <v>2066823236.2133698</v>
      </c>
      <c r="AQ22" s="255">
        <v>24943829.895999998</v>
      </c>
    </row>
    <row r="23" spans="1:43" x14ac:dyDescent="0.2">
      <c r="A23" s="256"/>
      <c r="B23" s="254">
        <v>4</v>
      </c>
      <c r="C23" s="255">
        <v>589.99999999999795</v>
      </c>
      <c r="D23" s="255">
        <v>595879.39488679206</v>
      </c>
      <c r="E23" s="255">
        <v>871564901.43307793</v>
      </c>
      <c r="F23" s="255">
        <v>180149.25</v>
      </c>
      <c r="G23" s="255">
        <v>21480881.678410102</v>
      </c>
      <c r="H23" s="255">
        <v>2103417.0861166799</v>
      </c>
      <c r="I23" s="255">
        <v>10580555.434001701</v>
      </c>
      <c r="J23" s="255">
        <v>1318577.1699655999</v>
      </c>
      <c r="K23" s="255">
        <v>189627771.8440989</v>
      </c>
      <c r="L23" s="255">
        <v>6697552.9346463401</v>
      </c>
      <c r="M23" s="255">
        <v>207549985.29733142</v>
      </c>
      <c r="N23" s="255">
        <v>12018611.7468106</v>
      </c>
      <c r="O23" s="255">
        <v>137205974.4827503</v>
      </c>
      <c r="P23" s="255">
        <v>15398557.3430211</v>
      </c>
      <c r="Q23" s="255">
        <v>312653.89300032897</v>
      </c>
      <c r="R23" s="255">
        <v>74564592.722236499</v>
      </c>
      <c r="S23" s="255">
        <v>39264915.472162299</v>
      </c>
      <c r="T23" s="255">
        <v>0</v>
      </c>
      <c r="U23" s="255">
        <v>11179688.730623901</v>
      </c>
      <c r="V23" s="255">
        <v>1657572.3812251799</v>
      </c>
      <c r="W23" s="255">
        <v>5971796.7435941696</v>
      </c>
      <c r="X23" s="255">
        <v>35347754.669139303</v>
      </c>
      <c r="Y23" s="255">
        <v>8931508.7397258505</v>
      </c>
      <c r="Z23" s="255">
        <v>636154.30507681798</v>
      </c>
      <c r="AA23" s="255">
        <v>87227.212893670498</v>
      </c>
      <c r="AB23" s="255">
        <v>4414.6576666666597</v>
      </c>
      <c r="AC23" s="255">
        <v>324705.65778555197</v>
      </c>
      <c r="AD23" s="255">
        <v>1026726.69111553</v>
      </c>
      <c r="AE23" s="255">
        <v>2948891.8590683402</v>
      </c>
      <c r="AF23" s="255">
        <v>494093.87001586205</v>
      </c>
      <c r="AG23" s="255">
        <v>179621.57753814</v>
      </c>
      <c r="AH23" s="255">
        <v>148748.19078699203</v>
      </c>
      <c r="AI23" s="255">
        <v>207597.66324574401</v>
      </c>
      <c r="AJ23" s="255">
        <v>173955.40700542601</v>
      </c>
      <c r="AK23" s="255">
        <v>6932.3430759208695</v>
      </c>
      <c r="AL23" s="255">
        <v>1659792957.8820999</v>
      </c>
      <c r="AM23" s="255">
        <v>5060993.6281540906</v>
      </c>
      <c r="AN23" s="255">
        <v>121789859.95382701</v>
      </c>
      <c r="AO23" s="255">
        <v>22359193.911843397</v>
      </c>
      <c r="AP23" s="255">
        <v>1809003005.3759241</v>
      </c>
      <c r="AQ23" s="255">
        <v>23819517.236000001</v>
      </c>
    </row>
    <row r="24" spans="1:43" x14ac:dyDescent="0.2">
      <c r="A24" s="256"/>
      <c r="B24" s="254">
        <v>5</v>
      </c>
      <c r="C24" s="255">
        <v>589.99999999999795</v>
      </c>
      <c r="D24" s="255">
        <v>443812.32013172796</v>
      </c>
      <c r="E24" s="255">
        <v>760468027.59418297</v>
      </c>
      <c r="F24" s="255">
        <v>165744.375</v>
      </c>
      <c r="G24" s="255">
        <v>19415259.8975964</v>
      </c>
      <c r="H24" s="255">
        <v>1893678.3046021</v>
      </c>
      <c r="I24" s="255">
        <v>10197043.6305339</v>
      </c>
      <c r="J24" s="255">
        <v>1201630.68127393</v>
      </c>
      <c r="K24" s="255">
        <v>189312815.77678013</v>
      </c>
      <c r="L24" s="255">
        <v>6372790.2025750997</v>
      </c>
      <c r="M24" s="255">
        <v>213071768.07107151</v>
      </c>
      <c r="N24" s="255">
        <v>11868705.8560849</v>
      </c>
      <c r="O24" s="255">
        <v>141787922.98531237</v>
      </c>
      <c r="P24" s="255">
        <v>15906539.0357781</v>
      </c>
      <c r="Q24" s="255">
        <v>744003.92852254794</v>
      </c>
      <c r="R24" s="255">
        <v>75257372.171823397</v>
      </c>
      <c r="S24" s="255">
        <v>40390698.875741102</v>
      </c>
      <c r="T24" s="255">
        <v>301084.39127305296</v>
      </c>
      <c r="U24" s="255">
        <v>9680375.1903274208</v>
      </c>
      <c r="V24" s="255">
        <v>1660876.3075976898</v>
      </c>
      <c r="W24" s="255">
        <v>6697075.7458707504</v>
      </c>
      <c r="X24" s="255">
        <v>35799057.709833197</v>
      </c>
      <c r="Y24" s="255">
        <v>8960630.5028868392</v>
      </c>
      <c r="Z24" s="255">
        <v>513380.71132470894</v>
      </c>
      <c r="AA24" s="255">
        <v>67729.112893822705</v>
      </c>
      <c r="AB24" s="255">
        <v>4414.6576666666597</v>
      </c>
      <c r="AC24" s="255">
        <v>312189.66808522999</v>
      </c>
      <c r="AD24" s="255">
        <v>978299.53507913498</v>
      </c>
      <c r="AE24" s="255">
        <v>2809802.8031109101</v>
      </c>
      <c r="AF24" s="255">
        <v>470789.16668348201</v>
      </c>
      <c r="AG24" s="255">
        <v>172113.376491426</v>
      </c>
      <c r="AH24" s="255">
        <v>137767.42488057102</v>
      </c>
      <c r="AI24" s="255">
        <v>389314.32619447703</v>
      </c>
      <c r="AJ24" s="255">
        <v>169171.133562823</v>
      </c>
      <c r="AK24" s="255">
        <v>6880.9230592756503</v>
      </c>
      <c r="AL24" s="255">
        <v>1557629356.3938315</v>
      </c>
      <c r="AM24" s="255">
        <v>5568087.4846516596</v>
      </c>
      <c r="AN24" s="255">
        <v>124329508.876541</v>
      </c>
      <c r="AO24" s="255">
        <v>24181215.0950251</v>
      </c>
      <c r="AP24" s="255">
        <v>1711708167.850049</v>
      </c>
      <c r="AQ24" s="255">
        <v>23775373.113000002</v>
      </c>
    </row>
    <row r="25" spans="1:43" x14ac:dyDescent="0.2">
      <c r="A25" s="256"/>
      <c r="B25" s="254">
        <v>6</v>
      </c>
      <c r="C25" s="255">
        <v>589.99999999999795</v>
      </c>
      <c r="D25" s="255">
        <v>317417.07008727704</v>
      </c>
      <c r="E25" s="255">
        <v>726612130.99855494</v>
      </c>
      <c r="F25" s="255">
        <v>183269.5</v>
      </c>
      <c r="G25" s="255">
        <v>18239780.9002074</v>
      </c>
      <c r="H25" s="255">
        <v>1707275.1889347802</v>
      </c>
      <c r="I25" s="255">
        <v>9584836.5130796693</v>
      </c>
      <c r="J25" s="255">
        <v>1078382.4487224298</v>
      </c>
      <c r="K25" s="255">
        <v>185894249.09023002</v>
      </c>
      <c r="L25" s="255">
        <v>6256261.0046211807</v>
      </c>
      <c r="M25" s="255">
        <v>214040952.30100906</v>
      </c>
      <c r="N25" s="255">
        <v>12123187.029608</v>
      </c>
      <c r="O25" s="255">
        <v>143769851.87637344</v>
      </c>
      <c r="P25" s="255">
        <v>16609177.156084199</v>
      </c>
      <c r="Q25" s="255">
        <v>1488830.41626154</v>
      </c>
      <c r="R25" s="255">
        <v>74554464.042835891</v>
      </c>
      <c r="S25" s="255">
        <v>42017269.811153799</v>
      </c>
      <c r="T25" s="255">
        <v>647045.46438459598</v>
      </c>
      <c r="U25" s="255">
        <v>8167262.9293321995</v>
      </c>
      <c r="V25" s="255">
        <v>1812803.0818630601</v>
      </c>
      <c r="W25" s="255">
        <v>7359453.2189156199</v>
      </c>
      <c r="X25" s="255">
        <v>34957388.323225997</v>
      </c>
      <c r="Y25" s="255">
        <v>8478293.2988297511</v>
      </c>
      <c r="Z25" s="255">
        <v>433120.71433570597</v>
      </c>
      <c r="AA25" s="255">
        <v>63429.272893754896</v>
      </c>
      <c r="AB25" s="255">
        <v>4414.6576666666597</v>
      </c>
      <c r="AC25" s="255">
        <v>298459.14419071301</v>
      </c>
      <c r="AD25" s="255">
        <v>926960.98073046899</v>
      </c>
      <c r="AE25" s="255">
        <v>2662351.8346251901</v>
      </c>
      <c r="AF25" s="255">
        <v>446083.40494703403</v>
      </c>
      <c r="AG25" s="255">
        <v>164666.50707914101</v>
      </c>
      <c r="AH25" s="255">
        <v>136516.57149326301</v>
      </c>
      <c r="AI25" s="255">
        <v>214939.37381548202</v>
      </c>
      <c r="AJ25" s="255">
        <v>158979.583601911</v>
      </c>
      <c r="AK25" s="255">
        <v>6338.3251910737099</v>
      </c>
      <c r="AL25" s="255">
        <v>1521416432.0348856</v>
      </c>
      <c r="AM25" s="255">
        <v>5240502.06098055</v>
      </c>
      <c r="AN25" s="255">
        <v>137242703.20976499</v>
      </c>
      <c r="AO25" s="255">
        <v>26257885.5905472</v>
      </c>
      <c r="AP25" s="255">
        <v>1690157522.8961782</v>
      </c>
      <c r="AQ25" s="255">
        <v>23957451.417000003</v>
      </c>
    </row>
    <row r="26" spans="1:43" x14ac:dyDescent="0.2">
      <c r="A26" s="256"/>
      <c r="B26" s="254">
        <v>7</v>
      </c>
      <c r="C26" s="255">
        <v>589.99999999999795</v>
      </c>
      <c r="D26" s="255">
        <v>274419.21978482901</v>
      </c>
      <c r="E26" s="255">
        <v>810211528.78052795</v>
      </c>
      <c r="F26" s="255">
        <v>214898.875</v>
      </c>
      <c r="G26" s="255">
        <v>18581880.699023999</v>
      </c>
      <c r="H26" s="255">
        <v>1815292.47742907</v>
      </c>
      <c r="I26" s="255">
        <v>10277261.0837349</v>
      </c>
      <c r="J26" s="255">
        <v>1405833.31632713</v>
      </c>
      <c r="K26" s="255">
        <v>200533601.91777909</v>
      </c>
      <c r="L26" s="255">
        <v>5923761.80937202</v>
      </c>
      <c r="M26" s="255">
        <v>229594754.94596413</v>
      </c>
      <c r="N26" s="255">
        <v>11502837.253379101</v>
      </c>
      <c r="O26" s="255">
        <v>158512357.27757815</v>
      </c>
      <c r="P26" s="255">
        <v>15799726.630349999</v>
      </c>
      <c r="Q26" s="255">
        <v>2721659.3945365697</v>
      </c>
      <c r="R26" s="255">
        <v>79458049.513137504</v>
      </c>
      <c r="S26" s="255">
        <v>40208212.0992449</v>
      </c>
      <c r="T26" s="255">
        <v>678186.54845952301</v>
      </c>
      <c r="U26" s="255">
        <v>6389495.2398072705</v>
      </c>
      <c r="V26" s="255">
        <v>2141931.6198215303</v>
      </c>
      <c r="W26" s="255">
        <v>7999494.9017698001</v>
      </c>
      <c r="X26" s="255">
        <v>36325321.960728794</v>
      </c>
      <c r="Y26" s="255">
        <v>9228102.3751488104</v>
      </c>
      <c r="Z26" s="255">
        <v>477062.39697190101</v>
      </c>
      <c r="AA26" s="255">
        <v>63472.684004793104</v>
      </c>
      <c r="AB26" s="255">
        <v>4414.6576666666597</v>
      </c>
      <c r="AC26" s="255">
        <v>362907.70679979102</v>
      </c>
      <c r="AD26" s="255">
        <v>1117198.38262472</v>
      </c>
      <c r="AE26" s="255">
        <v>3208738.2591631101</v>
      </c>
      <c r="AF26" s="255">
        <v>537631.75460722193</v>
      </c>
      <c r="AG26" s="255">
        <v>173669.42622625298</v>
      </c>
      <c r="AH26" s="255">
        <v>139316.18516582099</v>
      </c>
      <c r="AI26" s="255">
        <v>224108.08738365298</v>
      </c>
      <c r="AJ26" s="255">
        <v>170596.49585382</v>
      </c>
      <c r="AK26" s="255">
        <v>6990.0659674155404</v>
      </c>
      <c r="AL26" s="255">
        <v>1656285304.0413404</v>
      </c>
      <c r="AM26" s="255">
        <v>5350636.3153667096</v>
      </c>
      <c r="AN26" s="255">
        <v>143628687.99986899</v>
      </c>
      <c r="AO26" s="255">
        <v>27143085.659677301</v>
      </c>
      <c r="AP26" s="255">
        <v>1832407714.0162532</v>
      </c>
      <c r="AQ26" s="255">
        <v>26489769.160999998</v>
      </c>
    </row>
    <row r="27" spans="1:43" x14ac:dyDescent="0.2">
      <c r="A27" s="256"/>
      <c r="B27" s="254">
        <v>8</v>
      </c>
      <c r="C27" s="255">
        <v>589.99999999999795</v>
      </c>
      <c r="D27" s="255">
        <v>267056.67004226596</v>
      </c>
      <c r="E27" s="255">
        <v>816258861.42774105</v>
      </c>
      <c r="F27" s="255">
        <v>236361</v>
      </c>
      <c r="G27" s="255">
        <v>18478795.1982724</v>
      </c>
      <c r="H27" s="255">
        <v>1711328.4095407701</v>
      </c>
      <c r="I27" s="255">
        <v>10175857.7615043</v>
      </c>
      <c r="J27" s="255">
        <v>2103449.09483353</v>
      </c>
      <c r="K27" s="255">
        <v>201055416.18079945</v>
      </c>
      <c r="L27" s="255">
        <v>6481924.98946412</v>
      </c>
      <c r="M27" s="255">
        <v>230397495.57365611</v>
      </c>
      <c r="N27" s="255">
        <v>12756498.690199699</v>
      </c>
      <c r="O27" s="255">
        <v>160452742.12923893</v>
      </c>
      <c r="P27" s="255">
        <v>17536877.653653998</v>
      </c>
      <c r="Q27" s="255">
        <v>4057346.98817913</v>
      </c>
      <c r="R27" s="255">
        <v>78370903.069637597</v>
      </c>
      <c r="S27" s="255">
        <v>43821750.518538997</v>
      </c>
      <c r="T27" s="255">
        <v>959669.78716265806</v>
      </c>
      <c r="U27" s="255">
        <v>5295443.6646673204</v>
      </c>
      <c r="V27" s="255">
        <v>2131285.4149712096</v>
      </c>
      <c r="W27" s="255">
        <v>7411510.4028264508</v>
      </c>
      <c r="X27" s="255">
        <v>36360969.817442305</v>
      </c>
      <c r="Y27" s="255">
        <v>9306724.1283682398</v>
      </c>
      <c r="Z27" s="255">
        <v>459597.48252791096</v>
      </c>
      <c r="AA27" s="255">
        <v>66369.617323953091</v>
      </c>
      <c r="AB27" s="255">
        <v>4414.6576666666597</v>
      </c>
      <c r="AC27" s="255">
        <v>335230.16790697101</v>
      </c>
      <c r="AD27" s="255">
        <v>1022983.06312587</v>
      </c>
      <c r="AE27" s="255">
        <v>2938139.6752616703</v>
      </c>
      <c r="AF27" s="255">
        <v>492292.31595350499</v>
      </c>
      <c r="AG27" s="255">
        <v>168997.95832783097</v>
      </c>
      <c r="AH27" s="255">
        <v>139417.60836336701</v>
      </c>
      <c r="AI27" s="255">
        <v>207109.23157699101</v>
      </c>
      <c r="AJ27" s="255">
        <v>163016.07127281098</v>
      </c>
      <c r="AK27" s="255">
        <v>6536.6357817179696</v>
      </c>
      <c r="AL27" s="255">
        <v>1671632963.0558298</v>
      </c>
      <c r="AM27" s="255">
        <v>5374130.1058770595</v>
      </c>
      <c r="AN27" s="255">
        <v>142999661.71071801</v>
      </c>
      <c r="AO27" s="255">
        <v>28215578.8342444</v>
      </c>
      <c r="AP27" s="255">
        <v>1848222333.7066693</v>
      </c>
      <c r="AQ27" s="255">
        <v>27146373.211999997</v>
      </c>
    </row>
    <row r="28" spans="1:43" x14ac:dyDescent="0.2">
      <c r="A28" s="256"/>
      <c r="B28" s="254">
        <v>9</v>
      </c>
      <c r="C28" s="255">
        <v>589.99999999999795</v>
      </c>
      <c r="D28" s="255">
        <v>303388.61603868898</v>
      </c>
      <c r="E28" s="255">
        <v>745804121.61066496</v>
      </c>
      <c r="F28" s="255">
        <v>198473.625</v>
      </c>
      <c r="G28" s="255">
        <v>16773447.0354285</v>
      </c>
      <c r="H28" s="255">
        <v>1550913.61818637</v>
      </c>
      <c r="I28" s="255">
        <v>9182128.3450871315</v>
      </c>
      <c r="J28" s="255">
        <v>1366151.08242826</v>
      </c>
      <c r="K28" s="255">
        <v>181933038.70160294</v>
      </c>
      <c r="L28" s="255">
        <v>5927134.0136877401</v>
      </c>
      <c r="M28" s="255">
        <v>209303913.38826051</v>
      </c>
      <c r="N28" s="255">
        <v>11603637.5797642</v>
      </c>
      <c r="O28" s="255">
        <v>139916579.03782952</v>
      </c>
      <c r="P28" s="255">
        <v>15410360.009657102</v>
      </c>
      <c r="Q28" s="255">
        <v>2912174.73607131</v>
      </c>
      <c r="R28" s="255">
        <v>69913440.313533887</v>
      </c>
      <c r="S28" s="255">
        <v>39851727.051640898</v>
      </c>
      <c r="T28" s="255">
        <v>768919.17535173404</v>
      </c>
      <c r="U28" s="255">
        <v>5864300.3921068702</v>
      </c>
      <c r="V28" s="255">
        <v>1842875.7305316899</v>
      </c>
      <c r="W28" s="255">
        <v>6310173.8976047402</v>
      </c>
      <c r="X28" s="255">
        <v>35622607.650770798</v>
      </c>
      <c r="Y28" s="255">
        <v>8120503.3955003899</v>
      </c>
      <c r="Z28" s="255">
        <v>560944.46463221405</v>
      </c>
      <c r="AA28" s="255">
        <v>67440.283997858001</v>
      </c>
      <c r="AB28" s="255">
        <v>4414.6576666666597</v>
      </c>
      <c r="AC28" s="255">
        <v>341046.28750129504</v>
      </c>
      <c r="AD28" s="255">
        <v>1031722.8031105899</v>
      </c>
      <c r="AE28" s="255">
        <v>2963241.3389413399</v>
      </c>
      <c r="AF28" s="255">
        <v>496498.15962090995</v>
      </c>
      <c r="AG28" s="255">
        <v>169928.46382252901</v>
      </c>
      <c r="AH28" s="255">
        <v>135881.672422198</v>
      </c>
      <c r="AI28" s="255">
        <v>259904.33803839301</v>
      </c>
      <c r="AJ28" s="255">
        <v>166983.95225271699</v>
      </c>
      <c r="AK28" s="255">
        <v>6885.2319438045506</v>
      </c>
      <c r="AL28" s="255">
        <v>1516685490.6606989</v>
      </c>
      <c r="AM28" s="255">
        <v>4805229.9789600903</v>
      </c>
      <c r="AN28" s="255">
        <v>134642963.12881199</v>
      </c>
      <c r="AO28" s="255">
        <v>26092271.281957</v>
      </c>
      <c r="AP28" s="255">
        <v>1682225955.0504279</v>
      </c>
      <c r="AQ28" s="255">
        <v>24716404.288999997</v>
      </c>
    </row>
    <row r="29" spans="1:43" x14ac:dyDescent="0.2">
      <c r="A29" s="256"/>
      <c r="B29" s="254">
        <v>10</v>
      </c>
      <c r="C29" s="255">
        <v>589.99999999999795</v>
      </c>
      <c r="D29" s="255">
        <v>476161.83106648998</v>
      </c>
      <c r="E29" s="255">
        <v>873182303.91732109</v>
      </c>
      <c r="F29" s="255">
        <v>173928</v>
      </c>
      <c r="G29" s="255">
        <v>18611037.544917703</v>
      </c>
      <c r="H29" s="255">
        <v>1658611.47228629</v>
      </c>
      <c r="I29" s="255">
        <v>10112292.376667799</v>
      </c>
      <c r="J29" s="255">
        <v>1163698.79347604</v>
      </c>
      <c r="K29" s="255">
        <v>189989832.77320379</v>
      </c>
      <c r="L29" s="255">
        <v>5860265.3101684097</v>
      </c>
      <c r="M29" s="255">
        <v>221185638.2396341</v>
      </c>
      <c r="N29" s="255">
        <v>11631263.432496101</v>
      </c>
      <c r="O29" s="255">
        <v>145730241.49067718</v>
      </c>
      <c r="P29" s="255">
        <v>15704805.436129401</v>
      </c>
      <c r="Q29" s="255">
        <v>1307491.6806423501</v>
      </c>
      <c r="R29" s="255">
        <v>74137254.033623099</v>
      </c>
      <c r="S29" s="255">
        <v>40602129.296497904</v>
      </c>
      <c r="T29" s="255">
        <v>778501.74945796095</v>
      </c>
      <c r="U29" s="255">
        <v>8464033.3045034204</v>
      </c>
      <c r="V29" s="255">
        <v>1494974.24730683</v>
      </c>
      <c r="W29" s="255">
        <v>6087774.1661971305</v>
      </c>
      <c r="X29" s="255">
        <v>36125408.723939799</v>
      </c>
      <c r="Y29" s="255">
        <v>8511162.2906617001</v>
      </c>
      <c r="Z29" s="255">
        <v>721266.22335820901</v>
      </c>
      <c r="AA29" s="255">
        <v>71363.639537717099</v>
      </c>
      <c r="AB29" s="255">
        <v>4414.6576666666597</v>
      </c>
      <c r="AC29" s="255">
        <v>384591.61868426099</v>
      </c>
      <c r="AD29" s="255">
        <v>1153470.2947331499</v>
      </c>
      <c r="AE29" s="255">
        <v>3312915.8823367804</v>
      </c>
      <c r="AF29" s="255">
        <v>555086.96404280793</v>
      </c>
      <c r="AG29" s="255">
        <v>177358.75640167602</v>
      </c>
      <c r="AH29" s="255">
        <v>146748.646796774</v>
      </c>
      <c r="AI29" s="255">
        <v>466002.82266008703</v>
      </c>
      <c r="AJ29" s="255">
        <v>171393.93630203401</v>
      </c>
      <c r="AK29" s="255">
        <v>6866.7261164091196</v>
      </c>
      <c r="AL29" s="255">
        <v>1680160880.2795112</v>
      </c>
      <c r="AM29" s="255">
        <v>4620585.41996988</v>
      </c>
      <c r="AN29" s="255">
        <v>134863767.855757</v>
      </c>
      <c r="AO29" s="255">
        <v>26511541.1095258</v>
      </c>
      <c r="AP29" s="255">
        <v>1846156774.6647639</v>
      </c>
      <c r="AQ29" s="255">
        <v>24706922.309999999</v>
      </c>
    </row>
    <row r="30" spans="1:43" x14ac:dyDescent="0.2">
      <c r="A30" s="256"/>
      <c r="B30" s="254">
        <v>11</v>
      </c>
      <c r="C30" s="255">
        <v>589.99999999999795</v>
      </c>
      <c r="D30" s="255">
        <v>660652.97025576292</v>
      </c>
      <c r="E30" s="255">
        <v>1052963379.7510201</v>
      </c>
      <c r="F30" s="255">
        <v>196629.25</v>
      </c>
      <c r="G30" s="255">
        <v>21006959.040017098</v>
      </c>
      <c r="H30" s="255">
        <v>1822916.87958263</v>
      </c>
      <c r="I30" s="255">
        <v>11365771.424581101</v>
      </c>
      <c r="J30" s="255">
        <v>1247858.61745633</v>
      </c>
      <c r="K30" s="255">
        <v>199022729.16167739</v>
      </c>
      <c r="L30" s="255">
        <v>6165113.0434870403</v>
      </c>
      <c r="M30" s="255">
        <v>222529728.18771353</v>
      </c>
      <c r="N30" s="255">
        <v>11384554.4917104</v>
      </c>
      <c r="O30" s="255">
        <v>146382107.75415617</v>
      </c>
      <c r="P30" s="255">
        <v>14612548.137354799</v>
      </c>
      <c r="Q30" s="255">
        <v>374068.68663443602</v>
      </c>
      <c r="R30" s="255">
        <v>74951049.434316993</v>
      </c>
      <c r="S30" s="255">
        <v>38470480.732750304</v>
      </c>
      <c r="T30" s="255">
        <v>306859.50582739402</v>
      </c>
      <c r="U30" s="255">
        <v>10962677.131988101</v>
      </c>
      <c r="V30" s="255">
        <v>1510098.2364163499</v>
      </c>
      <c r="W30" s="255">
        <v>5065745.0794735793</v>
      </c>
      <c r="X30" s="255">
        <v>35670874.927723996</v>
      </c>
      <c r="Y30" s="255">
        <v>8267461.3488843897</v>
      </c>
      <c r="Z30" s="255">
        <v>738315.53294799407</v>
      </c>
      <c r="AA30" s="255">
        <v>89630.050449432907</v>
      </c>
      <c r="AB30" s="255">
        <v>4414.6576666666597</v>
      </c>
      <c r="AC30" s="255">
        <v>337549.37225839804</v>
      </c>
      <c r="AD30" s="255">
        <v>1003766.70368178</v>
      </c>
      <c r="AE30" s="255">
        <v>2882947.8053940902</v>
      </c>
      <c r="AF30" s="255">
        <v>483044.78641374799</v>
      </c>
      <c r="AG30" s="255">
        <v>166442.42940408198</v>
      </c>
      <c r="AH30" s="255">
        <v>133123.49648750501</v>
      </c>
      <c r="AI30" s="255">
        <v>231608.73558764899</v>
      </c>
      <c r="AJ30" s="255">
        <v>163702.324028445</v>
      </c>
      <c r="AK30" s="255">
        <v>6698.1700633358096</v>
      </c>
      <c r="AL30" s="255">
        <v>1871182097.8574111</v>
      </c>
      <c r="AM30" s="255">
        <v>4533723.8016141299</v>
      </c>
      <c r="AN30" s="255">
        <v>133324444.813457</v>
      </c>
      <c r="AO30" s="255">
        <v>25001662.863749001</v>
      </c>
      <c r="AP30" s="255">
        <v>2034041929.3362312</v>
      </c>
      <c r="AQ30" s="255">
        <v>26143386.014999997</v>
      </c>
    </row>
    <row r="31" spans="1:43" x14ac:dyDescent="0.2">
      <c r="A31" s="258"/>
      <c r="B31" s="259">
        <v>12</v>
      </c>
      <c r="C31" s="260">
        <v>589.99999999999795</v>
      </c>
      <c r="D31" s="260">
        <v>866567.87496696599</v>
      </c>
      <c r="E31" s="260">
        <v>1265288171.70892</v>
      </c>
      <c r="F31" s="260">
        <v>242994.14285714302</v>
      </c>
      <c r="G31" s="260">
        <v>27034537.902284998</v>
      </c>
      <c r="H31" s="260">
        <v>2311067.11146989</v>
      </c>
      <c r="I31" s="260">
        <v>13353551.751944</v>
      </c>
      <c r="J31" s="260">
        <v>1485100.0561101499</v>
      </c>
      <c r="K31" s="260">
        <v>230058566.98506287</v>
      </c>
      <c r="L31" s="260">
        <v>6464702.86213037</v>
      </c>
      <c r="M31" s="260">
        <v>249651109.98013258</v>
      </c>
      <c r="N31" s="260">
        <v>11265723.529623499</v>
      </c>
      <c r="O31" s="260">
        <v>155200335.09772936</v>
      </c>
      <c r="P31" s="260">
        <v>13724567.1093862</v>
      </c>
      <c r="Q31" s="260">
        <v>267490.87174309196</v>
      </c>
      <c r="R31" s="260">
        <v>79447397.915696502</v>
      </c>
      <c r="S31" s="260">
        <v>36596023.996817403</v>
      </c>
      <c r="T31" s="260">
        <v>0</v>
      </c>
      <c r="U31" s="260">
        <v>14170813.1189414</v>
      </c>
      <c r="V31" s="260">
        <v>1679159.2473222299</v>
      </c>
      <c r="W31" s="260">
        <v>5439820.2960245796</v>
      </c>
      <c r="X31" s="260">
        <v>36703260.450249799</v>
      </c>
      <c r="Y31" s="260">
        <v>8747155.0687910691</v>
      </c>
      <c r="Z31" s="260">
        <v>931765.94306284701</v>
      </c>
      <c r="AA31" s="260">
        <v>108908.459927082</v>
      </c>
      <c r="AB31" s="260">
        <v>4414.6576666666597</v>
      </c>
      <c r="AC31" s="260">
        <v>368355.02891623403</v>
      </c>
      <c r="AD31" s="260">
        <v>1086131.50036263</v>
      </c>
      <c r="AE31" s="260">
        <v>3119510.1549538397</v>
      </c>
      <c r="AF31" s="260">
        <v>522681.37275874405</v>
      </c>
      <c r="AG31" s="260">
        <v>172012.913680092</v>
      </c>
      <c r="AH31" s="260">
        <v>141754.712436731</v>
      </c>
      <c r="AI31" s="260">
        <v>236524.01097247901</v>
      </c>
      <c r="AJ31" s="260">
        <v>165824.36053353501</v>
      </c>
      <c r="AK31" s="260">
        <v>6671.0590822899603</v>
      </c>
      <c r="AL31" s="260">
        <v>2166863261.2525578</v>
      </c>
      <c r="AM31" s="260">
        <v>4938946.4883926501</v>
      </c>
      <c r="AN31" s="260">
        <v>136351960.32791501</v>
      </c>
      <c r="AO31" s="260">
        <v>25615852.880743802</v>
      </c>
      <c r="AP31" s="260">
        <v>2333770020.9496098</v>
      </c>
      <c r="AQ31" s="260">
        <v>28874971.001999997</v>
      </c>
    </row>
    <row r="32" spans="1:43" x14ac:dyDescent="0.2">
      <c r="A32" s="254">
        <f>A20+1</f>
        <v>2025</v>
      </c>
      <c r="B32" s="254">
        <v>1</v>
      </c>
      <c r="C32" s="255">
        <v>589.99999999999795</v>
      </c>
      <c r="D32" s="255">
        <v>848153.47058506799</v>
      </c>
      <c r="E32" s="255">
        <v>1193134476.79845</v>
      </c>
      <c r="F32" s="255">
        <v>259810</v>
      </c>
      <c r="G32" s="255">
        <v>27901132.006822202</v>
      </c>
      <c r="H32" s="255">
        <v>2498174.45429334</v>
      </c>
      <c r="I32" s="255">
        <v>13576990.570782799</v>
      </c>
      <c r="J32" s="255">
        <v>1581510.95765618</v>
      </c>
      <c r="K32" s="255">
        <v>232069185.2242004</v>
      </c>
      <c r="L32" s="255">
        <v>7472577.70266423</v>
      </c>
      <c r="M32" s="255">
        <v>240020093.22592279</v>
      </c>
      <c r="N32" s="255">
        <v>12098001.741815301</v>
      </c>
      <c r="O32" s="255">
        <v>154014957.87307191</v>
      </c>
      <c r="P32" s="255">
        <v>14348078.2622793</v>
      </c>
      <c r="Q32" s="255">
        <v>293762.31965941796</v>
      </c>
      <c r="R32" s="255">
        <v>80065159.31247969</v>
      </c>
      <c r="S32" s="255">
        <v>38947264.579681702</v>
      </c>
      <c r="T32" s="255">
        <v>0</v>
      </c>
      <c r="U32" s="255">
        <v>14790805.939560099</v>
      </c>
      <c r="V32" s="255">
        <v>1657793.9029065201</v>
      </c>
      <c r="W32" s="255">
        <v>5699197.2792171799</v>
      </c>
      <c r="X32" s="255">
        <v>37301073.181796201</v>
      </c>
      <c r="Y32" s="255">
        <v>8770822.9495717604</v>
      </c>
      <c r="Z32" s="255">
        <v>934504.61214399699</v>
      </c>
      <c r="AA32" s="255">
        <v>110190.418926181</v>
      </c>
      <c r="AB32" s="255">
        <v>4414.6576666666597</v>
      </c>
      <c r="AC32" s="255">
        <v>360734.185857773</v>
      </c>
      <c r="AD32" s="255">
        <v>1054761.6911132499</v>
      </c>
      <c r="AE32" s="255">
        <v>3029412.0052548801</v>
      </c>
      <c r="AF32" s="255">
        <v>507585.21271166502</v>
      </c>
      <c r="AG32" s="255">
        <v>172489.22328015399</v>
      </c>
      <c r="AH32" s="255">
        <v>134512.82856656701</v>
      </c>
      <c r="AI32" s="255">
        <v>349690.64386403002</v>
      </c>
      <c r="AJ32" s="255">
        <v>165911.16628243099</v>
      </c>
      <c r="AK32" s="255">
        <v>6874.3989347454408</v>
      </c>
      <c r="AL32" s="255">
        <v>2094180692.7980187</v>
      </c>
      <c r="AM32" s="255">
        <v>5672974.5299722403</v>
      </c>
      <c r="AN32" s="255">
        <v>137163391.37983</v>
      </c>
      <c r="AO32" s="255">
        <v>26249630.118281998</v>
      </c>
      <c r="AP32" s="255">
        <v>2263266688.8261027</v>
      </c>
      <c r="AQ32" s="255">
        <v>26657308.277561836</v>
      </c>
    </row>
    <row r="33" spans="1:43" x14ac:dyDescent="0.2">
      <c r="A33" s="256"/>
      <c r="B33" s="254">
        <v>2</v>
      </c>
      <c r="C33" s="255">
        <v>589.99999999999795</v>
      </c>
      <c r="D33" s="255">
        <v>849012.18672609294</v>
      </c>
      <c r="E33" s="255">
        <v>1039625336.6286</v>
      </c>
      <c r="F33" s="255">
        <v>233365.535</v>
      </c>
      <c r="G33" s="255">
        <v>24191293.2037948</v>
      </c>
      <c r="H33" s="255">
        <v>2118489.01382179</v>
      </c>
      <c r="I33" s="255">
        <v>11485087.9021779</v>
      </c>
      <c r="J33" s="255">
        <v>1383129.3952800799</v>
      </c>
      <c r="K33" s="255">
        <v>200339962.92622516</v>
      </c>
      <c r="L33" s="255">
        <v>6875050.3390254695</v>
      </c>
      <c r="M33" s="255">
        <v>212331378.97776636</v>
      </c>
      <c r="N33" s="255">
        <v>11895669.9863254</v>
      </c>
      <c r="O33" s="255">
        <v>138362890.96520808</v>
      </c>
      <c r="P33" s="255">
        <v>14289563.1894028</v>
      </c>
      <c r="Q33" s="255">
        <v>263490.288222111</v>
      </c>
      <c r="R33" s="255">
        <v>72156297.346693307</v>
      </c>
      <c r="S33" s="255">
        <v>37586595.546804599</v>
      </c>
      <c r="T33" s="255">
        <v>0</v>
      </c>
      <c r="U33" s="255">
        <v>13375840.825566901</v>
      </c>
      <c r="V33" s="255">
        <v>1569901.38061768</v>
      </c>
      <c r="W33" s="255">
        <v>5590221.8069829298</v>
      </c>
      <c r="X33" s="255">
        <v>33919862.940128498</v>
      </c>
      <c r="Y33" s="255">
        <v>8212991.9496046407</v>
      </c>
      <c r="Z33" s="255">
        <v>739123.34761408798</v>
      </c>
      <c r="AA33" s="255">
        <v>107716.87058862101</v>
      </c>
      <c r="AB33" s="255">
        <v>4414.6576666666597</v>
      </c>
      <c r="AC33" s="255">
        <v>322470.72605151404</v>
      </c>
      <c r="AD33" s="255">
        <v>935058.93112661596</v>
      </c>
      <c r="AE33" s="255">
        <v>2685610.1955940598</v>
      </c>
      <c r="AF33" s="255">
        <v>449980.39884526597</v>
      </c>
      <c r="AG33" s="255">
        <v>171898.88004392901</v>
      </c>
      <c r="AH33" s="255">
        <v>139465.92022323501</v>
      </c>
      <c r="AI33" s="255">
        <v>198835.335205874</v>
      </c>
      <c r="AJ33" s="255">
        <v>163169.66775161002</v>
      </c>
      <c r="AK33" s="255">
        <v>6586.8405854835501</v>
      </c>
      <c r="AL33" s="255">
        <v>1842580354.1052718</v>
      </c>
      <c r="AM33" s="255">
        <v>5136216.7238414604</v>
      </c>
      <c r="AN33" s="255">
        <v>124164551.83338901</v>
      </c>
      <c r="AO33" s="255">
        <v>23099552.3607301</v>
      </c>
      <c r="AP33" s="255">
        <v>1994980675.0232325</v>
      </c>
      <c r="AQ33" s="255">
        <v>23431945.037921585</v>
      </c>
    </row>
    <row r="34" spans="1:43" x14ac:dyDescent="0.2">
      <c r="A34" s="256"/>
      <c r="B34" s="254">
        <v>3</v>
      </c>
      <c r="C34" s="255">
        <v>589.99999999999795</v>
      </c>
      <c r="D34" s="255">
        <v>830134.40910549602</v>
      </c>
      <c r="E34" s="255">
        <v>1042450629.13098</v>
      </c>
      <c r="F34" s="255">
        <v>213526.34</v>
      </c>
      <c r="G34" s="255">
        <v>25020289.608244099</v>
      </c>
      <c r="H34" s="255">
        <v>2362356.6267520599</v>
      </c>
      <c r="I34" s="255">
        <v>12299469.159732999</v>
      </c>
      <c r="J34" s="255">
        <v>1499692.67315288</v>
      </c>
      <c r="K34" s="255">
        <v>216753840.90051311</v>
      </c>
      <c r="L34" s="255">
        <v>7552526.1024724394</v>
      </c>
      <c r="M34" s="255">
        <v>229735641.58352154</v>
      </c>
      <c r="N34" s="255">
        <v>12772638.424656499</v>
      </c>
      <c r="O34" s="255">
        <v>149131720.25600636</v>
      </c>
      <c r="P34" s="255">
        <v>15404769.015860701</v>
      </c>
      <c r="Q34" s="255">
        <v>288671.80750209501</v>
      </c>
      <c r="R34" s="255">
        <v>79663639.986897394</v>
      </c>
      <c r="S34" s="255">
        <v>40283327.362957001</v>
      </c>
      <c r="T34" s="255">
        <v>0</v>
      </c>
      <c r="U34" s="255">
        <v>14439722.7071374</v>
      </c>
      <c r="V34" s="255">
        <v>1623004.48112367</v>
      </c>
      <c r="W34" s="255">
        <v>6529334.4671592601</v>
      </c>
      <c r="X34" s="255">
        <v>36829473.554573193</v>
      </c>
      <c r="Y34" s="255">
        <v>8299091.9586030599</v>
      </c>
      <c r="Z34" s="255">
        <v>787461.49045736506</v>
      </c>
      <c r="AA34" s="255">
        <v>103698.75067091201</v>
      </c>
      <c r="AB34" s="255">
        <v>4414.6576666666597</v>
      </c>
      <c r="AC34" s="255">
        <v>387292.364374255</v>
      </c>
      <c r="AD34" s="255">
        <v>1113779.3469933399</v>
      </c>
      <c r="AE34" s="255">
        <v>3198918.3465938899</v>
      </c>
      <c r="AF34" s="255">
        <v>535986.40481603693</v>
      </c>
      <c r="AG34" s="255">
        <v>168994.49238498</v>
      </c>
      <c r="AH34" s="255">
        <v>132405.67360035999</v>
      </c>
      <c r="AI34" s="255">
        <v>251778.48200244698</v>
      </c>
      <c r="AJ34" s="255">
        <v>162898.96520451101</v>
      </c>
      <c r="AK34" s="255">
        <v>6768.2839616787396</v>
      </c>
      <c r="AL34" s="255">
        <v>1910838487.8156781</v>
      </c>
      <c r="AM34" s="255">
        <v>5484023.5988551406</v>
      </c>
      <c r="AN34" s="255">
        <v>134338813.457647</v>
      </c>
      <c r="AO34" s="255">
        <v>25041792.525464103</v>
      </c>
      <c r="AP34" s="255">
        <v>2075703117.3976445</v>
      </c>
      <c r="AQ34" s="255">
        <v>24954588.829289552</v>
      </c>
    </row>
    <row r="35" spans="1:43" x14ac:dyDescent="0.2">
      <c r="A35" s="256"/>
      <c r="B35" s="254">
        <v>4</v>
      </c>
      <c r="C35" s="255">
        <v>589.99999999999795</v>
      </c>
      <c r="D35" s="255">
        <v>592266.12904024299</v>
      </c>
      <c r="E35" s="255">
        <v>877511591.48910809</v>
      </c>
      <c r="F35" s="255">
        <v>180149.25</v>
      </c>
      <c r="G35" s="255">
        <v>21411649.458347499</v>
      </c>
      <c r="H35" s="255">
        <v>2073061.9912543301</v>
      </c>
      <c r="I35" s="255">
        <v>10585101.780778101</v>
      </c>
      <c r="J35" s="255">
        <v>1299548.35473831</v>
      </c>
      <c r="K35" s="255">
        <v>190868482.62953398</v>
      </c>
      <c r="L35" s="255">
        <v>6595373.1374048702</v>
      </c>
      <c r="M35" s="255">
        <v>208743664.37170663</v>
      </c>
      <c r="N35" s="255">
        <v>11835252.3432499</v>
      </c>
      <c r="O35" s="255">
        <v>141471366.0658173</v>
      </c>
      <c r="P35" s="255">
        <v>15163632.515629001</v>
      </c>
      <c r="Q35" s="255">
        <v>311646.21913257602</v>
      </c>
      <c r="R35" s="255">
        <v>75786980.599461794</v>
      </c>
      <c r="S35" s="255">
        <v>38665878.6088783</v>
      </c>
      <c r="T35" s="255">
        <v>0</v>
      </c>
      <c r="U35" s="255">
        <v>11143656.9381669</v>
      </c>
      <c r="V35" s="255">
        <v>1657416.06647457</v>
      </c>
      <c r="W35" s="255">
        <v>5970388.8446817398</v>
      </c>
      <c r="X35" s="255">
        <v>35346660.465884998</v>
      </c>
      <c r="Y35" s="255">
        <v>8930452.8155415189</v>
      </c>
      <c r="Z35" s="255">
        <v>581834.42567383207</v>
      </c>
      <c r="AA35" s="255">
        <v>87227.212893670498</v>
      </c>
      <c r="AB35" s="255">
        <v>4414.6576666666597</v>
      </c>
      <c r="AC35" s="255">
        <v>358424.61092286604</v>
      </c>
      <c r="AD35" s="255">
        <v>1022348.5708243899</v>
      </c>
      <c r="AE35" s="255">
        <v>2936317.3313032798</v>
      </c>
      <c r="AF35" s="255">
        <v>491986.97787332599</v>
      </c>
      <c r="AG35" s="255">
        <v>179371.453009889</v>
      </c>
      <c r="AH35" s="255">
        <v>145885.18655273502</v>
      </c>
      <c r="AI35" s="255">
        <v>206712.434927717</v>
      </c>
      <c r="AJ35" s="255">
        <v>170325.69587352601</v>
      </c>
      <c r="AK35" s="255">
        <v>6922.68973100925</v>
      </c>
      <c r="AL35" s="255">
        <v>1672336581.322084</v>
      </c>
      <c r="AM35" s="255">
        <v>5062130.9366103997</v>
      </c>
      <c r="AN35" s="255">
        <v>121817228.61851901</v>
      </c>
      <c r="AO35" s="255">
        <v>22364218.478594698</v>
      </c>
      <c r="AP35" s="255">
        <v>1821580159.3558083</v>
      </c>
      <c r="AQ35" s="255">
        <v>23829791.223515149</v>
      </c>
    </row>
    <row r="36" spans="1:43" x14ac:dyDescent="0.2">
      <c r="A36" s="256"/>
      <c r="B36" s="254">
        <v>5</v>
      </c>
      <c r="C36" s="255">
        <v>589.99999999999795</v>
      </c>
      <c r="D36" s="255">
        <v>442329.94441616395</v>
      </c>
      <c r="E36" s="255">
        <v>767554271.0998131</v>
      </c>
      <c r="F36" s="255">
        <v>165744.375</v>
      </c>
      <c r="G36" s="255">
        <v>19339546.206479698</v>
      </c>
      <c r="H36" s="255">
        <v>1867431.36092584</v>
      </c>
      <c r="I36" s="255">
        <v>10199718.670936801</v>
      </c>
      <c r="J36" s="255">
        <v>1184975.72317761</v>
      </c>
      <c r="K36" s="255">
        <v>190411825.23424414</v>
      </c>
      <c r="L36" s="255">
        <v>6284993.7577957902</v>
      </c>
      <c r="M36" s="255">
        <v>214085645.3909218</v>
      </c>
      <c r="N36" s="255">
        <v>11705193.4627419</v>
      </c>
      <c r="O36" s="255">
        <v>146297234.46339956</v>
      </c>
      <c r="P36" s="255">
        <v>15687398.3561555</v>
      </c>
      <c r="Q36" s="255">
        <v>741102.53632224398</v>
      </c>
      <c r="R36" s="255">
        <v>76554890.841276094</v>
      </c>
      <c r="S36" s="255">
        <v>39834245.634583294</v>
      </c>
      <c r="T36" s="255">
        <v>299910.25243993104</v>
      </c>
      <c r="U36" s="255">
        <v>9642624.6301536188</v>
      </c>
      <c r="V36" s="255">
        <v>1661023.9665256699</v>
      </c>
      <c r="W36" s="255">
        <v>6695629.3479345208</v>
      </c>
      <c r="X36" s="255">
        <v>35804703.256822094</v>
      </c>
      <c r="Y36" s="255">
        <v>8959545.7044346686</v>
      </c>
      <c r="Z36" s="255">
        <v>462777.27117958397</v>
      </c>
      <c r="AA36" s="255">
        <v>67729.112893822705</v>
      </c>
      <c r="AB36" s="255">
        <v>4414.6576666666597</v>
      </c>
      <c r="AC36" s="255">
        <v>344852.33380682702</v>
      </c>
      <c r="AD36" s="255">
        <v>975672.84283020301</v>
      </c>
      <c r="AE36" s="255">
        <v>2802258.6032219003</v>
      </c>
      <c r="AF36" s="255">
        <v>469525.117984012</v>
      </c>
      <c r="AG36" s="255">
        <v>171592.801902712</v>
      </c>
      <c r="AH36" s="255">
        <v>134767.930240474</v>
      </c>
      <c r="AI36" s="255">
        <v>388269.03394364304</v>
      </c>
      <c r="AJ36" s="255">
        <v>165365.177449251</v>
      </c>
      <c r="AK36" s="255">
        <v>6860.1110005933197</v>
      </c>
      <c r="AL36" s="255">
        <v>1571414659.2106194</v>
      </c>
      <c r="AM36" s="255">
        <v>5568934.46821154</v>
      </c>
      <c r="AN36" s="255">
        <v>124348421.124295</v>
      </c>
      <c r="AO36" s="255">
        <v>24184893.394207697</v>
      </c>
      <c r="AP36" s="255">
        <v>1725516908.1973338</v>
      </c>
      <c r="AQ36" s="255">
        <v>23785628.059987836</v>
      </c>
    </row>
    <row r="37" spans="1:43" x14ac:dyDescent="0.2">
      <c r="A37" s="256"/>
      <c r="B37" s="254">
        <v>6</v>
      </c>
      <c r="C37" s="255">
        <v>589.99999999999795</v>
      </c>
      <c r="D37" s="255">
        <v>317417.071357865</v>
      </c>
      <c r="E37" s="255">
        <v>737657927.116436</v>
      </c>
      <c r="F37" s="255">
        <v>183269.5</v>
      </c>
      <c r="G37" s="255">
        <v>18138742.423426598</v>
      </c>
      <c r="H37" s="255">
        <v>1683078.4039176202</v>
      </c>
      <c r="I37" s="255">
        <v>9571117.8531286903</v>
      </c>
      <c r="J37" s="255">
        <v>1063098.8035039399</v>
      </c>
      <c r="K37" s="255">
        <v>186664506.34793228</v>
      </c>
      <c r="L37" s="255">
        <v>6174456.0659597497</v>
      </c>
      <c r="M37" s="255">
        <v>214649298.80665922</v>
      </c>
      <c r="N37" s="255">
        <v>11964667.9763579</v>
      </c>
      <c r="O37" s="255">
        <v>148046186.90619311</v>
      </c>
      <c r="P37" s="255">
        <v>16392000.6799962</v>
      </c>
      <c r="Q37" s="255">
        <v>1480583.1046152599</v>
      </c>
      <c r="R37" s="255">
        <v>75731615.558733806</v>
      </c>
      <c r="S37" s="255">
        <v>41467864.954629496</v>
      </c>
      <c r="T37" s="255">
        <v>643461.18404224794</v>
      </c>
      <c r="U37" s="255">
        <v>8122020.7298582597</v>
      </c>
      <c r="V37" s="255">
        <v>1814243.8144395901</v>
      </c>
      <c r="W37" s="255">
        <v>7358053.9601916401</v>
      </c>
      <c r="X37" s="255">
        <v>34987382.815867506</v>
      </c>
      <c r="Y37" s="255">
        <v>8477243.8547867611</v>
      </c>
      <c r="Z37" s="255">
        <v>384815.00268465799</v>
      </c>
      <c r="AA37" s="255">
        <v>63429.272893754896</v>
      </c>
      <c r="AB37" s="255">
        <v>4414.6576666666597</v>
      </c>
      <c r="AC37" s="255">
        <v>328957.29020345403</v>
      </c>
      <c r="AD37" s="255">
        <v>923227.86022684106</v>
      </c>
      <c r="AE37" s="255">
        <v>2651629.8296774998</v>
      </c>
      <c r="AF37" s="255">
        <v>444286.90742453397</v>
      </c>
      <c r="AG37" s="255">
        <v>163918.924995218</v>
      </c>
      <c r="AH37" s="255">
        <v>133469.323135226</v>
      </c>
      <c r="AI37" s="255">
        <v>214073.755304986</v>
      </c>
      <c r="AJ37" s="255">
        <v>155161.66611457002</v>
      </c>
      <c r="AK37" s="255">
        <v>6309.5493432162802</v>
      </c>
      <c r="AL37" s="255">
        <v>1538062521.971704</v>
      </c>
      <c r="AM37" s="255">
        <v>5239551.0849824008</v>
      </c>
      <c r="AN37" s="255">
        <v>137217798.245478</v>
      </c>
      <c r="AO37" s="255">
        <v>26253120.661792599</v>
      </c>
      <c r="AP37" s="255">
        <v>1706772991.9639568</v>
      </c>
      <c r="AQ37" s="255">
        <v>23967784.899174068</v>
      </c>
    </row>
    <row r="38" spans="1:43" x14ac:dyDescent="0.2">
      <c r="A38" s="256"/>
      <c r="B38" s="254">
        <v>7</v>
      </c>
      <c r="C38" s="255">
        <v>589.99999999999795</v>
      </c>
      <c r="D38" s="255">
        <v>274419.219392706</v>
      </c>
      <c r="E38" s="255">
        <v>822013176.04654789</v>
      </c>
      <c r="F38" s="255">
        <v>214898.875</v>
      </c>
      <c r="G38" s="255">
        <v>18456126.325851399</v>
      </c>
      <c r="H38" s="255">
        <v>1788522.4567229501</v>
      </c>
      <c r="I38" s="255">
        <v>10243834.1953147</v>
      </c>
      <c r="J38" s="255">
        <v>1385101.56788694</v>
      </c>
      <c r="K38" s="255">
        <v>201029355.72432807</v>
      </c>
      <c r="L38" s="255">
        <v>5843413.3700805493</v>
      </c>
      <c r="M38" s="255">
        <v>229882586.04242882</v>
      </c>
      <c r="N38" s="255">
        <v>11346815.6153601</v>
      </c>
      <c r="O38" s="255">
        <v>162849950.5739533</v>
      </c>
      <c r="P38" s="255">
        <v>15585423.048127702</v>
      </c>
      <c r="Q38" s="255">
        <v>2703240.3455343302</v>
      </c>
      <c r="R38" s="255">
        <v>80550201.991970897</v>
      </c>
      <c r="S38" s="255">
        <v>39662837.8602328</v>
      </c>
      <c r="T38" s="255">
        <v>673596.86640973703</v>
      </c>
      <c r="U38" s="255">
        <v>6346253.8165205</v>
      </c>
      <c r="V38" s="255">
        <v>2141273.88263486</v>
      </c>
      <c r="W38" s="255">
        <v>7998083.7957150601</v>
      </c>
      <c r="X38" s="255">
        <v>36315961.874323599</v>
      </c>
      <c r="Y38" s="255">
        <v>9227044.0456077512</v>
      </c>
      <c r="Z38" s="255">
        <v>417817.89733763901</v>
      </c>
      <c r="AA38" s="255">
        <v>63472.684004793104</v>
      </c>
      <c r="AB38" s="255">
        <v>4414.6576666666597</v>
      </c>
      <c r="AC38" s="255">
        <v>398487.14156377898</v>
      </c>
      <c r="AD38" s="255">
        <v>1109455.9021401301</v>
      </c>
      <c r="AE38" s="255">
        <v>3186500.8537585898</v>
      </c>
      <c r="AF38" s="255">
        <v>533905.82425082591</v>
      </c>
      <c r="AG38" s="255">
        <v>173207.802601353</v>
      </c>
      <c r="AH38" s="255">
        <v>136331.842819093</v>
      </c>
      <c r="AI38" s="255">
        <v>222554.959022575</v>
      </c>
      <c r="AJ38" s="255">
        <v>166808.92835504402</v>
      </c>
      <c r="AK38" s="255">
        <v>6971.4859579096192</v>
      </c>
      <c r="AL38" s="255">
        <v>1672952637.5194232</v>
      </c>
      <c r="AM38" s="255">
        <v>5346183.1896778503</v>
      </c>
      <c r="AN38" s="255">
        <v>143509151.45085099</v>
      </c>
      <c r="AO38" s="255">
        <v>27120495.529288698</v>
      </c>
      <c r="AP38" s="255">
        <v>1848928467.6892409</v>
      </c>
      <c r="AQ38" s="255">
        <v>26501194.898765493</v>
      </c>
    </row>
    <row r="39" spans="1:43" x14ac:dyDescent="0.2">
      <c r="A39" s="256"/>
      <c r="B39" s="254">
        <v>8</v>
      </c>
      <c r="C39" s="255">
        <v>589.99999999999795</v>
      </c>
      <c r="D39" s="255">
        <v>267056.67015937698</v>
      </c>
      <c r="E39" s="255">
        <v>830658355.40461993</v>
      </c>
      <c r="F39" s="255">
        <v>236361</v>
      </c>
      <c r="G39" s="255">
        <v>18357623.586616099</v>
      </c>
      <c r="H39" s="255">
        <v>1689543.42946536</v>
      </c>
      <c r="I39" s="255">
        <v>10144136.611567799</v>
      </c>
      <c r="J39" s="255">
        <v>2076672.4712672399</v>
      </c>
      <c r="K39" s="255">
        <v>201621493.41880351</v>
      </c>
      <c r="L39" s="255">
        <v>6367276.0653132703</v>
      </c>
      <c r="M39" s="255">
        <v>230754789.90722033</v>
      </c>
      <c r="N39" s="255">
        <v>12530868.3638475</v>
      </c>
      <c r="O39" s="255">
        <v>165214434.89131993</v>
      </c>
      <c r="P39" s="255">
        <v>17226694.4659089</v>
      </c>
      <c r="Q39" s="255">
        <v>4030741.6132977302</v>
      </c>
      <c r="R39" s="255">
        <v>79591825.9573735</v>
      </c>
      <c r="S39" s="255">
        <v>43046654.145235695</v>
      </c>
      <c r="T39" s="255">
        <v>953376.91289674002</v>
      </c>
      <c r="U39" s="255">
        <v>5260719.6777191302</v>
      </c>
      <c r="V39" s="255">
        <v>2132451.5112004899</v>
      </c>
      <c r="W39" s="255">
        <v>7410048.0363303404</v>
      </c>
      <c r="X39" s="255">
        <v>36382668.357429698</v>
      </c>
      <c r="Y39" s="255">
        <v>9305627.3534961604</v>
      </c>
      <c r="Z39" s="255">
        <v>404574.572026218</v>
      </c>
      <c r="AA39" s="255">
        <v>66369.617323953091</v>
      </c>
      <c r="AB39" s="255">
        <v>4414.6576666666597</v>
      </c>
      <c r="AC39" s="255">
        <v>367219.93209872395</v>
      </c>
      <c r="AD39" s="255">
        <v>1014322.1015277699</v>
      </c>
      <c r="AE39" s="255">
        <v>2913264.27329798</v>
      </c>
      <c r="AF39" s="255">
        <v>488124.38297670096</v>
      </c>
      <c r="AG39" s="255">
        <v>168618.21301884501</v>
      </c>
      <c r="AH39" s="255">
        <v>136601.33687633398</v>
      </c>
      <c r="AI39" s="255">
        <v>205355.76647482198</v>
      </c>
      <c r="AJ39" s="255">
        <v>159457.27997196</v>
      </c>
      <c r="AK39" s="255">
        <v>6521.94769436344</v>
      </c>
      <c r="AL39" s="255">
        <v>1691194853.9320428</v>
      </c>
      <c r="AM39" s="255">
        <v>5373046.0698584504</v>
      </c>
      <c r="AN39" s="255">
        <v>142970816.71052498</v>
      </c>
      <c r="AO39" s="255">
        <v>28209887.363599099</v>
      </c>
      <c r="AP39" s="255">
        <v>1867748604.0760255</v>
      </c>
      <c r="AQ39" s="255">
        <v>27158082.160451736</v>
      </c>
    </row>
    <row r="40" spans="1:43" x14ac:dyDescent="0.2">
      <c r="A40" s="256"/>
      <c r="B40" s="254">
        <v>9</v>
      </c>
      <c r="C40" s="255">
        <v>589.99999999999795</v>
      </c>
      <c r="D40" s="255">
        <v>303110.67138244299</v>
      </c>
      <c r="E40" s="255">
        <v>756916021.87698495</v>
      </c>
      <c r="F40" s="255">
        <v>198473.625</v>
      </c>
      <c r="G40" s="255">
        <v>16619578.5002794</v>
      </c>
      <c r="H40" s="255">
        <v>1528937.6751025601</v>
      </c>
      <c r="I40" s="255">
        <v>9118463.4699794296</v>
      </c>
      <c r="J40" s="255">
        <v>1346793.1645666398</v>
      </c>
      <c r="K40" s="255">
        <v>182102344.55639723</v>
      </c>
      <c r="L40" s="255">
        <v>5822270.8241533404</v>
      </c>
      <c r="M40" s="255">
        <v>209219868.22361597</v>
      </c>
      <c r="N40" s="255">
        <v>11398345.368721701</v>
      </c>
      <c r="O40" s="255">
        <v>144676141.33859101</v>
      </c>
      <c r="P40" s="255">
        <v>15137719.0505099</v>
      </c>
      <c r="Q40" s="255">
        <v>2885460.3666402199</v>
      </c>
      <c r="R40" s="255">
        <v>71114545.3168661</v>
      </c>
      <c r="S40" s="255">
        <v>39146668.047164403</v>
      </c>
      <c r="T40" s="255">
        <v>761865.61820814305</v>
      </c>
      <c r="U40" s="255">
        <v>5810505.1698665302</v>
      </c>
      <c r="V40" s="255">
        <v>1843280.40016838</v>
      </c>
      <c r="W40" s="255">
        <v>6308812.7442337796</v>
      </c>
      <c r="X40" s="255">
        <v>35632375.563817099</v>
      </c>
      <c r="Y40" s="255">
        <v>8119482.5304721696</v>
      </c>
      <c r="Z40" s="255">
        <v>503509.50680557499</v>
      </c>
      <c r="AA40" s="255">
        <v>67440.283997858001</v>
      </c>
      <c r="AB40" s="255">
        <v>4414.6576666666597</v>
      </c>
      <c r="AC40" s="255">
        <v>372452.66703658004</v>
      </c>
      <c r="AD40" s="255">
        <v>1020708.5915068099</v>
      </c>
      <c r="AE40" s="255">
        <v>2931607.0985797201</v>
      </c>
      <c r="AF40" s="255">
        <v>491197.76713713101</v>
      </c>
      <c r="AG40" s="255">
        <v>170001.53155285801</v>
      </c>
      <c r="AH40" s="255">
        <v>133365.09094338899</v>
      </c>
      <c r="AI40" s="255">
        <v>257129.71546800499</v>
      </c>
      <c r="AJ40" s="255">
        <v>163771.41360727799</v>
      </c>
      <c r="AK40" s="255">
        <v>6888.1925323934602</v>
      </c>
      <c r="AL40" s="255">
        <v>1532134140.6195557</v>
      </c>
      <c r="AM40" s="255">
        <v>4801904.1280527702</v>
      </c>
      <c r="AN40" s="255">
        <v>134549772.49630401</v>
      </c>
      <c r="AO40" s="255">
        <v>26074211.999779601</v>
      </c>
      <c r="AP40" s="255">
        <v>1697560029.2436922</v>
      </c>
      <c r="AQ40" s="255">
        <v>24727065.127612658</v>
      </c>
    </row>
    <row r="41" spans="1:43" x14ac:dyDescent="0.2">
      <c r="A41" s="256"/>
      <c r="B41" s="254">
        <v>10</v>
      </c>
      <c r="C41" s="255">
        <v>589.99999999999795</v>
      </c>
      <c r="D41" s="255">
        <v>474772.107964947</v>
      </c>
      <c r="E41" s="255">
        <v>881188992.76768494</v>
      </c>
      <c r="F41" s="255">
        <v>173928</v>
      </c>
      <c r="G41" s="255">
        <v>18427848.7248124</v>
      </c>
      <c r="H41" s="255">
        <v>1635781.4968052502</v>
      </c>
      <c r="I41" s="255">
        <v>10031291.786978999</v>
      </c>
      <c r="J41" s="255">
        <v>1147681.0488949399</v>
      </c>
      <c r="K41" s="255">
        <v>190211381.93083814</v>
      </c>
      <c r="L41" s="255">
        <v>5741410.8005457297</v>
      </c>
      <c r="M41" s="255">
        <v>221085247.44642177</v>
      </c>
      <c r="N41" s="255">
        <v>11395364.8786947</v>
      </c>
      <c r="O41" s="255">
        <v>150945989.63569167</v>
      </c>
      <c r="P41" s="255">
        <v>15386289.6608126</v>
      </c>
      <c r="Q41" s="255">
        <v>1294622.0135055101</v>
      </c>
      <c r="R41" s="255">
        <v>75413146.833616003</v>
      </c>
      <c r="S41" s="255">
        <v>39778660.406992503</v>
      </c>
      <c r="T41" s="255">
        <v>770838.94094505999</v>
      </c>
      <c r="U41" s="255">
        <v>8380721.6529825488</v>
      </c>
      <c r="V41" s="255">
        <v>1494876.8527957799</v>
      </c>
      <c r="W41" s="255">
        <v>6086310.7405262804</v>
      </c>
      <c r="X41" s="255">
        <v>36125701.927531399</v>
      </c>
      <c r="Y41" s="255">
        <v>8510064.7214085497</v>
      </c>
      <c r="Z41" s="255">
        <v>653495.96069293597</v>
      </c>
      <c r="AA41" s="255">
        <v>71363.639537717099</v>
      </c>
      <c r="AB41" s="255">
        <v>4414.6576666666597</v>
      </c>
      <c r="AC41" s="255">
        <v>418032.13794914098</v>
      </c>
      <c r="AD41" s="255">
        <v>1136705.8569888701</v>
      </c>
      <c r="AE41" s="255">
        <v>3264766.2487354199</v>
      </c>
      <c r="AF41" s="255">
        <v>547019.37799933099</v>
      </c>
      <c r="AG41" s="255">
        <v>177439.32313084599</v>
      </c>
      <c r="AH41" s="255">
        <v>144167.89269799902</v>
      </c>
      <c r="AI41" s="255">
        <v>459229.97784144402</v>
      </c>
      <c r="AJ41" s="255">
        <v>168095.101033866</v>
      </c>
      <c r="AK41" s="255">
        <v>6869.84538536729</v>
      </c>
      <c r="AL41" s="255">
        <v>1692753114.3961096</v>
      </c>
      <c r="AM41" s="255">
        <v>4615913.6654481199</v>
      </c>
      <c r="AN41" s="255">
        <v>134727410.58497098</v>
      </c>
      <c r="AO41" s="255">
        <v>26484735.975370802</v>
      </c>
      <c r="AP41" s="255">
        <v>1858581174.6218996</v>
      </c>
      <c r="AQ41" s="255">
        <v>24717579.058784436</v>
      </c>
    </row>
    <row r="42" spans="1:43" x14ac:dyDescent="0.2">
      <c r="A42" s="256"/>
      <c r="B42" s="254">
        <v>11</v>
      </c>
      <c r="C42" s="255">
        <v>589.99999999999795</v>
      </c>
      <c r="D42" s="255">
        <v>656669.09733170806</v>
      </c>
      <c r="E42" s="255">
        <v>1059308217.9364599</v>
      </c>
      <c r="F42" s="255">
        <v>196629.25</v>
      </c>
      <c r="G42" s="255">
        <v>20825605.567074701</v>
      </c>
      <c r="H42" s="255">
        <v>1802816.37081693</v>
      </c>
      <c r="I42" s="255">
        <v>11281760.0057292</v>
      </c>
      <c r="J42" s="255">
        <v>1234099.0251460802</v>
      </c>
      <c r="K42" s="255">
        <v>199449053.79797482</v>
      </c>
      <c r="L42" s="255">
        <v>6063555.1743765203</v>
      </c>
      <c r="M42" s="255">
        <v>222733521.80415848</v>
      </c>
      <c r="N42" s="255">
        <v>11197016.7958409</v>
      </c>
      <c r="O42" s="255">
        <v>152201462.22259325</v>
      </c>
      <c r="P42" s="255">
        <v>14371835.722085699</v>
      </c>
      <c r="Q42" s="255">
        <v>370839.34461920499</v>
      </c>
      <c r="R42" s="255">
        <v>76420074.828350097</v>
      </c>
      <c r="S42" s="255">
        <v>37836756.741103001</v>
      </c>
      <c r="T42" s="255">
        <v>304210.38193558296</v>
      </c>
      <c r="U42" s="255">
        <v>10868036.133886199</v>
      </c>
      <c r="V42" s="255">
        <v>1509967.8745148401</v>
      </c>
      <c r="W42" s="255">
        <v>5064387.5395080708</v>
      </c>
      <c r="X42" s="255">
        <v>35669962.394413397</v>
      </c>
      <c r="Y42" s="255">
        <v>8266443.1939102709</v>
      </c>
      <c r="Z42" s="255">
        <v>675864.35823980696</v>
      </c>
      <c r="AA42" s="255">
        <v>89630.050449432907</v>
      </c>
      <c r="AB42" s="255">
        <v>4414.6576666666597</v>
      </c>
      <c r="AC42" s="255">
        <v>365595.57111913804</v>
      </c>
      <c r="AD42" s="255">
        <v>986446.16485388298</v>
      </c>
      <c r="AE42" s="255">
        <v>2833200.9775515599</v>
      </c>
      <c r="AF42" s="255">
        <v>474709.58666264801</v>
      </c>
      <c r="AG42" s="255">
        <v>167044.37367906398</v>
      </c>
      <c r="AH42" s="255">
        <v>131064.17142952001</v>
      </c>
      <c r="AI42" s="255">
        <v>227612.20125062598</v>
      </c>
      <c r="AJ42" s="255">
        <v>161053.68912203598</v>
      </c>
      <c r="AK42" s="255">
        <v>6722.3942058030398</v>
      </c>
      <c r="AL42" s="255">
        <v>1883756869.3980589</v>
      </c>
      <c r="AM42" s="255">
        <v>4528884.3870075094</v>
      </c>
      <c r="AN42" s="255">
        <v>133182130.83627599</v>
      </c>
      <c r="AO42" s="255">
        <v>24974975.439074099</v>
      </c>
      <c r="AP42" s="255">
        <v>2046442860.0604165</v>
      </c>
      <c r="AQ42" s="255">
        <v>26154662.348557077</v>
      </c>
    </row>
    <row r="43" spans="1:43" x14ac:dyDescent="0.2">
      <c r="A43" s="258"/>
      <c r="B43" s="259">
        <v>12</v>
      </c>
      <c r="C43" s="260">
        <v>589.99999999999795</v>
      </c>
      <c r="D43" s="260">
        <v>859619.25940795196</v>
      </c>
      <c r="E43" s="260">
        <v>1270186855.0996799</v>
      </c>
      <c r="F43" s="260">
        <v>242994.14285714302</v>
      </c>
      <c r="G43" s="260">
        <v>26873719.8754966</v>
      </c>
      <c r="H43" s="260">
        <v>2289304.87447643</v>
      </c>
      <c r="I43" s="260">
        <v>13289575.0196367</v>
      </c>
      <c r="J43" s="260">
        <v>1471115.5641758</v>
      </c>
      <c r="K43" s="260">
        <v>231012537.56538981</v>
      </c>
      <c r="L43" s="260">
        <v>6337408.2628627298</v>
      </c>
      <c r="M43" s="260">
        <v>250443937.35652453</v>
      </c>
      <c r="N43" s="260">
        <v>11043893.417281602</v>
      </c>
      <c r="O43" s="260">
        <v>161558252.27460113</v>
      </c>
      <c r="P43" s="260">
        <v>13454320.617386499</v>
      </c>
      <c r="Q43" s="260">
        <v>265899.67183676705</v>
      </c>
      <c r="R43" s="260">
        <v>80989514.5057825</v>
      </c>
      <c r="S43" s="260">
        <v>35875422.244685397</v>
      </c>
      <c r="T43" s="260">
        <v>0</v>
      </c>
      <c r="U43" s="260">
        <v>14086516.423654301</v>
      </c>
      <c r="V43" s="260">
        <v>1679046.4112939301</v>
      </c>
      <c r="W43" s="260">
        <v>5438437.9359549405</v>
      </c>
      <c r="X43" s="260">
        <v>36702470.598051704</v>
      </c>
      <c r="Y43" s="260">
        <v>8746118.298738841</v>
      </c>
      <c r="Z43" s="260">
        <v>862750.37856237101</v>
      </c>
      <c r="AA43" s="260">
        <v>108908.459927082</v>
      </c>
      <c r="AB43" s="260">
        <v>4414.6576666666597</v>
      </c>
      <c r="AC43" s="260">
        <v>399042.11335168901</v>
      </c>
      <c r="AD43" s="260">
        <v>1068442.4090053898</v>
      </c>
      <c r="AE43" s="260">
        <v>3068704.7965765302</v>
      </c>
      <c r="AF43" s="260">
        <v>514168.81368982105</v>
      </c>
      <c r="AG43" s="260">
        <v>173066.413562328</v>
      </c>
      <c r="AH43" s="260">
        <v>140038.50931876901</v>
      </c>
      <c r="AI43" s="260">
        <v>232671.90389623999</v>
      </c>
      <c r="AJ43" s="260">
        <v>163543.659256996</v>
      </c>
      <c r="AK43" s="260">
        <v>6711.9162470645206</v>
      </c>
      <c r="AL43" s="260">
        <v>2179590013.4508367</v>
      </c>
      <c r="AM43" s="260">
        <v>4933232.1417644601</v>
      </c>
      <c r="AN43" s="260">
        <v>136194201.50898901</v>
      </c>
      <c r="AO43" s="260">
        <v>25586215.413951799</v>
      </c>
      <c r="AP43" s="260">
        <v>2346303662.515542</v>
      </c>
      <c r="AQ43" s="260">
        <v>28887425.540378567</v>
      </c>
    </row>
    <row r="44" spans="1:43" x14ac:dyDescent="0.2">
      <c r="A44" s="254">
        <f>A32+1</f>
        <v>2026</v>
      </c>
      <c r="B44" s="254">
        <v>1</v>
      </c>
      <c r="C44" s="255">
        <v>589.99999999999795</v>
      </c>
      <c r="D44" s="255">
        <v>853249.12199541705</v>
      </c>
      <c r="E44" s="255">
        <v>1214040343.43752</v>
      </c>
      <c r="F44" s="255">
        <v>259810</v>
      </c>
      <c r="G44" s="255">
        <v>27833973.042642999</v>
      </c>
      <c r="H44" s="255">
        <v>2479364.3647743501</v>
      </c>
      <c r="I44" s="255">
        <v>13577687.235211601</v>
      </c>
      <c r="J44" s="255">
        <v>1569602.91711176</v>
      </c>
      <c r="K44" s="255">
        <v>233885961.66370198</v>
      </c>
      <c r="L44" s="255">
        <v>7271461.9377455302</v>
      </c>
      <c r="M44" s="255">
        <v>241657615.77479783</v>
      </c>
      <c r="N44" s="255">
        <v>11772398.0517492</v>
      </c>
      <c r="O44" s="255">
        <v>160555453.89372543</v>
      </c>
      <c r="P44" s="255">
        <v>13961916.371476499</v>
      </c>
      <c r="Q44" s="255">
        <v>293055.22386494098</v>
      </c>
      <c r="R44" s="255">
        <v>81581168.856273696</v>
      </c>
      <c r="S44" s="255">
        <v>37899044.110239096</v>
      </c>
      <c r="T44" s="255">
        <v>0</v>
      </c>
      <c r="U44" s="255">
        <v>14755203.9716531</v>
      </c>
      <c r="V44" s="255">
        <v>1657664.11291561</v>
      </c>
      <c r="W44" s="255">
        <v>5697739.6445186595</v>
      </c>
      <c r="X44" s="255">
        <v>37300164.651859902</v>
      </c>
      <c r="Y44" s="255">
        <v>8769729.7235478703</v>
      </c>
      <c r="Z44" s="255">
        <v>872351.715543636</v>
      </c>
      <c r="AA44" s="255">
        <v>110190.418926181</v>
      </c>
      <c r="AB44" s="255">
        <v>4414.6576666666597</v>
      </c>
      <c r="AC44" s="255">
        <v>392895.52437462402</v>
      </c>
      <c r="AD44" s="255">
        <v>1043986.50039374</v>
      </c>
      <c r="AE44" s="255">
        <v>2998464.2637890903</v>
      </c>
      <c r="AF44" s="255">
        <v>502399.844756559</v>
      </c>
      <c r="AG44" s="255">
        <v>173478.11337212802</v>
      </c>
      <c r="AH44" s="255">
        <v>132695.00309495299</v>
      </c>
      <c r="AI44" s="255">
        <v>346118.288693938</v>
      </c>
      <c r="AJ44" s="255">
        <v>163560.165786103</v>
      </c>
      <c r="AK44" s="255">
        <v>6913.8102374667005</v>
      </c>
      <c r="AL44" s="255">
        <v>2124420666.4139609</v>
      </c>
      <c r="AM44" s="255">
        <v>5665993.2603046503</v>
      </c>
      <c r="AN44" s="255">
        <v>136994595.51820901</v>
      </c>
      <c r="AO44" s="255">
        <v>26217326.8273784</v>
      </c>
      <c r="AP44" s="255">
        <v>2293298582.0198531</v>
      </c>
      <c r="AQ44" s="255">
        <v>26657308.277561836</v>
      </c>
    </row>
    <row r="45" spans="1:43" x14ac:dyDescent="0.2">
      <c r="A45" s="256"/>
      <c r="B45" s="254">
        <v>2</v>
      </c>
      <c r="C45" s="255">
        <v>589.99999999999795</v>
      </c>
      <c r="D45" s="255">
        <v>849382.77955603099</v>
      </c>
      <c r="E45" s="255">
        <v>1053225509.23622</v>
      </c>
      <c r="F45" s="255">
        <v>233365.535</v>
      </c>
      <c r="G45" s="255">
        <v>24075470.931393899</v>
      </c>
      <c r="H45" s="255">
        <v>2097916.8383842697</v>
      </c>
      <c r="I45" s="255">
        <v>11452386.792209199</v>
      </c>
      <c r="J45" s="255">
        <v>1369698.13347657</v>
      </c>
      <c r="K45" s="255">
        <v>201562139.46438837</v>
      </c>
      <c r="L45" s="255">
        <v>6680744.0639489498</v>
      </c>
      <c r="M45" s="255">
        <v>213350289.15346244</v>
      </c>
      <c r="N45" s="255">
        <v>11559468.3280681</v>
      </c>
      <c r="O45" s="255">
        <v>143632903.04041654</v>
      </c>
      <c r="P45" s="255">
        <v>13885704.067085901</v>
      </c>
      <c r="Q45" s="255">
        <v>262228.75814679201</v>
      </c>
      <c r="R45" s="255">
        <v>73215067.316073611</v>
      </c>
      <c r="S45" s="255">
        <v>36524303.488803104</v>
      </c>
      <c r="T45" s="255">
        <v>0</v>
      </c>
      <c r="U45" s="255">
        <v>13311800.417861499</v>
      </c>
      <c r="V45" s="255">
        <v>1569777.9967467601</v>
      </c>
      <c r="W45" s="255">
        <v>5588955.6929596104</v>
      </c>
      <c r="X45" s="255">
        <v>33918999.253032103</v>
      </c>
      <c r="Y45" s="255">
        <v>8212042.3640871504</v>
      </c>
      <c r="Z45" s="255">
        <v>685651.86512669805</v>
      </c>
      <c r="AA45" s="255">
        <v>107716.87058862101</v>
      </c>
      <c r="AB45" s="255">
        <v>4414.6576666666597</v>
      </c>
      <c r="AC45" s="255">
        <v>351320.67905099702</v>
      </c>
      <c r="AD45" s="255">
        <v>926471.43969894701</v>
      </c>
      <c r="AE45" s="255">
        <v>2660945.80946287</v>
      </c>
      <c r="AF45" s="255">
        <v>445847.82207489398</v>
      </c>
      <c r="AG45" s="255">
        <v>172861.079371322</v>
      </c>
      <c r="AH45" s="255">
        <v>137696.50016861799</v>
      </c>
      <c r="AI45" s="255">
        <v>197009.250581945</v>
      </c>
      <c r="AJ45" s="255">
        <v>160830.46603374899</v>
      </c>
      <c r="AK45" s="255">
        <v>6623.7102473416107</v>
      </c>
      <c r="AL45" s="255">
        <v>1862436133.8013926</v>
      </c>
      <c r="AM45" s="255">
        <v>5129396.4606075594</v>
      </c>
      <c r="AN45" s="255">
        <v>123999676.60063401</v>
      </c>
      <c r="AO45" s="255">
        <v>23068879.0001311</v>
      </c>
      <c r="AP45" s="255">
        <v>2014634085.8627653</v>
      </c>
      <c r="AQ45" s="255">
        <v>23431945.037921585</v>
      </c>
    </row>
    <row r="46" spans="1:43" x14ac:dyDescent="0.2">
      <c r="A46" s="256"/>
      <c r="B46" s="254">
        <v>3</v>
      </c>
      <c r="C46" s="255">
        <v>589.99999999999795</v>
      </c>
      <c r="D46" s="255">
        <v>830319.70552040299</v>
      </c>
      <c r="E46" s="255">
        <v>1057124444.24268</v>
      </c>
      <c r="F46" s="255">
        <v>213526.34</v>
      </c>
      <c r="G46" s="255">
        <v>24874167.107802</v>
      </c>
      <c r="H46" s="255">
        <v>2337079.6171123805</v>
      </c>
      <c r="I46" s="255">
        <v>12253180.561729399</v>
      </c>
      <c r="J46" s="255">
        <v>1483646.0924941599</v>
      </c>
      <c r="K46" s="255">
        <v>217975009.50952119</v>
      </c>
      <c r="L46" s="255">
        <v>7376559.9988246802</v>
      </c>
      <c r="M46" s="255">
        <v>230700931.76862478</v>
      </c>
      <c r="N46" s="255">
        <v>12475049.0636409</v>
      </c>
      <c r="O46" s="255">
        <v>154531461.96041876</v>
      </c>
      <c r="P46" s="255">
        <v>15045853.714604501</v>
      </c>
      <c r="Q46" s="255">
        <v>286985.91789091198</v>
      </c>
      <c r="R46" s="255">
        <v>80611235.397937894</v>
      </c>
      <c r="S46" s="255">
        <v>39344767.1962194</v>
      </c>
      <c r="T46" s="255">
        <v>0</v>
      </c>
      <c r="U46" s="255">
        <v>14355392.4127765</v>
      </c>
      <c r="V46" s="255">
        <v>1622861.3355014899</v>
      </c>
      <c r="W46" s="255">
        <v>6527848.0111315306</v>
      </c>
      <c r="X46" s="255">
        <v>36828471.535218</v>
      </c>
      <c r="Y46" s="255">
        <v>8297977.1165822605</v>
      </c>
      <c r="Z46" s="255">
        <v>726209.23508725292</v>
      </c>
      <c r="AA46" s="255">
        <v>103698.75067091201</v>
      </c>
      <c r="AB46" s="255">
        <v>4414.6576666666597</v>
      </c>
      <c r="AC46" s="255">
        <v>422549.377599417</v>
      </c>
      <c r="AD46" s="255">
        <v>1105964.1211081902</v>
      </c>
      <c r="AE46" s="255">
        <v>3176472.0069896597</v>
      </c>
      <c r="AF46" s="255">
        <v>532225.46703575307</v>
      </c>
      <c r="AG46" s="255">
        <v>169703.31553200199</v>
      </c>
      <c r="AH46" s="255">
        <v>130414.52980040401</v>
      </c>
      <c r="AI46" s="255">
        <v>250011.78942084999</v>
      </c>
      <c r="AJ46" s="255">
        <v>160334.24356500601</v>
      </c>
      <c r="AK46" s="255">
        <v>6796.6725574841494</v>
      </c>
      <c r="AL46" s="255">
        <v>1931886152.7732651</v>
      </c>
      <c r="AM46" s="255">
        <v>5476025.4478914402</v>
      </c>
      <c r="AN46" s="255">
        <v>134142887.58479999</v>
      </c>
      <c r="AO46" s="255">
        <v>25005270.429340702</v>
      </c>
      <c r="AP46" s="255">
        <v>2096510336.2352972</v>
      </c>
      <c r="AQ46" s="255">
        <v>24954588.829289552</v>
      </c>
    </row>
    <row r="47" spans="1:43" x14ac:dyDescent="0.2">
      <c r="A47" s="256"/>
      <c r="B47" s="254">
        <v>4</v>
      </c>
      <c r="C47" s="255">
        <v>589.99999999999795</v>
      </c>
      <c r="D47" s="255">
        <v>590135.22026853403</v>
      </c>
      <c r="E47" s="255">
        <v>888886669.94300294</v>
      </c>
      <c r="F47" s="255">
        <v>180149.25</v>
      </c>
      <c r="G47" s="255">
        <v>21227397.6154068</v>
      </c>
      <c r="H47" s="255">
        <v>2043487.3877159201</v>
      </c>
      <c r="I47" s="255">
        <v>10514816.421212599</v>
      </c>
      <c r="J47" s="255">
        <v>1281008.8091132799</v>
      </c>
      <c r="K47" s="255">
        <v>191652353.16837284</v>
      </c>
      <c r="L47" s="255">
        <v>6427224.0190884201</v>
      </c>
      <c r="M47" s="255">
        <v>209196661.55378795</v>
      </c>
      <c r="N47" s="255">
        <v>11533512.4408805</v>
      </c>
      <c r="O47" s="255">
        <v>145900985.06643313</v>
      </c>
      <c r="P47" s="255">
        <v>14777035.520302599</v>
      </c>
      <c r="Q47" s="255">
        <v>308964.43647345097</v>
      </c>
      <c r="R47" s="255">
        <v>76290569.093501195</v>
      </c>
      <c r="S47" s="255">
        <v>37680091.563693404</v>
      </c>
      <c r="T47" s="255">
        <v>0</v>
      </c>
      <c r="U47" s="255">
        <v>11047763.3764892</v>
      </c>
      <c r="V47" s="255">
        <v>1657267.0994923101</v>
      </c>
      <c r="W47" s="255">
        <v>5968981.2163917702</v>
      </c>
      <c r="X47" s="255">
        <v>35345617.697009094</v>
      </c>
      <c r="Y47" s="255">
        <v>8929397.0943240393</v>
      </c>
      <c r="Z47" s="255">
        <v>527924.07170744007</v>
      </c>
      <c r="AA47" s="255">
        <v>87227.212893670498</v>
      </c>
      <c r="AB47" s="255">
        <v>4414.6576666666597</v>
      </c>
      <c r="AC47" s="255">
        <v>391749.10252597695</v>
      </c>
      <c r="AD47" s="255">
        <v>1017726.7524074001</v>
      </c>
      <c r="AE47" s="255">
        <v>2923042.87099959</v>
      </c>
      <c r="AF47" s="255">
        <v>489762.81036319898</v>
      </c>
      <c r="AG47" s="255">
        <v>179937.00258703</v>
      </c>
      <c r="AH47" s="255">
        <v>143680.91055399599</v>
      </c>
      <c r="AI47" s="255">
        <v>205777.932385205</v>
      </c>
      <c r="AJ47" s="255">
        <v>167464.56726833599</v>
      </c>
      <c r="AK47" s="255">
        <v>6944.5166392734</v>
      </c>
      <c r="AL47" s="255">
        <v>1687586330.4009578</v>
      </c>
      <c r="AM47" s="255">
        <v>5053713.9063199004</v>
      </c>
      <c r="AN47" s="255">
        <v>121614677.693617</v>
      </c>
      <c r="AO47" s="255">
        <v>22327032.497687601</v>
      </c>
      <c r="AP47" s="255">
        <v>1836581754.4985824</v>
      </c>
      <c r="AQ47" s="255">
        <v>23829791.223515149</v>
      </c>
    </row>
    <row r="48" spans="1:43" x14ac:dyDescent="0.2">
      <c r="A48" s="256"/>
      <c r="B48" s="254">
        <v>5</v>
      </c>
      <c r="C48" s="255">
        <v>589.99999999999795</v>
      </c>
      <c r="D48" s="255">
        <v>440199.03564444598</v>
      </c>
      <c r="E48" s="255">
        <v>778160010.17170501</v>
      </c>
      <c r="F48" s="255">
        <v>165744.375</v>
      </c>
      <c r="G48" s="255">
        <v>19166420.529314</v>
      </c>
      <c r="H48" s="255">
        <v>1837641.2549014301</v>
      </c>
      <c r="I48" s="255">
        <v>10133294.249761499</v>
      </c>
      <c r="J48" s="255">
        <v>1166072.4568148199</v>
      </c>
      <c r="K48" s="255">
        <v>191099851.00844046</v>
      </c>
      <c r="L48" s="255">
        <v>6093532.4070678595</v>
      </c>
      <c r="M48" s="255">
        <v>214384167.97618529</v>
      </c>
      <c r="N48" s="255">
        <v>11348615.2007304</v>
      </c>
      <c r="O48" s="255">
        <v>150269402.67398638</v>
      </c>
      <c r="P48" s="255">
        <v>15209509.1816513</v>
      </c>
      <c r="Q48" s="255">
        <v>734468.26077719592</v>
      </c>
      <c r="R48" s="255">
        <v>76772883.147121206</v>
      </c>
      <c r="S48" s="255">
        <v>38620764.958494194</v>
      </c>
      <c r="T48" s="255">
        <v>297225.48595222598</v>
      </c>
      <c r="U48" s="255">
        <v>9556304.8219778705</v>
      </c>
      <c r="V48" s="255">
        <v>1660860.58411482</v>
      </c>
      <c r="W48" s="255">
        <v>6694186.7191888001</v>
      </c>
      <c r="X48" s="255">
        <v>35803559.579946101</v>
      </c>
      <c r="Y48" s="255">
        <v>8958463.7328753788</v>
      </c>
      <c r="Z48" s="255">
        <v>412440.02312881296</v>
      </c>
      <c r="AA48" s="255">
        <v>67729.112893822705</v>
      </c>
      <c r="AB48" s="255">
        <v>4414.6576666666597</v>
      </c>
      <c r="AC48" s="255">
        <v>377276.856708445</v>
      </c>
      <c r="AD48" s="255">
        <v>972897.19857574906</v>
      </c>
      <c r="AE48" s="255">
        <v>2794286.59390681</v>
      </c>
      <c r="AF48" s="255">
        <v>468189.38879401702</v>
      </c>
      <c r="AG48" s="255">
        <v>171756.478136647</v>
      </c>
      <c r="AH48" s="255">
        <v>132311.21399323602</v>
      </c>
      <c r="AI48" s="255">
        <v>387164.46623821999</v>
      </c>
      <c r="AJ48" s="255">
        <v>162225.49043776401</v>
      </c>
      <c r="AK48" s="255">
        <v>6866.6546150136001</v>
      </c>
      <c r="AL48" s="255">
        <v>1584531325.9467454</v>
      </c>
      <c r="AM48" s="255">
        <v>5559173.1601370005</v>
      </c>
      <c r="AN48" s="255">
        <v>124130461.43126899</v>
      </c>
      <c r="AO48" s="255">
        <v>24142501.7667755</v>
      </c>
      <c r="AP48" s="255">
        <v>1738363462.3049269</v>
      </c>
      <c r="AQ48" s="255">
        <v>23785628.059987836</v>
      </c>
    </row>
    <row r="49" spans="1:43" x14ac:dyDescent="0.2">
      <c r="A49" s="256"/>
      <c r="B49" s="254">
        <v>6</v>
      </c>
      <c r="C49" s="255">
        <v>589.99999999999795</v>
      </c>
      <c r="D49" s="255">
        <v>317139.12673546799</v>
      </c>
      <c r="E49" s="255">
        <v>751631159.57672608</v>
      </c>
      <c r="F49" s="255">
        <v>183269.5</v>
      </c>
      <c r="G49" s="255">
        <v>17996459.068880003</v>
      </c>
      <c r="H49" s="255">
        <v>1656566.4338974899</v>
      </c>
      <c r="I49" s="255">
        <v>9529643.5284302998</v>
      </c>
      <c r="J49" s="255">
        <v>1046352.7959850201</v>
      </c>
      <c r="K49" s="255">
        <v>187528899.76367775</v>
      </c>
      <c r="L49" s="255">
        <v>5994164.6132515697</v>
      </c>
      <c r="M49" s="255">
        <v>215096084.46829641</v>
      </c>
      <c r="N49" s="255">
        <v>11615304.8344738</v>
      </c>
      <c r="O49" s="255">
        <v>151488229.49344936</v>
      </c>
      <c r="P49" s="255">
        <v>15913361.3336605</v>
      </c>
      <c r="Q49" s="255">
        <v>1468969.1610522501</v>
      </c>
      <c r="R49" s="255">
        <v>75730134.497674301</v>
      </c>
      <c r="S49" s="255">
        <v>40257021.192278698</v>
      </c>
      <c r="T49" s="255">
        <v>638413.76599920902</v>
      </c>
      <c r="U49" s="255">
        <v>8058310.2295289598</v>
      </c>
      <c r="V49" s="255">
        <v>1814834.9197180001</v>
      </c>
      <c r="W49" s="255">
        <v>7356651.0228625899</v>
      </c>
      <c r="X49" s="255">
        <v>35001042.4228452</v>
      </c>
      <c r="Y49" s="255">
        <v>8476191.6517899707</v>
      </c>
      <c r="Z49" s="255">
        <v>336903.05874819303</v>
      </c>
      <c r="AA49" s="255">
        <v>63429.272893754896</v>
      </c>
      <c r="AB49" s="255">
        <v>4414.6576666666597</v>
      </c>
      <c r="AC49" s="255">
        <v>359171.05524435401</v>
      </c>
      <c r="AD49" s="255">
        <v>919423.015999628</v>
      </c>
      <c r="AE49" s="255">
        <v>2640701.82491855</v>
      </c>
      <c r="AF49" s="255">
        <v>442455.89414193603</v>
      </c>
      <c r="AG49" s="255">
        <v>163575.78211304999</v>
      </c>
      <c r="AH49" s="255">
        <v>130767.537783558</v>
      </c>
      <c r="AI49" s="255">
        <v>213191.50583314997</v>
      </c>
      <c r="AJ49" s="255">
        <v>151747.182902734</v>
      </c>
      <c r="AK49" s="255">
        <v>6296.3411249042301</v>
      </c>
      <c r="AL49" s="255">
        <v>1554230870.5305836</v>
      </c>
      <c r="AM49" s="255">
        <v>5234708.4113377295</v>
      </c>
      <c r="AN49" s="255">
        <v>137090974.20953199</v>
      </c>
      <c r="AO49" s="255">
        <v>26228856.122052997</v>
      </c>
      <c r="AP49" s="255">
        <v>1722785409.2735062</v>
      </c>
      <c r="AQ49" s="255">
        <v>23967784.899174068</v>
      </c>
    </row>
    <row r="50" spans="1:43" x14ac:dyDescent="0.2">
      <c r="A50" s="256"/>
      <c r="B50" s="254">
        <v>7</v>
      </c>
      <c r="C50" s="255">
        <v>589.99999999999795</v>
      </c>
      <c r="D50" s="255">
        <v>274419.219392706</v>
      </c>
      <c r="E50" s="255">
        <v>839048557.09608102</v>
      </c>
      <c r="F50" s="255">
        <v>214898.875</v>
      </c>
      <c r="G50" s="255">
        <v>18354393.220690601</v>
      </c>
      <c r="H50" s="255">
        <v>1763552.3108360402</v>
      </c>
      <c r="I50" s="255">
        <v>10229921.012628499</v>
      </c>
      <c r="J50" s="255">
        <v>1365763.7127270401</v>
      </c>
      <c r="K50" s="255">
        <v>202289775.5463554</v>
      </c>
      <c r="L50" s="255">
        <v>5672603.0260639302</v>
      </c>
      <c r="M50" s="255">
        <v>230775521.5396755</v>
      </c>
      <c r="N50" s="255">
        <v>11015133.881413899</v>
      </c>
      <c r="O50" s="255">
        <v>166296142.5133256</v>
      </c>
      <c r="P50" s="255">
        <v>15129841.4721046</v>
      </c>
      <c r="Q50" s="255">
        <v>2688339.6545934603</v>
      </c>
      <c r="R50" s="255">
        <v>80438328.581497386</v>
      </c>
      <c r="S50" s="255">
        <v>38503443.076651394</v>
      </c>
      <c r="T50" s="255">
        <v>669883.893295196</v>
      </c>
      <c r="U50" s="255">
        <v>6311272.2556287702</v>
      </c>
      <c r="V50" s="255">
        <v>2142678.7081020302</v>
      </c>
      <c r="W50" s="255">
        <v>7996673.0639520101</v>
      </c>
      <c r="X50" s="255">
        <v>36341648.739588805</v>
      </c>
      <c r="Y50" s="255">
        <v>9225985.99678546</v>
      </c>
      <c r="Z50" s="255">
        <v>359347.73262919299</v>
      </c>
      <c r="AA50" s="255">
        <v>63472.684004793104</v>
      </c>
      <c r="AB50" s="255">
        <v>4414.6576666666597</v>
      </c>
      <c r="AC50" s="255">
        <v>433482.126019291</v>
      </c>
      <c r="AD50" s="255">
        <v>1101579.3567149001</v>
      </c>
      <c r="AE50" s="255">
        <v>3163878.3965038504</v>
      </c>
      <c r="AF50" s="255">
        <v>530115.37753780396</v>
      </c>
      <c r="AG50" s="255">
        <v>173125.05811910701</v>
      </c>
      <c r="AH50" s="255">
        <v>133653.93174393501</v>
      </c>
      <c r="AI50" s="255">
        <v>220974.93746338401</v>
      </c>
      <c r="AJ50" s="255">
        <v>163396.72159043999</v>
      </c>
      <c r="AK50" s="255">
        <v>6968.1555536933502</v>
      </c>
      <c r="AL50" s="255">
        <v>1693103776.5319364</v>
      </c>
      <c r="AM50" s="255">
        <v>5342229.7698565898</v>
      </c>
      <c r="AN50" s="255">
        <v>143403028.651885</v>
      </c>
      <c r="AO50" s="255">
        <v>27100440.342104901</v>
      </c>
      <c r="AP50" s="255">
        <v>1868949475.295783</v>
      </c>
      <c r="AQ50" s="255">
        <v>26501194.898765493</v>
      </c>
    </row>
    <row r="51" spans="1:43" x14ac:dyDescent="0.2">
      <c r="A51" s="256"/>
      <c r="B51" s="254">
        <v>8</v>
      </c>
      <c r="C51" s="255">
        <v>589.99999999999795</v>
      </c>
      <c r="D51" s="255">
        <v>267056.67015937698</v>
      </c>
      <c r="E51" s="255">
        <v>849033644.425331</v>
      </c>
      <c r="F51" s="255">
        <v>236361</v>
      </c>
      <c r="G51" s="255">
        <v>18263637.211213898</v>
      </c>
      <c r="H51" s="255">
        <v>1664111.82775977</v>
      </c>
      <c r="I51" s="255">
        <v>10137118.543373501</v>
      </c>
      <c r="J51" s="255">
        <v>2045413.6671186199</v>
      </c>
      <c r="K51" s="255">
        <v>202983641.56836569</v>
      </c>
      <c r="L51" s="255">
        <v>6215793.9822375998</v>
      </c>
      <c r="M51" s="255">
        <v>231752071.56767827</v>
      </c>
      <c r="N51" s="255">
        <v>12232749.9811935</v>
      </c>
      <c r="O51" s="255">
        <v>168279591.35897446</v>
      </c>
      <c r="P51" s="255">
        <v>16816858.998522799</v>
      </c>
      <c r="Q51" s="255">
        <v>4010105.2388438503</v>
      </c>
      <c r="R51" s="255">
        <v>79220471.459224701</v>
      </c>
      <c r="S51" s="255">
        <v>42022543.242477603</v>
      </c>
      <c r="T51" s="255">
        <v>948495.86497610202</v>
      </c>
      <c r="U51" s="255">
        <v>5233786.1276230095</v>
      </c>
      <c r="V51" s="255">
        <v>2133837.78023544</v>
      </c>
      <c r="W51" s="255">
        <v>7408585.0174952</v>
      </c>
      <c r="X51" s="255">
        <v>36408296.789359704</v>
      </c>
      <c r="Y51" s="255">
        <v>9304530.0893697999</v>
      </c>
      <c r="Z51" s="255">
        <v>350410.67918859399</v>
      </c>
      <c r="AA51" s="255">
        <v>66369.617323953091</v>
      </c>
      <c r="AB51" s="255">
        <v>4414.6576666666597</v>
      </c>
      <c r="AC51" s="255">
        <v>398571.05406953004</v>
      </c>
      <c r="AD51" s="255">
        <v>1005550.45199046</v>
      </c>
      <c r="AE51" s="255">
        <v>2888070.9612559499</v>
      </c>
      <c r="AF51" s="255">
        <v>483903.18340741697</v>
      </c>
      <c r="AG51" s="255">
        <v>168438.912543591</v>
      </c>
      <c r="AH51" s="255">
        <v>133955.748734992</v>
      </c>
      <c r="AI51" s="255">
        <v>203579.89191656501</v>
      </c>
      <c r="AJ51" s="255">
        <v>156098.627992155</v>
      </c>
      <c r="AK51" s="255">
        <v>6515.0125697393396</v>
      </c>
      <c r="AL51" s="255">
        <v>1712485171.2101934</v>
      </c>
      <c r="AM51" s="255">
        <v>5370289.5788920494</v>
      </c>
      <c r="AN51" s="255">
        <v>142897469.53285301</v>
      </c>
      <c r="AO51" s="255">
        <v>28195415.0701048</v>
      </c>
      <c r="AP51" s="255">
        <v>1888948345.3920434</v>
      </c>
      <c r="AQ51" s="255">
        <v>27158082.160451736</v>
      </c>
    </row>
    <row r="52" spans="1:43" x14ac:dyDescent="0.2">
      <c r="A52" s="256"/>
      <c r="B52" s="254">
        <v>9</v>
      </c>
      <c r="C52" s="255">
        <v>589.99999999999795</v>
      </c>
      <c r="D52" s="255">
        <v>303203.31958990899</v>
      </c>
      <c r="E52" s="255">
        <v>772444236.68675399</v>
      </c>
      <c r="F52" s="255">
        <v>198473.625</v>
      </c>
      <c r="G52" s="255">
        <v>16521085.685495498</v>
      </c>
      <c r="H52" s="255">
        <v>1502511.8132150802</v>
      </c>
      <c r="I52" s="255">
        <v>9100877.4486321304</v>
      </c>
      <c r="J52" s="255">
        <v>1323515.45303045</v>
      </c>
      <c r="K52" s="255">
        <v>183331371.79763627</v>
      </c>
      <c r="L52" s="255">
        <v>5676387.47249314</v>
      </c>
      <c r="M52" s="255">
        <v>210103790.62511027</v>
      </c>
      <c r="N52" s="255">
        <v>11112747.381958298</v>
      </c>
      <c r="O52" s="255">
        <v>147485494.11133379</v>
      </c>
      <c r="P52" s="255">
        <v>14758426.973882701</v>
      </c>
      <c r="Q52" s="255">
        <v>2868360.2269794503</v>
      </c>
      <c r="R52" s="255">
        <v>70539923.616823405</v>
      </c>
      <c r="S52" s="255">
        <v>38165805.542905994</v>
      </c>
      <c r="T52" s="255">
        <v>757350.56451871502</v>
      </c>
      <c r="U52" s="255">
        <v>5776070.3008060902</v>
      </c>
      <c r="V52" s="255">
        <v>1843799.8137729801</v>
      </c>
      <c r="W52" s="255">
        <v>6307451.6346506299</v>
      </c>
      <c r="X52" s="255">
        <v>35644680.491035998</v>
      </c>
      <c r="Y52" s="255">
        <v>8118461.6982848104</v>
      </c>
      <c r="Z52" s="255">
        <v>447172.17909536901</v>
      </c>
      <c r="AA52" s="255">
        <v>67440.283997858001</v>
      </c>
      <c r="AB52" s="255">
        <v>4414.6576666666597</v>
      </c>
      <c r="AC52" s="255">
        <v>403075.450874259</v>
      </c>
      <c r="AD52" s="255">
        <v>1009626.18973893</v>
      </c>
      <c r="AE52" s="255">
        <v>2899777.0072467299</v>
      </c>
      <c r="AF52" s="255">
        <v>485864.55935560004</v>
      </c>
      <c r="AG52" s="255">
        <v>170140.38617767498</v>
      </c>
      <c r="AH52" s="255">
        <v>130896.90887037599</v>
      </c>
      <c r="AI52" s="255">
        <v>254337.91491201002</v>
      </c>
      <c r="AJ52" s="255">
        <v>160618.15670766699</v>
      </c>
      <c r="AK52" s="255">
        <v>6893.8187016462707</v>
      </c>
      <c r="AL52" s="255">
        <v>1549924873.7972546</v>
      </c>
      <c r="AM52" s="255">
        <v>4796338.3551306995</v>
      </c>
      <c r="AN52" s="255">
        <v>134393819.053574</v>
      </c>
      <c r="AO52" s="255">
        <v>26043990.000497099</v>
      </c>
      <c r="AP52" s="255">
        <v>1715159021.2064564</v>
      </c>
      <c r="AQ52" s="255">
        <v>24727065.127612658</v>
      </c>
    </row>
    <row r="53" spans="1:43" x14ac:dyDescent="0.2">
      <c r="A53" s="256"/>
      <c r="B53" s="254">
        <v>10</v>
      </c>
      <c r="C53" s="255">
        <v>589.99999999999795</v>
      </c>
      <c r="D53" s="255">
        <v>473938.27409775299</v>
      </c>
      <c r="E53" s="255">
        <v>893474914.26502991</v>
      </c>
      <c r="F53" s="255">
        <v>173928</v>
      </c>
      <c r="G53" s="255">
        <v>18313635.3410444</v>
      </c>
      <c r="H53" s="255">
        <v>1605531.7737752199</v>
      </c>
      <c r="I53" s="255">
        <v>10010214.8950231</v>
      </c>
      <c r="J53" s="255">
        <v>1126457.5334537302</v>
      </c>
      <c r="K53" s="255">
        <v>191649749.28819314</v>
      </c>
      <c r="L53" s="255">
        <v>5599136.8240082804</v>
      </c>
      <c r="M53" s="255">
        <v>222112359.68206534</v>
      </c>
      <c r="N53" s="255">
        <v>11112984.130876899</v>
      </c>
      <c r="O53" s="255">
        <v>153739078.50618771</v>
      </c>
      <c r="P53" s="255">
        <v>15005012.533944601</v>
      </c>
      <c r="Q53" s="255">
        <v>1286598.1164640801</v>
      </c>
      <c r="R53" s="255">
        <v>74532851.0100196</v>
      </c>
      <c r="S53" s="255">
        <v>38792932.613938898</v>
      </c>
      <c r="T53" s="255">
        <v>766061.38252789399</v>
      </c>
      <c r="U53" s="255">
        <v>8328779.0419540508</v>
      </c>
      <c r="V53" s="255">
        <v>1494687.78861742</v>
      </c>
      <c r="W53" s="255">
        <v>6084850.9742999505</v>
      </c>
      <c r="X53" s="255">
        <v>36124378.478282906</v>
      </c>
      <c r="Y53" s="255">
        <v>8508969.8967388105</v>
      </c>
      <c r="Z53" s="255">
        <v>587378.42717266001</v>
      </c>
      <c r="AA53" s="255">
        <v>71363.639537717099</v>
      </c>
      <c r="AB53" s="255">
        <v>4414.6576666666597</v>
      </c>
      <c r="AC53" s="255">
        <v>450282.32192826696</v>
      </c>
      <c r="AD53" s="255">
        <v>1119844.22381547</v>
      </c>
      <c r="AE53" s="255">
        <v>3216337.4572898503</v>
      </c>
      <c r="AF53" s="255">
        <v>538905.01839270594</v>
      </c>
      <c r="AG53" s="255">
        <v>177232.64112936801</v>
      </c>
      <c r="AH53" s="255">
        <v>141355.63318163803</v>
      </c>
      <c r="AI53" s="255">
        <v>452417.866000037</v>
      </c>
      <c r="AJ53" s="255">
        <v>164526.543975337</v>
      </c>
      <c r="AK53" s="255">
        <v>6861.8433632166198</v>
      </c>
      <c r="AL53" s="255">
        <v>1707248560.6239965</v>
      </c>
      <c r="AM53" s="255">
        <v>4608365.2063105898</v>
      </c>
      <c r="AN53" s="255">
        <v>134507089.22993401</v>
      </c>
      <c r="AO53" s="255">
        <v>26441425.1680707</v>
      </c>
      <c r="AP53" s="255">
        <v>1872805440.2283118</v>
      </c>
      <c r="AQ53" s="255">
        <v>24717579.058784436</v>
      </c>
    </row>
    <row r="54" spans="1:43" x14ac:dyDescent="0.2">
      <c r="A54" s="256"/>
      <c r="B54" s="254">
        <v>11</v>
      </c>
      <c r="C54" s="255">
        <v>589.99999999999795</v>
      </c>
      <c r="D54" s="255">
        <v>653982.29931519495</v>
      </c>
      <c r="E54" s="255">
        <v>1069067320.8275601</v>
      </c>
      <c r="F54" s="255">
        <v>196629.25</v>
      </c>
      <c r="G54" s="255">
        <v>20732489.9626971</v>
      </c>
      <c r="H54" s="255">
        <v>1773474.61053023</v>
      </c>
      <c r="I54" s="255">
        <v>11272191.9242256</v>
      </c>
      <c r="J54" s="255">
        <v>1214013.43109887</v>
      </c>
      <c r="K54" s="255">
        <v>201214999.29770541</v>
      </c>
      <c r="L54" s="255">
        <v>5918987.5623924695</v>
      </c>
      <c r="M54" s="255">
        <v>224167357.05097854</v>
      </c>
      <c r="N54" s="255">
        <v>10930056.912906101</v>
      </c>
      <c r="O54" s="255">
        <v>155292028.5414702</v>
      </c>
      <c r="P54" s="255">
        <v>14029181.633779701</v>
      </c>
      <c r="Q54" s="255">
        <v>369181.24495002703</v>
      </c>
      <c r="R54" s="255">
        <v>75493038.709204003</v>
      </c>
      <c r="S54" s="255">
        <v>36934650.730688803</v>
      </c>
      <c r="T54" s="255">
        <v>302850.19418591005</v>
      </c>
      <c r="U54" s="255">
        <v>10819442.888914499</v>
      </c>
      <c r="V54" s="255">
        <v>1509794.4681444301</v>
      </c>
      <c r="W54" s="255">
        <v>5063031.7180273794</v>
      </c>
      <c r="X54" s="255">
        <v>35668748.549820498</v>
      </c>
      <c r="Y54" s="255">
        <v>8265426.3277997505</v>
      </c>
      <c r="Z54" s="255">
        <v>615103.76254377398</v>
      </c>
      <c r="AA54" s="255">
        <v>89630.050449432907</v>
      </c>
      <c r="AB54" s="255">
        <v>4414.6576666666597</v>
      </c>
      <c r="AC54" s="255">
        <v>392411.65099369403</v>
      </c>
      <c r="AD54" s="255">
        <v>969025.17884607904</v>
      </c>
      <c r="AE54" s="255">
        <v>2783165.6524159699</v>
      </c>
      <c r="AF54" s="255">
        <v>466326.048501449</v>
      </c>
      <c r="AG54" s="255">
        <v>167243.42044133603</v>
      </c>
      <c r="AH54" s="255">
        <v>128676.54699959701</v>
      </c>
      <c r="AI54" s="255">
        <v>223592.489770699</v>
      </c>
      <c r="AJ54" s="255">
        <v>158001.066481702</v>
      </c>
      <c r="AK54" s="255">
        <v>6730.4044773968099</v>
      </c>
      <c r="AL54" s="255">
        <v>1896893789.0659828</v>
      </c>
      <c r="AM54" s="255">
        <v>4521776.90537808</v>
      </c>
      <c r="AN54" s="255">
        <v>132973119.197338</v>
      </c>
      <c r="AO54" s="255">
        <v>24935780.537204299</v>
      </c>
      <c r="AP54" s="255">
        <v>2059324465.7059033</v>
      </c>
      <c r="AQ54" s="255">
        <v>26154662.348557077</v>
      </c>
    </row>
    <row r="55" spans="1:43" x14ac:dyDescent="0.2">
      <c r="A55" s="258"/>
      <c r="B55" s="259">
        <v>12</v>
      </c>
      <c r="C55" s="260">
        <v>589.99999999999795</v>
      </c>
      <c r="D55" s="260">
        <v>857025.10959890508</v>
      </c>
      <c r="E55" s="260">
        <v>1281512429.8053601</v>
      </c>
      <c r="F55" s="260">
        <v>242994.14285714302</v>
      </c>
      <c r="G55" s="260">
        <v>26860626.5905017</v>
      </c>
      <c r="H55" s="260">
        <v>2259435.88229605</v>
      </c>
      <c r="I55" s="260">
        <v>13333970.299235899</v>
      </c>
      <c r="J55" s="260">
        <v>1451921.6421374199</v>
      </c>
      <c r="K55" s="260">
        <v>233750402.85253027</v>
      </c>
      <c r="L55" s="260">
        <v>6180573.9544808399</v>
      </c>
      <c r="M55" s="260">
        <v>252893088.20091611</v>
      </c>
      <c r="N55" s="260">
        <v>10770585.889330098</v>
      </c>
      <c r="O55" s="260">
        <v>165223262.3266193</v>
      </c>
      <c r="P55" s="260">
        <v>13121361.309534799</v>
      </c>
      <c r="Q55" s="260">
        <v>265770.12147308397</v>
      </c>
      <c r="R55" s="260">
        <v>80040207.249400496</v>
      </c>
      <c r="S55" s="260">
        <v>34987599.210050799</v>
      </c>
      <c r="T55" s="260">
        <v>0</v>
      </c>
      <c r="U55" s="260">
        <v>14079653.2586376</v>
      </c>
      <c r="V55" s="260">
        <v>1678890.2927596599</v>
      </c>
      <c r="W55" s="260">
        <v>5437054.9123440394</v>
      </c>
      <c r="X55" s="260">
        <v>36701377.768311806</v>
      </c>
      <c r="Y55" s="260">
        <v>8745081.0310306605</v>
      </c>
      <c r="Z55" s="260">
        <v>795448.42184378696</v>
      </c>
      <c r="AA55" s="260">
        <v>108908.459927082</v>
      </c>
      <c r="AB55" s="260">
        <v>4414.6576666666597</v>
      </c>
      <c r="AC55" s="260">
        <v>428473.58562563302</v>
      </c>
      <c r="AD55" s="260">
        <v>1050653.12453719</v>
      </c>
      <c r="AE55" s="260">
        <v>3017611.67062501</v>
      </c>
      <c r="AF55" s="260">
        <v>505608.03847693501</v>
      </c>
      <c r="AG55" s="260">
        <v>173763.41770004798</v>
      </c>
      <c r="AH55" s="260">
        <v>138007.70379678099</v>
      </c>
      <c r="AI55" s="260">
        <v>228797.97802875002</v>
      </c>
      <c r="AJ55" s="260">
        <v>160892.737080222</v>
      </c>
      <c r="AK55" s="260">
        <v>6738.9476814135896</v>
      </c>
      <c r="AL55" s="260">
        <v>2197013220.5923963</v>
      </c>
      <c r="AM55" s="260">
        <v>4925705.4151632702</v>
      </c>
      <c r="AN55" s="260">
        <v>135986407.41173801</v>
      </c>
      <c r="AO55" s="260">
        <v>25547178.035891</v>
      </c>
      <c r="AP55" s="260">
        <v>2363472511.4551883</v>
      </c>
      <c r="AQ55" s="260">
        <v>28887425.540378567</v>
      </c>
    </row>
    <row r="56" spans="1:43" x14ac:dyDescent="0.2">
      <c r="A56" s="254">
        <f>A44+1</f>
        <v>2027</v>
      </c>
      <c r="B56" s="254">
        <v>1</v>
      </c>
      <c r="C56" s="255">
        <v>589.99999999999795</v>
      </c>
      <c r="D56" s="255">
        <v>852229.99171329103</v>
      </c>
      <c r="E56" s="255">
        <v>1226037482.3624601</v>
      </c>
      <c r="F56" s="255">
        <v>259810</v>
      </c>
      <c r="G56" s="255">
        <v>27778102.611328501</v>
      </c>
      <c r="H56" s="255">
        <v>2441815.0196343199</v>
      </c>
      <c r="I56" s="255">
        <v>13598959.401079401</v>
      </c>
      <c r="J56" s="255">
        <v>1545831.6786020901</v>
      </c>
      <c r="K56" s="255">
        <v>236318307.2301921</v>
      </c>
      <c r="L56" s="255">
        <v>7123257.1451023594</v>
      </c>
      <c r="M56" s="255">
        <v>243689100.68807971</v>
      </c>
      <c r="N56" s="255">
        <v>11532456.506691299</v>
      </c>
      <c r="O56" s="255">
        <v>164305575.32532543</v>
      </c>
      <c r="P56" s="255">
        <v>13677348.709780499</v>
      </c>
      <c r="Q56" s="255">
        <v>292466.981513365</v>
      </c>
      <c r="R56" s="255">
        <v>80471753.200866193</v>
      </c>
      <c r="S56" s="255">
        <v>37126596.970747605</v>
      </c>
      <c r="T56" s="255">
        <v>0</v>
      </c>
      <c r="U56" s="255">
        <v>14725586.223271701</v>
      </c>
      <c r="V56" s="255">
        <v>1657491.6282699602</v>
      </c>
      <c r="W56" s="255">
        <v>5696283.5312149497</v>
      </c>
      <c r="X56" s="255">
        <v>37298957.259340301</v>
      </c>
      <c r="Y56" s="255">
        <v>8768637.6385700814</v>
      </c>
      <c r="Z56" s="255">
        <v>811388.969869836</v>
      </c>
      <c r="AA56" s="255">
        <v>110190.418926181</v>
      </c>
      <c r="AB56" s="255">
        <v>4414.6576666666597</v>
      </c>
      <c r="AC56" s="255">
        <v>424368.95269916498</v>
      </c>
      <c r="AD56" s="255">
        <v>1033338.0456708701</v>
      </c>
      <c r="AE56" s="255">
        <v>2967880.52449835</v>
      </c>
      <c r="AF56" s="255">
        <v>497275.466234761</v>
      </c>
      <c r="AG56" s="255">
        <v>174062.57696598998</v>
      </c>
      <c r="AH56" s="255">
        <v>130544.34728034801</v>
      </c>
      <c r="AI56" s="255">
        <v>342587.95096972003</v>
      </c>
      <c r="AJ56" s="255">
        <v>160797.91133973899</v>
      </c>
      <c r="AK56" s="255">
        <v>6937.1034950432104</v>
      </c>
      <c r="AL56" s="255">
        <v>2141862427.0294001</v>
      </c>
      <c r="AM56" s="255">
        <v>5657857.8548807604</v>
      </c>
      <c r="AN56" s="255">
        <v>136797894.51200899</v>
      </c>
      <c r="AO56" s="255">
        <v>26179683.1922605</v>
      </c>
      <c r="AP56" s="255">
        <v>2310497862.5885501</v>
      </c>
      <c r="AQ56" s="255">
        <v>26657308.277561836</v>
      </c>
    </row>
    <row r="57" spans="1:43" x14ac:dyDescent="0.2">
      <c r="A57" s="256"/>
      <c r="B57" s="254">
        <v>2</v>
      </c>
      <c r="C57" s="255">
        <v>589.99999999999795</v>
      </c>
      <c r="D57" s="255">
        <v>841507.68192142597</v>
      </c>
      <c r="E57" s="255">
        <v>1055322759.7910799</v>
      </c>
      <c r="F57" s="255">
        <v>233365.535</v>
      </c>
      <c r="G57" s="255">
        <v>23886775.420717198</v>
      </c>
      <c r="H57" s="255">
        <v>2059267.74759928</v>
      </c>
      <c r="I57" s="255">
        <v>11387566.905022901</v>
      </c>
      <c r="J57" s="255">
        <v>1344464.7273947902</v>
      </c>
      <c r="K57" s="255">
        <v>202679988.7977199</v>
      </c>
      <c r="L57" s="255">
        <v>6523356.5639333203</v>
      </c>
      <c r="M57" s="255">
        <v>214023287.70764467</v>
      </c>
      <c r="N57" s="255">
        <v>11287145.9932728</v>
      </c>
      <c r="O57" s="255">
        <v>146529072.97057509</v>
      </c>
      <c r="P57" s="255">
        <v>13558579.389332</v>
      </c>
      <c r="Q57" s="255">
        <v>260173.49660804</v>
      </c>
      <c r="R57" s="255">
        <v>72001085.380331695</v>
      </c>
      <c r="S57" s="255">
        <v>35663850.108028501</v>
      </c>
      <c r="T57" s="255">
        <v>0</v>
      </c>
      <c r="U57" s="255">
        <v>13207466.966398301</v>
      </c>
      <c r="V57" s="255">
        <v>1569615.67806709</v>
      </c>
      <c r="W57" s="255">
        <v>5587689.6030133301</v>
      </c>
      <c r="X57" s="255">
        <v>33917863.022274405</v>
      </c>
      <c r="Y57" s="255">
        <v>8211092.7966274396</v>
      </c>
      <c r="Z57" s="255">
        <v>633063.55445076199</v>
      </c>
      <c r="AA57" s="255">
        <v>107716.87058862101</v>
      </c>
      <c r="AB57" s="255">
        <v>4414.6576666666597</v>
      </c>
      <c r="AC57" s="255">
        <v>379589.752986943</v>
      </c>
      <c r="AD57" s="255">
        <v>917905.33511445404</v>
      </c>
      <c r="AE57" s="255">
        <v>2636342.84911157</v>
      </c>
      <c r="AF57" s="255">
        <v>441725.53734056599</v>
      </c>
      <c r="AG57" s="255">
        <v>173449.87103258198</v>
      </c>
      <c r="AH57" s="255">
        <v>135606.75309156801</v>
      </c>
      <c r="AI57" s="255">
        <v>195187.71375707901</v>
      </c>
      <c r="AJ57" s="255">
        <v>158114.66138895499</v>
      </c>
      <c r="AK57" s="255">
        <v>6646.2716323243894</v>
      </c>
      <c r="AL57" s="255">
        <v>1865886330.1107244</v>
      </c>
      <c r="AM57" s="255">
        <v>5122432.1047983207</v>
      </c>
      <c r="AN57" s="255">
        <v>123831318.02770899</v>
      </c>
      <c r="AO57" s="255">
        <v>23037557.599511899</v>
      </c>
      <c r="AP57" s="255">
        <v>2017877637.8427436</v>
      </c>
      <c r="AQ57" s="255">
        <v>23431945.037921585</v>
      </c>
    </row>
    <row r="58" spans="1:43" x14ac:dyDescent="0.2">
      <c r="A58" s="256"/>
      <c r="B58" s="254">
        <v>3</v>
      </c>
      <c r="C58" s="255">
        <v>589.99999999999795</v>
      </c>
      <c r="D58" s="255">
        <v>826428.48080683302</v>
      </c>
      <c r="E58" s="255">
        <v>1066497230.8080101</v>
      </c>
      <c r="F58" s="255">
        <v>213526.34</v>
      </c>
      <c r="G58" s="255">
        <v>24720505.327772498</v>
      </c>
      <c r="H58" s="255">
        <v>2295465.6565821501</v>
      </c>
      <c r="I58" s="255">
        <v>12214603.145083299</v>
      </c>
      <c r="J58" s="255">
        <v>1457228.3404065499</v>
      </c>
      <c r="K58" s="255">
        <v>219703301.03347382</v>
      </c>
      <c r="L58" s="255">
        <v>7192696.1453407602</v>
      </c>
      <c r="M58" s="255">
        <v>231934422.36308149</v>
      </c>
      <c r="N58" s="255">
        <v>12164103.2306771</v>
      </c>
      <c r="O58" s="255">
        <v>157912844.0380058</v>
      </c>
      <c r="P58" s="255">
        <v>14670829.4968982</v>
      </c>
      <c r="Q58" s="255">
        <v>285213.04377635696</v>
      </c>
      <c r="R58" s="255">
        <v>79326995.177448004</v>
      </c>
      <c r="S58" s="255">
        <v>38364082.363143101</v>
      </c>
      <c r="T58" s="255">
        <v>0</v>
      </c>
      <c r="U58" s="255">
        <v>14266711.0454122</v>
      </c>
      <c r="V58" s="255">
        <v>1622676.92898096</v>
      </c>
      <c r="W58" s="255">
        <v>6526359.2773230206</v>
      </c>
      <c r="X58" s="255">
        <v>36827180.689574301</v>
      </c>
      <c r="Y58" s="255">
        <v>8296860.5662258705</v>
      </c>
      <c r="Z58" s="255">
        <v>665835.37879113504</v>
      </c>
      <c r="AA58" s="255">
        <v>103698.75067091201</v>
      </c>
      <c r="AB58" s="255">
        <v>4414.6576666666597</v>
      </c>
      <c r="AC58" s="255">
        <v>457330.31464492</v>
      </c>
      <c r="AD58" s="255">
        <v>1098294.4615320601</v>
      </c>
      <c r="AE58" s="255">
        <v>3154443.75265325</v>
      </c>
      <c r="AF58" s="255">
        <v>528534.58044006396</v>
      </c>
      <c r="AG58" s="255">
        <v>170101.27764025799</v>
      </c>
      <c r="AH58" s="255">
        <v>128167.88583440799</v>
      </c>
      <c r="AI58" s="255">
        <v>248278.003235312</v>
      </c>
      <c r="AJ58" s="255">
        <v>157454.64013626598</v>
      </c>
      <c r="AK58" s="255">
        <v>6812.6110683589695</v>
      </c>
      <c r="AL58" s="255">
        <v>1944043219.812336</v>
      </c>
      <c r="AM58" s="255">
        <v>5468903.9811858805</v>
      </c>
      <c r="AN58" s="255">
        <v>133968437.31666002</v>
      </c>
      <c r="AO58" s="255">
        <v>24972751.551822599</v>
      </c>
      <c r="AP58" s="255">
        <v>2108453312.6620045</v>
      </c>
      <c r="AQ58" s="255">
        <v>24954588.829289552</v>
      </c>
    </row>
    <row r="59" spans="1:43" x14ac:dyDescent="0.2">
      <c r="A59" s="256"/>
      <c r="B59" s="254">
        <v>4</v>
      </c>
      <c r="C59" s="255">
        <v>589.99999999999795</v>
      </c>
      <c r="D59" s="255">
        <v>584761.62423550896</v>
      </c>
      <c r="E59" s="255">
        <v>897536175.17646706</v>
      </c>
      <c r="F59" s="255">
        <v>180149.25</v>
      </c>
      <c r="G59" s="255">
        <v>21054236.6115628</v>
      </c>
      <c r="H59" s="255">
        <v>2004634.95636978</v>
      </c>
      <c r="I59" s="255">
        <v>10461028.440818699</v>
      </c>
      <c r="J59" s="255">
        <v>1256653.2358373899</v>
      </c>
      <c r="K59" s="255">
        <v>193095421.5420295</v>
      </c>
      <c r="L59" s="255">
        <v>6263965.8871786091</v>
      </c>
      <c r="M59" s="255">
        <v>210089231.47979671</v>
      </c>
      <c r="N59" s="255">
        <v>11240549.306273</v>
      </c>
      <c r="O59" s="255">
        <v>148997565.44504419</v>
      </c>
      <c r="P59" s="255">
        <v>14401683.5476555</v>
      </c>
      <c r="Q59" s="255">
        <v>306444.08080191998</v>
      </c>
      <c r="R59" s="255">
        <v>74995178.8929919</v>
      </c>
      <c r="S59" s="255">
        <v>36722978.2997697</v>
      </c>
      <c r="T59" s="255">
        <v>0</v>
      </c>
      <c r="U59" s="255">
        <v>10957642.0233604</v>
      </c>
      <c r="V59" s="255">
        <v>1657085.31820172</v>
      </c>
      <c r="W59" s="255">
        <v>5967573.6950819297</v>
      </c>
      <c r="X59" s="255">
        <v>35344345.227974996</v>
      </c>
      <c r="Y59" s="255">
        <v>8928341.4533416703</v>
      </c>
      <c r="Z59" s="255">
        <v>474545.61367104796</v>
      </c>
      <c r="AA59" s="255">
        <v>87227.212893670498</v>
      </c>
      <c r="AB59" s="255">
        <v>4414.6576666666597</v>
      </c>
      <c r="AC59" s="255">
        <v>424813.88981022901</v>
      </c>
      <c r="AD59" s="255">
        <v>1013242.52556025</v>
      </c>
      <c r="AE59" s="255">
        <v>2910163.5914812898</v>
      </c>
      <c r="AF59" s="255">
        <v>487604.85633696197</v>
      </c>
      <c r="AG59" s="255">
        <v>180098.50810755402</v>
      </c>
      <c r="AH59" s="255">
        <v>141143.237477421</v>
      </c>
      <c r="AI59" s="255">
        <v>204871.249990574</v>
      </c>
      <c r="AJ59" s="255">
        <v>164213.67052368299</v>
      </c>
      <c r="AK59" s="255">
        <v>6950.7498084297404</v>
      </c>
      <c r="AL59" s="255">
        <v>1698145525.2581208</v>
      </c>
      <c r="AM59" s="255">
        <v>5047175.1017742697</v>
      </c>
      <c r="AN59" s="255">
        <v>121457325.175833</v>
      </c>
      <c r="AO59" s="255">
        <v>22298144.415716097</v>
      </c>
      <c r="AP59" s="255">
        <v>1846948169.9514441</v>
      </c>
      <c r="AQ59" s="255">
        <v>23829791.223515149</v>
      </c>
    </row>
    <row r="60" spans="1:43" x14ac:dyDescent="0.2">
      <c r="A60" s="256"/>
      <c r="B60" s="254">
        <v>5</v>
      </c>
      <c r="C60" s="255">
        <v>589.99999999999795</v>
      </c>
      <c r="D60" s="255">
        <v>437512.23762793303</v>
      </c>
      <c r="E60" s="255">
        <v>789448953.31952894</v>
      </c>
      <c r="F60" s="255">
        <v>165744.375</v>
      </c>
      <c r="G60" s="255">
        <v>19025156.507861</v>
      </c>
      <c r="H60" s="255">
        <v>1803359.98482364</v>
      </c>
      <c r="I60" s="255">
        <v>10097177.083051899</v>
      </c>
      <c r="J60" s="255">
        <v>1144319.32914873</v>
      </c>
      <c r="K60" s="255">
        <v>192648776.1998111</v>
      </c>
      <c r="L60" s="255">
        <v>5963495.5836114306</v>
      </c>
      <c r="M60" s="255">
        <v>215357597.1252459</v>
      </c>
      <c r="N60" s="255">
        <v>11106434.184408799</v>
      </c>
      <c r="O60" s="255">
        <v>153387456.49512532</v>
      </c>
      <c r="P60" s="255">
        <v>14884936.154351201</v>
      </c>
      <c r="Q60" s="255">
        <v>729054.94220848696</v>
      </c>
      <c r="R60" s="255">
        <v>75497003.572890893</v>
      </c>
      <c r="S60" s="255">
        <v>37796592.498389594</v>
      </c>
      <c r="T60" s="255">
        <v>295034.81778026704</v>
      </c>
      <c r="U60" s="255">
        <v>9485871.11489526</v>
      </c>
      <c r="V60" s="255">
        <v>1660732.45154013</v>
      </c>
      <c r="W60" s="255">
        <v>6692743.87302454</v>
      </c>
      <c r="X60" s="255">
        <v>35803585.038821898</v>
      </c>
      <c r="Y60" s="255">
        <v>8957381.5982521791</v>
      </c>
      <c r="Z60" s="255">
        <v>362423.34033970797</v>
      </c>
      <c r="AA60" s="255">
        <v>67729.112893822705</v>
      </c>
      <c r="AB60" s="255">
        <v>4414.6576666666597</v>
      </c>
      <c r="AC60" s="255">
        <v>409555.62302931998</v>
      </c>
      <c r="AD60" s="255">
        <v>970227.811177211</v>
      </c>
      <c r="AE60" s="255">
        <v>2786619.76802572</v>
      </c>
      <c r="AF60" s="255">
        <v>466904.79381686496</v>
      </c>
      <c r="AG60" s="255">
        <v>171667.71657841999</v>
      </c>
      <c r="AH60" s="255">
        <v>129658.90672370599</v>
      </c>
      <c r="AI60" s="255">
        <v>386102.18345145602</v>
      </c>
      <c r="AJ60" s="255">
        <v>158845.935501322</v>
      </c>
      <c r="AK60" s="255">
        <v>6863.1060154495999</v>
      </c>
      <c r="AL60" s="255">
        <v>1598310521.4426191</v>
      </c>
      <c r="AM60" s="255">
        <v>5553870.1915288698</v>
      </c>
      <c r="AN60" s="255">
        <v>124012051.746713</v>
      </c>
      <c r="AO60" s="255">
        <v>24119471.915877998</v>
      </c>
      <c r="AP60" s="255">
        <v>1751995915.2967389</v>
      </c>
      <c r="AQ60" s="255">
        <v>23785628.059987836</v>
      </c>
    </row>
    <row r="61" spans="1:43" x14ac:dyDescent="0.2">
      <c r="A61" s="256"/>
      <c r="B61" s="254">
        <v>6</v>
      </c>
      <c r="C61" s="255">
        <v>589.99999999999795</v>
      </c>
      <c r="D61" s="255">
        <v>317046.47852800199</v>
      </c>
      <c r="E61" s="255">
        <v>767020341.60064495</v>
      </c>
      <c r="F61" s="255">
        <v>183269.5</v>
      </c>
      <c r="G61" s="255">
        <v>17878593.394637801</v>
      </c>
      <c r="H61" s="255">
        <v>1627534.8340841399</v>
      </c>
      <c r="I61" s="255">
        <v>9511057.0586190093</v>
      </c>
      <c r="J61" s="255">
        <v>1028015.2907603399</v>
      </c>
      <c r="K61" s="255">
        <v>189186327.04191715</v>
      </c>
      <c r="L61" s="255">
        <v>5873261.1144727394</v>
      </c>
      <c r="M61" s="255">
        <v>216140453.0040949</v>
      </c>
      <c r="N61" s="255">
        <v>11381021.8134894</v>
      </c>
      <c r="O61" s="255">
        <v>154507034.97651038</v>
      </c>
      <c r="P61" s="255">
        <v>15592385.6536937</v>
      </c>
      <c r="Q61" s="255">
        <v>1459348.3217557101</v>
      </c>
      <c r="R61" s="255">
        <v>74541651.387018889</v>
      </c>
      <c r="S61" s="255">
        <v>39445029.0254637</v>
      </c>
      <c r="T61" s="255">
        <v>634232.55075642106</v>
      </c>
      <c r="U61" s="255">
        <v>8005533.2824183498</v>
      </c>
      <c r="V61" s="255">
        <v>1815545.5544224</v>
      </c>
      <c r="W61" s="255">
        <v>7355250.1617346294</v>
      </c>
      <c r="X61" s="255">
        <v>35017269.984901004</v>
      </c>
      <c r="Y61" s="255">
        <v>8475141.0059440099</v>
      </c>
      <c r="Z61" s="255">
        <v>289404.81533602503</v>
      </c>
      <c r="AA61" s="255">
        <v>63429.272893754896</v>
      </c>
      <c r="AB61" s="255">
        <v>4414.6576666666597</v>
      </c>
      <c r="AC61" s="255">
        <v>389163.19042915397</v>
      </c>
      <c r="AD61" s="255">
        <v>915711.48764955404</v>
      </c>
      <c r="AE61" s="255">
        <v>2630041.8354287101</v>
      </c>
      <c r="AF61" s="255">
        <v>440669.78745743103</v>
      </c>
      <c r="AG61" s="255">
        <v>163091.790117197</v>
      </c>
      <c r="AH61" s="255">
        <v>127965.40229033001</v>
      </c>
      <c r="AI61" s="255">
        <v>212330.89401016399</v>
      </c>
      <c r="AJ61" s="255">
        <v>148217.65894293701</v>
      </c>
      <c r="AK61" s="255">
        <v>6277.7113579041998</v>
      </c>
      <c r="AL61" s="255">
        <v>1572386651.5394471</v>
      </c>
      <c r="AM61" s="255">
        <v>5234280.8655393105</v>
      </c>
      <c r="AN61" s="255">
        <v>137079777.27831399</v>
      </c>
      <c r="AO61" s="255">
        <v>26226713.8752742</v>
      </c>
      <c r="AP61" s="255">
        <v>1740927423.5585747</v>
      </c>
      <c r="AQ61" s="255">
        <v>23967784.899174068</v>
      </c>
    </row>
    <row r="62" spans="1:43" x14ac:dyDescent="0.2">
      <c r="A62" s="256"/>
      <c r="B62" s="254">
        <v>7</v>
      </c>
      <c r="C62" s="255">
        <v>589.99999999999795</v>
      </c>
      <c r="D62" s="255">
        <v>274419.219392706</v>
      </c>
      <c r="E62" s="255">
        <v>858576945.05364907</v>
      </c>
      <c r="F62" s="255">
        <v>214898.875</v>
      </c>
      <c r="G62" s="255">
        <v>18281842.162374601</v>
      </c>
      <c r="H62" s="255">
        <v>1738875.4339266201</v>
      </c>
      <c r="I62" s="255">
        <v>10240868.600960301</v>
      </c>
      <c r="J62" s="255">
        <v>1346652.97650491</v>
      </c>
      <c r="K62" s="255">
        <v>204418117.51105008</v>
      </c>
      <c r="L62" s="255">
        <v>5553862.3162467005</v>
      </c>
      <c r="M62" s="255">
        <v>232345459.6343573</v>
      </c>
      <c r="N62" s="255">
        <v>10784561.636220399</v>
      </c>
      <c r="O62" s="255">
        <v>169881048.17844298</v>
      </c>
      <c r="P62" s="255">
        <v>14813138.8740971</v>
      </c>
      <c r="Q62" s="255">
        <v>2677713.21302666</v>
      </c>
      <c r="R62" s="255">
        <v>79425715.455849901</v>
      </c>
      <c r="S62" s="255">
        <v>37697476.901983</v>
      </c>
      <c r="T62" s="255">
        <v>667235.98307429906</v>
      </c>
      <c r="U62" s="255">
        <v>6286325.1230289098</v>
      </c>
      <c r="V62" s="255">
        <v>2145902.72704635</v>
      </c>
      <c r="W62" s="255">
        <v>7995266.5440982701</v>
      </c>
      <c r="X62" s="255">
        <v>36398301.0092384</v>
      </c>
      <c r="Y62" s="255">
        <v>9224931.1068951599</v>
      </c>
      <c r="Z62" s="255">
        <v>301697.42838983599</v>
      </c>
      <c r="AA62" s="255">
        <v>63472.684004793104</v>
      </c>
      <c r="AB62" s="255">
        <v>4414.6576666666597</v>
      </c>
      <c r="AC62" s="255">
        <v>467975.695839327</v>
      </c>
      <c r="AD62" s="255">
        <v>1093795.10242568</v>
      </c>
      <c r="AE62" s="255">
        <v>3141521.0113291601</v>
      </c>
      <c r="AF62" s="255">
        <v>526369.34428452398</v>
      </c>
      <c r="AG62" s="255">
        <v>173097.379161091</v>
      </c>
      <c r="AH62" s="255">
        <v>131020.19819210599</v>
      </c>
      <c r="AI62" s="255">
        <v>219413.429348445</v>
      </c>
      <c r="AJ62" s="255">
        <v>160038.611641525</v>
      </c>
      <c r="AK62" s="255">
        <v>6967.0414961033503</v>
      </c>
      <c r="AL62" s="255">
        <v>1717279931.1202428</v>
      </c>
      <c r="AM62" s="255">
        <v>5344887.2446765797</v>
      </c>
      <c r="AN62" s="255">
        <v>143474364.02197701</v>
      </c>
      <c r="AO62" s="255">
        <v>27113921.3679916</v>
      </c>
      <c r="AP62" s="255">
        <v>1893213103.7548881</v>
      </c>
      <c r="AQ62" s="255">
        <v>26501194.898765493</v>
      </c>
    </row>
    <row r="63" spans="1:43" x14ac:dyDescent="0.2">
      <c r="A63" s="256"/>
      <c r="B63" s="254">
        <v>8</v>
      </c>
      <c r="C63" s="255">
        <v>589.99999999999795</v>
      </c>
      <c r="D63" s="255">
        <v>267056.67015937698</v>
      </c>
      <c r="E63" s="255">
        <v>870334133.80554092</v>
      </c>
      <c r="F63" s="255">
        <v>236361</v>
      </c>
      <c r="G63" s="255">
        <v>18179034.9982986</v>
      </c>
      <c r="H63" s="255">
        <v>1640508.0293478</v>
      </c>
      <c r="I63" s="255">
        <v>10140004.5249715</v>
      </c>
      <c r="J63" s="255">
        <v>2016401.47511181</v>
      </c>
      <c r="K63" s="255">
        <v>205009456.47581658</v>
      </c>
      <c r="L63" s="255">
        <v>6090160.4578208495</v>
      </c>
      <c r="M63" s="255">
        <v>233190237.25267145</v>
      </c>
      <c r="N63" s="255">
        <v>11985501.8423655</v>
      </c>
      <c r="O63" s="255">
        <v>172006363.94690809</v>
      </c>
      <c r="P63" s="255">
        <v>16476956.924605699</v>
      </c>
      <c r="Q63" s="255">
        <v>3991529.3235808699</v>
      </c>
      <c r="R63" s="255">
        <v>78209377.627646402</v>
      </c>
      <c r="S63" s="255">
        <v>41173184.298536696</v>
      </c>
      <c r="T63" s="255">
        <v>944102.17010634695</v>
      </c>
      <c r="U63" s="255">
        <v>5209541.7844398096</v>
      </c>
      <c r="V63" s="255">
        <v>2138220.6456005103</v>
      </c>
      <c r="W63" s="255">
        <v>7407118.3326828405</v>
      </c>
      <c r="X63" s="255">
        <v>36485158.0381025</v>
      </c>
      <c r="Y63" s="255">
        <v>9303430.0757605303</v>
      </c>
      <c r="Z63" s="255">
        <v>297176.262849961</v>
      </c>
      <c r="AA63" s="255">
        <v>66369.617323953091</v>
      </c>
      <c r="AB63" s="255">
        <v>4414.6576666666597</v>
      </c>
      <c r="AC63" s="255">
        <v>429384.98245444801</v>
      </c>
      <c r="AD63" s="255">
        <v>996930.12647803</v>
      </c>
      <c r="AE63" s="255">
        <v>2863312.2713863798</v>
      </c>
      <c r="AF63" s="255">
        <v>479754.80582057597</v>
      </c>
      <c r="AG63" s="255">
        <v>168233.55608440202</v>
      </c>
      <c r="AH63" s="255">
        <v>131295.14875094302</v>
      </c>
      <c r="AI63" s="255">
        <v>201834.65384061</v>
      </c>
      <c r="AJ63" s="255">
        <v>152723.11175788098</v>
      </c>
      <c r="AK63" s="255">
        <v>6507.0696313013395</v>
      </c>
      <c r="AL63" s="255">
        <v>1738232365.9641201</v>
      </c>
      <c r="AM63" s="255">
        <v>5373837.7060061106</v>
      </c>
      <c r="AN63" s="255">
        <v>142991881.27336201</v>
      </c>
      <c r="AO63" s="255">
        <v>28214043.658979401</v>
      </c>
      <c r="AP63" s="255">
        <v>1914812128.6024675</v>
      </c>
      <c r="AQ63" s="255">
        <v>27158082.160451736</v>
      </c>
    </row>
    <row r="64" spans="1:43" x14ac:dyDescent="0.2">
      <c r="A64" s="256"/>
      <c r="B64" s="254">
        <v>9</v>
      </c>
      <c r="C64" s="255">
        <v>589.99999999999795</v>
      </c>
      <c r="D64" s="255">
        <v>303295.96779737499</v>
      </c>
      <c r="E64" s="255">
        <v>787558296.10632503</v>
      </c>
      <c r="F64" s="255">
        <v>198473.625</v>
      </c>
      <c r="G64" s="255">
        <v>16389601.608171098</v>
      </c>
      <c r="H64" s="255">
        <v>1471706.9757727298</v>
      </c>
      <c r="I64" s="255">
        <v>9058849.3802132998</v>
      </c>
      <c r="J64" s="255">
        <v>1296380.4394988099</v>
      </c>
      <c r="K64" s="255">
        <v>184739954.56608966</v>
      </c>
      <c r="L64" s="255">
        <v>5555880.2890401399</v>
      </c>
      <c r="M64" s="255">
        <v>210902072.3894532</v>
      </c>
      <c r="N64" s="255">
        <v>10876828.693547001</v>
      </c>
      <c r="O64" s="255">
        <v>150858738.67688489</v>
      </c>
      <c r="P64" s="255">
        <v>14445112.1278759</v>
      </c>
      <c r="Q64" s="255">
        <v>2845532.2055613701</v>
      </c>
      <c r="R64" s="255">
        <v>69252361.574829206</v>
      </c>
      <c r="S64" s="255">
        <v>37355562.452123798</v>
      </c>
      <c r="T64" s="255">
        <v>751323.14343498403</v>
      </c>
      <c r="U64" s="255">
        <v>5730101.0897917505</v>
      </c>
      <c r="V64" s="255">
        <v>1842915.0100946599</v>
      </c>
      <c r="W64" s="255">
        <v>6306091.0333283497</v>
      </c>
      <c r="X64" s="255">
        <v>35629817.833301</v>
      </c>
      <c r="Y64" s="255">
        <v>8117441.2472930998</v>
      </c>
      <c r="Z64" s="255">
        <v>391999.94440457301</v>
      </c>
      <c r="AA64" s="255">
        <v>67440.283997858001</v>
      </c>
      <c r="AB64" s="255">
        <v>4414.6576666666597</v>
      </c>
      <c r="AC64" s="255">
        <v>432990.19349078101</v>
      </c>
      <c r="AD64" s="255">
        <v>998666.06053035299</v>
      </c>
      <c r="AE64" s="255">
        <v>2868298.0985194198</v>
      </c>
      <c r="AF64" s="255">
        <v>480590.19305792602</v>
      </c>
      <c r="AG64" s="255">
        <v>170482.37239536102</v>
      </c>
      <c r="AH64" s="255">
        <v>128577.72208982101</v>
      </c>
      <c r="AI64" s="255">
        <v>251576.916397503</v>
      </c>
      <c r="AJ64" s="255">
        <v>157647.37316356899</v>
      </c>
      <c r="AK64" s="255">
        <v>6907.6754409905197</v>
      </c>
      <c r="AL64" s="255">
        <v>1567446517.9265819</v>
      </c>
      <c r="AM64" s="255">
        <v>4790702.3716885494</v>
      </c>
      <c r="AN64" s="255">
        <v>134235898.30594698</v>
      </c>
      <c r="AO64" s="255">
        <v>26013386.759953599</v>
      </c>
      <c r="AP64" s="255">
        <v>1732486505.364171</v>
      </c>
      <c r="AQ64" s="255">
        <v>24727065.127612658</v>
      </c>
    </row>
    <row r="65" spans="1:43" x14ac:dyDescent="0.2">
      <c r="A65" s="256"/>
      <c r="B65" s="254">
        <v>10</v>
      </c>
      <c r="C65" s="255">
        <v>589.99999999999795</v>
      </c>
      <c r="D65" s="255">
        <v>473011.79202309402</v>
      </c>
      <c r="E65" s="255">
        <v>907121990.54273498</v>
      </c>
      <c r="F65" s="255">
        <v>173928</v>
      </c>
      <c r="G65" s="255">
        <v>18200809.9257195</v>
      </c>
      <c r="H65" s="255">
        <v>1578898.0539895999</v>
      </c>
      <c r="I65" s="255">
        <v>9985143.8436101507</v>
      </c>
      <c r="J65" s="255">
        <v>1107771.0429174101</v>
      </c>
      <c r="K65" s="255">
        <v>193711509.25595492</v>
      </c>
      <c r="L65" s="255">
        <v>5473808.0976193501</v>
      </c>
      <c r="M65" s="255">
        <v>223525795.66164148</v>
      </c>
      <c r="N65" s="255">
        <v>10864235.762819299</v>
      </c>
      <c r="O65" s="255">
        <v>158312894.3759827</v>
      </c>
      <c r="P65" s="255">
        <v>14669146.637211101</v>
      </c>
      <c r="Q65" s="255">
        <v>1278671.72914976</v>
      </c>
      <c r="R65" s="255">
        <v>73432095.433387294</v>
      </c>
      <c r="S65" s="255">
        <v>37924607.9077897</v>
      </c>
      <c r="T65" s="255">
        <v>761341.88298350899</v>
      </c>
      <c r="U65" s="255">
        <v>8277467.6590932198</v>
      </c>
      <c r="V65" s="255">
        <v>1494569.6702938101</v>
      </c>
      <c r="W65" s="255">
        <v>6083394.8949097106</v>
      </c>
      <c r="X65" s="255">
        <v>36124526.615186498</v>
      </c>
      <c r="Y65" s="255">
        <v>8507877.8371961303</v>
      </c>
      <c r="Z65" s="255">
        <v>522984.68699255201</v>
      </c>
      <c r="AA65" s="255">
        <v>71363.639537717099</v>
      </c>
      <c r="AB65" s="255">
        <v>4414.6576666666597</v>
      </c>
      <c r="AC65" s="255">
        <v>481397.024551332</v>
      </c>
      <c r="AD65" s="255">
        <v>1103034.0236420599</v>
      </c>
      <c r="AE65" s="255">
        <v>3168056.38807286</v>
      </c>
      <c r="AF65" s="255">
        <v>530815.40999809199</v>
      </c>
      <c r="AG65" s="255">
        <v>177628.22779361802</v>
      </c>
      <c r="AH65" s="255">
        <v>139020.90726951102</v>
      </c>
      <c r="AI65" s="255">
        <v>445626.53312734998</v>
      </c>
      <c r="AJ65" s="255">
        <v>161513.48308016901</v>
      </c>
      <c r="AK65" s="255">
        <v>6877.1591295978396</v>
      </c>
      <c r="AL65" s="255">
        <v>1725896818.7630749</v>
      </c>
      <c r="AM65" s="255">
        <v>4605099.4704969795</v>
      </c>
      <c r="AN65" s="255">
        <v>134411770.26131499</v>
      </c>
      <c r="AO65" s="255">
        <v>26422687.3499359</v>
      </c>
      <c r="AP65" s="255">
        <v>1891336375.8448229</v>
      </c>
      <c r="AQ65" s="255">
        <v>24717579.058784436</v>
      </c>
    </row>
    <row r="66" spans="1:43" x14ac:dyDescent="0.2">
      <c r="A66" s="256"/>
      <c r="B66" s="254">
        <v>11</v>
      </c>
      <c r="C66" s="255">
        <v>589.99999999999795</v>
      </c>
      <c r="D66" s="255">
        <v>648423.40686723904</v>
      </c>
      <c r="E66" s="255">
        <v>1076785586.9198499</v>
      </c>
      <c r="F66" s="255">
        <v>196629.25</v>
      </c>
      <c r="G66" s="255">
        <v>20592487.1309851</v>
      </c>
      <c r="H66" s="255">
        <v>1746549.8880058001</v>
      </c>
      <c r="I66" s="255">
        <v>11224528.2194649</v>
      </c>
      <c r="J66" s="255">
        <v>1195582.3948837598</v>
      </c>
      <c r="K66" s="255">
        <v>203159072.1974107</v>
      </c>
      <c r="L66" s="255">
        <v>5785862.08233192</v>
      </c>
      <c r="M66" s="255">
        <v>225487186.10055381</v>
      </c>
      <c r="N66" s="255">
        <v>10684226.1760982</v>
      </c>
      <c r="O66" s="255">
        <v>160539510.91153258</v>
      </c>
      <c r="P66" s="255">
        <v>13713647.6813653</v>
      </c>
      <c r="Q66" s="255">
        <v>366688.22940770799</v>
      </c>
      <c r="R66" s="255">
        <v>74471729.201131195</v>
      </c>
      <c r="S66" s="255">
        <v>36103943.948902003</v>
      </c>
      <c r="T66" s="255">
        <v>300805.10047807003</v>
      </c>
      <c r="U66" s="255">
        <v>10746381.1078781</v>
      </c>
      <c r="V66" s="255">
        <v>1509637.5148641099</v>
      </c>
      <c r="W66" s="255">
        <v>5061673.7030187398</v>
      </c>
      <c r="X66" s="255">
        <v>35667649.876858294</v>
      </c>
      <c r="Y66" s="255">
        <v>8264407.8165432606</v>
      </c>
      <c r="Z66" s="255">
        <v>556165.94361081196</v>
      </c>
      <c r="AA66" s="255">
        <v>89630.050449432907</v>
      </c>
      <c r="AB66" s="255">
        <v>4414.6576666666597</v>
      </c>
      <c r="AC66" s="255">
        <v>418081.83154858701</v>
      </c>
      <c r="AD66" s="255">
        <v>951719.01647462801</v>
      </c>
      <c r="AE66" s="255">
        <v>2733460.1156158703</v>
      </c>
      <c r="AF66" s="255">
        <v>457997.76716307004</v>
      </c>
      <c r="AG66" s="255">
        <v>167883.09057871898</v>
      </c>
      <c r="AH66" s="255">
        <v>126615.17975819101</v>
      </c>
      <c r="AI66" s="255">
        <v>219599.27265159701</v>
      </c>
      <c r="AJ66" s="255">
        <v>155348.44594613501</v>
      </c>
      <c r="AK66" s="255">
        <v>6756.1468279499395</v>
      </c>
      <c r="AL66" s="255">
        <v>1910140470.3767226</v>
      </c>
      <c r="AM66" s="255">
        <v>4517716.9292210797</v>
      </c>
      <c r="AN66" s="255">
        <v>132853726.37793098</v>
      </c>
      <c r="AO66" s="255">
        <v>24913391.402013503</v>
      </c>
      <c r="AP66" s="255">
        <v>2072425305.0858881</v>
      </c>
      <c r="AQ66" s="255">
        <v>26154662.348557077</v>
      </c>
    </row>
    <row r="67" spans="1:43" x14ac:dyDescent="0.2">
      <c r="A67" s="258"/>
      <c r="B67" s="259">
        <v>12</v>
      </c>
      <c r="C67" s="260">
        <v>589.99999999999795</v>
      </c>
      <c r="D67" s="260">
        <v>852577.99564054003</v>
      </c>
      <c r="E67" s="260">
        <v>1293846616.1417</v>
      </c>
      <c r="F67" s="260">
        <v>242994.14285714302</v>
      </c>
      <c r="G67" s="260">
        <v>26809316.925138798</v>
      </c>
      <c r="H67" s="260">
        <v>2234985.3660407499</v>
      </c>
      <c r="I67" s="260">
        <v>13344574.8126959</v>
      </c>
      <c r="J67" s="260">
        <v>1436209.65225947</v>
      </c>
      <c r="K67" s="260">
        <v>236833508.62528446</v>
      </c>
      <c r="L67" s="260">
        <v>6007873.2856672406</v>
      </c>
      <c r="M67" s="260">
        <v>255389868.8243199</v>
      </c>
      <c r="N67" s="260">
        <v>10469628.8260701</v>
      </c>
      <c r="O67" s="260">
        <v>171801200.88718769</v>
      </c>
      <c r="P67" s="260">
        <v>12754717.711288</v>
      </c>
      <c r="Q67" s="260">
        <v>265262.44247496699</v>
      </c>
      <c r="R67" s="260">
        <v>79263111.980726302</v>
      </c>
      <c r="S67" s="260">
        <v>34009958.3261685</v>
      </c>
      <c r="T67" s="260">
        <v>0</v>
      </c>
      <c r="U67" s="260">
        <v>14052758.044756599</v>
      </c>
      <c r="V67" s="260">
        <v>1678761.8524321399</v>
      </c>
      <c r="W67" s="260">
        <v>5435672.4201611495</v>
      </c>
      <c r="X67" s="260">
        <v>36700478.686019205</v>
      </c>
      <c r="Y67" s="260">
        <v>8744044.1618935</v>
      </c>
      <c r="Z67" s="260">
        <v>730066.70761286106</v>
      </c>
      <c r="AA67" s="260">
        <v>108908.459927082</v>
      </c>
      <c r="AB67" s="260">
        <v>4414.6576666666597</v>
      </c>
      <c r="AC67" s="260">
        <v>456763.18843630602</v>
      </c>
      <c r="AD67" s="260">
        <v>1033044.2366167199</v>
      </c>
      <c r="AE67" s="260">
        <v>2967036.6668920303</v>
      </c>
      <c r="AF67" s="260">
        <v>497134.07587852603</v>
      </c>
      <c r="AG67" s="260">
        <v>175151.332152958</v>
      </c>
      <c r="AH67" s="260">
        <v>136494.50441758599</v>
      </c>
      <c r="AI67" s="260">
        <v>224963.33664478801</v>
      </c>
      <c r="AJ67" s="260">
        <v>158841.839117539</v>
      </c>
      <c r="AK67" s="260">
        <v>6792.7742175639205</v>
      </c>
      <c r="AL67" s="260">
        <v>2218674322.8903632</v>
      </c>
      <c r="AM67" s="260">
        <v>4921377.52026542</v>
      </c>
      <c r="AN67" s="260">
        <v>135866925.057596</v>
      </c>
      <c r="AO67" s="260">
        <v>25524731.402940601</v>
      </c>
      <c r="AP67" s="260">
        <v>2384987356.8711658</v>
      </c>
      <c r="AQ67" s="260">
        <v>28887425.540378567</v>
      </c>
    </row>
    <row r="68" spans="1:43" x14ac:dyDescent="0.2">
      <c r="A68" s="254">
        <f>A56+1</f>
        <v>2028</v>
      </c>
      <c r="B68" s="254">
        <v>1</v>
      </c>
      <c r="C68" s="255">
        <v>589.99999999999795</v>
      </c>
      <c r="D68" s="255">
        <v>848338.76699972199</v>
      </c>
      <c r="E68" s="255">
        <v>1237735474.3236001</v>
      </c>
      <c r="F68" s="255">
        <v>259810</v>
      </c>
      <c r="G68" s="255">
        <v>27664640.624051601</v>
      </c>
      <c r="H68" s="255">
        <v>2410388.7589450702</v>
      </c>
      <c r="I68" s="255">
        <v>13575620.8932143</v>
      </c>
      <c r="J68" s="255">
        <v>1525936.7607140301</v>
      </c>
      <c r="K68" s="255">
        <v>238935556.26167402</v>
      </c>
      <c r="L68" s="255">
        <v>6926897.1100676497</v>
      </c>
      <c r="M68" s="255">
        <v>245626754.07102787</v>
      </c>
      <c r="N68" s="255">
        <v>11214552.2786729</v>
      </c>
      <c r="O68" s="255">
        <v>171036004.3485429</v>
      </c>
      <c r="P68" s="255">
        <v>13300318.2843548</v>
      </c>
      <c r="Q68" s="255">
        <v>291272.37562542199</v>
      </c>
      <c r="R68" s="255">
        <v>79543247.378206506</v>
      </c>
      <c r="S68" s="255">
        <v>36103163.486122102</v>
      </c>
      <c r="T68" s="255">
        <v>0</v>
      </c>
      <c r="U68" s="255">
        <v>14665438.332680101</v>
      </c>
      <c r="V68" s="255">
        <v>1657346.54837741</v>
      </c>
      <c r="W68" s="255">
        <v>5694825.5847503999</v>
      </c>
      <c r="X68" s="255">
        <v>37297941.700092502</v>
      </c>
      <c r="Y68" s="255">
        <v>8767544.1787216701</v>
      </c>
      <c r="Z68" s="255">
        <v>751517.36956114101</v>
      </c>
      <c r="AA68" s="255">
        <v>110190.418926181</v>
      </c>
      <c r="AB68" s="255">
        <v>4414.6576666666597</v>
      </c>
      <c r="AC68" s="255">
        <v>455122.03441931499</v>
      </c>
      <c r="AD68" s="255">
        <v>1022714.1024994999</v>
      </c>
      <c r="AE68" s="255">
        <v>2937367.18555396</v>
      </c>
      <c r="AF68" s="255">
        <v>492162.88345903897</v>
      </c>
      <c r="AG68" s="255">
        <v>175322.76991466302</v>
      </c>
      <c r="AH68" s="255">
        <v>128872.948711269</v>
      </c>
      <c r="AI68" s="255">
        <v>339065.73968799401</v>
      </c>
      <c r="AJ68" s="255">
        <v>158624.77813680802</v>
      </c>
      <c r="AK68" s="255">
        <v>6987.3273229392098</v>
      </c>
      <c r="AL68" s="255">
        <v>2161664024.2823005</v>
      </c>
      <c r="AM68" s="255">
        <v>5653106.0843380503</v>
      </c>
      <c r="AN68" s="255">
        <v>136683004.35002202</v>
      </c>
      <c r="AO68" s="255">
        <v>26157696.099158999</v>
      </c>
      <c r="AP68" s="255">
        <v>2330157830.8158193</v>
      </c>
      <c r="AQ68" s="255">
        <v>26657308.277561836</v>
      </c>
    </row>
    <row r="69" spans="1:43" x14ac:dyDescent="0.2">
      <c r="A69" s="256"/>
      <c r="B69" s="254">
        <v>2</v>
      </c>
      <c r="C69" s="255">
        <v>589.99999999999795</v>
      </c>
      <c r="D69" s="255">
        <v>866045.65049555805</v>
      </c>
      <c r="E69" s="255">
        <v>1102326005.8205299</v>
      </c>
      <c r="F69" s="255">
        <v>233365.535</v>
      </c>
      <c r="G69" s="255">
        <v>24592171.802913599</v>
      </c>
      <c r="H69" s="255">
        <v>2103700.4775126004</v>
      </c>
      <c r="I69" s="255">
        <v>11853362.040392799</v>
      </c>
      <c r="J69" s="255">
        <v>1373474.1838775401</v>
      </c>
      <c r="K69" s="255">
        <v>212124985.43315288</v>
      </c>
      <c r="L69" s="255">
        <v>6612412.0984454006</v>
      </c>
      <c r="M69" s="255">
        <v>223180979.02993792</v>
      </c>
      <c r="N69" s="255">
        <v>11441235.810331801</v>
      </c>
      <c r="O69" s="255">
        <v>157979169.77197853</v>
      </c>
      <c r="P69" s="255">
        <v>13743678.352251999</v>
      </c>
      <c r="Q69" s="255">
        <v>267856.63675643899</v>
      </c>
      <c r="R69" s="255">
        <v>73739015.191208288</v>
      </c>
      <c r="S69" s="255">
        <v>36150725.722292699</v>
      </c>
      <c r="T69" s="255">
        <v>0</v>
      </c>
      <c r="U69" s="255">
        <v>13597494.4712408</v>
      </c>
      <c r="V69" s="255">
        <v>1625538.23719315</v>
      </c>
      <c r="W69" s="255">
        <v>5785960.6048103394</v>
      </c>
      <c r="X69" s="255">
        <v>35128269.267435603</v>
      </c>
      <c r="Y69" s="255">
        <v>8503379.1049168911</v>
      </c>
      <c r="Z69" s="255">
        <v>581415.29800593609</v>
      </c>
      <c r="AA69" s="255">
        <v>107716.87058862101</v>
      </c>
      <c r="AB69" s="255">
        <v>4414.6576666666597</v>
      </c>
      <c r="AC69" s="255">
        <v>407324.370048307</v>
      </c>
      <c r="AD69" s="255">
        <v>909459.348341704</v>
      </c>
      <c r="AE69" s="255">
        <v>2612084.8826522604</v>
      </c>
      <c r="AF69" s="255">
        <v>437661.05715634301</v>
      </c>
      <c r="AG69" s="255">
        <v>181041.31063921301</v>
      </c>
      <c r="AH69" s="255">
        <v>138871.14709596901</v>
      </c>
      <c r="AI69" s="255">
        <v>193391.71934945302</v>
      </c>
      <c r="AJ69" s="255">
        <v>161628.46159122401</v>
      </c>
      <c r="AK69" s="255">
        <v>6937.16126750077</v>
      </c>
      <c r="AL69" s="255">
        <v>1948971361.5270777</v>
      </c>
      <c r="AM69" s="255">
        <v>5301053.16534964</v>
      </c>
      <c r="AN69" s="255">
        <v>128149360.88372999</v>
      </c>
      <c r="AO69" s="255">
        <v>23840885.566920597</v>
      </c>
      <c r="AP69" s="255">
        <v>2106262661.1430779</v>
      </c>
      <c r="AQ69" s="255">
        <v>23431945.037921585</v>
      </c>
    </row>
    <row r="70" spans="1:43" x14ac:dyDescent="0.2">
      <c r="A70" s="256"/>
      <c r="B70" s="254">
        <v>3</v>
      </c>
      <c r="C70" s="255">
        <v>589.99999999999795</v>
      </c>
      <c r="D70" s="255">
        <v>821425.47760367196</v>
      </c>
      <c r="E70" s="255">
        <v>1077187348.1073301</v>
      </c>
      <c r="F70" s="255">
        <v>213526.34</v>
      </c>
      <c r="G70" s="255">
        <v>24545262.121057898</v>
      </c>
      <c r="H70" s="255">
        <v>2260618.1329889102</v>
      </c>
      <c r="I70" s="255">
        <v>12154444.4161037</v>
      </c>
      <c r="J70" s="255">
        <v>1435106.1192234699</v>
      </c>
      <c r="K70" s="255">
        <v>221971941.00294271</v>
      </c>
      <c r="L70" s="255">
        <v>7030140.1228489904</v>
      </c>
      <c r="M70" s="255">
        <v>233414532.21801972</v>
      </c>
      <c r="N70" s="255">
        <v>11889192.654948199</v>
      </c>
      <c r="O70" s="255">
        <v>164171109.6113956</v>
      </c>
      <c r="P70" s="255">
        <v>14339266.527813898</v>
      </c>
      <c r="Q70" s="255">
        <v>283191.173764985</v>
      </c>
      <c r="R70" s="255">
        <v>78251572.631439805</v>
      </c>
      <c r="S70" s="255">
        <v>37497048.290038399</v>
      </c>
      <c r="T70" s="255">
        <v>0</v>
      </c>
      <c r="U70" s="255">
        <v>14165574.593720799</v>
      </c>
      <c r="V70" s="255">
        <v>1622517.6844206902</v>
      </c>
      <c r="W70" s="255">
        <v>6524869.5706383996</v>
      </c>
      <c r="X70" s="255">
        <v>36826065.977652401</v>
      </c>
      <c r="Y70" s="255">
        <v>8295743.2862124098</v>
      </c>
      <c r="Z70" s="255">
        <v>606314.25361138897</v>
      </c>
      <c r="AA70" s="255">
        <v>103698.75067091201</v>
      </c>
      <c r="AB70" s="255">
        <v>4414.6576666666597</v>
      </c>
      <c r="AC70" s="255">
        <v>491649.27521558001</v>
      </c>
      <c r="AD70" s="255">
        <v>1090768.38291582</v>
      </c>
      <c r="AE70" s="255">
        <v>3132827.8814051701</v>
      </c>
      <c r="AF70" s="255">
        <v>524912.78961518698</v>
      </c>
      <c r="AG70" s="255">
        <v>171059.325677607</v>
      </c>
      <c r="AH70" s="255">
        <v>126322.907584026</v>
      </c>
      <c r="AI70" s="255">
        <v>246576.674642228</v>
      </c>
      <c r="AJ70" s="255">
        <v>155067.528652465</v>
      </c>
      <c r="AK70" s="255">
        <v>6850.9812014573899</v>
      </c>
      <c r="AL70" s="255">
        <v>1961561549.469023</v>
      </c>
      <c r="AM70" s="255">
        <v>5464472.9703247808</v>
      </c>
      <c r="AN70" s="255">
        <v>133859893.520163</v>
      </c>
      <c r="AO70" s="255">
        <v>24952518.149711598</v>
      </c>
      <c r="AP70" s="255">
        <v>2125838434.1092224</v>
      </c>
      <c r="AQ70" s="255">
        <v>24954588.829289552</v>
      </c>
    </row>
    <row r="71" spans="1:43" x14ac:dyDescent="0.2">
      <c r="A71" s="256"/>
      <c r="B71" s="254">
        <v>4</v>
      </c>
      <c r="C71" s="255">
        <v>589.99999999999795</v>
      </c>
      <c r="D71" s="255">
        <v>582352.77084139397</v>
      </c>
      <c r="E71" s="255">
        <v>911623435.08373308</v>
      </c>
      <c r="F71" s="255">
        <v>180149.25</v>
      </c>
      <c r="G71" s="255">
        <v>20924854.906342</v>
      </c>
      <c r="H71" s="255">
        <v>1974453.81628361</v>
      </c>
      <c r="I71" s="255">
        <v>10425001.0118264</v>
      </c>
      <c r="J71" s="255">
        <v>1237733.4683106202</v>
      </c>
      <c r="K71" s="255">
        <v>195636967.30633739</v>
      </c>
      <c r="L71" s="255">
        <v>6127404.94416006</v>
      </c>
      <c r="M71" s="255">
        <v>211838254.4223153</v>
      </c>
      <c r="N71" s="255">
        <v>10995493.691194801</v>
      </c>
      <c r="O71" s="255">
        <v>154955105.24875399</v>
      </c>
      <c r="P71" s="255">
        <v>14087711.9325884</v>
      </c>
      <c r="Q71" s="255">
        <v>304560.932129258</v>
      </c>
      <c r="R71" s="255">
        <v>73988900.733472705</v>
      </c>
      <c r="S71" s="255">
        <v>35922379.344189301</v>
      </c>
      <c r="T71" s="255">
        <v>0</v>
      </c>
      <c r="U71" s="255">
        <v>10890305.5325468</v>
      </c>
      <c r="V71" s="255">
        <v>1656934.4621775299</v>
      </c>
      <c r="W71" s="255">
        <v>5966181.3496430004</v>
      </c>
      <c r="X71" s="255">
        <v>35343289.235805698</v>
      </c>
      <c r="Y71" s="255">
        <v>8927297.1942624692</v>
      </c>
      <c r="Z71" s="255">
        <v>421662.10676877503</v>
      </c>
      <c r="AA71" s="255">
        <v>87227.212893670498</v>
      </c>
      <c r="AB71" s="255">
        <v>4414.6576666666597</v>
      </c>
      <c r="AC71" s="255">
        <v>457617.44864329498</v>
      </c>
      <c r="AD71" s="255">
        <v>1008861.28422023</v>
      </c>
      <c r="AE71" s="255">
        <v>2897580.09966014</v>
      </c>
      <c r="AF71" s="255">
        <v>485496.46224542998</v>
      </c>
      <c r="AG71" s="255">
        <v>181067.15428430602</v>
      </c>
      <c r="AH71" s="255">
        <v>139221.387057663</v>
      </c>
      <c r="AI71" s="255">
        <v>203985.39061614202</v>
      </c>
      <c r="AJ71" s="255">
        <v>161677.38075053602</v>
      </c>
      <c r="AK71" s="255">
        <v>6988.1338894987302</v>
      </c>
      <c r="AL71" s="255">
        <v>1719645155.3556099</v>
      </c>
      <c r="AM71" s="255">
        <v>5042898.7400535801</v>
      </c>
      <c r="AN71" s="255">
        <v>121354417.025114</v>
      </c>
      <c r="AO71" s="255">
        <v>22279251.682791401</v>
      </c>
      <c r="AP71" s="255">
        <v>1868321722.8035691</v>
      </c>
      <c r="AQ71" s="255">
        <v>23829791.223515149</v>
      </c>
    </row>
    <row r="72" spans="1:43" x14ac:dyDescent="0.2">
      <c r="A72" s="256"/>
      <c r="B72" s="254">
        <v>5</v>
      </c>
      <c r="C72" s="255">
        <v>589.99999999999795</v>
      </c>
      <c r="D72" s="255">
        <v>436400.459138342</v>
      </c>
      <c r="E72" s="255">
        <v>804394263.22580302</v>
      </c>
      <c r="F72" s="255">
        <v>165744.375</v>
      </c>
      <c r="G72" s="255">
        <v>18871151.211345401</v>
      </c>
      <c r="H72" s="255">
        <v>1771338.7865935999</v>
      </c>
      <c r="I72" s="255">
        <v>10047530.7276779</v>
      </c>
      <c r="J72" s="255">
        <v>1124000.3266281502</v>
      </c>
      <c r="K72" s="255">
        <v>194787330.89877149</v>
      </c>
      <c r="L72" s="255">
        <v>5832333.1913896101</v>
      </c>
      <c r="M72" s="255">
        <v>216631183.1052011</v>
      </c>
      <c r="N72" s="255">
        <v>10862156.905041801</v>
      </c>
      <c r="O72" s="255">
        <v>158960178.46881133</v>
      </c>
      <c r="P72" s="255">
        <v>14557553.697753198</v>
      </c>
      <c r="Q72" s="255">
        <v>723153.37064956001</v>
      </c>
      <c r="R72" s="255">
        <v>74305239.304198995</v>
      </c>
      <c r="S72" s="255">
        <v>36965286.191473596</v>
      </c>
      <c r="T72" s="255">
        <v>292646.56280975603</v>
      </c>
      <c r="U72" s="255">
        <v>9409084.6562317498</v>
      </c>
      <c r="V72" s="255">
        <v>1660490.92250942</v>
      </c>
      <c r="W72" s="255">
        <v>6691284.7282445896</v>
      </c>
      <c r="X72" s="255">
        <v>35800971.948708296</v>
      </c>
      <c r="Y72" s="255">
        <v>8956287.23966722</v>
      </c>
      <c r="Z72" s="255">
        <v>312683.46038443502</v>
      </c>
      <c r="AA72" s="255">
        <v>67729.112893822705</v>
      </c>
      <c r="AB72" s="255">
        <v>4414.6576666666597</v>
      </c>
      <c r="AC72" s="255">
        <v>441662.07510364702</v>
      </c>
      <c r="AD72" s="255">
        <v>967582.519908658</v>
      </c>
      <c r="AE72" s="255">
        <v>2779022.1493466701</v>
      </c>
      <c r="AF72" s="255">
        <v>465631.79467161198</v>
      </c>
      <c r="AG72" s="255">
        <v>171992.75364263399</v>
      </c>
      <c r="AH72" s="255">
        <v>127315.581006184</v>
      </c>
      <c r="AI72" s="255">
        <v>385049.48972026497</v>
      </c>
      <c r="AJ72" s="255">
        <v>155844.73668763498</v>
      </c>
      <c r="AK72" s="255">
        <v>6876.1006767354402</v>
      </c>
      <c r="AL72" s="255">
        <v>1619132004.7353568</v>
      </c>
      <c r="AM72" s="255">
        <v>5549236.3612808604</v>
      </c>
      <c r="AN72" s="255">
        <v>123908583.21455701</v>
      </c>
      <c r="AO72" s="255">
        <v>24099348.014044601</v>
      </c>
      <c r="AP72" s="255">
        <v>1772689172.3252392</v>
      </c>
      <c r="AQ72" s="255">
        <v>23785628.059987836</v>
      </c>
    </row>
    <row r="73" spans="1:43" x14ac:dyDescent="0.2">
      <c r="A73" s="256"/>
      <c r="B73" s="254">
        <v>6</v>
      </c>
      <c r="C73" s="255">
        <v>589.99999999999795</v>
      </c>
      <c r="D73" s="255">
        <v>316490.58928320697</v>
      </c>
      <c r="E73" s="255">
        <v>783395722.53286302</v>
      </c>
      <c r="F73" s="255">
        <v>183269.5</v>
      </c>
      <c r="G73" s="255">
        <v>17761278.290790498</v>
      </c>
      <c r="H73" s="255">
        <v>1601759.5019894401</v>
      </c>
      <c r="I73" s="255">
        <v>9486343.1853101496</v>
      </c>
      <c r="J73" s="255">
        <v>1011734.5728532</v>
      </c>
      <c r="K73" s="255">
        <v>191555506.3215093</v>
      </c>
      <c r="L73" s="255">
        <v>5753549.4452745998</v>
      </c>
      <c r="M73" s="255">
        <v>217613130.64835772</v>
      </c>
      <c r="N73" s="255">
        <v>11149048.2826147</v>
      </c>
      <c r="O73" s="255">
        <v>159954909.32773069</v>
      </c>
      <c r="P73" s="255">
        <v>15274574.0534593</v>
      </c>
      <c r="Q73" s="255">
        <v>1449772.4230182001</v>
      </c>
      <c r="R73" s="255">
        <v>73486471.959670097</v>
      </c>
      <c r="S73" s="255">
        <v>38641041.228195198</v>
      </c>
      <c r="T73" s="255">
        <v>630070.86667351099</v>
      </c>
      <c r="U73" s="255">
        <v>7953002.8653072808</v>
      </c>
      <c r="V73" s="255">
        <v>1816769.14934614</v>
      </c>
      <c r="W73" s="255">
        <v>7353850.5917766998</v>
      </c>
      <c r="X73" s="255">
        <v>35043147.640328698</v>
      </c>
      <c r="Y73" s="255">
        <v>8474091.328475561</v>
      </c>
      <c r="Z73" s="255">
        <v>242294.67139904198</v>
      </c>
      <c r="AA73" s="255">
        <v>63429.272893754896</v>
      </c>
      <c r="AB73" s="255">
        <v>4414.6576666666597</v>
      </c>
      <c r="AC73" s="255">
        <v>418924.779335987</v>
      </c>
      <c r="AD73" s="255">
        <v>912052.93570214405</v>
      </c>
      <c r="AE73" s="255">
        <v>2619534.00101955</v>
      </c>
      <c r="AF73" s="255">
        <v>438909.17471989099</v>
      </c>
      <c r="AG73" s="255">
        <v>163119.67544233202</v>
      </c>
      <c r="AH73" s="255">
        <v>125571.65144963299</v>
      </c>
      <c r="AI73" s="255">
        <v>211482.56610748501</v>
      </c>
      <c r="AJ73" s="255">
        <v>145161.943681504</v>
      </c>
      <c r="AK73" s="255">
        <v>6278.7847167911805</v>
      </c>
      <c r="AL73" s="255">
        <v>1595257298.4189615</v>
      </c>
      <c r="AM73" s="255">
        <v>5235207.1793291997</v>
      </c>
      <c r="AN73" s="255">
        <v>137104036.36781901</v>
      </c>
      <c r="AO73" s="255">
        <v>26231355.232387099</v>
      </c>
      <c r="AP73" s="255">
        <v>1763827897.1984968</v>
      </c>
      <c r="AQ73" s="255">
        <v>23967784.899174068</v>
      </c>
    </row>
    <row r="74" spans="1:43" x14ac:dyDescent="0.2">
      <c r="A74" s="256"/>
      <c r="B74" s="254">
        <v>7</v>
      </c>
      <c r="C74" s="255">
        <v>589.99999999999795</v>
      </c>
      <c r="D74" s="255">
        <v>274419.219392706</v>
      </c>
      <c r="E74" s="255">
        <v>880674139.88636398</v>
      </c>
      <c r="F74" s="255">
        <v>214898.875</v>
      </c>
      <c r="G74" s="255">
        <v>18229250.897789799</v>
      </c>
      <c r="H74" s="255">
        <v>1719037.43945621</v>
      </c>
      <c r="I74" s="255">
        <v>10259473.5193698</v>
      </c>
      <c r="J74" s="255">
        <v>1331289.65962767</v>
      </c>
      <c r="K74" s="255">
        <v>207485160.4223412</v>
      </c>
      <c r="L74" s="255">
        <v>5438655.9031050503</v>
      </c>
      <c r="M74" s="255">
        <v>234595441.99892208</v>
      </c>
      <c r="N74" s="255">
        <v>10560852.3339967</v>
      </c>
      <c r="O74" s="255">
        <v>176100737.44173902</v>
      </c>
      <c r="P74" s="255">
        <v>14505862.874103101</v>
      </c>
      <c r="Q74" s="255">
        <v>2670010.2516501402</v>
      </c>
      <c r="R74" s="255">
        <v>78611665.377268493</v>
      </c>
      <c r="S74" s="255">
        <v>36915500.171003707</v>
      </c>
      <c r="T74" s="255">
        <v>665316.54936435493</v>
      </c>
      <c r="U74" s="255">
        <v>6268241.2896342902</v>
      </c>
      <c r="V74" s="255">
        <v>2149147.6207390199</v>
      </c>
      <c r="W74" s="255">
        <v>7993866.44832893</v>
      </c>
      <c r="X74" s="255">
        <v>36455099.402126394</v>
      </c>
      <c r="Y74" s="255">
        <v>9223881.0350681599</v>
      </c>
      <c r="Z74" s="255">
        <v>244852.583572748</v>
      </c>
      <c r="AA74" s="255">
        <v>63472.684004793104</v>
      </c>
      <c r="AB74" s="255">
        <v>4414.6576666666597</v>
      </c>
      <c r="AC74" s="255">
        <v>501977.80875293998</v>
      </c>
      <c r="AD74" s="255">
        <v>1086104.1149766999</v>
      </c>
      <c r="AE74" s="255">
        <v>3119431.5005832599</v>
      </c>
      <c r="AF74" s="255">
        <v>522668.19403120497</v>
      </c>
      <c r="AG74" s="255">
        <v>173694.68924902601</v>
      </c>
      <c r="AH74" s="255">
        <v>128850.93212402299</v>
      </c>
      <c r="AI74" s="255">
        <v>217870.63040235799</v>
      </c>
      <c r="AJ74" s="255">
        <v>157247.375532848</v>
      </c>
      <c r="AK74" s="255">
        <v>6991.0827853987403</v>
      </c>
      <c r="AL74" s="255">
        <v>1748570114.8700731</v>
      </c>
      <c r="AM74" s="255">
        <v>5348586.1531666201</v>
      </c>
      <c r="AN74" s="255">
        <v>143573654.89920101</v>
      </c>
      <c r="AO74" s="255">
        <v>27132685.452125702</v>
      </c>
      <c r="AP74" s="255">
        <v>1924625041.3745663</v>
      </c>
      <c r="AQ74" s="255">
        <v>26501194.898765493</v>
      </c>
    </row>
    <row r="75" spans="1:43" x14ac:dyDescent="0.2">
      <c r="A75" s="256"/>
      <c r="B75" s="254">
        <v>8</v>
      </c>
      <c r="C75" s="255">
        <v>589.99999999999795</v>
      </c>
      <c r="D75" s="255">
        <v>267056.67015937698</v>
      </c>
      <c r="E75" s="255">
        <v>892175312.74525702</v>
      </c>
      <c r="F75" s="255">
        <v>236361</v>
      </c>
      <c r="G75" s="255">
        <v>18044033.9929046</v>
      </c>
      <c r="H75" s="255">
        <v>1612636.1186766601</v>
      </c>
      <c r="I75" s="255">
        <v>10103390.5408142</v>
      </c>
      <c r="J75" s="255">
        <v>1982143.2082907599</v>
      </c>
      <c r="K75" s="255">
        <v>207233926.98355073</v>
      </c>
      <c r="L75" s="255">
        <v>5967259.6371738799</v>
      </c>
      <c r="M75" s="255">
        <v>234455672.83244321</v>
      </c>
      <c r="N75" s="255">
        <v>11743631.6941988</v>
      </c>
      <c r="O75" s="255">
        <v>177631963.7411952</v>
      </c>
      <c r="P75" s="255">
        <v>16144448.1932145</v>
      </c>
      <c r="Q75" s="255">
        <v>3961887.4602039899</v>
      </c>
      <c r="R75" s="255">
        <v>77015454.663976505</v>
      </c>
      <c r="S75" s="255">
        <v>40342300.092121199</v>
      </c>
      <c r="T75" s="255">
        <v>937091.08606525499</v>
      </c>
      <c r="U75" s="255">
        <v>5170854.7265950199</v>
      </c>
      <c r="V75" s="255">
        <v>2139444.2629800001</v>
      </c>
      <c r="W75" s="255">
        <v>7405646.3640244398</v>
      </c>
      <c r="X75" s="255">
        <v>36508055.453575604</v>
      </c>
      <c r="Y75" s="255">
        <v>9302326.0992667284</v>
      </c>
      <c r="Z75" s="255">
        <v>244810.86491152202</v>
      </c>
      <c r="AA75" s="255">
        <v>66369.617323953091</v>
      </c>
      <c r="AB75" s="255">
        <v>4414.6576666666597</v>
      </c>
      <c r="AC75" s="255">
        <v>459607.56792367902</v>
      </c>
      <c r="AD75" s="255">
        <v>988311.16694179899</v>
      </c>
      <c r="AE75" s="255">
        <v>2838557.5047771498</v>
      </c>
      <c r="AF75" s="255">
        <v>475607.08558536996</v>
      </c>
      <c r="AG75" s="255">
        <v>168314.53317898102</v>
      </c>
      <c r="AH75" s="255">
        <v>128859.859448538</v>
      </c>
      <c r="AI75" s="255">
        <v>200089.69231496498</v>
      </c>
      <c r="AJ75" s="255">
        <v>149609.88520053399</v>
      </c>
      <c r="AK75" s="255">
        <v>6510.2017269737498</v>
      </c>
      <c r="AL75" s="255">
        <v>1766112550.2036874</v>
      </c>
      <c r="AM75" s="255">
        <v>5372320.9387618396</v>
      </c>
      <c r="AN75" s="255">
        <v>142951521.77358299</v>
      </c>
      <c r="AO75" s="255">
        <v>28206080.2370096</v>
      </c>
      <c r="AP75" s="255">
        <v>1942642473.1530418</v>
      </c>
      <c r="AQ75" s="255">
        <v>27158082.160451736</v>
      </c>
    </row>
    <row r="76" spans="1:43" x14ac:dyDescent="0.2">
      <c r="A76" s="256"/>
      <c r="B76" s="254">
        <v>9</v>
      </c>
      <c r="C76" s="255">
        <v>589.99999999999795</v>
      </c>
      <c r="D76" s="255">
        <v>303388.61600484105</v>
      </c>
      <c r="E76" s="255">
        <v>805721682.56032097</v>
      </c>
      <c r="F76" s="255">
        <v>198473.625</v>
      </c>
      <c r="G76" s="255">
        <v>16292893.330196898</v>
      </c>
      <c r="H76" s="255">
        <v>1449256.9798100898</v>
      </c>
      <c r="I76" s="255">
        <v>9037389.5913077798</v>
      </c>
      <c r="J76" s="255">
        <v>1276604.94334918</v>
      </c>
      <c r="K76" s="255">
        <v>187232545.7275005</v>
      </c>
      <c r="L76" s="255">
        <v>5443072.5571187902</v>
      </c>
      <c r="M76" s="255">
        <v>212574715.81864297</v>
      </c>
      <c r="N76" s="255">
        <v>10655983.3348311</v>
      </c>
      <c r="O76" s="255">
        <v>157192818.50899228</v>
      </c>
      <c r="P76" s="255">
        <v>14151815.611082701</v>
      </c>
      <c r="Q76" s="255">
        <v>2828741.8938687001</v>
      </c>
      <c r="R76" s="255">
        <v>68314010.164973393</v>
      </c>
      <c r="S76" s="255">
        <v>36597087.457048103</v>
      </c>
      <c r="T76" s="255">
        <v>746889.89550493797</v>
      </c>
      <c r="U76" s="255">
        <v>5696290.1270691901</v>
      </c>
      <c r="V76" s="255">
        <v>1843590.2698153199</v>
      </c>
      <c r="W76" s="255">
        <v>6304733.3468716498</v>
      </c>
      <c r="X76" s="255">
        <v>35644947.489729695</v>
      </c>
      <c r="Y76" s="255">
        <v>8116422.9824505802</v>
      </c>
      <c r="Z76" s="255">
        <v>337935.23575399799</v>
      </c>
      <c r="AA76" s="255">
        <v>67440.283997858001</v>
      </c>
      <c r="AB76" s="255">
        <v>4414.6576666666597</v>
      </c>
      <c r="AC76" s="255">
        <v>462156.47079754499</v>
      </c>
      <c r="AD76" s="255">
        <v>987714.89190938498</v>
      </c>
      <c r="AE76" s="255">
        <v>2836844.9257587399</v>
      </c>
      <c r="AF76" s="255">
        <v>475320.13888289401</v>
      </c>
      <c r="AG76" s="255">
        <v>171298.31709998898</v>
      </c>
      <c r="AH76" s="255">
        <v>126598.455415146</v>
      </c>
      <c r="AI76" s="255">
        <v>248818.175171082</v>
      </c>
      <c r="AJ76" s="255">
        <v>155092.494874681</v>
      </c>
      <c r="AK76" s="255">
        <v>6940.7362267959297</v>
      </c>
      <c r="AL76" s="255">
        <v>1593504519.6150444</v>
      </c>
      <c r="AM76" s="255">
        <v>4789916.8463532999</v>
      </c>
      <c r="AN76" s="255">
        <v>134213887.81753901</v>
      </c>
      <c r="AO76" s="255">
        <v>26009121.378226597</v>
      </c>
      <c r="AP76" s="255">
        <v>1758517445.6571631</v>
      </c>
      <c r="AQ76" s="255">
        <v>24727065.127612658</v>
      </c>
    </row>
    <row r="77" spans="1:43" x14ac:dyDescent="0.2">
      <c r="A77" s="256"/>
      <c r="B77" s="254">
        <v>10</v>
      </c>
      <c r="C77" s="255">
        <v>589.99999999999795</v>
      </c>
      <c r="D77" s="255">
        <v>472363.25457083201</v>
      </c>
      <c r="E77" s="255">
        <v>923243367.11965799</v>
      </c>
      <c r="F77" s="255">
        <v>173928</v>
      </c>
      <c r="G77" s="255">
        <v>18074232.717747699</v>
      </c>
      <c r="H77" s="255">
        <v>1551394.5803444402</v>
      </c>
      <c r="I77" s="255">
        <v>9949340.9055075292</v>
      </c>
      <c r="J77" s="255">
        <v>1088474.3241667799</v>
      </c>
      <c r="K77" s="255">
        <v>196454292.47304118</v>
      </c>
      <c r="L77" s="255">
        <v>5333973.9123335499</v>
      </c>
      <c r="M77" s="255">
        <v>225295172.46633101</v>
      </c>
      <c r="N77" s="255">
        <v>10586697.4330946</v>
      </c>
      <c r="O77" s="255">
        <v>165337643.9741649</v>
      </c>
      <c r="P77" s="255">
        <v>14294407.8571386</v>
      </c>
      <c r="Q77" s="255">
        <v>1269779.2294176701</v>
      </c>
      <c r="R77" s="255">
        <v>72295393.454266205</v>
      </c>
      <c r="S77" s="255">
        <v>36955783.909122996</v>
      </c>
      <c r="T77" s="255">
        <v>756047.14443872194</v>
      </c>
      <c r="U77" s="255">
        <v>8219902.1579072308</v>
      </c>
      <c r="V77" s="255">
        <v>1494396.10532829</v>
      </c>
      <c r="W77" s="255">
        <v>6081929.0729678497</v>
      </c>
      <c r="X77" s="255">
        <v>36123311.660427898</v>
      </c>
      <c r="Y77" s="255">
        <v>8506778.4707397409</v>
      </c>
      <c r="Z77" s="255">
        <v>460306.91796638304</v>
      </c>
      <c r="AA77" s="255">
        <v>71363.639537717099</v>
      </c>
      <c r="AB77" s="255">
        <v>4414.6576666666597</v>
      </c>
      <c r="AC77" s="255">
        <v>511381.77114359097</v>
      </c>
      <c r="AD77" s="255">
        <v>1086275.73927001</v>
      </c>
      <c r="AE77" s="255">
        <v>3119924.4277524399</v>
      </c>
      <c r="AF77" s="255">
        <v>522750.78515502193</v>
      </c>
      <c r="AG77" s="255">
        <v>178137.34403310801</v>
      </c>
      <c r="AH77" s="255">
        <v>136761.53711562301</v>
      </c>
      <c r="AI77" s="255">
        <v>438856.17427547905</v>
      </c>
      <c r="AJ77" s="255">
        <v>158586.43554885601</v>
      </c>
      <c r="AK77" s="255">
        <v>6896.8703739080602</v>
      </c>
      <c r="AL77" s="255">
        <v>1750254856.5225544</v>
      </c>
      <c r="AM77" s="255">
        <v>4602170.2236470599</v>
      </c>
      <c r="AN77" s="255">
        <v>134326272.595705</v>
      </c>
      <c r="AO77" s="255">
        <v>26405880.205121297</v>
      </c>
      <c r="AP77" s="255">
        <v>1915589179.5470278</v>
      </c>
      <c r="AQ77" s="255">
        <v>24717579.058784436</v>
      </c>
    </row>
    <row r="78" spans="1:43" x14ac:dyDescent="0.2">
      <c r="A78" s="256"/>
      <c r="B78" s="254">
        <v>11</v>
      </c>
      <c r="C78" s="255">
        <v>589.99999999999795</v>
      </c>
      <c r="D78" s="255">
        <v>647774.86941497703</v>
      </c>
      <c r="E78" s="255">
        <v>1093271831.45823</v>
      </c>
      <c r="F78" s="255">
        <v>196629.25</v>
      </c>
      <c r="G78" s="255">
        <v>20502161.3573118</v>
      </c>
      <c r="H78" s="255">
        <v>1721790.3057146801</v>
      </c>
      <c r="I78" s="255">
        <v>11209092.0033774</v>
      </c>
      <c r="J78" s="255">
        <v>1178633.4826910801</v>
      </c>
      <c r="K78" s="255">
        <v>206404718.15444368</v>
      </c>
      <c r="L78" s="255">
        <v>5643233.9206352001</v>
      </c>
      <c r="M78" s="255">
        <v>227856820.86538431</v>
      </c>
      <c r="N78" s="255">
        <v>10420847.699915402</v>
      </c>
      <c r="O78" s="255">
        <v>168595680.25284401</v>
      </c>
      <c r="P78" s="255">
        <v>13375590.47725</v>
      </c>
      <c r="Q78" s="255">
        <v>365079.80795732798</v>
      </c>
      <c r="R78" s="255">
        <v>73532547.86743699</v>
      </c>
      <c r="S78" s="255">
        <v>35213940.163440503</v>
      </c>
      <c r="T78" s="255">
        <v>299485.66522711003</v>
      </c>
      <c r="U78" s="255">
        <v>10699243.7620304</v>
      </c>
      <c r="V78" s="255">
        <v>1509486.61757413</v>
      </c>
      <c r="W78" s="255">
        <v>5060314.5617810693</v>
      </c>
      <c r="X78" s="255">
        <v>35666593.595828399</v>
      </c>
      <c r="Y78" s="255">
        <v>8263388.4606150202</v>
      </c>
      <c r="Z78" s="255">
        <v>498942.69898457301</v>
      </c>
      <c r="AA78" s="255">
        <v>89630.050449432907</v>
      </c>
      <c r="AB78" s="255">
        <v>4414.6576666666597</v>
      </c>
      <c r="AC78" s="255">
        <v>442537.50359676004</v>
      </c>
      <c r="AD78" s="255">
        <v>934357.84592966607</v>
      </c>
      <c r="AE78" s="255">
        <v>2683596.5882264101</v>
      </c>
      <c r="AF78" s="255">
        <v>449643.01412431797</v>
      </c>
      <c r="AG78" s="255">
        <v>168880.72628040001</v>
      </c>
      <c r="AH78" s="255">
        <v>124798.88168274</v>
      </c>
      <c r="AI78" s="255">
        <v>215593.362968111</v>
      </c>
      <c r="AJ78" s="255">
        <v>152995.30039634299</v>
      </c>
      <c r="AK78" s="255">
        <v>6796.2948455860305</v>
      </c>
      <c r="AL78" s="255">
        <v>1937407661.5242548</v>
      </c>
      <c r="AM78" s="255">
        <v>4514923.4457023004</v>
      </c>
      <c r="AN78" s="255">
        <v>132771577.65085098</v>
      </c>
      <c r="AO78" s="255">
        <v>24897986.464216601</v>
      </c>
      <c r="AP78" s="255">
        <v>2099592149.0850248</v>
      </c>
      <c r="AQ78" s="255">
        <v>26154662.348557077</v>
      </c>
    </row>
    <row r="79" spans="1:43" x14ac:dyDescent="0.2">
      <c r="A79" s="258"/>
      <c r="B79" s="259">
        <v>12</v>
      </c>
      <c r="C79" s="260">
        <v>589.99999999999795</v>
      </c>
      <c r="D79" s="260">
        <v>849983.84583149408</v>
      </c>
      <c r="E79" s="260">
        <v>1310289161.4808998</v>
      </c>
      <c r="F79" s="260">
        <v>242994.14285714302</v>
      </c>
      <c r="G79" s="260">
        <v>26784213.916419901</v>
      </c>
      <c r="H79" s="260">
        <v>2211692.0690776701</v>
      </c>
      <c r="I79" s="260">
        <v>13370718.521533499</v>
      </c>
      <c r="J79" s="260">
        <v>1421241.2956699301</v>
      </c>
      <c r="K79" s="260">
        <v>241050715.6190595</v>
      </c>
      <c r="L79" s="260">
        <v>5877519.2144376701</v>
      </c>
      <c r="M79" s="260">
        <v>258697852.23367018</v>
      </c>
      <c r="N79" s="260">
        <v>10242467.120613301</v>
      </c>
      <c r="O79" s="260">
        <v>181356429.76957723</v>
      </c>
      <c r="P79" s="260">
        <v>12477975.958925001</v>
      </c>
      <c r="Q79" s="260">
        <v>265014.06294986297</v>
      </c>
      <c r="R79" s="260">
        <v>78522795.879715189</v>
      </c>
      <c r="S79" s="260">
        <v>33272037.215092402</v>
      </c>
      <c r="T79" s="260">
        <v>0</v>
      </c>
      <c r="U79" s="260">
        <v>14039599.6898195</v>
      </c>
      <c r="V79" s="260">
        <v>1678636.63518756</v>
      </c>
      <c r="W79" s="260">
        <v>5434284.5164969601</v>
      </c>
      <c r="X79" s="260">
        <v>36699602.165307097</v>
      </c>
      <c r="Y79" s="260">
        <v>8743003.2341453489</v>
      </c>
      <c r="Z79" s="260">
        <v>666394.41062898096</v>
      </c>
      <c r="AA79" s="260">
        <v>108908.459927082</v>
      </c>
      <c r="AB79" s="260">
        <v>4414.6576666666597</v>
      </c>
      <c r="AC79" s="260">
        <v>483796.33151323796</v>
      </c>
      <c r="AD79" s="260">
        <v>1015336.25774346</v>
      </c>
      <c r="AE79" s="260">
        <v>2916177.0611257101</v>
      </c>
      <c r="AF79" s="260">
        <v>488612.42753008497</v>
      </c>
      <c r="AG79" s="260">
        <v>176676.79622798099</v>
      </c>
      <c r="AH79" s="260">
        <v>135044.991505588</v>
      </c>
      <c r="AI79" s="260">
        <v>221107.116483675</v>
      </c>
      <c r="AJ79" s="260">
        <v>156860.19313625598</v>
      </c>
      <c r="AK79" s="260">
        <v>6851.9352465510501</v>
      </c>
      <c r="AL79" s="260">
        <v>2249908709.2260218</v>
      </c>
      <c r="AM79" s="260">
        <v>4918337.7762119099</v>
      </c>
      <c r="AN79" s="260">
        <v>135783005.32662401</v>
      </c>
      <c r="AO79" s="260">
        <v>25508965.766148802</v>
      </c>
      <c r="AP79" s="260">
        <v>2416119018.095006</v>
      </c>
      <c r="AQ79" s="260">
        <v>28887425.540378567</v>
      </c>
    </row>
    <row r="81" spans="1:43" x14ac:dyDescent="0.2">
      <c r="A81" s="265" t="s">
        <v>319</v>
      </c>
      <c r="B81" s="89"/>
      <c r="C81" s="90">
        <f>SUM(C20:C31)</f>
        <v>7079.9999999999773</v>
      </c>
      <c r="D81" s="90">
        <f t="shared" ref="D81:AQ81" si="0">SUM(D20:D31)</f>
        <v>6782580.058544145</v>
      </c>
      <c r="E81" s="90">
        <f t="shared" si="0"/>
        <v>11231237165.043671</v>
      </c>
      <c r="F81" s="90">
        <f t="shared" si="0"/>
        <v>2499149.8928571432</v>
      </c>
      <c r="G81" s="90">
        <f t="shared" si="0"/>
        <v>257550092.0793606</v>
      </c>
      <c r="H81" s="90">
        <f t="shared" si="0"/>
        <v>23725324.897671271</v>
      </c>
      <c r="I81" s="90">
        <f t="shared" si="0"/>
        <v>132545680.08827549</v>
      </c>
      <c r="J81" s="90">
        <f t="shared" si="0"/>
        <v>16945944.921549469</v>
      </c>
      <c r="K81" s="90">
        <f t="shared" si="0"/>
        <v>2417953153.723527</v>
      </c>
      <c r="L81" s="90">
        <f t="shared" si="0"/>
        <v>78748854.967941135</v>
      </c>
      <c r="M81" s="90">
        <f t="shared" si="0"/>
        <v>2681134734.2832527</v>
      </c>
      <c r="N81" s="90">
        <f t="shared" si="0"/>
        <v>144103591.43793121</v>
      </c>
      <c r="O81" s="90">
        <f t="shared" si="0"/>
        <v>1761784031.5753474</v>
      </c>
      <c r="P81" s="90">
        <f t="shared" si="0"/>
        <v>186162757.14405188</v>
      </c>
      <c r="Q81" s="90">
        <f t="shared" si="0"/>
        <v>15040573.846487813</v>
      </c>
      <c r="R81" s="90">
        <f t="shared" si="0"/>
        <v>911076740.28573632</v>
      </c>
      <c r="S81" s="90">
        <f t="shared" si="0"/>
        <v>481791765.78036523</v>
      </c>
      <c r="T81" s="90">
        <f t="shared" si="0"/>
        <v>4440266.6219169199</v>
      </c>
      <c r="U81" s="90">
        <f t="shared" si="0"/>
        <v>123233807.4336848</v>
      </c>
      <c r="V81" s="90">
        <f t="shared" si="0"/>
        <v>20838769.342811804</v>
      </c>
      <c r="W81" s="90">
        <f t="shared" si="0"/>
        <v>76365553.115414649</v>
      </c>
      <c r="X81" s="90">
        <f t="shared" si="0"/>
        <v>432177455.41858798</v>
      </c>
      <c r="Y81" s="90">
        <f t="shared" si="0"/>
        <v>104130997.39585206</v>
      </c>
      <c r="Z81" s="90">
        <f t="shared" si="0"/>
        <v>8111676.2529063579</v>
      </c>
      <c r="AA81" s="90">
        <f t="shared" si="0"/>
        <v>1007176.3741077983</v>
      </c>
      <c r="AB81" s="90">
        <f t="shared" si="0"/>
        <v>52975.891999999913</v>
      </c>
      <c r="AC81" s="90">
        <f t="shared" si="0"/>
        <v>4036955.0437910389</v>
      </c>
      <c r="AD81" s="90">
        <f t="shared" si="0"/>
        <v>12476612.394769978</v>
      </c>
      <c r="AE81" s="90">
        <f t="shared" si="0"/>
        <v>35834444.587891154</v>
      </c>
      <c r="AF81" s="90">
        <f t="shared" si="0"/>
        <v>6004146.7278131917</v>
      </c>
      <c r="AG81" s="90">
        <f t="shared" si="0"/>
        <v>2064002.9353680729</v>
      </c>
      <c r="AH81" s="90">
        <f t="shared" si="0"/>
        <v>1678110.425158499</v>
      </c>
      <c r="AI81" s="90">
        <f t="shared" si="0"/>
        <v>3244198.2401985014</v>
      </c>
      <c r="AJ81" s="90">
        <f t="shared" si="0"/>
        <v>2010975.4093952777</v>
      </c>
      <c r="AK81" s="90">
        <f t="shared" si="0"/>
        <v>81251.225248890172</v>
      </c>
      <c r="AL81" s="90">
        <f t="shared" si="0"/>
        <v>21186878594.863487</v>
      </c>
      <c r="AM81" s="90">
        <f t="shared" si="0"/>
        <v>61985111.214060783</v>
      </c>
      <c r="AN81" s="90">
        <f t="shared" si="0"/>
        <v>1609653723.4185431</v>
      </c>
      <c r="AO81" s="90">
        <f t="shared" si="0"/>
        <v>306665680.3443619</v>
      </c>
      <c r="AP81" s="90">
        <f t="shared" si="0"/>
        <v>23165183109.840454</v>
      </c>
      <c r="AQ81" s="90">
        <f t="shared" si="0"/>
        <v>304641655.46200001</v>
      </c>
    </row>
    <row r="82" spans="1:43" x14ac:dyDescent="0.2">
      <c r="A82" s="4"/>
    </row>
  </sheetData>
  <pageMargins left="0.7" right="0.7" top="0.75" bottom="0.75" header="0.3" footer="0.3"/>
  <pageSetup scale="6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A1:AA83"/>
  <sheetViews>
    <sheetView workbookViewId="0">
      <pane xSplit="2" ySplit="6" topLeftCell="C5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8.7109375" defaultRowHeight="11.25" x14ac:dyDescent="0.2"/>
  <cols>
    <col min="1" max="1" width="30.140625" style="13" customWidth="1"/>
    <col min="2" max="2" width="5.140625" style="13" bestFit="1" customWidth="1"/>
    <col min="3" max="3" width="7.5703125" style="13" bestFit="1" customWidth="1"/>
    <col min="4" max="4" width="7.85546875" style="13" bestFit="1" customWidth="1"/>
    <col min="5" max="7" width="7.5703125" style="13" bestFit="1" customWidth="1"/>
    <col min="8" max="8" width="8.7109375" style="13" bestFit="1" customWidth="1"/>
    <col min="9" max="9" width="8" style="13" bestFit="1" customWidth="1"/>
    <col min="10" max="10" width="8.5703125" style="13" bestFit="1" customWidth="1"/>
    <col min="11" max="11" width="8.7109375" style="13" bestFit="1" customWidth="1"/>
    <col min="12" max="12" width="8" style="13" bestFit="1" customWidth="1"/>
    <col min="13" max="13" width="7.5703125" style="13" bestFit="1" customWidth="1"/>
    <col min="14" max="14" width="8.7109375" style="13" bestFit="1" customWidth="1"/>
    <col min="15" max="15" width="8" style="13" bestFit="1" customWidth="1"/>
    <col min="16" max="17" width="7.5703125" style="13" bestFit="1" customWidth="1"/>
    <col min="18" max="18" width="8.7109375" style="13" bestFit="1" customWidth="1"/>
    <col min="19" max="19" width="8" style="13" bestFit="1" customWidth="1"/>
    <col min="20" max="20" width="8.7109375" style="13" bestFit="1" customWidth="1"/>
    <col min="21" max="21" width="8" style="13" bestFit="1" customWidth="1"/>
    <col min="22" max="22" width="9.5703125" style="13" bestFit="1" customWidth="1"/>
    <col min="23" max="24" width="8.85546875" style="13" bestFit="1" customWidth="1"/>
    <col min="25" max="25" width="7.140625" style="13" bestFit="1" customWidth="1"/>
    <col min="26" max="26" width="8.7109375" style="13"/>
    <col min="27" max="27" width="22.140625" style="13" bestFit="1" customWidth="1"/>
    <col min="28" max="28" width="23.7109375" style="13" bestFit="1" customWidth="1"/>
    <col min="29" max="16384" width="8.7109375" style="13"/>
  </cols>
  <sheetData>
    <row r="1" spans="1:27" s="13" customFormat="1" x14ac:dyDescent="0.2">
      <c r="A1" s="246" t="s">
        <v>122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93"/>
    </row>
    <row r="2" spans="1:27" s="13" customFormat="1" x14ac:dyDescent="0.2">
      <c r="A2" s="246" t="s">
        <v>178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93"/>
    </row>
    <row r="3" spans="1:27" s="13" customFormat="1" x14ac:dyDescent="0.2">
      <c r="A3" s="248" t="s">
        <v>121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93"/>
    </row>
    <row r="4" spans="1:27" s="13" customFormat="1" x14ac:dyDescent="0.2">
      <c r="A4" s="246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93"/>
    </row>
    <row r="5" spans="1:27" s="13" customFormat="1" x14ac:dyDescent="0.2">
      <c r="A5" s="247"/>
      <c r="B5" s="247"/>
      <c r="C5" s="249">
        <v>5</v>
      </c>
      <c r="D5" s="249" t="s">
        <v>132</v>
      </c>
      <c r="E5" s="249">
        <v>31</v>
      </c>
      <c r="F5" s="249">
        <v>25</v>
      </c>
      <c r="G5" s="249">
        <v>26</v>
      </c>
      <c r="H5" s="249">
        <v>25</v>
      </c>
      <c r="I5" s="249">
        <v>25</v>
      </c>
      <c r="J5" s="249">
        <v>25</v>
      </c>
      <c r="K5" s="249">
        <v>26</v>
      </c>
      <c r="L5" s="249">
        <v>26</v>
      </c>
      <c r="M5" s="249">
        <v>29</v>
      </c>
      <c r="N5" s="249">
        <v>31</v>
      </c>
      <c r="O5" s="249">
        <v>31</v>
      </c>
      <c r="P5" s="249">
        <v>35</v>
      </c>
      <c r="Q5" s="249">
        <v>43</v>
      </c>
      <c r="R5" s="249">
        <v>46</v>
      </c>
      <c r="S5" s="249">
        <v>46</v>
      </c>
      <c r="T5" s="249">
        <v>49</v>
      </c>
      <c r="U5" s="249">
        <v>49</v>
      </c>
      <c r="V5" s="249">
        <v>449</v>
      </c>
      <c r="W5" s="249">
        <v>449</v>
      </c>
      <c r="X5" s="249">
        <v>459</v>
      </c>
      <c r="Y5" s="93"/>
    </row>
    <row r="6" spans="1:27" s="165" customFormat="1" x14ac:dyDescent="0.2">
      <c r="A6" s="250" t="s">
        <v>72</v>
      </c>
      <c r="B6" s="251" t="s">
        <v>7</v>
      </c>
      <c r="C6" s="252" t="s">
        <v>133</v>
      </c>
      <c r="D6" s="252" t="s">
        <v>134</v>
      </c>
      <c r="E6" s="252" t="s">
        <v>135</v>
      </c>
      <c r="F6" s="252" t="s">
        <v>136</v>
      </c>
      <c r="G6" s="252" t="s">
        <v>137</v>
      </c>
      <c r="H6" s="252" t="s">
        <v>138</v>
      </c>
      <c r="I6" s="252" t="s">
        <v>139</v>
      </c>
      <c r="J6" s="252" t="s">
        <v>140</v>
      </c>
      <c r="K6" s="252" t="s">
        <v>141</v>
      </c>
      <c r="L6" s="252" t="s">
        <v>142</v>
      </c>
      <c r="M6" s="252" t="s">
        <v>143</v>
      </c>
      <c r="N6" s="252" t="s">
        <v>144</v>
      </c>
      <c r="O6" s="252" t="s">
        <v>145</v>
      </c>
      <c r="P6" s="252" t="s">
        <v>146</v>
      </c>
      <c r="Q6" s="252" t="s">
        <v>147</v>
      </c>
      <c r="R6" s="252" t="s">
        <v>148</v>
      </c>
      <c r="S6" s="252" t="s">
        <v>149</v>
      </c>
      <c r="T6" s="252" t="s">
        <v>150</v>
      </c>
      <c r="U6" s="252" t="s">
        <v>151</v>
      </c>
      <c r="V6" s="250" t="s">
        <v>152</v>
      </c>
      <c r="W6" s="252" t="s">
        <v>153</v>
      </c>
      <c r="X6" s="251" t="s">
        <v>154</v>
      </c>
      <c r="Y6" s="253" t="s">
        <v>177</v>
      </c>
    </row>
    <row r="7" spans="1:27" s="11" customFormat="1" x14ac:dyDescent="0.2">
      <c r="A7" s="254">
        <v>2023</v>
      </c>
      <c r="B7" s="254">
        <v>1</v>
      </c>
      <c r="C7" s="255">
        <v>1543.4670878703103</v>
      </c>
      <c r="D7" s="255">
        <v>434.61670671527128</v>
      </c>
      <c r="E7" s="255">
        <v>5229.0322685650945</v>
      </c>
      <c r="F7" s="255">
        <v>17183.464038532264</v>
      </c>
      <c r="G7" s="255">
        <v>3491.0695613368666</v>
      </c>
      <c r="H7" s="255">
        <v>351500.99937548727</v>
      </c>
      <c r="I7" s="255">
        <v>25812.485272191545</v>
      </c>
      <c r="J7" s="255">
        <v>208.7177834899444</v>
      </c>
      <c r="K7" s="255">
        <v>323366.34568711562</v>
      </c>
      <c r="L7" s="255">
        <v>43284.579120717935</v>
      </c>
      <c r="M7" s="255">
        <v>119.61180597811983</v>
      </c>
      <c r="N7" s="255">
        <v>164981.76057183632</v>
      </c>
      <c r="O7" s="255">
        <v>99996.562501199238</v>
      </c>
      <c r="P7" s="255">
        <v>0</v>
      </c>
      <c r="Q7" s="255">
        <v>65939.738934115579</v>
      </c>
      <c r="R7" s="255">
        <v>8800</v>
      </c>
      <c r="S7" s="255">
        <v>28969.618307813085</v>
      </c>
      <c r="T7" s="255">
        <v>84632.98149539328</v>
      </c>
      <c r="U7" s="255">
        <v>22883.035906546254</v>
      </c>
      <c r="V7" s="255">
        <v>11077.358695181909</v>
      </c>
      <c r="W7" s="255">
        <v>231846.59433300962</v>
      </c>
      <c r="X7" s="255">
        <v>43428.820487915262</v>
      </c>
      <c r="Y7" s="255">
        <v>53252.182810356491</v>
      </c>
    </row>
    <row r="8" spans="1:27" s="3" customFormat="1" x14ac:dyDescent="0.2">
      <c r="A8" s="256">
        <f>A7</f>
        <v>2023</v>
      </c>
      <c r="B8" s="254">
        <f>B7+1</f>
        <v>2</v>
      </c>
      <c r="C8" s="255">
        <v>1670.0232987301113</v>
      </c>
      <c r="D8" s="255">
        <v>428.34608214127633</v>
      </c>
      <c r="E8" s="255">
        <v>5296.5947891918076</v>
      </c>
      <c r="F8" s="255">
        <v>17985.917026631239</v>
      </c>
      <c r="G8" s="255">
        <v>3684.5774680581922</v>
      </c>
      <c r="H8" s="255">
        <v>371247.35299928801</v>
      </c>
      <c r="I8" s="255">
        <v>26591.846556466327</v>
      </c>
      <c r="J8" s="255">
        <v>242.6791287732695</v>
      </c>
      <c r="K8" s="255">
        <v>344213.88791575667</v>
      </c>
      <c r="L8" s="255">
        <v>44708.965114123726</v>
      </c>
      <c r="M8" s="255">
        <v>300.34509446225678</v>
      </c>
      <c r="N8" s="255">
        <v>174002.93591324362</v>
      </c>
      <c r="O8" s="255">
        <v>100276.74885054139</v>
      </c>
      <c r="P8" s="255">
        <v>0</v>
      </c>
      <c r="Q8" s="255">
        <v>68138.362814829903</v>
      </c>
      <c r="R8" s="255">
        <v>8800</v>
      </c>
      <c r="S8" s="255">
        <v>29682.374249855417</v>
      </c>
      <c r="T8" s="255">
        <v>93537.40016359929</v>
      </c>
      <c r="U8" s="255">
        <v>24961.801555758964</v>
      </c>
      <c r="V8" s="255">
        <v>11189.753831244394</v>
      </c>
      <c r="W8" s="255">
        <v>223752.5385849702</v>
      </c>
      <c r="X8" s="255">
        <v>42967.175138491242</v>
      </c>
      <c r="Y8" s="255">
        <v>54235.046635517923</v>
      </c>
    </row>
    <row r="9" spans="1:27" s="3" customFormat="1" x14ac:dyDescent="0.2">
      <c r="A9" s="256">
        <f t="shared" ref="A9:A18" si="0">A8</f>
        <v>2023</v>
      </c>
      <c r="B9" s="254">
        <f t="shared" ref="B9:B18" si="1">B8+1</f>
        <v>3</v>
      </c>
      <c r="C9" s="255">
        <v>1504.4075628598764</v>
      </c>
      <c r="D9" s="255">
        <v>354.72303431241778</v>
      </c>
      <c r="E9" s="255">
        <v>5267.987488654484</v>
      </c>
      <c r="F9" s="255">
        <v>16940.369344565057</v>
      </c>
      <c r="G9" s="255">
        <v>3557.7629814459383</v>
      </c>
      <c r="H9" s="255">
        <v>355539.64043511701</v>
      </c>
      <c r="I9" s="255">
        <v>25912.950165604376</v>
      </c>
      <c r="J9" s="255">
        <v>290.72840035352323</v>
      </c>
      <c r="K9" s="255">
        <v>323685.24375846534</v>
      </c>
      <c r="L9" s="255">
        <v>43735.176313871212</v>
      </c>
      <c r="M9" s="255">
        <v>357.78361078139437</v>
      </c>
      <c r="N9" s="255">
        <v>165831.16033163312</v>
      </c>
      <c r="O9" s="255">
        <v>97882.614846531447</v>
      </c>
      <c r="P9" s="255">
        <v>0</v>
      </c>
      <c r="Q9" s="255">
        <v>64854.883791552405</v>
      </c>
      <c r="R9" s="255">
        <v>8800</v>
      </c>
      <c r="S9" s="255">
        <v>24755.47545765213</v>
      </c>
      <c r="T9" s="255">
        <v>85521.537660358299</v>
      </c>
      <c r="U9" s="255">
        <v>19169.52289795228</v>
      </c>
      <c r="V9" s="255">
        <v>10677.143931859773</v>
      </c>
      <c r="W9" s="255">
        <v>223490.62166638719</v>
      </c>
      <c r="X9" s="255">
        <v>42258.780340735953</v>
      </c>
      <c r="Y9" s="255">
        <v>51396.400283112926</v>
      </c>
    </row>
    <row r="10" spans="1:27" s="3" customFormat="1" x14ac:dyDescent="0.2">
      <c r="A10" s="256">
        <f t="shared" si="0"/>
        <v>2023</v>
      </c>
      <c r="B10" s="254">
        <f t="shared" si="1"/>
        <v>4</v>
      </c>
      <c r="C10" s="255">
        <v>1568.4707579016076</v>
      </c>
      <c r="D10" s="255">
        <v>300.64193927354512</v>
      </c>
      <c r="E10" s="255">
        <v>5285.145764575459</v>
      </c>
      <c r="F10" s="255">
        <v>15129.021675785885</v>
      </c>
      <c r="G10" s="255">
        <v>3371.3548903354845</v>
      </c>
      <c r="H10" s="255">
        <v>341432.74828770146</v>
      </c>
      <c r="I10" s="255">
        <v>26412.460868200829</v>
      </c>
      <c r="J10" s="255">
        <v>364.90342576511762</v>
      </c>
      <c r="K10" s="255">
        <v>332521.7458226888</v>
      </c>
      <c r="L10" s="255">
        <v>46934.55006442876</v>
      </c>
      <c r="M10" s="255">
        <v>345.44730169821923</v>
      </c>
      <c r="N10" s="255">
        <v>178337.9892641335</v>
      </c>
      <c r="O10" s="255">
        <v>105232.14979670853</v>
      </c>
      <c r="P10" s="255">
        <v>0</v>
      </c>
      <c r="Q10" s="255">
        <v>62723.759556779965</v>
      </c>
      <c r="R10" s="255">
        <v>8800</v>
      </c>
      <c r="S10" s="255">
        <v>34270.575146663825</v>
      </c>
      <c r="T10" s="255">
        <v>90879.875274476944</v>
      </c>
      <c r="U10" s="255">
        <v>25836.657776422042</v>
      </c>
      <c r="V10" s="255">
        <v>11692.223061600202</v>
      </c>
      <c r="W10" s="255">
        <v>227394.86236733236</v>
      </c>
      <c r="X10" s="255">
        <v>42269.588899735347</v>
      </c>
      <c r="Y10" s="255">
        <v>53406.131083982655</v>
      </c>
      <c r="AA10" s="257"/>
    </row>
    <row r="11" spans="1:27" s="3" customFormat="1" x14ac:dyDescent="0.2">
      <c r="A11" s="256">
        <f t="shared" si="0"/>
        <v>2023</v>
      </c>
      <c r="B11" s="254">
        <f t="shared" si="1"/>
        <v>5</v>
      </c>
      <c r="C11" s="255">
        <v>1427.1661252883566</v>
      </c>
      <c r="D11" s="255">
        <v>319.56600685499012</v>
      </c>
      <c r="E11" s="255">
        <v>4589.7742148589532</v>
      </c>
      <c r="F11" s="255">
        <v>12385.993461817634</v>
      </c>
      <c r="G11" s="255">
        <v>3025.225038010919</v>
      </c>
      <c r="H11" s="255">
        <v>323799.73073569936</v>
      </c>
      <c r="I11" s="255">
        <v>24806.056583248457</v>
      </c>
      <c r="J11" s="255">
        <v>311.02572852968694</v>
      </c>
      <c r="K11" s="255">
        <v>338478.66231316316</v>
      </c>
      <c r="L11" s="255">
        <v>46127.11935221836</v>
      </c>
      <c r="M11" s="255">
        <v>505.78250201962584</v>
      </c>
      <c r="N11" s="255">
        <v>177129.68297616311</v>
      </c>
      <c r="O11" s="255">
        <v>101529.83353949329</v>
      </c>
      <c r="P11" s="255">
        <v>970.39222800091682</v>
      </c>
      <c r="Q11" s="255">
        <v>53822.347039627784</v>
      </c>
      <c r="R11" s="255">
        <v>8800</v>
      </c>
      <c r="S11" s="255">
        <v>29921.24720920531</v>
      </c>
      <c r="T11" s="255">
        <v>86649.339797174849</v>
      </c>
      <c r="U11" s="255">
        <v>22960.33395616019</v>
      </c>
      <c r="V11" s="255">
        <v>12463.949189239784</v>
      </c>
      <c r="W11" s="255">
        <v>227163.15142856989</v>
      </c>
      <c r="X11" s="255">
        <v>43544.349871067694</v>
      </c>
      <c r="Y11" s="255">
        <v>56734.419620789791</v>
      </c>
      <c r="AA11" s="257"/>
    </row>
    <row r="12" spans="1:27" s="3" customFormat="1" x14ac:dyDescent="0.2">
      <c r="A12" s="256">
        <f t="shared" si="0"/>
        <v>2023</v>
      </c>
      <c r="B12" s="254">
        <f t="shared" si="1"/>
        <v>6</v>
      </c>
      <c r="C12" s="255">
        <v>899.04735774105507</v>
      </c>
      <c r="D12" s="255">
        <v>385.5261207406989</v>
      </c>
      <c r="E12" s="255">
        <v>4330.1684375570221</v>
      </c>
      <c r="F12" s="255">
        <v>11448.967117767621</v>
      </c>
      <c r="G12" s="255">
        <v>2762.5270131349221</v>
      </c>
      <c r="H12" s="255">
        <v>337300.48486702051</v>
      </c>
      <c r="I12" s="255">
        <v>26109.2508145877</v>
      </c>
      <c r="J12" s="255">
        <v>252.63639677332063</v>
      </c>
      <c r="K12" s="255">
        <v>355004.14396338857</v>
      </c>
      <c r="L12" s="255">
        <v>49136.649852375253</v>
      </c>
      <c r="M12" s="255">
        <v>671.95007068063592</v>
      </c>
      <c r="N12" s="255">
        <v>182827.84898843663</v>
      </c>
      <c r="O12" s="255">
        <v>108364.27301692736</v>
      </c>
      <c r="P12" s="255">
        <v>1181.4899094819589</v>
      </c>
      <c r="Q12" s="255">
        <v>42439.193063991639</v>
      </c>
      <c r="R12" s="255">
        <v>8800</v>
      </c>
      <c r="S12" s="255">
        <v>30239.590631495899</v>
      </c>
      <c r="T12" s="255">
        <v>93507.340626092904</v>
      </c>
      <c r="U12" s="255">
        <v>23800.947187643233</v>
      </c>
      <c r="V12" s="255">
        <v>12016.629739540524</v>
      </c>
      <c r="W12" s="255">
        <v>235042.92136332547</v>
      </c>
      <c r="X12" s="255">
        <v>45604.685332861132</v>
      </c>
      <c r="Y12" s="255">
        <v>56262.368013282896</v>
      </c>
      <c r="AA12" s="257"/>
    </row>
    <row r="13" spans="1:27" s="3" customFormat="1" x14ac:dyDescent="0.2">
      <c r="A13" s="256">
        <f t="shared" si="0"/>
        <v>2023</v>
      </c>
      <c r="B13" s="254">
        <f t="shared" si="1"/>
        <v>7</v>
      </c>
      <c r="C13" s="255">
        <v>736.5911799664126</v>
      </c>
      <c r="D13" s="255">
        <v>521.72054277191899</v>
      </c>
      <c r="E13" s="255">
        <v>4323.5868348266476</v>
      </c>
      <c r="F13" s="255">
        <v>11767.396552261484</v>
      </c>
      <c r="G13" s="255">
        <v>4875.2575129495581</v>
      </c>
      <c r="H13" s="255">
        <v>338839.35591660062</v>
      </c>
      <c r="I13" s="255">
        <v>24837.636228929783</v>
      </c>
      <c r="J13" s="255">
        <v>297.8439908603529</v>
      </c>
      <c r="K13" s="255">
        <v>364922.39804514166</v>
      </c>
      <c r="L13" s="255">
        <v>47236.661441900185</v>
      </c>
      <c r="M13" s="255">
        <v>948.7731192066135</v>
      </c>
      <c r="N13" s="255">
        <v>179960.63287974722</v>
      </c>
      <c r="O13" s="255">
        <v>102894.5949793797</v>
      </c>
      <c r="P13" s="255">
        <v>1123.8972119654268</v>
      </c>
      <c r="Q13" s="255">
        <v>31360.669992538093</v>
      </c>
      <c r="R13" s="255">
        <v>8800</v>
      </c>
      <c r="S13" s="255">
        <v>28151.689868227699</v>
      </c>
      <c r="T13" s="255">
        <v>85574.600540397281</v>
      </c>
      <c r="U13" s="255">
        <v>24623.587486223303</v>
      </c>
      <c r="V13" s="255">
        <v>11836.464461085947</v>
      </c>
      <c r="W13" s="255">
        <v>235751.79010971508</v>
      </c>
      <c r="X13" s="255">
        <v>47797.933315986404</v>
      </c>
      <c r="Y13" s="255">
        <v>62884.727420624411</v>
      </c>
      <c r="AA13" s="257"/>
    </row>
    <row r="14" spans="1:27" s="3" customFormat="1" x14ac:dyDescent="0.2">
      <c r="A14" s="256">
        <f t="shared" si="0"/>
        <v>2023</v>
      </c>
      <c r="B14" s="254">
        <f t="shared" si="1"/>
        <v>8</v>
      </c>
      <c r="C14" s="255">
        <v>629.30196195730093</v>
      </c>
      <c r="D14" s="255">
        <v>500.86392060491823</v>
      </c>
      <c r="E14" s="255">
        <v>4451.0847736642636</v>
      </c>
      <c r="F14" s="255">
        <v>12007.116624517992</v>
      </c>
      <c r="G14" s="255">
        <v>5404.4004669553642</v>
      </c>
      <c r="H14" s="255">
        <v>335938.50518606958</v>
      </c>
      <c r="I14" s="255">
        <v>24428.412404484279</v>
      </c>
      <c r="J14" s="255">
        <v>280.51659438229467</v>
      </c>
      <c r="K14" s="255">
        <v>365584.85629862163</v>
      </c>
      <c r="L14" s="255">
        <v>46082.055637629848</v>
      </c>
      <c r="M14" s="255">
        <v>1152.1387620980047</v>
      </c>
      <c r="N14" s="255">
        <v>180148.11777528911</v>
      </c>
      <c r="O14" s="255">
        <v>100144.14645929757</v>
      </c>
      <c r="P14" s="255">
        <v>1535.0280535672512</v>
      </c>
      <c r="Q14" s="255">
        <v>21959.188389269508</v>
      </c>
      <c r="R14" s="255">
        <v>8800</v>
      </c>
      <c r="S14" s="255">
        <v>24090.395945912001</v>
      </c>
      <c r="T14" s="255">
        <v>86587.758589143647</v>
      </c>
      <c r="U14" s="255">
        <v>22189.153190574591</v>
      </c>
      <c r="V14" s="255">
        <v>11787.126710709506</v>
      </c>
      <c r="W14" s="255">
        <v>236034.29107182997</v>
      </c>
      <c r="X14" s="255">
        <v>49957.708064839775</v>
      </c>
      <c r="Y14" s="255">
        <v>65358.50870868819</v>
      </c>
      <c r="AA14" s="257"/>
    </row>
    <row r="15" spans="1:27" s="3" customFormat="1" x14ac:dyDescent="0.2">
      <c r="A15" s="256">
        <f t="shared" si="0"/>
        <v>2023</v>
      </c>
      <c r="B15" s="254">
        <f t="shared" si="1"/>
        <v>9</v>
      </c>
      <c r="C15" s="255">
        <v>605.44031940980665</v>
      </c>
      <c r="D15" s="255">
        <v>405.02903053011994</v>
      </c>
      <c r="E15" s="255">
        <v>4184.9740018228804</v>
      </c>
      <c r="F15" s="255">
        <v>11384.796618860701</v>
      </c>
      <c r="G15" s="255">
        <v>4670.2766557958921</v>
      </c>
      <c r="H15" s="255">
        <v>329327.80869068392</v>
      </c>
      <c r="I15" s="255">
        <v>25921.99071302819</v>
      </c>
      <c r="J15" s="255">
        <v>298.90789130699454</v>
      </c>
      <c r="K15" s="255">
        <v>342878.89066648</v>
      </c>
      <c r="L15" s="255">
        <v>47709.76469355404</v>
      </c>
      <c r="M15" s="255">
        <v>885.32152474809402</v>
      </c>
      <c r="N15" s="255">
        <v>172474.90624384212</v>
      </c>
      <c r="O15" s="255">
        <v>105914.09724076174</v>
      </c>
      <c r="P15" s="255">
        <v>1337.5108237832728</v>
      </c>
      <c r="Q15" s="255">
        <v>28655.408529039436</v>
      </c>
      <c r="R15" s="255">
        <v>8800</v>
      </c>
      <c r="S15" s="255">
        <v>27667.873031444127</v>
      </c>
      <c r="T15" s="255">
        <v>95575.371599041755</v>
      </c>
      <c r="U15" s="255">
        <v>24043.546198415344</v>
      </c>
      <c r="V15" s="255">
        <v>11538.509023387915</v>
      </c>
      <c r="W15" s="255">
        <v>230585.00127269025</v>
      </c>
      <c r="X15" s="255">
        <v>47454.418548245121</v>
      </c>
      <c r="Y15" s="255">
        <v>56134.182870932033</v>
      </c>
      <c r="AA15" s="257"/>
    </row>
    <row r="16" spans="1:27" s="3" customFormat="1" x14ac:dyDescent="0.2">
      <c r="A16" s="256">
        <f t="shared" si="0"/>
        <v>2023</v>
      </c>
      <c r="B16" s="254">
        <f t="shared" si="1"/>
        <v>10</v>
      </c>
      <c r="C16" s="255">
        <v>753.15505601159157</v>
      </c>
      <c r="D16" s="255">
        <v>301.62793980028556</v>
      </c>
      <c r="E16" s="255">
        <v>4232.8882522580461</v>
      </c>
      <c r="F16" s="255">
        <v>12145.815405757283</v>
      </c>
      <c r="G16" s="255">
        <v>3840.5320767655571</v>
      </c>
      <c r="H16" s="255">
        <v>326870.20903442899</v>
      </c>
      <c r="I16" s="255">
        <v>24417.478048823446</v>
      </c>
      <c r="J16" s="255">
        <v>315.47336127797331</v>
      </c>
      <c r="K16" s="255">
        <v>341685.21968746098</v>
      </c>
      <c r="L16" s="255">
        <v>44533.251594366709</v>
      </c>
      <c r="M16" s="255">
        <v>738.04866205011365</v>
      </c>
      <c r="N16" s="255">
        <v>174046.7740972258</v>
      </c>
      <c r="O16" s="255">
        <v>101759.92655753782</v>
      </c>
      <c r="P16" s="255">
        <v>1219.6574084448889</v>
      </c>
      <c r="Q16" s="255">
        <v>41351.821488309572</v>
      </c>
      <c r="R16" s="255">
        <v>8800</v>
      </c>
      <c r="S16" s="255">
        <v>30831.137051673115</v>
      </c>
      <c r="T16" s="255">
        <v>86564.080114281285</v>
      </c>
      <c r="U16" s="255">
        <v>22083.870561227435</v>
      </c>
      <c r="V16" s="255">
        <v>11451.562065962298</v>
      </c>
      <c r="W16" s="255">
        <v>223803.40960973856</v>
      </c>
      <c r="X16" s="255">
        <v>46194.259691429368</v>
      </c>
      <c r="Y16" s="255">
        <v>56825.862546898716</v>
      </c>
      <c r="AA16" s="257"/>
    </row>
    <row r="17" spans="1:27" s="3" customFormat="1" x14ac:dyDescent="0.2">
      <c r="A17" s="256">
        <f t="shared" si="0"/>
        <v>2023</v>
      </c>
      <c r="B17" s="254">
        <f t="shared" si="1"/>
        <v>11</v>
      </c>
      <c r="C17" s="255">
        <v>1051.1210763364033</v>
      </c>
      <c r="D17" s="255">
        <v>331.78763597103813</v>
      </c>
      <c r="E17" s="255">
        <v>4400.8964440960135</v>
      </c>
      <c r="F17" s="255">
        <v>14057.372237295927</v>
      </c>
      <c r="G17" s="255">
        <v>3018.6132253810711</v>
      </c>
      <c r="H17" s="255">
        <v>323949.99088880909</v>
      </c>
      <c r="I17" s="255">
        <v>24404.131092097519</v>
      </c>
      <c r="J17" s="255">
        <v>270.92843310508283</v>
      </c>
      <c r="K17" s="255">
        <v>334533.23784737638</v>
      </c>
      <c r="L17" s="255">
        <v>43375.778318831872</v>
      </c>
      <c r="M17" s="255">
        <v>408.42326745825062</v>
      </c>
      <c r="N17" s="255">
        <v>172149.08106687653</v>
      </c>
      <c r="O17" s="255">
        <v>100326.34819762956</v>
      </c>
      <c r="P17" s="255">
        <v>926.76632344998961</v>
      </c>
      <c r="Q17" s="255">
        <v>52922.322392379247</v>
      </c>
      <c r="R17" s="255">
        <v>8800</v>
      </c>
      <c r="S17" s="255">
        <v>30289.477709867766</v>
      </c>
      <c r="T17" s="255">
        <v>79421.031453135758</v>
      </c>
      <c r="U17" s="255">
        <v>22630.764495968837</v>
      </c>
      <c r="V17" s="255">
        <v>12086.756649051922</v>
      </c>
      <c r="W17" s="255">
        <v>227468.0546588306</v>
      </c>
      <c r="X17" s="255">
        <v>44034.17548783635</v>
      </c>
      <c r="Y17" s="255">
        <v>62162.673834268891</v>
      </c>
      <c r="AA17" s="257"/>
    </row>
    <row r="18" spans="1:27" s="3" customFormat="1" x14ac:dyDescent="0.2">
      <c r="A18" s="258">
        <f t="shared" si="0"/>
        <v>2023</v>
      </c>
      <c r="B18" s="259">
        <f t="shared" si="1"/>
        <v>12</v>
      </c>
      <c r="C18" s="260">
        <v>1316.6824900283875</v>
      </c>
      <c r="D18" s="260">
        <v>407.97581543273236</v>
      </c>
      <c r="E18" s="260">
        <v>4710.2376239834093</v>
      </c>
      <c r="F18" s="260">
        <v>15498.897124208737</v>
      </c>
      <c r="G18" s="260">
        <v>3261.8466427302014</v>
      </c>
      <c r="H18" s="260">
        <v>343028.72146309516</v>
      </c>
      <c r="I18" s="260">
        <v>22289.416890602606</v>
      </c>
      <c r="J18" s="260">
        <v>288.53568133003927</v>
      </c>
      <c r="K18" s="260">
        <v>333254.13335306937</v>
      </c>
      <c r="L18" s="260">
        <v>38083.682604695896</v>
      </c>
      <c r="M18" s="260">
        <v>33.381324625494763</v>
      </c>
      <c r="N18" s="260">
        <v>170420.58399869082</v>
      </c>
      <c r="O18" s="260">
        <v>86762.856200085531</v>
      </c>
      <c r="P18" s="260">
        <v>0</v>
      </c>
      <c r="Q18" s="260">
        <v>58407.963561159988</v>
      </c>
      <c r="R18" s="260">
        <v>8800</v>
      </c>
      <c r="S18" s="260">
        <v>30779.189210141292</v>
      </c>
      <c r="T18" s="260">
        <v>79351.036119792101</v>
      </c>
      <c r="U18" s="260">
        <v>21979.426657778051</v>
      </c>
      <c r="V18" s="260">
        <v>12724.516924731675</v>
      </c>
      <c r="W18" s="260">
        <v>229844.84054449279</v>
      </c>
      <c r="X18" s="260">
        <v>43017.408314154527</v>
      </c>
      <c r="Y18" s="260">
        <v>68753.505826776993</v>
      </c>
      <c r="AA18" s="257"/>
    </row>
    <row r="19" spans="1:27" s="3" customFormat="1" x14ac:dyDescent="0.2">
      <c r="A19" s="254">
        <f>A7+1</f>
        <v>2024</v>
      </c>
      <c r="B19" s="254">
        <v>1</v>
      </c>
      <c r="C19" s="255">
        <v>1530.3241286067414</v>
      </c>
      <c r="D19" s="255">
        <v>434.61670671527128</v>
      </c>
      <c r="E19" s="255">
        <v>5217.1391174627597</v>
      </c>
      <c r="F19" s="255">
        <v>16873.641622469135</v>
      </c>
      <c r="G19" s="255">
        <v>3483.1293124209583</v>
      </c>
      <c r="H19" s="255">
        <v>346598.12122959009</v>
      </c>
      <c r="I19" s="255">
        <v>24842.548818736079</v>
      </c>
      <c r="J19" s="255">
        <v>208.7177834899444</v>
      </c>
      <c r="K19" s="255">
        <v>343666.26192236552</v>
      </c>
      <c r="L19" s="255">
        <v>41658.106864406684</v>
      </c>
      <c r="M19" s="255">
        <v>117.17384415202477</v>
      </c>
      <c r="N19" s="255">
        <v>174406.94759412209</v>
      </c>
      <c r="O19" s="255">
        <v>96239.066461302558</v>
      </c>
      <c r="P19" s="255">
        <v>0</v>
      </c>
      <c r="Q19" s="255">
        <v>64595.736433447513</v>
      </c>
      <c r="R19" s="255">
        <v>8800</v>
      </c>
      <c r="S19" s="255">
        <v>28239.790857738539</v>
      </c>
      <c r="T19" s="255">
        <v>83469.120560541109</v>
      </c>
      <c r="U19" s="255">
        <v>22309.748137756469</v>
      </c>
      <c r="V19" s="255">
        <v>11042.972285236277</v>
      </c>
      <c r="W19" s="255">
        <v>231126.89460524853</v>
      </c>
      <c r="X19" s="255">
        <v>43294.008456830416</v>
      </c>
      <c r="Y19" s="255">
        <v>62551.374084158866</v>
      </c>
      <c r="AA19" s="257"/>
    </row>
    <row r="20" spans="1:27" s="3" customFormat="1" x14ac:dyDescent="0.2">
      <c r="A20" s="256">
        <f>A19</f>
        <v>2024</v>
      </c>
      <c r="B20" s="254">
        <f>B19+1</f>
        <v>2</v>
      </c>
      <c r="C20" s="255">
        <v>1661.8013035806227</v>
      </c>
      <c r="D20" s="255">
        <v>428.34608214127633</v>
      </c>
      <c r="E20" s="255">
        <v>5224.8904867191213</v>
      </c>
      <c r="F20" s="255">
        <v>17337.561290914822</v>
      </c>
      <c r="G20" s="255">
        <v>3634.6963524038897</v>
      </c>
      <c r="H20" s="255">
        <v>361280.70135743637</v>
      </c>
      <c r="I20" s="255">
        <v>26139.474089139469</v>
      </c>
      <c r="J20" s="255">
        <v>242.6791287732695</v>
      </c>
      <c r="K20" s="255">
        <v>360362.1621610155</v>
      </c>
      <c r="L20" s="255">
        <v>43948.38969423472</v>
      </c>
      <c r="M20" s="255">
        <v>290.3835745119722</v>
      </c>
      <c r="N20" s="255">
        <v>181214.87596941221</v>
      </c>
      <c r="O20" s="255">
        <v>98570.871065908781</v>
      </c>
      <c r="P20" s="255">
        <v>0</v>
      </c>
      <c r="Q20" s="255">
        <v>65878.423588005069</v>
      </c>
      <c r="R20" s="255">
        <v>8800</v>
      </c>
      <c r="S20" s="255">
        <v>30540.143819324257</v>
      </c>
      <c r="T20" s="255">
        <v>96020.27631942225</v>
      </c>
      <c r="U20" s="255">
        <v>25686.092244119958</v>
      </c>
      <c r="V20" s="255">
        <v>11748.810309901677</v>
      </c>
      <c r="W20" s="255">
        <v>234931.54289538279</v>
      </c>
      <c r="X20" s="255">
        <v>45113.878094878273</v>
      </c>
      <c r="Y20" s="255">
        <v>60987.050669700831</v>
      </c>
      <c r="AA20" s="257"/>
    </row>
    <row r="21" spans="1:27" s="3" customFormat="1" x14ac:dyDescent="0.2">
      <c r="A21" s="256">
        <f t="shared" ref="A21:A30" si="2">A20</f>
        <v>2024</v>
      </c>
      <c r="B21" s="254">
        <f t="shared" ref="B21:B30" si="3">B20+1</f>
        <v>3</v>
      </c>
      <c r="C21" s="255">
        <v>1553.7476578067622</v>
      </c>
      <c r="D21" s="255">
        <v>354.72303431241778</v>
      </c>
      <c r="E21" s="255">
        <v>5130.0442666924619</v>
      </c>
      <c r="F21" s="255">
        <v>15926.745075956534</v>
      </c>
      <c r="G21" s="255">
        <v>3464.6023029715234</v>
      </c>
      <c r="H21" s="255">
        <v>340137.05994864542</v>
      </c>
      <c r="I21" s="255">
        <v>24201.96238015878</v>
      </c>
      <c r="J21" s="255">
        <v>290.72840035352323</v>
      </c>
      <c r="K21" s="255">
        <v>339996.08346162771</v>
      </c>
      <c r="L21" s="255">
        <v>40847.417413818504</v>
      </c>
      <c r="M21" s="255">
        <v>339.79707286530692</v>
      </c>
      <c r="N21" s="255">
        <v>173098.89833959963</v>
      </c>
      <c r="O21" s="255">
        <v>91419.593178230862</v>
      </c>
      <c r="P21" s="255">
        <v>0</v>
      </c>
      <c r="Q21" s="255">
        <v>61594.49178026765</v>
      </c>
      <c r="R21" s="255">
        <v>8800</v>
      </c>
      <c r="S21" s="255">
        <v>26432.233272933532</v>
      </c>
      <c r="T21" s="255">
        <v>86187.042730076137</v>
      </c>
      <c r="U21" s="255">
        <v>20470.038738786174</v>
      </c>
      <c r="V21" s="255">
        <v>10873.407672340587</v>
      </c>
      <c r="W21" s="255">
        <v>227598.75260950899</v>
      </c>
      <c r="X21" s="255">
        <v>43035.567312117149</v>
      </c>
      <c r="Y21" s="255">
        <v>64077.740038013864</v>
      </c>
      <c r="AA21" s="257"/>
    </row>
    <row r="22" spans="1:27" s="3" customFormat="1" x14ac:dyDescent="0.2">
      <c r="A22" s="256">
        <f t="shared" si="2"/>
        <v>2024</v>
      </c>
      <c r="B22" s="254">
        <f t="shared" si="3"/>
        <v>4</v>
      </c>
      <c r="C22" s="255">
        <v>1501.7169839530197</v>
      </c>
      <c r="D22" s="255">
        <v>300.64193927354512</v>
      </c>
      <c r="E22" s="255">
        <v>5254.0728657370946</v>
      </c>
      <c r="F22" s="255">
        <v>14781.756643041725</v>
      </c>
      <c r="G22" s="255">
        <v>3351.5337209445079</v>
      </c>
      <c r="H22" s="255">
        <v>338682.01526544697</v>
      </c>
      <c r="I22" s="255">
        <v>25027.342605767062</v>
      </c>
      <c r="J22" s="255">
        <v>364.90342576511762</v>
      </c>
      <c r="K22" s="255">
        <v>356245.73058661429</v>
      </c>
      <c r="L22" s="255">
        <v>44473.2155164004</v>
      </c>
      <c r="M22" s="255">
        <v>340.26602357689023</v>
      </c>
      <c r="N22" s="255">
        <v>189898.67890209879</v>
      </c>
      <c r="O22" s="255">
        <v>99713.581375313763</v>
      </c>
      <c r="P22" s="255">
        <v>0</v>
      </c>
      <c r="Q22" s="255">
        <v>61782.981494593696</v>
      </c>
      <c r="R22" s="255">
        <v>8800</v>
      </c>
      <c r="S22" s="255">
        <v>33788.637355078827</v>
      </c>
      <c r="T22" s="255">
        <v>93954.837149143685</v>
      </c>
      <c r="U22" s="255">
        <v>25476.359856228744</v>
      </c>
      <c r="V22" s="255">
        <v>11639.052681445213</v>
      </c>
      <c r="W22" s="255">
        <v>226360.78431274364</v>
      </c>
      <c r="X22" s="255">
        <v>42077.367959461408</v>
      </c>
      <c r="Y22" s="255">
        <v>57271.29343177093</v>
      </c>
      <c r="AA22" s="257"/>
    </row>
    <row r="23" spans="1:27" s="3" customFormat="1" x14ac:dyDescent="0.2">
      <c r="A23" s="256">
        <f t="shared" si="2"/>
        <v>2024</v>
      </c>
      <c r="B23" s="254">
        <f t="shared" si="3"/>
        <v>5</v>
      </c>
      <c r="C23" s="255">
        <v>1304.2203225540675</v>
      </c>
      <c r="D23" s="255">
        <v>319.56600685499012</v>
      </c>
      <c r="E23" s="255">
        <v>4412.7195660021971</v>
      </c>
      <c r="F23" s="255">
        <v>12099.363881106321</v>
      </c>
      <c r="G23" s="255">
        <v>2908.5242741511847</v>
      </c>
      <c r="H23" s="255">
        <v>317258.74453077663</v>
      </c>
      <c r="I23" s="255">
        <v>23644.638177911722</v>
      </c>
      <c r="J23" s="255">
        <v>311.02572852968694</v>
      </c>
      <c r="K23" s="255">
        <v>344420.45533702726</v>
      </c>
      <c r="L23" s="255">
        <v>43967.449788414546</v>
      </c>
      <c r="M23" s="255">
        <v>491.86650025894954</v>
      </c>
      <c r="N23" s="255">
        <v>179001.67144748825</v>
      </c>
      <c r="O23" s="255">
        <v>96776.211496915595</v>
      </c>
      <c r="P23" s="255">
        <v>943.69304426189126</v>
      </c>
      <c r="Q23" s="255">
        <v>52341.48941174151</v>
      </c>
      <c r="R23" s="255">
        <v>8800</v>
      </c>
      <c r="S23" s="255">
        <v>30369.057112550647</v>
      </c>
      <c r="T23" s="255">
        <v>84858.054879561358</v>
      </c>
      <c r="U23" s="255">
        <v>23306.342930764906</v>
      </c>
      <c r="V23" s="255">
        <v>12379.19571503449</v>
      </c>
      <c r="W23" s="255">
        <v>225618.4671553371</v>
      </c>
      <c r="X23" s="255">
        <v>43248.25311412898</v>
      </c>
      <c r="Y23" s="255">
        <v>53835.421614103041</v>
      </c>
      <c r="AA23" s="257"/>
    </row>
    <row r="24" spans="1:27" s="3" customFormat="1" x14ac:dyDescent="0.2">
      <c r="A24" s="256">
        <f t="shared" si="2"/>
        <v>2024</v>
      </c>
      <c r="B24" s="254">
        <f t="shared" si="3"/>
        <v>6</v>
      </c>
      <c r="C24" s="255">
        <v>880.52358850862072</v>
      </c>
      <c r="D24" s="255">
        <v>385.5261207406989</v>
      </c>
      <c r="E24" s="255">
        <v>4254.939992771202</v>
      </c>
      <c r="F24" s="255">
        <v>11437.691697291821</v>
      </c>
      <c r="G24" s="255">
        <v>2714.5333579518065</v>
      </c>
      <c r="H24" s="255">
        <v>337558.54726286756</v>
      </c>
      <c r="I24" s="255">
        <v>24789.761947729843</v>
      </c>
      <c r="J24" s="255">
        <v>252.63639677332063</v>
      </c>
      <c r="K24" s="255">
        <v>366315.06413999113</v>
      </c>
      <c r="L24" s="255">
        <v>46653.420329807457</v>
      </c>
      <c r="M24" s="255">
        <v>668.02489782819021</v>
      </c>
      <c r="N24" s="255">
        <v>187469.52077130924</v>
      </c>
      <c r="O24" s="255">
        <v>102887.84426658148</v>
      </c>
      <c r="P24" s="255">
        <v>1174.5882774701661</v>
      </c>
      <c r="Q24" s="255">
        <v>42191.286001007487</v>
      </c>
      <c r="R24" s="255">
        <v>8800</v>
      </c>
      <c r="S24" s="255">
        <v>29730.447191868396</v>
      </c>
      <c r="T24" s="255">
        <v>93571.507809744435</v>
      </c>
      <c r="U24" s="255">
        <v>23401.863142254842</v>
      </c>
      <c r="V24" s="255">
        <v>11960.652602904005</v>
      </c>
      <c r="W24" s="255">
        <v>233948.01954727838</v>
      </c>
      <c r="X24" s="255">
        <v>45392.244760298279</v>
      </c>
      <c r="Y24" s="255">
        <v>59305.093101809565</v>
      </c>
      <c r="AA24" s="257"/>
    </row>
    <row r="25" spans="1:27" s="3" customFormat="1" x14ac:dyDescent="0.2">
      <c r="A25" s="256">
        <f t="shared" si="2"/>
        <v>2024</v>
      </c>
      <c r="B25" s="254">
        <f t="shared" si="3"/>
        <v>7</v>
      </c>
      <c r="C25" s="255">
        <v>738.90244472801101</v>
      </c>
      <c r="D25" s="255">
        <v>521.72054277191899</v>
      </c>
      <c r="E25" s="255">
        <v>4252.9027381876222</v>
      </c>
      <c r="F25" s="255">
        <v>11762.977678599658</v>
      </c>
      <c r="G25" s="255">
        <v>4795.5544362333285</v>
      </c>
      <c r="H25" s="255">
        <v>339143.02265242918</v>
      </c>
      <c r="I25" s="255">
        <v>23903.559414623214</v>
      </c>
      <c r="J25" s="255">
        <v>297.8439908603529</v>
      </c>
      <c r="K25" s="255">
        <v>377076.47717392753</v>
      </c>
      <c r="L25" s="255">
        <v>45460.217426397016</v>
      </c>
      <c r="M25" s="255">
        <v>943.047133900772</v>
      </c>
      <c r="N25" s="255">
        <v>184676.05935145612</v>
      </c>
      <c r="O25" s="255">
        <v>99025.005514350123</v>
      </c>
      <c r="P25" s="255">
        <v>1117.1143270051421</v>
      </c>
      <c r="Q25" s="255">
        <v>31171.403737072549</v>
      </c>
      <c r="R25" s="255">
        <v>8800</v>
      </c>
      <c r="S25" s="255">
        <v>28169.900539749582</v>
      </c>
      <c r="T25" s="255">
        <v>85503.697980832236</v>
      </c>
      <c r="U25" s="255">
        <v>24641.12200425546</v>
      </c>
      <c r="V25" s="255">
        <v>11795.095908558153</v>
      </c>
      <c r="W25" s="255">
        <v>234927.83542757592</v>
      </c>
      <c r="X25" s="255">
        <v>47630.879097929661</v>
      </c>
      <c r="Y25" s="255">
        <v>60731.802353620187</v>
      </c>
      <c r="AA25" s="257"/>
    </row>
    <row r="26" spans="1:27" s="3" customFormat="1" x14ac:dyDescent="0.2">
      <c r="A26" s="256">
        <f t="shared" si="2"/>
        <v>2024</v>
      </c>
      <c r="B26" s="254">
        <f t="shared" si="3"/>
        <v>8</v>
      </c>
      <c r="C26" s="255">
        <v>627.77957950043753</v>
      </c>
      <c r="D26" s="255">
        <v>500.86392060491823</v>
      </c>
      <c r="E26" s="255">
        <v>4376.4651844757973</v>
      </c>
      <c r="F26" s="255">
        <v>12054.901410661929</v>
      </c>
      <c r="G26" s="255">
        <v>5313.799149937021</v>
      </c>
      <c r="H26" s="255">
        <v>337530.88302384061</v>
      </c>
      <c r="I26" s="255">
        <v>23509.177312943168</v>
      </c>
      <c r="J26" s="255">
        <v>280.51659438229467</v>
      </c>
      <c r="K26" s="255">
        <v>376496.36379885575</v>
      </c>
      <c r="L26" s="255">
        <v>44347.999329300772</v>
      </c>
      <c r="M26" s="255">
        <v>1149.7916354793165</v>
      </c>
      <c r="N26" s="255">
        <v>184208.74310562623</v>
      </c>
      <c r="O26" s="255">
        <v>96375.747100650202</v>
      </c>
      <c r="P26" s="255">
        <v>1531.900908362622</v>
      </c>
      <c r="Q26" s="255">
        <v>21914.453330187356</v>
      </c>
      <c r="R26" s="255">
        <v>8800</v>
      </c>
      <c r="S26" s="255">
        <v>24085.354163679851</v>
      </c>
      <c r="T26" s="255">
        <v>86627.807180633448</v>
      </c>
      <c r="U26" s="255">
        <v>22186.520612028671</v>
      </c>
      <c r="V26" s="255">
        <v>11751.388239265585</v>
      </c>
      <c r="W26" s="255">
        <v>235318.63703855439</v>
      </c>
      <c r="X26" s="255">
        <v>49806.236704015428</v>
      </c>
      <c r="Y26" s="255">
        <v>61384.366287924146</v>
      </c>
      <c r="AA26" s="257"/>
    </row>
    <row r="27" spans="1:27" s="3" customFormat="1" x14ac:dyDescent="0.2">
      <c r="A27" s="256">
        <f t="shared" si="2"/>
        <v>2024</v>
      </c>
      <c r="B27" s="254">
        <f t="shared" si="3"/>
        <v>9</v>
      </c>
      <c r="C27" s="255">
        <v>605.89910838934452</v>
      </c>
      <c r="D27" s="255">
        <v>405.02903053011994</v>
      </c>
      <c r="E27" s="255">
        <v>4109.9452847365928</v>
      </c>
      <c r="F27" s="255">
        <v>11453.88903491107</v>
      </c>
      <c r="G27" s="255">
        <v>4586.5473743786933</v>
      </c>
      <c r="H27" s="255">
        <v>331536.55559781555</v>
      </c>
      <c r="I27" s="255">
        <v>24951.346195090042</v>
      </c>
      <c r="J27" s="255">
        <v>298.90789130699454</v>
      </c>
      <c r="K27" s="255">
        <v>352916.0573933071</v>
      </c>
      <c r="L27" s="255">
        <v>45923.28069760686</v>
      </c>
      <c r="M27" s="255">
        <v>885.21157074115376</v>
      </c>
      <c r="N27" s="255">
        <v>176080.37200073616</v>
      </c>
      <c r="O27" s="255">
        <v>101948.16194677801</v>
      </c>
      <c r="P27" s="255">
        <v>1337.344709360106</v>
      </c>
      <c r="Q27" s="255">
        <v>28651.849622020651</v>
      </c>
      <c r="R27" s="255">
        <v>8800</v>
      </c>
      <c r="S27" s="255">
        <v>27753.200246129116</v>
      </c>
      <c r="T27" s="255">
        <v>95491.836840410921</v>
      </c>
      <c r="U27" s="255">
        <v>24119.76211512458</v>
      </c>
      <c r="V27" s="255">
        <v>11505.955889062232</v>
      </c>
      <c r="W27" s="255">
        <v>229934.46102483643</v>
      </c>
      <c r="X27" s="255">
        <v>47320.537293897876</v>
      </c>
      <c r="Y27" s="255">
        <v>59127.634636515257</v>
      </c>
      <c r="AA27" s="257"/>
    </row>
    <row r="28" spans="1:27" s="3" customFormat="1" x14ac:dyDescent="0.2">
      <c r="A28" s="256">
        <f t="shared" si="2"/>
        <v>2024</v>
      </c>
      <c r="B28" s="254">
        <f t="shared" si="3"/>
        <v>10</v>
      </c>
      <c r="C28" s="255">
        <v>752.52132550662645</v>
      </c>
      <c r="D28" s="255">
        <v>301.62793980028556</v>
      </c>
      <c r="E28" s="255">
        <v>4155.6632890088895</v>
      </c>
      <c r="F28" s="255">
        <v>12240.438582106461</v>
      </c>
      <c r="G28" s="255">
        <v>3770.4652734836004</v>
      </c>
      <c r="H28" s="255">
        <v>329911.03378033324</v>
      </c>
      <c r="I28" s="255">
        <v>23475.4893574993</v>
      </c>
      <c r="J28" s="255">
        <v>315.47336127797331</v>
      </c>
      <c r="K28" s="255">
        <v>352705.50968682073</v>
      </c>
      <c r="L28" s="255">
        <v>42815.227345264713</v>
      </c>
      <c r="M28" s="255">
        <v>739.05124543747024</v>
      </c>
      <c r="N28" s="255">
        <v>177850.22741495</v>
      </c>
      <c r="O28" s="255">
        <v>97834.185338255556</v>
      </c>
      <c r="P28" s="255">
        <v>1221.3142209544803</v>
      </c>
      <c r="Q28" s="255">
        <v>41407.994815886494</v>
      </c>
      <c r="R28" s="255">
        <v>8800</v>
      </c>
      <c r="S28" s="255">
        <v>30503.239981509567</v>
      </c>
      <c r="T28" s="255">
        <v>86460.727083249978</v>
      </c>
      <c r="U28" s="255">
        <v>21851.496454042837</v>
      </c>
      <c r="V28" s="255">
        <v>11421.992887378783</v>
      </c>
      <c r="W28" s="255">
        <v>223225.52486805545</v>
      </c>
      <c r="X28" s="255">
        <v>46074.981089393936</v>
      </c>
      <c r="Y28" s="255">
        <v>57059.913410460023</v>
      </c>
      <c r="AA28" s="257"/>
    </row>
    <row r="29" spans="1:27" s="3" customFormat="1" x14ac:dyDescent="0.2">
      <c r="A29" s="256">
        <f t="shared" si="2"/>
        <v>2024</v>
      </c>
      <c r="B29" s="254">
        <f t="shared" si="3"/>
        <v>11</v>
      </c>
      <c r="C29" s="255">
        <v>1047.2423254712176</v>
      </c>
      <c r="D29" s="255">
        <v>331.78763597103813</v>
      </c>
      <c r="E29" s="255">
        <v>4327.6576962900117</v>
      </c>
      <c r="F29" s="255">
        <v>14198.531636680607</v>
      </c>
      <c r="G29" s="255">
        <v>2968.3781299759048</v>
      </c>
      <c r="H29" s="255">
        <v>327883.50104645087</v>
      </c>
      <c r="I29" s="255">
        <v>23702.540501723004</v>
      </c>
      <c r="J29" s="255">
        <v>270.92843310508283</v>
      </c>
      <c r="K29" s="255">
        <v>345847.40432734252</v>
      </c>
      <c r="L29" s="255">
        <v>42128.774776528946</v>
      </c>
      <c r="M29" s="255">
        <v>410.00906258382656</v>
      </c>
      <c r="N29" s="255">
        <v>175945.30693335773</v>
      </c>
      <c r="O29" s="255">
        <v>97442.081529970907</v>
      </c>
      <c r="P29" s="255">
        <v>930.36470198366533</v>
      </c>
      <c r="Q29" s="255">
        <v>53127.805202911215</v>
      </c>
      <c r="R29" s="255">
        <v>8800</v>
      </c>
      <c r="S29" s="255">
        <v>30251.098176801315</v>
      </c>
      <c r="T29" s="255">
        <v>79146.002730354288</v>
      </c>
      <c r="U29" s="255">
        <v>22605.265782388542</v>
      </c>
      <c r="V29" s="255">
        <v>12061.972625060864</v>
      </c>
      <c r="W29" s="255">
        <v>227001.62897594905</v>
      </c>
      <c r="X29" s="255">
        <v>43943.882939272138</v>
      </c>
      <c r="Y29" s="255">
        <v>61236.06206727933</v>
      </c>
      <c r="AA29" s="257"/>
    </row>
    <row r="30" spans="1:27" s="3" customFormat="1" x14ac:dyDescent="0.2">
      <c r="A30" s="258">
        <f t="shared" si="2"/>
        <v>2024</v>
      </c>
      <c r="B30" s="259">
        <f t="shared" si="3"/>
        <v>12</v>
      </c>
      <c r="C30" s="260">
        <v>1317.2398466098971</v>
      </c>
      <c r="D30" s="260">
        <v>407.97581543273236</v>
      </c>
      <c r="E30" s="260">
        <v>4662.9825044875834</v>
      </c>
      <c r="F30" s="260">
        <v>15672.276438066669</v>
      </c>
      <c r="G30" s="260">
        <v>3229.1224013682499</v>
      </c>
      <c r="H30" s="260">
        <v>347932.16804714216</v>
      </c>
      <c r="I30" s="260">
        <v>21687.451261284303</v>
      </c>
      <c r="J30" s="260">
        <v>288.53568133003927</v>
      </c>
      <c r="K30" s="260">
        <v>345926.91404325987</v>
      </c>
      <c r="L30" s="260">
        <v>37055.164538098768</v>
      </c>
      <c r="M30" s="260">
        <v>33.591546427633858</v>
      </c>
      <c r="N30" s="260">
        <v>174677.40597993147</v>
      </c>
      <c r="O30" s="260">
        <v>84419.669853386251</v>
      </c>
      <c r="P30" s="260">
        <v>0</v>
      </c>
      <c r="Q30" s="260">
        <v>58775.792803913071</v>
      </c>
      <c r="R30" s="260">
        <v>8800</v>
      </c>
      <c r="S30" s="260">
        <v>30641.541741988745</v>
      </c>
      <c r="T30" s="260">
        <v>79321.902403869142</v>
      </c>
      <c r="U30" s="260">
        <v>21884.204875535048</v>
      </c>
      <c r="V30" s="260">
        <v>12703.879300264449</v>
      </c>
      <c r="W30" s="260">
        <v>229472.06006622908</v>
      </c>
      <c r="X30" s="260">
        <v>42947.639290812069</v>
      </c>
      <c r="Y30" s="260">
        <v>65453.211474123716</v>
      </c>
      <c r="AA30" s="257"/>
    </row>
    <row r="31" spans="1:27" s="3" customFormat="1" x14ac:dyDescent="0.2">
      <c r="A31" s="254">
        <f>A19+1</f>
        <v>2025</v>
      </c>
      <c r="B31" s="254">
        <v>1</v>
      </c>
      <c r="C31" s="255">
        <v>1515.8914424994266</v>
      </c>
      <c r="D31" s="255">
        <v>434.61670671527128</v>
      </c>
      <c r="E31" s="255">
        <v>5160.6690635692894</v>
      </c>
      <c r="F31" s="255">
        <v>17032.150835960274</v>
      </c>
      <c r="G31" s="255">
        <v>3445.4280942701894</v>
      </c>
      <c r="H31" s="255">
        <v>351141.50900002231</v>
      </c>
      <c r="I31" s="255">
        <v>24284.919738618089</v>
      </c>
      <c r="J31" s="255">
        <v>208.7177834899444</v>
      </c>
      <c r="K31" s="255">
        <v>355810.99341301556</v>
      </c>
      <c r="L31" s="255">
        <v>40723.026813653516</v>
      </c>
      <c r="M31" s="255">
        <v>117.79316056908056</v>
      </c>
      <c r="N31" s="255">
        <v>178137.55274566213</v>
      </c>
      <c r="O31" s="255">
        <v>94078.833125592602</v>
      </c>
      <c r="P31" s="255">
        <v>0</v>
      </c>
      <c r="Q31" s="255">
        <v>64937.153925845421</v>
      </c>
      <c r="R31" s="255">
        <v>8800</v>
      </c>
      <c r="S31" s="255">
        <v>28284.542767029474</v>
      </c>
      <c r="T31" s="255">
        <v>83640.228276043534</v>
      </c>
      <c r="U31" s="255">
        <v>22348.079335895673</v>
      </c>
      <c r="V31" s="255">
        <v>11029.432046759121</v>
      </c>
      <c r="W31" s="255">
        <v>230843.50049806302</v>
      </c>
      <c r="X31" s="255">
        <v>43240.923908214798</v>
      </c>
      <c r="Y31" s="255">
        <v>59437.509660049436</v>
      </c>
      <c r="AA31" s="257"/>
    </row>
    <row r="32" spans="1:27" s="3" customFormat="1" x14ac:dyDescent="0.2">
      <c r="A32" s="256">
        <f>A31</f>
        <v>2025</v>
      </c>
      <c r="B32" s="254">
        <f>B31+1</f>
        <v>2</v>
      </c>
      <c r="C32" s="255">
        <v>1638.7093465804007</v>
      </c>
      <c r="D32" s="255">
        <v>428.34608214127633</v>
      </c>
      <c r="E32" s="255">
        <v>5126.257029697701</v>
      </c>
      <c r="F32" s="255">
        <v>17148.27144678625</v>
      </c>
      <c r="G32" s="255">
        <v>3566.081963763193</v>
      </c>
      <c r="H32" s="255">
        <v>361744.55601446156</v>
      </c>
      <c r="I32" s="255">
        <v>25420.567247326508</v>
      </c>
      <c r="J32" s="255">
        <v>242.6791287732695</v>
      </c>
      <c r="K32" s="255">
        <v>367225.63335067837</v>
      </c>
      <c r="L32" s="255">
        <v>42739.689093369248</v>
      </c>
      <c r="M32" s="255">
        <v>288.78498021112813</v>
      </c>
      <c r="N32" s="255">
        <v>182467.45423083895</v>
      </c>
      <c r="O32" s="255">
        <v>95859.903225810529</v>
      </c>
      <c r="P32" s="255">
        <v>0</v>
      </c>
      <c r="Q32" s="255">
        <v>65515.755442351779</v>
      </c>
      <c r="R32" s="255">
        <v>8800</v>
      </c>
      <c r="S32" s="255">
        <v>29969.081180724821</v>
      </c>
      <c r="T32" s="255">
        <v>95209.815887912089</v>
      </c>
      <c r="U32" s="255">
        <v>25208.493690996631</v>
      </c>
      <c r="V32" s="255">
        <v>11333.259743838475</v>
      </c>
      <c r="W32" s="255">
        <v>226622.11129667814</v>
      </c>
      <c r="X32" s="255">
        <v>43518.218867676936</v>
      </c>
      <c r="Y32" s="255">
        <v>55267.167975785364</v>
      </c>
      <c r="AA32" s="257"/>
    </row>
    <row r="33" spans="1:27" s="3" customFormat="1" x14ac:dyDescent="0.2">
      <c r="A33" s="256">
        <f t="shared" ref="A33:A42" si="4">A32</f>
        <v>2025</v>
      </c>
      <c r="B33" s="254">
        <f t="shared" ref="B33:B42" si="5">B32+1</f>
        <v>3</v>
      </c>
      <c r="C33" s="255">
        <v>1497.8688510265515</v>
      </c>
      <c r="D33" s="255">
        <v>354.72303431241778</v>
      </c>
      <c r="E33" s="255">
        <v>4932.3546885483674</v>
      </c>
      <c r="F33" s="255">
        <v>15552.934333485045</v>
      </c>
      <c r="G33" s="255">
        <v>3331.0916094754675</v>
      </c>
      <c r="H33" s="255">
        <v>334058.95449287037</v>
      </c>
      <c r="I33" s="255">
        <v>23179.329753602877</v>
      </c>
      <c r="J33" s="255">
        <v>290.72840035352323</v>
      </c>
      <c r="K33" s="255">
        <v>343267.33243165701</v>
      </c>
      <c r="L33" s="255">
        <v>39121.445730127125</v>
      </c>
      <c r="M33" s="255">
        <v>330.7019775522021</v>
      </c>
      <c r="N33" s="255">
        <v>172173.21017591536</v>
      </c>
      <c r="O33" s="255">
        <v>87556.738702960211</v>
      </c>
      <c r="P33" s="255">
        <v>0</v>
      </c>
      <c r="Q33" s="255">
        <v>59945.837868155424</v>
      </c>
      <c r="R33" s="255">
        <v>8800</v>
      </c>
      <c r="S33" s="255">
        <v>25967.114890498655</v>
      </c>
      <c r="T33" s="255">
        <v>84090.745403377601</v>
      </c>
      <c r="U33" s="255">
        <v>20111.932861574758</v>
      </c>
      <c r="V33" s="255">
        <v>10865.938333661337</v>
      </c>
      <c r="W33" s="255">
        <v>227442.4067593911</v>
      </c>
      <c r="X33" s="255">
        <v>43006.004617771905</v>
      </c>
      <c r="Y33" s="255">
        <v>57152.298590559585</v>
      </c>
      <c r="AA33" s="257"/>
    </row>
    <row r="34" spans="1:27" s="3" customFormat="1" x14ac:dyDescent="0.2">
      <c r="A34" s="256">
        <f t="shared" si="4"/>
        <v>2025</v>
      </c>
      <c r="B34" s="254">
        <f t="shared" si="5"/>
        <v>4</v>
      </c>
      <c r="C34" s="255">
        <v>1490.4691202618201</v>
      </c>
      <c r="D34" s="255">
        <v>300.64193927354512</v>
      </c>
      <c r="E34" s="255">
        <v>5187.7001403361355</v>
      </c>
      <c r="F34" s="255">
        <v>14806.979733321248</v>
      </c>
      <c r="G34" s="255">
        <v>3309.1950566326923</v>
      </c>
      <c r="H34" s="255">
        <v>340890.55246043327</v>
      </c>
      <c r="I34" s="255">
        <v>24498.163071535884</v>
      </c>
      <c r="J34" s="255">
        <v>364.90342576511762</v>
      </c>
      <c r="K34" s="255">
        <v>367125.78577604599</v>
      </c>
      <c r="L34" s="255">
        <v>43532.871355877956</v>
      </c>
      <c r="M34" s="255">
        <v>339.60218052445822</v>
      </c>
      <c r="N34" s="255">
        <v>193045.00050853196</v>
      </c>
      <c r="O34" s="255">
        <v>97605.231824189148</v>
      </c>
      <c r="P34" s="255">
        <v>0</v>
      </c>
      <c r="Q34" s="255">
        <v>61662.445795517648</v>
      </c>
      <c r="R34" s="255">
        <v>8800</v>
      </c>
      <c r="S34" s="255">
        <v>33586.624640465328</v>
      </c>
      <c r="T34" s="255">
        <v>94050.213669211735</v>
      </c>
      <c r="U34" s="255">
        <v>25326.996379275926</v>
      </c>
      <c r="V34" s="255">
        <v>11641.668213890145</v>
      </c>
      <c r="W34" s="255">
        <v>226411.65219622443</v>
      </c>
      <c r="X34" s="255">
        <v>42086.823601953038</v>
      </c>
      <c r="Y34" s="255">
        <v>57142.535998322892</v>
      </c>
      <c r="AA34" s="257"/>
    </row>
    <row r="35" spans="1:27" s="3" customFormat="1" x14ac:dyDescent="0.2">
      <c r="A35" s="256">
        <f t="shared" si="4"/>
        <v>2025</v>
      </c>
      <c r="B35" s="254">
        <f t="shared" si="5"/>
        <v>5</v>
      </c>
      <c r="C35" s="255">
        <v>1296.8053939236329</v>
      </c>
      <c r="D35" s="255">
        <v>319.56600685499012</v>
      </c>
      <c r="E35" s="255">
        <v>4348.5102883860527</v>
      </c>
      <c r="F35" s="255">
        <v>12097.853369182092</v>
      </c>
      <c r="G35" s="255">
        <v>2866.2024724189596</v>
      </c>
      <c r="H35" s="255">
        <v>318734.21146145149</v>
      </c>
      <c r="I35" s="255">
        <v>23293.649401988463</v>
      </c>
      <c r="J35" s="255">
        <v>311.02572852968694</v>
      </c>
      <c r="K35" s="255">
        <v>355610.43249745923</v>
      </c>
      <c r="L35" s="255">
        <v>43314.782521290937</v>
      </c>
      <c r="M35" s="255">
        <v>489.75872134922173</v>
      </c>
      <c r="N35" s="255">
        <v>182135.38824998052</v>
      </c>
      <c r="O35" s="255">
        <v>95339.633624325215</v>
      </c>
      <c r="P35" s="255">
        <v>939.64906831535859</v>
      </c>
      <c r="Q35" s="255">
        <v>52117.19219404574</v>
      </c>
      <c r="R35" s="255">
        <v>8800</v>
      </c>
      <c r="S35" s="255">
        <v>30338.479889387418</v>
      </c>
      <c r="T35" s="255">
        <v>84848.988201691303</v>
      </c>
      <c r="U35" s="255">
        <v>23285.133356996175</v>
      </c>
      <c r="V35" s="255">
        <v>12381.078762900399</v>
      </c>
      <c r="W35" s="255">
        <v>225652.78686259949</v>
      </c>
      <c r="X35" s="255">
        <v>43254.83177502147</v>
      </c>
      <c r="Y35" s="255">
        <v>53169.844725859562</v>
      </c>
      <c r="AA35" s="257"/>
    </row>
    <row r="36" spans="1:27" s="3" customFormat="1" x14ac:dyDescent="0.2">
      <c r="A36" s="256">
        <f t="shared" si="4"/>
        <v>2025</v>
      </c>
      <c r="B36" s="254">
        <f t="shared" si="5"/>
        <v>6</v>
      </c>
      <c r="C36" s="255">
        <v>877.73316847375793</v>
      </c>
      <c r="D36" s="255">
        <v>385.5261207406989</v>
      </c>
      <c r="E36" s="255">
        <v>4203.7981753457352</v>
      </c>
      <c r="F36" s="255">
        <v>11441.644598931214</v>
      </c>
      <c r="G36" s="255">
        <v>2681.9063010194955</v>
      </c>
      <c r="H36" s="255">
        <v>338985.15831189789</v>
      </c>
      <c r="I36" s="255">
        <v>24456.261955635939</v>
      </c>
      <c r="J36" s="255">
        <v>252.63639677332063</v>
      </c>
      <c r="K36" s="255">
        <v>377284.8021324455</v>
      </c>
      <c r="L36" s="255">
        <v>46025.785609314917</v>
      </c>
      <c r="M36" s="255">
        <v>665.5065267907886</v>
      </c>
      <c r="N36" s="255">
        <v>190576.12151915362</v>
      </c>
      <c r="O36" s="255">
        <v>101503.68029914159</v>
      </c>
      <c r="P36" s="255">
        <v>1170.1602252995469</v>
      </c>
      <c r="Q36" s="255">
        <v>42032.230084018134</v>
      </c>
      <c r="R36" s="255">
        <v>8800</v>
      </c>
      <c r="S36" s="255">
        <v>29707.753812720017</v>
      </c>
      <c r="T36" s="255">
        <v>93790.974129842871</v>
      </c>
      <c r="U36" s="255">
        <v>23385.532250034572</v>
      </c>
      <c r="V36" s="255">
        <v>11958.482144154976</v>
      </c>
      <c r="W36" s="255">
        <v>233905.56579975251</v>
      </c>
      <c r="X36" s="255">
        <v>45384.007584782055</v>
      </c>
      <c r="Y36" s="255">
        <v>54188.418831067756</v>
      </c>
      <c r="AA36" s="257"/>
    </row>
    <row r="37" spans="1:27" s="3" customFormat="1" x14ac:dyDescent="0.2">
      <c r="A37" s="256">
        <f t="shared" si="4"/>
        <v>2025</v>
      </c>
      <c r="B37" s="254">
        <f t="shared" si="5"/>
        <v>7</v>
      </c>
      <c r="C37" s="255">
        <v>738.90244724624529</v>
      </c>
      <c r="D37" s="255">
        <v>521.72054277191899</v>
      </c>
      <c r="E37" s="255">
        <v>4190.4771098574638</v>
      </c>
      <c r="F37" s="255">
        <v>11729.953237365136</v>
      </c>
      <c r="G37" s="255">
        <v>4725.163572086547</v>
      </c>
      <c r="H37" s="255">
        <v>339842.58685603092</v>
      </c>
      <c r="I37" s="255">
        <v>23583.383324505696</v>
      </c>
      <c r="J37" s="255">
        <v>297.8439908603529</v>
      </c>
      <c r="K37" s="255">
        <v>388101.48016046127</v>
      </c>
      <c r="L37" s="255">
        <v>44851.300803604281</v>
      </c>
      <c r="M37" s="255">
        <v>937.08318088319902</v>
      </c>
      <c r="N37" s="255">
        <v>187454.51780954303</v>
      </c>
      <c r="O37" s="255">
        <v>97698.615643306359</v>
      </c>
      <c r="P37" s="255">
        <v>1110.0495503656521</v>
      </c>
      <c r="Q37" s="255">
        <v>30974.271716098337</v>
      </c>
      <c r="R37" s="255">
        <v>8800</v>
      </c>
      <c r="S37" s="255">
        <v>28160.91153730706</v>
      </c>
      <c r="T37" s="255">
        <v>85549.441607005647</v>
      </c>
      <c r="U37" s="255">
        <v>24634.745724193577</v>
      </c>
      <c r="V37" s="255">
        <v>11785.279310774798</v>
      </c>
      <c r="W37" s="255">
        <v>234732.31416294316</v>
      </c>
      <c r="X37" s="255">
        <v>47591.23777701144</v>
      </c>
      <c r="Y37" s="255">
        <v>56668.591592085155</v>
      </c>
      <c r="AA37" s="257"/>
    </row>
    <row r="38" spans="1:27" s="3" customFormat="1" x14ac:dyDescent="0.2">
      <c r="A38" s="256">
        <f t="shared" si="4"/>
        <v>2025</v>
      </c>
      <c r="B38" s="254">
        <f t="shared" si="5"/>
        <v>8</v>
      </c>
      <c r="C38" s="255">
        <v>627.77957873369758</v>
      </c>
      <c r="D38" s="255">
        <v>500.86392060491823</v>
      </c>
      <c r="E38" s="255">
        <v>4317.0405702056514</v>
      </c>
      <c r="F38" s="255">
        <v>12007.612847140857</v>
      </c>
      <c r="G38" s="255">
        <v>5241.6472073341047</v>
      </c>
      <c r="H38" s="255">
        <v>337810.75170418888</v>
      </c>
      <c r="I38" s="255">
        <v>23152.309671917075</v>
      </c>
      <c r="J38" s="255">
        <v>280.51659438229467</v>
      </c>
      <c r="K38" s="255">
        <v>387503.11725679756</v>
      </c>
      <c r="L38" s="255">
        <v>43674.799850892698</v>
      </c>
      <c r="M38" s="255">
        <v>1141.3291403592507</v>
      </c>
      <c r="N38" s="255">
        <v>186975.06176695443</v>
      </c>
      <c r="O38" s="255">
        <v>94912.770108214041</v>
      </c>
      <c r="P38" s="255">
        <v>1520.6260794619577</v>
      </c>
      <c r="Q38" s="255">
        <v>21753.162406994743</v>
      </c>
      <c r="R38" s="255">
        <v>8800</v>
      </c>
      <c r="S38" s="255">
        <v>24175.127646414039</v>
      </c>
      <c r="T38" s="255">
        <v>86613.425773731971</v>
      </c>
      <c r="U38" s="255">
        <v>22271.105954596496</v>
      </c>
      <c r="V38" s="255">
        <v>11749.017822496908</v>
      </c>
      <c r="W38" s="255">
        <v>235271.17003024404</v>
      </c>
      <c r="X38" s="255">
        <v>49796.190100477033</v>
      </c>
      <c r="Y38" s="255">
        <v>58505.406617480927</v>
      </c>
      <c r="AA38" s="257"/>
    </row>
    <row r="39" spans="1:27" s="3" customFormat="1" x14ac:dyDescent="0.2">
      <c r="A39" s="256">
        <f t="shared" si="4"/>
        <v>2025</v>
      </c>
      <c r="B39" s="254">
        <f t="shared" si="5"/>
        <v>9</v>
      </c>
      <c r="C39" s="255">
        <v>605.84142470687755</v>
      </c>
      <c r="D39" s="255">
        <v>405.02903053011994</v>
      </c>
      <c r="E39" s="255">
        <v>4058.9116999199077</v>
      </c>
      <c r="F39" s="255">
        <v>11390.525866231663</v>
      </c>
      <c r="G39" s="255">
        <v>4529.5957757003789</v>
      </c>
      <c r="H39" s="255">
        <v>331684.28437004786</v>
      </c>
      <c r="I39" s="255">
        <v>24518.538832723421</v>
      </c>
      <c r="J39" s="255">
        <v>298.90789130699454</v>
      </c>
      <c r="K39" s="255">
        <v>364500.08226566121</v>
      </c>
      <c r="L39" s="255">
        <v>45126.693057222757</v>
      </c>
      <c r="M39" s="255">
        <v>878.32908674629641</v>
      </c>
      <c r="N39" s="255">
        <v>179067.63889660768</v>
      </c>
      <c r="O39" s="255">
        <v>100179.76377197377</v>
      </c>
      <c r="P39" s="255">
        <v>1326.9469085834266</v>
      </c>
      <c r="Q39" s="255">
        <v>28429.082655382972</v>
      </c>
      <c r="R39" s="255">
        <v>8800</v>
      </c>
      <c r="S39" s="255">
        <v>27713.697556012288</v>
      </c>
      <c r="T39" s="255">
        <v>95589.129429206616</v>
      </c>
      <c r="U39" s="255">
        <v>24087.41235941977</v>
      </c>
      <c r="V39" s="255">
        <v>11497.992254855175</v>
      </c>
      <c r="W39" s="255">
        <v>229775.3161474485</v>
      </c>
      <c r="X39" s="255">
        <v>47287.785260679229</v>
      </c>
      <c r="Y39" s="255">
        <v>54100.295543427455</v>
      </c>
      <c r="AA39" s="257"/>
    </row>
    <row r="40" spans="1:27" s="3" customFormat="1" x14ac:dyDescent="0.2">
      <c r="A40" s="256">
        <f t="shared" si="4"/>
        <v>2025</v>
      </c>
      <c r="B40" s="254">
        <f t="shared" si="5"/>
        <v>10</v>
      </c>
      <c r="C40" s="255">
        <v>751.60977941601197</v>
      </c>
      <c r="D40" s="255">
        <v>301.62793980028556</v>
      </c>
      <c r="E40" s="255">
        <v>4095.105983606064</v>
      </c>
      <c r="F40" s="255">
        <v>12134.015498184584</v>
      </c>
      <c r="G40" s="255">
        <v>3715.5211643973298</v>
      </c>
      <c r="H40" s="255">
        <v>329617.44135265925</v>
      </c>
      <c r="I40" s="255">
        <v>23037.070636146247</v>
      </c>
      <c r="J40" s="255">
        <v>315.47336127797331</v>
      </c>
      <c r="K40" s="255">
        <v>365488.71202849178</v>
      </c>
      <c r="L40" s="255">
        <v>42015.627518343477</v>
      </c>
      <c r="M40" s="255">
        <v>731.27197038250415</v>
      </c>
      <c r="N40" s="255">
        <v>180912.35202174523</v>
      </c>
      <c r="O40" s="255">
        <v>96007.07375870875</v>
      </c>
      <c r="P40" s="255">
        <v>1208.4586316946045</v>
      </c>
      <c r="Q40" s="255">
        <v>40972.133049688353</v>
      </c>
      <c r="R40" s="255">
        <v>8800</v>
      </c>
      <c r="S40" s="255">
        <v>30550.649776830145</v>
      </c>
      <c r="T40" s="255">
        <v>86422.755286306055</v>
      </c>
      <c r="U40" s="255">
        <v>21887.89850341899</v>
      </c>
      <c r="V40" s="255">
        <v>11410.444405515747</v>
      </c>
      <c r="W40" s="255">
        <v>222999.82730803074</v>
      </c>
      <c r="X40" s="255">
        <v>46028.395866596518</v>
      </c>
      <c r="Y40" s="255">
        <v>60861.658914516745</v>
      </c>
      <c r="AA40" s="257"/>
    </row>
    <row r="41" spans="1:27" s="3" customFormat="1" x14ac:dyDescent="0.2">
      <c r="A41" s="256">
        <f t="shared" si="4"/>
        <v>2025</v>
      </c>
      <c r="B41" s="254">
        <f t="shared" si="5"/>
        <v>11</v>
      </c>
      <c r="C41" s="255">
        <v>1043.8224240667523</v>
      </c>
      <c r="D41" s="255">
        <v>331.78763597103813</v>
      </c>
      <c r="E41" s="255">
        <v>4270.8038357153591</v>
      </c>
      <c r="F41" s="255">
        <v>14065.230786607037</v>
      </c>
      <c r="G41" s="255">
        <v>2929.3815715190804</v>
      </c>
      <c r="H41" s="255">
        <v>327673.53198277816</v>
      </c>
      <c r="I41" s="255">
        <v>23258.724513463196</v>
      </c>
      <c r="J41" s="255">
        <v>270.92843310508283</v>
      </c>
      <c r="K41" s="255">
        <v>359623.9001595666</v>
      </c>
      <c r="L41" s="255">
        <v>41339.9384992423</v>
      </c>
      <c r="M41" s="255">
        <v>405.6517896115738</v>
      </c>
      <c r="N41" s="255">
        <v>179266.83992788862</v>
      </c>
      <c r="O41" s="255">
        <v>95617.536447591745</v>
      </c>
      <c r="P41" s="255">
        <v>920.477474260588</v>
      </c>
      <c r="Q41" s="255">
        <v>52563.202195780039</v>
      </c>
      <c r="R41" s="255">
        <v>8800</v>
      </c>
      <c r="S41" s="255">
        <v>30157.417747445084</v>
      </c>
      <c r="T41" s="255">
        <v>79014.732471265495</v>
      </c>
      <c r="U41" s="255">
        <v>22538.42323445568</v>
      </c>
      <c r="V41" s="255">
        <v>12049.097362018683</v>
      </c>
      <c r="W41" s="255">
        <v>226759.32153794446</v>
      </c>
      <c r="X41" s="255">
        <v>43896.976096625083</v>
      </c>
      <c r="Y41" s="255">
        <v>65424.715522425256</v>
      </c>
      <c r="AA41" s="257"/>
    </row>
    <row r="42" spans="1:27" s="3" customFormat="1" x14ac:dyDescent="0.2">
      <c r="A42" s="258">
        <f t="shared" si="4"/>
        <v>2025</v>
      </c>
      <c r="B42" s="259">
        <f t="shared" si="5"/>
        <v>12</v>
      </c>
      <c r="C42" s="260">
        <v>1308.9229412009104</v>
      </c>
      <c r="D42" s="260">
        <v>407.97581543273236</v>
      </c>
      <c r="E42" s="260">
        <v>4610.1130196076965</v>
      </c>
      <c r="F42" s="260">
        <v>15571.005400613716</v>
      </c>
      <c r="G42" s="260">
        <v>3192.5102035291752</v>
      </c>
      <c r="H42" s="260">
        <v>348626.29992581048</v>
      </c>
      <c r="I42" s="260">
        <v>21300.751666316508</v>
      </c>
      <c r="J42" s="260">
        <v>288.53568133003927</v>
      </c>
      <c r="K42" s="260">
        <v>360336.87949474691</v>
      </c>
      <c r="L42" s="260">
        <v>36394.449872013218</v>
      </c>
      <c r="M42" s="260">
        <v>33.335663648317855</v>
      </c>
      <c r="N42" s="260">
        <v>178005.9916761833</v>
      </c>
      <c r="O42" s="260">
        <v>82914.419109704191</v>
      </c>
      <c r="P42" s="260">
        <v>0</v>
      </c>
      <c r="Q42" s="260">
        <v>58328.069646792093</v>
      </c>
      <c r="R42" s="260">
        <v>8800</v>
      </c>
      <c r="S42" s="260">
        <v>30702.362885204115</v>
      </c>
      <c r="T42" s="260">
        <v>79206.091392505521</v>
      </c>
      <c r="U42" s="260">
        <v>21930.686290115358</v>
      </c>
      <c r="V42" s="260">
        <v>12689.180949104944</v>
      </c>
      <c r="W42" s="260">
        <v>229206.561564517</v>
      </c>
      <c r="X42" s="260">
        <v>42897.948997882835</v>
      </c>
      <c r="Y42" s="260">
        <v>66719.388615809468</v>
      </c>
      <c r="AA42" s="257"/>
    </row>
    <row r="43" spans="1:27" s="3" customFormat="1" x14ac:dyDescent="0.2">
      <c r="A43" s="254">
        <f>A31+1</f>
        <v>2026</v>
      </c>
      <c r="B43" s="254">
        <v>1</v>
      </c>
      <c r="C43" s="255">
        <v>1506.131257775525</v>
      </c>
      <c r="D43" s="255">
        <v>434.61670671527128</v>
      </c>
      <c r="E43" s="255">
        <v>5110.3107141113405</v>
      </c>
      <c r="F43" s="255">
        <v>16996.020835817541</v>
      </c>
      <c r="G43" s="255">
        <v>3411.8072459138589</v>
      </c>
      <c r="H43" s="255">
        <v>352832.0996992921</v>
      </c>
      <c r="I43" s="255">
        <v>23745.020263440481</v>
      </c>
      <c r="J43" s="255">
        <v>208.7177834899444</v>
      </c>
      <c r="K43" s="255">
        <v>370419.3296288409</v>
      </c>
      <c r="L43" s="255">
        <v>39817.677278181516</v>
      </c>
      <c r="M43" s="255">
        <v>117.25434079917281</v>
      </c>
      <c r="N43" s="255">
        <v>181202.81367019253</v>
      </c>
      <c r="O43" s="255">
        <v>91987.283588821534</v>
      </c>
      <c r="P43" s="255">
        <v>0</v>
      </c>
      <c r="Q43" s="255">
        <v>64640.11272101025</v>
      </c>
      <c r="R43" s="255">
        <v>8800</v>
      </c>
      <c r="S43" s="255">
        <v>28418.345324067192</v>
      </c>
      <c r="T43" s="255">
        <v>83460.735524146439</v>
      </c>
      <c r="U43" s="255">
        <v>22456.751499682061</v>
      </c>
      <c r="V43" s="255">
        <v>11015.85901924208</v>
      </c>
      <c r="W43" s="255">
        <v>230559.42012374307</v>
      </c>
      <c r="X43" s="255">
        <v>43187.710810062432</v>
      </c>
      <c r="Y43" s="255">
        <v>63806.482523728264</v>
      </c>
      <c r="AA43" s="257"/>
    </row>
    <row r="44" spans="1:27" s="3" customFormat="1" x14ac:dyDescent="0.2">
      <c r="A44" s="256">
        <f>A43</f>
        <v>2026</v>
      </c>
      <c r="B44" s="254">
        <f>B43+1</f>
        <v>2</v>
      </c>
      <c r="C44" s="255">
        <v>1590.3121694082404</v>
      </c>
      <c r="D44" s="255">
        <v>413.57552758468063</v>
      </c>
      <c r="E44" s="255">
        <v>4920.429693925129</v>
      </c>
      <c r="F44" s="255">
        <v>16567.077053158708</v>
      </c>
      <c r="G44" s="255">
        <v>3422.8981269996975</v>
      </c>
      <c r="H44" s="255">
        <v>351811.58558505267</v>
      </c>
      <c r="I44" s="255">
        <v>23879.305907200098</v>
      </c>
      <c r="J44" s="255">
        <v>234.31088295350159</v>
      </c>
      <c r="K44" s="255">
        <v>367837.20184913347</v>
      </c>
      <c r="L44" s="255">
        <v>40148.360983035331</v>
      </c>
      <c r="M44" s="255">
        <v>278.4544521192812</v>
      </c>
      <c r="N44" s="255">
        <v>179008.98758646171</v>
      </c>
      <c r="O44" s="255">
        <v>90047.870729731832</v>
      </c>
      <c r="P44" s="255">
        <v>0</v>
      </c>
      <c r="Q44" s="255">
        <v>63172.100479545123</v>
      </c>
      <c r="R44" s="255">
        <v>8800</v>
      </c>
      <c r="S44" s="255">
        <v>28917.277884889085</v>
      </c>
      <c r="T44" s="255">
        <v>92171.108245357667</v>
      </c>
      <c r="U44" s="255">
        <v>24326.330963650715</v>
      </c>
      <c r="V44" s="255">
        <v>10927.927447572916</v>
      </c>
      <c r="W44" s="255">
        <v>218517.00624899994</v>
      </c>
      <c r="X44" s="255">
        <v>41961.796445380409</v>
      </c>
      <c r="Y44" s="255">
        <v>55955.787248062319</v>
      </c>
      <c r="AA44" s="257"/>
    </row>
    <row r="45" spans="1:27" s="3" customFormat="1" x14ac:dyDescent="0.2">
      <c r="A45" s="256">
        <f t="shared" ref="A45:A54" si="6">A44</f>
        <v>2026</v>
      </c>
      <c r="B45" s="254">
        <f t="shared" ref="B45:B54" si="7">B44+1</f>
        <v>3</v>
      </c>
      <c r="C45" s="255">
        <v>1498.4746519124872</v>
      </c>
      <c r="D45" s="255">
        <v>354.72303431241778</v>
      </c>
      <c r="E45" s="255">
        <v>4877.65101716137</v>
      </c>
      <c r="F45" s="255">
        <v>15492.159865061421</v>
      </c>
      <c r="G45" s="255">
        <v>3294.1471980794686</v>
      </c>
      <c r="H45" s="255">
        <v>335590.84972328815</v>
      </c>
      <c r="I45" s="255">
        <v>22559.11853701474</v>
      </c>
      <c r="J45" s="255">
        <v>290.72840035352323</v>
      </c>
      <c r="K45" s="255">
        <v>356318.81464658829</v>
      </c>
      <c r="L45" s="255">
        <v>38074.670016209086</v>
      </c>
      <c r="M45" s="255">
        <v>328.72306178127724</v>
      </c>
      <c r="N45" s="255">
        <v>174343.2826782013</v>
      </c>
      <c r="O45" s="255">
        <v>85213.97590486813</v>
      </c>
      <c r="P45" s="255">
        <v>0</v>
      </c>
      <c r="Q45" s="255">
        <v>59587.122855814807</v>
      </c>
      <c r="R45" s="255">
        <v>8800</v>
      </c>
      <c r="S45" s="255">
        <v>25927.076601851688</v>
      </c>
      <c r="T45" s="255">
        <v>84101.838258546413</v>
      </c>
      <c r="U45" s="255">
        <v>20082.98530024385</v>
      </c>
      <c r="V45" s="255">
        <v>10850.090951973734</v>
      </c>
      <c r="W45" s="255">
        <v>227110.69434568268</v>
      </c>
      <c r="X45" s="255">
        <v>42943.282692696594</v>
      </c>
      <c r="Y45" s="255">
        <v>64370.897226521251</v>
      </c>
      <c r="AA45" s="257"/>
    </row>
    <row r="46" spans="1:27" s="3" customFormat="1" x14ac:dyDescent="0.2">
      <c r="A46" s="256">
        <f t="shared" si="6"/>
        <v>2026</v>
      </c>
      <c r="B46" s="254">
        <f t="shared" si="7"/>
        <v>4</v>
      </c>
      <c r="C46" s="255">
        <v>1490.252390836218</v>
      </c>
      <c r="D46" s="255">
        <v>300.64193927354512</v>
      </c>
      <c r="E46" s="255">
        <v>5129.3241893781315</v>
      </c>
      <c r="F46" s="255">
        <v>14750.364571363527</v>
      </c>
      <c r="G46" s="255">
        <v>3271.9574748313871</v>
      </c>
      <c r="H46" s="255">
        <v>342367.06654393335</v>
      </c>
      <c r="I46" s="255">
        <v>23907.704695454177</v>
      </c>
      <c r="J46" s="255">
        <v>364.90342576511762</v>
      </c>
      <c r="K46" s="255">
        <v>378801.67692999612</v>
      </c>
      <c r="L46" s="255">
        <v>42483.63560493978</v>
      </c>
      <c r="M46" s="255">
        <v>337.63442174334375</v>
      </c>
      <c r="N46" s="255">
        <v>194660.80104356652</v>
      </c>
      <c r="O46" s="255">
        <v>95252.735985554187</v>
      </c>
      <c r="P46" s="255">
        <v>0</v>
      </c>
      <c r="Q46" s="255">
        <v>61305.154746938992</v>
      </c>
      <c r="R46" s="255">
        <v>8800</v>
      </c>
      <c r="S46" s="255">
        <v>33608.108927478672</v>
      </c>
      <c r="T46" s="255">
        <v>94255.803482751609</v>
      </c>
      <c r="U46" s="255">
        <v>25346.122889621045</v>
      </c>
      <c r="V46" s="255">
        <v>11622.311094286702</v>
      </c>
      <c r="W46" s="255">
        <v>226035.18747049544</v>
      </c>
      <c r="X46" s="255">
        <v>42016.843968173278</v>
      </c>
      <c r="Y46" s="255">
        <v>65813.984885474041</v>
      </c>
      <c r="AA46" s="257"/>
    </row>
    <row r="47" spans="1:27" s="3" customFormat="1" x14ac:dyDescent="0.2">
      <c r="A47" s="256">
        <f t="shared" si="6"/>
        <v>2026</v>
      </c>
      <c r="B47" s="254">
        <f t="shared" si="7"/>
        <v>5</v>
      </c>
      <c r="C47" s="255">
        <v>1291.9193744307422</v>
      </c>
      <c r="D47" s="255">
        <v>319.56600685499012</v>
      </c>
      <c r="E47" s="255">
        <v>4280.769333024019</v>
      </c>
      <c r="F47" s="255">
        <v>12026.391301386933</v>
      </c>
      <c r="G47" s="255">
        <v>2821.5528612035387</v>
      </c>
      <c r="H47" s="255">
        <v>319471.25911687664</v>
      </c>
      <c r="I47" s="255">
        <v>22654.76836678978</v>
      </c>
      <c r="J47" s="255">
        <v>311.02572852968694</v>
      </c>
      <c r="K47" s="255">
        <v>365818.10806905944</v>
      </c>
      <c r="L47" s="255">
        <v>42126.776613799353</v>
      </c>
      <c r="M47" s="255">
        <v>485.67020949242982</v>
      </c>
      <c r="N47" s="255">
        <v>182815.14977868291</v>
      </c>
      <c r="O47" s="255">
        <v>92724.728472530609</v>
      </c>
      <c r="P47" s="255">
        <v>931.80486628369772</v>
      </c>
      <c r="Q47" s="255">
        <v>51682.117229702068</v>
      </c>
      <c r="R47" s="255">
        <v>8800</v>
      </c>
      <c r="S47" s="255">
        <v>30439.338188164311</v>
      </c>
      <c r="T47" s="255">
        <v>84924.180789293663</v>
      </c>
      <c r="U47" s="255">
        <v>23364.773028191794</v>
      </c>
      <c r="V47" s="255">
        <v>12359.3770307666</v>
      </c>
      <c r="W47" s="255">
        <v>225257.25942678368</v>
      </c>
      <c r="X47" s="255">
        <v>43179.014086542913</v>
      </c>
      <c r="Y47" s="255">
        <v>58502.987464258003</v>
      </c>
      <c r="AA47" s="257"/>
    </row>
    <row r="48" spans="1:27" s="3" customFormat="1" x14ac:dyDescent="0.2">
      <c r="A48" s="256">
        <f t="shared" si="6"/>
        <v>2026</v>
      </c>
      <c r="B48" s="254">
        <f t="shared" si="7"/>
        <v>6</v>
      </c>
      <c r="C48" s="255">
        <v>873.68246636078004</v>
      </c>
      <c r="D48" s="255">
        <v>385.5261207406989</v>
      </c>
      <c r="E48" s="255">
        <v>4143.1741997485178</v>
      </c>
      <c r="F48" s="255">
        <v>11403.041336530046</v>
      </c>
      <c r="G48" s="255">
        <v>2643.2298909338238</v>
      </c>
      <c r="H48" s="255">
        <v>339857.61138392874</v>
      </c>
      <c r="I48" s="255">
        <v>23726.233349928418</v>
      </c>
      <c r="J48" s="255">
        <v>252.63639677332063</v>
      </c>
      <c r="K48" s="255">
        <v>385897.81662387354</v>
      </c>
      <c r="L48" s="255">
        <v>44651.898620538494</v>
      </c>
      <c r="M48" s="255">
        <v>660.92238577798344</v>
      </c>
      <c r="N48" s="255">
        <v>190677.59538761128</v>
      </c>
      <c r="O48" s="255">
        <v>98473.757315106879</v>
      </c>
      <c r="P48" s="255">
        <v>1162.0999294731298</v>
      </c>
      <c r="Q48" s="255">
        <v>41742.703742756159</v>
      </c>
      <c r="R48" s="255">
        <v>8800</v>
      </c>
      <c r="S48" s="255">
        <v>29670.587792287752</v>
      </c>
      <c r="T48" s="255">
        <v>93881.587876237478</v>
      </c>
      <c r="U48" s="255">
        <v>23357.814569014969</v>
      </c>
      <c r="V48" s="255">
        <v>11947.429474685685</v>
      </c>
      <c r="W48" s="255">
        <v>233689.37775225236</v>
      </c>
      <c r="X48" s="255">
        <v>45342.061255057299</v>
      </c>
      <c r="Y48" s="255">
        <v>68860.244362614409</v>
      </c>
      <c r="AA48" s="257"/>
    </row>
    <row r="49" spans="1:27" s="3" customFormat="1" x14ac:dyDescent="0.2">
      <c r="A49" s="256">
        <f t="shared" si="6"/>
        <v>2026</v>
      </c>
      <c r="B49" s="254">
        <f t="shared" si="7"/>
        <v>7</v>
      </c>
      <c r="C49" s="255">
        <v>738.32628413784096</v>
      </c>
      <c r="D49" s="255">
        <v>521.72054277191899</v>
      </c>
      <c r="E49" s="255">
        <v>4125.90417864145</v>
      </c>
      <c r="F49" s="255">
        <v>11701.551012942635</v>
      </c>
      <c r="G49" s="255">
        <v>4652.3514186429293</v>
      </c>
      <c r="H49" s="255">
        <v>340955.53309153637</v>
      </c>
      <c r="I49" s="255">
        <v>22887.317186578799</v>
      </c>
      <c r="J49" s="255">
        <v>297.8439908603529</v>
      </c>
      <c r="K49" s="255">
        <v>396376.06174575136</v>
      </c>
      <c r="L49" s="255">
        <v>43527.509755399682</v>
      </c>
      <c r="M49" s="255">
        <v>930.92572177256886</v>
      </c>
      <c r="N49" s="255">
        <v>187046.93090178529</v>
      </c>
      <c r="O49" s="255">
        <v>94815.030318168632</v>
      </c>
      <c r="P49" s="255">
        <v>1102.7555503701506</v>
      </c>
      <c r="Q49" s="255">
        <v>30770.743560365547</v>
      </c>
      <c r="R49" s="255">
        <v>8800</v>
      </c>
      <c r="S49" s="255">
        <v>28130.131112761013</v>
      </c>
      <c r="T49" s="255">
        <v>85540.688567193734</v>
      </c>
      <c r="U49" s="255">
        <v>24609.30923324094</v>
      </c>
      <c r="V49" s="255">
        <v>11776.56427891501</v>
      </c>
      <c r="W49" s="255">
        <v>234558.73324538567</v>
      </c>
      <c r="X49" s="255">
        <v>47556.044792395958</v>
      </c>
      <c r="Y49" s="255">
        <v>63942.176533181431</v>
      </c>
      <c r="AA49" s="257"/>
    </row>
    <row r="50" spans="1:27" s="3" customFormat="1" x14ac:dyDescent="0.2">
      <c r="A50" s="256">
        <f t="shared" si="6"/>
        <v>2026</v>
      </c>
      <c r="B50" s="254">
        <f t="shared" si="7"/>
        <v>8</v>
      </c>
      <c r="C50" s="255">
        <v>627.77957873369758</v>
      </c>
      <c r="D50" s="255">
        <v>500.86392060491823</v>
      </c>
      <c r="E50" s="255">
        <v>4253.0433384702692</v>
      </c>
      <c r="F50" s="255">
        <v>12003.22448885059</v>
      </c>
      <c r="G50" s="255">
        <v>5163.9433021824916</v>
      </c>
      <c r="H50" s="255">
        <v>339408.34430204157</v>
      </c>
      <c r="I50" s="255">
        <v>22525.198437061572</v>
      </c>
      <c r="J50" s="255">
        <v>280.51659438229467</v>
      </c>
      <c r="K50" s="255">
        <v>394881.89822062186</v>
      </c>
      <c r="L50" s="255">
        <v>42491.809555121916</v>
      </c>
      <c r="M50" s="255">
        <v>1135.8566701002012</v>
      </c>
      <c r="N50" s="255">
        <v>186158.39162109885</v>
      </c>
      <c r="O50" s="255">
        <v>92341.93094315636</v>
      </c>
      <c r="P50" s="255">
        <v>1513.3349478324178</v>
      </c>
      <c r="Q50" s="255">
        <v>21648.859861740264</v>
      </c>
      <c r="R50" s="255">
        <v>8800</v>
      </c>
      <c r="S50" s="255">
        <v>24133.51131366484</v>
      </c>
      <c r="T50" s="255">
        <v>86708.250420303651</v>
      </c>
      <c r="U50" s="255">
        <v>22234.678185790177</v>
      </c>
      <c r="V50" s="255">
        <v>11742.990317601039</v>
      </c>
      <c r="W50" s="255">
        <v>235150.47073855405</v>
      </c>
      <c r="X50" s="255">
        <v>49770.643558275595</v>
      </c>
      <c r="Y50" s="255">
        <v>67833.666764982219</v>
      </c>
      <c r="AA50" s="257"/>
    </row>
    <row r="51" spans="1:27" s="3" customFormat="1" x14ac:dyDescent="0.2">
      <c r="A51" s="256">
        <f t="shared" si="6"/>
        <v>2026</v>
      </c>
      <c r="B51" s="254">
        <f t="shared" si="7"/>
        <v>9</v>
      </c>
      <c r="C51" s="255">
        <v>605.86065267805611</v>
      </c>
      <c r="D51" s="255">
        <v>405.02903053011994</v>
      </c>
      <c r="E51" s="255">
        <v>3996.0334223005975</v>
      </c>
      <c r="F51" s="255">
        <v>11380.249227402279</v>
      </c>
      <c r="G51" s="255">
        <v>4459.4259366537844</v>
      </c>
      <c r="H51" s="255">
        <v>333210.23315799225</v>
      </c>
      <c r="I51" s="255">
        <v>23936.373571588538</v>
      </c>
      <c r="J51" s="255">
        <v>298.90789130699454</v>
      </c>
      <c r="K51" s="255">
        <v>371388.545574555</v>
      </c>
      <c r="L51" s="255">
        <v>44055.210240606226</v>
      </c>
      <c r="M51" s="255">
        <v>874.02174665320251</v>
      </c>
      <c r="N51" s="255">
        <v>177814.29278413599</v>
      </c>
      <c r="O51" s="255">
        <v>97801.107411795601</v>
      </c>
      <c r="P51" s="255">
        <v>1320.439539412808</v>
      </c>
      <c r="Q51" s="255">
        <v>28289.665972753166</v>
      </c>
      <c r="R51" s="255">
        <v>8800</v>
      </c>
      <c r="S51" s="255">
        <v>27683.417244851622</v>
      </c>
      <c r="T51" s="255">
        <v>95676.380524248583</v>
      </c>
      <c r="U51" s="255">
        <v>24063.076353876335</v>
      </c>
      <c r="V51" s="255">
        <v>11484.66520536737</v>
      </c>
      <c r="W51" s="255">
        <v>229508.98904081175</v>
      </c>
      <c r="X51" s="255">
        <v>47232.975112927445</v>
      </c>
      <c r="Y51" s="255">
        <v>62888.525918652107</v>
      </c>
      <c r="AA51" s="257"/>
    </row>
    <row r="52" spans="1:27" s="3" customFormat="1" x14ac:dyDescent="0.2">
      <c r="A52" s="256">
        <f t="shared" si="6"/>
        <v>2026</v>
      </c>
      <c r="B52" s="254">
        <f t="shared" si="7"/>
        <v>10</v>
      </c>
      <c r="C52" s="255">
        <v>751.61144866957909</v>
      </c>
      <c r="D52" s="255">
        <v>301.62793980028556</v>
      </c>
      <c r="E52" s="255">
        <v>4017.6284959305544</v>
      </c>
      <c r="F52" s="255">
        <v>12107.428652531706</v>
      </c>
      <c r="G52" s="255">
        <v>3645.2252437605962</v>
      </c>
      <c r="H52" s="255">
        <v>331211.40105280152</v>
      </c>
      <c r="I52" s="255">
        <v>22461.937261188632</v>
      </c>
      <c r="J52" s="255">
        <v>315.47336127797331</v>
      </c>
      <c r="K52" s="255">
        <v>372434.69628615142</v>
      </c>
      <c r="L52" s="255">
        <v>40966.683838079181</v>
      </c>
      <c r="M52" s="255">
        <v>726.67410881669468</v>
      </c>
      <c r="N52" s="255">
        <v>178761.48729852331</v>
      </c>
      <c r="O52" s="255">
        <v>93610.203374328892</v>
      </c>
      <c r="P52" s="255">
        <v>1200.8604661398138</v>
      </c>
      <c r="Q52" s="255">
        <v>40714.521376537523</v>
      </c>
      <c r="R52" s="255">
        <v>8800</v>
      </c>
      <c r="S52" s="255">
        <v>30539.89620075464</v>
      </c>
      <c r="T52" s="255">
        <v>86425.98537103906</v>
      </c>
      <c r="U52" s="255">
        <v>21882.636570005292</v>
      </c>
      <c r="V52" s="255">
        <v>11391.784768534055</v>
      </c>
      <c r="W52" s="255">
        <v>222635.15300818192</v>
      </c>
      <c r="X52" s="255">
        <v>45953.125077204284</v>
      </c>
      <c r="Y52" s="255">
        <v>64552.653812651624</v>
      </c>
      <c r="AA52" s="257"/>
    </row>
    <row r="53" spans="1:27" s="3" customFormat="1" x14ac:dyDescent="0.2">
      <c r="A53" s="256">
        <f t="shared" si="6"/>
        <v>2026</v>
      </c>
      <c r="B53" s="254">
        <f t="shared" si="7"/>
        <v>11</v>
      </c>
      <c r="C53" s="255">
        <v>1041.7180695529964</v>
      </c>
      <c r="D53" s="255">
        <v>331.78763597103813</v>
      </c>
      <c r="E53" s="255">
        <v>4192.6908265020529</v>
      </c>
      <c r="F53" s="255">
        <v>14032.637561303545</v>
      </c>
      <c r="G53" s="255">
        <v>2875.8031777348028</v>
      </c>
      <c r="H53" s="255">
        <v>329473.13936676568</v>
      </c>
      <c r="I53" s="255">
        <v>22696.657036854329</v>
      </c>
      <c r="J53" s="255">
        <v>270.92843310508283</v>
      </c>
      <c r="K53" s="255">
        <v>366818.537782247</v>
      </c>
      <c r="L53" s="255">
        <v>40340.922628789645</v>
      </c>
      <c r="M53" s="255">
        <v>403.24421840878023</v>
      </c>
      <c r="N53" s="255">
        <v>176800.69851138117</v>
      </c>
      <c r="O53" s="255">
        <v>93306.854819304746</v>
      </c>
      <c r="P53" s="255">
        <v>915.01437729761778</v>
      </c>
      <c r="Q53" s="255">
        <v>52251.235984428553</v>
      </c>
      <c r="R53" s="255">
        <v>8800</v>
      </c>
      <c r="S53" s="255">
        <v>30113.560873683833</v>
      </c>
      <c r="T53" s="255">
        <v>78912.542882610855</v>
      </c>
      <c r="U53" s="255">
        <v>22508.797463950312</v>
      </c>
      <c r="V53" s="255">
        <v>12030.187906436768</v>
      </c>
      <c r="W53" s="255">
        <v>226403.45294550259</v>
      </c>
      <c r="X53" s="255">
        <v>43828.085631660048</v>
      </c>
      <c r="Y53" s="255">
        <v>71331.536057598409</v>
      </c>
      <c r="AA53" s="257"/>
    </row>
    <row r="54" spans="1:27" s="3" customFormat="1" x14ac:dyDescent="0.2">
      <c r="A54" s="258">
        <f t="shared" si="6"/>
        <v>2026</v>
      </c>
      <c r="B54" s="259">
        <f t="shared" si="7"/>
        <v>12</v>
      </c>
      <c r="C54" s="260">
        <v>1303.7675904454645</v>
      </c>
      <c r="D54" s="260">
        <v>407.97581543273236</v>
      </c>
      <c r="E54" s="260">
        <v>4535.4569641775124</v>
      </c>
      <c r="F54" s="260">
        <v>15586.336331009374</v>
      </c>
      <c r="G54" s="260">
        <v>3140.810772798874</v>
      </c>
      <c r="H54" s="260">
        <v>351423.83275681571</v>
      </c>
      <c r="I54" s="260">
        <v>20777.689768484321</v>
      </c>
      <c r="J54" s="260">
        <v>288.53568133003927</v>
      </c>
      <c r="K54" s="260">
        <v>368149.53868729604</v>
      </c>
      <c r="L54" s="260">
        <v>35500.746667599342</v>
      </c>
      <c r="M54" s="260">
        <v>33.241181900903413</v>
      </c>
      <c r="N54" s="260">
        <v>175430.77422566383</v>
      </c>
      <c r="O54" s="260">
        <v>80878.370143143096</v>
      </c>
      <c r="P54" s="260">
        <v>0</v>
      </c>
      <c r="Q54" s="260">
        <v>58162.753065677127</v>
      </c>
      <c r="R54" s="260">
        <v>8800</v>
      </c>
      <c r="S54" s="260">
        <v>30720.725149739723</v>
      </c>
      <c r="T54" s="260">
        <v>79011.094358642076</v>
      </c>
      <c r="U54" s="260">
        <v>21946.853879485832</v>
      </c>
      <c r="V54" s="260">
        <v>12669.820823116066</v>
      </c>
      <c r="W54" s="260">
        <v>228856.8567311496</v>
      </c>
      <c r="X54" s="260">
        <v>42832.498776895867</v>
      </c>
      <c r="Y54" s="260">
        <v>66862.589084526146</v>
      </c>
      <c r="AA54" s="257"/>
    </row>
    <row r="55" spans="1:27" s="3" customFormat="1" x14ac:dyDescent="0.2">
      <c r="A55" s="254">
        <f>A43+1</f>
        <v>2027</v>
      </c>
      <c r="B55" s="254">
        <v>1</v>
      </c>
      <c r="C55" s="255">
        <v>1501.8992886267156</v>
      </c>
      <c r="D55" s="255">
        <v>434.61670671527128</v>
      </c>
      <c r="E55" s="255">
        <v>5035.0741663058907</v>
      </c>
      <c r="F55" s="255">
        <v>17033.327659274579</v>
      </c>
      <c r="G55" s="255">
        <v>3361.5769148595618</v>
      </c>
      <c r="H55" s="255">
        <v>356068.87627569999</v>
      </c>
      <c r="I55" s="255">
        <v>23195.566671574641</v>
      </c>
      <c r="J55" s="255">
        <v>208.7177834899444</v>
      </c>
      <c r="K55" s="255">
        <v>379396.77464927477</v>
      </c>
      <c r="L55" s="255">
        <v>38896.306584136204</v>
      </c>
      <c r="M55" s="255">
        <v>117.09239094340649</v>
      </c>
      <c r="N55" s="255">
        <v>178811.16514144692</v>
      </c>
      <c r="O55" s="255">
        <v>89858.721776150764</v>
      </c>
      <c r="P55" s="255">
        <v>0</v>
      </c>
      <c r="Q55" s="255">
        <v>64550.832811536951</v>
      </c>
      <c r="R55" s="255">
        <v>8837.521391392318</v>
      </c>
      <c r="S55" s="255">
        <v>28345.453992205901</v>
      </c>
      <c r="T55" s="255">
        <v>83512.370809654429</v>
      </c>
      <c r="U55" s="255">
        <v>22402.154500602741</v>
      </c>
      <c r="V55" s="255">
        <v>11000.042113874084</v>
      </c>
      <c r="W55" s="255">
        <v>230228.3758971027</v>
      </c>
      <c r="X55" s="255">
        <v>43125.700581559133</v>
      </c>
      <c r="Y55" s="255">
        <v>63806.482523728264</v>
      </c>
      <c r="AA55" s="257"/>
    </row>
    <row r="56" spans="1:27" s="3" customFormat="1" x14ac:dyDescent="0.2">
      <c r="A56" s="256">
        <f>A55</f>
        <v>2027</v>
      </c>
      <c r="B56" s="254">
        <f>B55+1</f>
        <v>2</v>
      </c>
      <c r="C56" s="255">
        <v>1643.0450838113129</v>
      </c>
      <c r="D56" s="255">
        <v>428.34608214127633</v>
      </c>
      <c r="E56" s="255">
        <v>5030.3111022947842</v>
      </c>
      <c r="F56" s="255">
        <v>17139.771580366029</v>
      </c>
      <c r="G56" s="255">
        <v>3499.3371557627524</v>
      </c>
      <c r="H56" s="255">
        <v>366747.28306766867</v>
      </c>
      <c r="I56" s="255">
        <v>24206.560044031223</v>
      </c>
      <c r="J56" s="255">
        <v>242.6791287732695</v>
      </c>
      <c r="K56" s="255">
        <v>389219.89601452526</v>
      </c>
      <c r="L56" s="255">
        <v>40698.574513937267</v>
      </c>
      <c r="M56" s="255">
        <v>287.44920051377977</v>
      </c>
      <c r="N56" s="255">
        <v>183224.54094216769</v>
      </c>
      <c r="O56" s="255">
        <v>91281.932486956575</v>
      </c>
      <c r="P56" s="255">
        <v>0</v>
      </c>
      <c r="Q56" s="255">
        <v>65212.711233084679</v>
      </c>
      <c r="R56" s="255">
        <v>9975.8747919748257</v>
      </c>
      <c r="S56" s="255">
        <v>29966.549430616207</v>
      </c>
      <c r="T56" s="255">
        <v>95780.741414178527</v>
      </c>
      <c r="U56" s="255">
        <v>25211.663383976091</v>
      </c>
      <c r="V56" s="255">
        <v>11302.843451753175</v>
      </c>
      <c r="W56" s="255">
        <v>226013.90108302579</v>
      </c>
      <c r="X56" s="255">
        <v>43401.42432788622</v>
      </c>
      <c r="Y56" s="255">
        <v>55955.787248062319</v>
      </c>
      <c r="AA56" s="257"/>
    </row>
    <row r="57" spans="1:27" s="3" customFormat="1" x14ac:dyDescent="0.2">
      <c r="A57" s="256">
        <f t="shared" ref="A57:A66" si="8">A56</f>
        <v>2027</v>
      </c>
      <c r="B57" s="254">
        <f t="shared" ref="B57:B66" si="9">B56+1</f>
        <v>3</v>
      </c>
      <c r="C57" s="255">
        <v>1485.6139460433981</v>
      </c>
      <c r="D57" s="255">
        <v>354.72303431241778</v>
      </c>
      <c r="E57" s="255">
        <v>4778.4342497429561</v>
      </c>
      <c r="F57" s="255">
        <v>15412.62804092061</v>
      </c>
      <c r="G57" s="255">
        <v>3227.1406338041661</v>
      </c>
      <c r="H57" s="255">
        <v>336942.18521156546</v>
      </c>
      <c r="I57" s="255">
        <v>22007.442926969321</v>
      </c>
      <c r="J57" s="255">
        <v>290.72840035352323</v>
      </c>
      <c r="K57" s="255">
        <v>363974.96585366415</v>
      </c>
      <c r="L57" s="255">
        <v>37143.566845045578</v>
      </c>
      <c r="M57" s="255">
        <v>326.04171557006362</v>
      </c>
      <c r="N57" s="255">
        <v>171187.65001739992</v>
      </c>
      <c r="O57" s="255">
        <v>83130.09695966146</v>
      </c>
      <c r="P57" s="255">
        <v>0</v>
      </c>
      <c r="Q57" s="255">
        <v>59101.079359989875</v>
      </c>
      <c r="R57" s="255">
        <v>8514.2405182622388</v>
      </c>
      <c r="S57" s="255">
        <v>25995.581411470645</v>
      </c>
      <c r="T57" s="255">
        <v>83966.987496443558</v>
      </c>
      <c r="U57" s="255">
        <v>20138.090343884534</v>
      </c>
      <c r="V57" s="255">
        <v>10835.980615525878</v>
      </c>
      <c r="W57" s="255">
        <v>226815.34121709425</v>
      </c>
      <c r="X57" s="255">
        <v>42887.435772182173</v>
      </c>
      <c r="Y57" s="255">
        <v>64370.897226521251</v>
      </c>
      <c r="AA57" s="257"/>
    </row>
    <row r="58" spans="1:27" s="3" customFormat="1" x14ac:dyDescent="0.2">
      <c r="A58" s="256">
        <f t="shared" si="8"/>
        <v>2027</v>
      </c>
      <c r="B58" s="254">
        <f t="shared" si="9"/>
        <v>4</v>
      </c>
      <c r="C58" s="255">
        <v>1482.6353012811387</v>
      </c>
      <c r="D58" s="255">
        <v>300.64193927354512</v>
      </c>
      <c r="E58" s="255">
        <v>5041.7558227582849</v>
      </c>
      <c r="F58" s="255">
        <v>14695.113732087208</v>
      </c>
      <c r="G58" s="255">
        <v>3216.0982697700215</v>
      </c>
      <c r="H58" s="255">
        <v>344038.63995976909</v>
      </c>
      <c r="I58" s="255">
        <v>23306.001462102569</v>
      </c>
      <c r="J58" s="255">
        <v>364.90342576511762</v>
      </c>
      <c r="K58" s="255">
        <v>386727.06370070117</v>
      </c>
      <c r="L58" s="255">
        <v>41414.417909906035</v>
      </c>
      <c r="M58" s="255">
        <v>335.3412430661258</v>
      </c>
      <c r="N58" s="255">
        <v>191674.71623536004</v>
      </c>
      <c r="O58" s="255">
        <v>92855.438547001293</v>
      </c>
      <c r="P58" s="255">
        <v>0</v>
      </c>
      <c r="Q58" s="255">
        <v>60888.77636660893</v>
      </c>
      <c r="R58" s="255">
        <v>9435.4073255014755</v>
      </c>
      <c r="S58" s="255">
        <v>33593.377545492942</v>
      </c>
      <c r="T58" s="255">
        <v>94331.372504566956</v>
      </c>
      <c r="U58" s="255">
        <v>25337.946806503187</v>
      </c>
      <c r="V58" s="255">
        <v>11607.273436432937</v>
      </c>
      <c r="W58" s="255">
        <v>225742.72930236327</v>
      </c>
      <c r="X58" s="255">
        <v>41962.480002300872</v>
      </c>
      <c r="Y58" s="255">
        <v>65813.984885474041</v>
      </c>
      <c r="AA58" s="257"/>
    </row>
    <row r="59" spans="1:27" s="3" customFormat="1" x14ac:dyDescent="0.2">
      <c r="A59" s="256">
        <f t="shared" si="8"/>
        <v>2027</v>
      </c>
      <c r="B59" s="254">
        <f t="shared" si="9"/>
        <v>5</v>
      </c>
      <c r="C59" s="255">
        <v>1280.6951096621624</v>
      </c>
      <c r="D59" s="255">
        <v>319.56600685499012</v>
      </c>
      <c r="E59" s="255">
        <v>4196.3898177644742</v>
      </c>
      <c r="F59" s="255">
        <v>11975.082392293489</v>
      </c>
      <c r="G59" s="255">
        <v>2765.9363950532024</v>
      </c>
      <c r="H59" s="255">
        <v>320822.31163854228</v>
      </c>
      <c r="I59" s="255">
        <v>22107.319970880999</v>
      </c>
      <c r="J59" s="255">
        <v>311.02572852968694</v>
      </c>
      <c r="K59" s="255">
        <v>373468.11077081127</v>
      </c>
      <c r="L59" s="255">
        <v>41108.790646843001</v>
      </c>
      <c r="M59" s="255">
        <v>481.75091839059115</v>
      </c>
      <c r="N59" s="255">
        <v>179616.0019823754</v>
      </c>
      <c r="O59" s="255">
        <v>90484.052115062921</v>
      </c>
      <c r="P59" s="255">
        <v>924.28533049645557</v>
      </c>
      <c r="Q59" s="255">
        <v>51265.049725408826</v>
      </c>
      <c r="R59" s="255">
        <v>8569.630469589998</v>
      </c>
      <c r="S59" s="255">
        <v>30362.47184313411</v>
      </c>
      <c r="T59" s="255">
        <v>84883.911507582292</v>
      </c>
      <c r="U59" s="255">
        <v>23308.038643212964</v>
      </c>
      <c r="V59" s="255">
        <v>12347.587257985248</v>
      </c>
      <c r="W59" s="255">
        <v>225042.38355566288</v>
      </c>
      <c r="X59" s="255">
        <v>43137.825055434187</v>
      </c>
      <c r="Y59" s="255">
        <v>58502.987464258003</v>
      </c>
      <c r="AA59" s="257"/>
    </row>
    <row r="60" spans="1:27" s="3" customFormat="1" x14ac:dyDescent="0.2">
      <c r="A60" s="256">
        <f t="shared" si="8"/>
        <v>2027</v>
      </c>
      <c r="B60" s="254">
        <f t="shared" si="9"/>
        <v>6</v>
      </c>
      <c r="C60" s="255">
        <v>868.6116830696036</v>
      </c>
      <c r="D60" s="255">
        <v>385.5261207406989</v>
      </c>
      <c r="E60" s="255">
        <v>4073.9601604176987</v>
      </c>
      <c r="F60" s="255">
        <v>11384.161295392367</v>
      </c>
      <c r="G60" s="255">
        <v>2599.0732591314272</v>
      </c>
      <c r="H60" s="255">
        <v>341428.98248099093</v>
      </c>
      <c r="I60" s="255">
        <v>23232.685188728483</v>
      </c>
      <c r="J60" s="255">
        <v>252.63639677332063</v>
      </c>
      <c r="K60" s="255">
        <v>393269.08861268882</v>
      </c>
      <c r="L60" s="255">
        <v>43723.059131639093</v>
      </c>
      <c r="M60" s="255">
        <v>656.78761769211633</v>
      </c>
      <c r="N60" s="255">
        <v>187810.8911080148</v>
      </c>
      <c r="O60" s="255">
        <v>96425.326739021999</v>
      </c>
      <c r="P60" s="255">
        <v>1154.8297661311553</v>
      </c>
      <c r="Q60" s="255">
        <v>41481.559010837038</v>
      </c>
      <c r="R60" s="255">
        <v>9341.0123769051206</v>
      </c>
      <c r="S60" s="255">
        <v>29638.898401640268</v>
      </c>
      <c r="T60" s="255">
        <v>93921.987136143871</v>
      </c>
      <c r="U60" s="255">
        <v>23334.405044170318</v>
      </c>
      <c r="V60" s="255">
        <v>11946.453666126274</v>
      </c>
      <c r="W60" s="255">
        <v>233670.29112817551</v>
      </c>
      <c r="X60" s="255">
        <v>45338.357933638494</v>
      </c>
      <c r="Y60" s="255">
        <v>68860.244362614409</v>
      </c>
      <c r="AA60" s="257"/>
    </row>
    <row r="61" spans="1:27" s="3" customFormat="1" x14ac:dyDescent="0.2">
      <c r="A61" s="256">
        <f t="shared" si="8"/>
        <v>2027</v>
      </c>
      <c r="B61" s="254">
        <f t="shared" si="9"/>
        <v>7</v>
      </c>
      <c r="C61" s="255">
        <v>738.13422976837046</v>
      </c>
      <c r="D61" s="255">
        <v>521.72054277191899</v>
      </c>
      <c r="E61" s="255">
        <v>4057.7047176318688</v>
      </c>
      <c r="F61" s="255">
        <v>11690.059167095971</v>
      </c>
      <c r="G61" s="255">
        <v>4575.4500061426088</v>
      </c>
      <c r="H61" s="255">
        <v>342769.12193580787</v>
      </c>
      <c r="I61" s="255">
        <v>22414.126704972212</v>
      </c>
      <c r="J61" s="255">
        <v>297.8439908603529</v>
      </c>
      <c r="K61" s="255">
        <v>404637.90455190249</v>
      </c>
      <c r="L61" s="255">
        <v>42627.587622263956</v>
      </c>
      <c r="M61" s="255">
        <v>925.34507790889484</v>
      </c>
      <c r="N61" s="255">
        <v>184278.65094689137</v>
      </c>
      <c r="O61" s="255">
        <v>92854.749456324542</v>
      </c>
      <c r="P61" s="255">
        <v>1096.1448339065548</v>
      </c>
      <c r="Q61" s="255">
        <v>30586.281409181363</v>
      </c>
      <c r="R61" s="255">
        <v>8547.6195828807304</v>
      </c>
      <c r="S61" s="255">
        <v>28119.153307052085</v>
      </c>
      <c r="T61" s="255">
        <v>85514.978955705723</v>
      </c>
      <c r="U61" s="255">
        <v>24601.188621634599</v>
      </c>
      <c r="V61" s="255">
        <v>11782.422492504737</v>
      </c>
      <c r="W61" s="255">
        <v>234675.41372418497</v>
      </c>
      <c r="X61" s="255">
        <v>47579.701392171541</v>
      </c>
      <c r="Y61" s="255">
        <v>63942.176533181431</v>
      </c>
      <c r="AA61" s="257"/>
    </row>
    <row r="62" spans="1:27" s="3" customFormat="1" x14ac:dyDescent="0.2">
      <c r="A62" s="256">
        <f t="shared" si="8"/>
        <v>2027</v>
      </c>
      <c r="B62" s="254">
        <f t="shared" si="9"/>
        <v>8</v>
      </c>
      <c r="C62" s="255">
        <v>627.77957873369758</v>
      </c>
      <c r="D62" s="255">
        <v>500.86392060491823</v>
      </c>
      <c r="E62" s="255">
        <v>4192.3908368970642</v>
      </c>
      <c r="F62" s="255">
        <v>12006.794114127033</v>
      </c>
      <c r="G62" s="255">
        <v>5090.3004882411278</v>
      </c>
      <c r="H62" s="255">
        <v>341552.02668933733</v>
      </c>
      <c r="I62" s="255">
        <v>22060.270668573779</v>
      </c>
      <c r="J62" s="255">
        <v>280.51659438229467</v>
      </c>
      <c r="K62" s="255">
        <v>403716.53846618254</v>
      </c>
      <c r="L62" s="255">
        <v>41614.764131940909</v>
      </c>
      <c r="M62" s="255">
        <v>1130.6094163543219</v>
      </c>
      <c r="N62" s="255">
        <v>183771.80057116959</v>
      </c>
      <c r="O62" s="255">
        <v>90435.962034104712</v>
      </c>
      <c r="P62" s="255">
        <v>1506.34387872765</v>
      </c>
      <c r="Q62" s="255">
        <v>21548.849830550778</v>
      </c>
      <c r="R62" s="255">
        <v>8707.1982502828432</v>
      </c>
      <c r="S62" s="255">
        <v>24155.510873042385</v>
      </c>
      <c r="T62" s="255">
        <v>86897.968875396691</v>
      </c>
      <c r="U62" s="255">
        <v>22256.847327282856</v>
      </c>
      <c r="V62" s="255">
        <v>11750.748860549971</v>
      </c>
      <c r="W62" s="255">
        <v>235305.83363823671</v>
      </c>
      <c r="X62" s="255">
        <v>49803.526807362941</v>
      </c>
      <c r="Y62" s="255">
        <v>67833.666764982219</v>
      </c>
      <c r="AA62" s="257"/>
    </row>
    <row r="63" spans="1:27" s="3" customFormat="1" x14ac:dyDescent="0.2">
      <c r="A63" s="256">
        <f t="shared" si="8"/>
        <v>2027</v>
      </c>
      <c r="B63" s="254">
        <f t="shared" si="9"/>
        <v>9</v>
      </c>
      <c r="C63" s="255">
        <v>605.87988064923502</v>
      </c>
      <c r="D63" s="255">
        <v>405.02903053011994</v>
      </c>
      <c r="E63" s="255">
        <v>3928.0351409652244</v>
      </c>
      <c r="F63" s="255">
        <v>11356.702255865997</v>
      </c>
      <c r="G63" s="255">
        <v>4383.5423622715798</v>
      </c>
      <c r="H63" s="255">
        <v>335054.43240693596</v>
      </c>
      <c r="I63" s="255">
        <v>23454.219402285918</v>
      </c>
      <c r="J63" s="255">
        <v>298.90789130699454</v>
      </c>
      <c r="K63" s="255">
        <v>380071.38616901269</v>
      </c>
      <c r="L63" s="255">
        <v>43167.79915331315</v>
      </c>
      <c r="M63" s="255">
        <v>869.28612147655861</v>
      </c>
      <c r="N63" s="255">
        <v>175100.64639414923</v>
      </c>
      <c r="O63" s="255">
        <v>95831.084193366798</v>
      </c>
      <c r="P63" s="255">
        <v>1313.2851330710637</v>
      </c>
      <c r="Q63" s="255">
        <v>28136.386886812335</v>
      </c>
      <c r="R63" s="255">
        <v>9662.5807307004725</v>
      </c>
      <c r="S63" s="255">
        <v>27656.038811553808</v>
      </c>
      <c r="T63" s="255">
        <v>95813.475668673927</v>
      </c>
      <c r="U63" s="255">
        <v>24041.261205836705</v>
      </c>
      <c r="V63" s="255">
        <v>11471.170039233637</v>
      </c>
      <c r="W63" s="255">
        <v>229239.30229932556</v>
      </c>
      <c r="X63" s="255">
        <v>47177.473551955467</v>
      </c>
      <c r="Y63" s="255">
        <v>62888.525918652107</v>
      </c>
      <c r="AA63" s="257"/>
    </row>
    <row r="64" spans="1:27" s="3" customFormat="1" x14ac:dyDescent="0.2">
      <c r="A64" s="256">
        <f t="shared" si="8"/>
        <v>2027</v>
      </c>
      <c r="B64" s="254">
        <f t="shared" si="9"/>
        <v>10</v>
      </c>
      <c r="C64" s="255">
        <v>751.5915336788413</v>
      </c>
      <c r="D64" s="255">
        <v>301.62793980028556</v>
      </c>
      <c r="E64" s="255">
        <v>3937.3637560381394</v>
      </c>
      <c r="F64" s="255">
        <v>12041.176090469915</v>
      </c>
      <c r="G64" s="255">
        <v>3572.4004277438371</v>
      </c>
      <c r="H64" s="255">
        <v>332480.80094481603</v>
      </c>
      <c r="I64" s="255">
        <v>21975.083400291081</v>
      </c>
      <c r="J64" s="255">
        <v>315.47336127797331</v>
      </c>
      <c r="K64" s="255">
        <v>382860.38302191027</v>
      </c>
      <c r="L64" s="255">
        <v>40078.74670412593</v>
      </c>
      <c r="M64" s="255">
        <v>720.04875360091796</v>
      </c>
      <c r="N64" s="255">
        <v>175591.59349750821</v>
      </c>
      <c r="O64" s="255">
        <v>91581.238178573054</v>
      </c>
      <c r="P64" s="255">
        <v>1189.9117794366207</v>
      </c>
      <c r="Q64" s="255">
        <v>40343.312105026547</v>
      </c>
      <c r="R64" s="255">
        <v>8020.9944891090618</v>
      </c>
      <c r="S64" s="255">
        <v>30556.675013334978</v>
      </c>
      <c r="T64" s="255">
        <v>86180.042062857072</v>
      </c>
      <c r="U64" s="255">
        <v>21897.087766927852</v>
      </c>
      <c r="V64" s="255">
        <v>11383.711936231486</v>
      </c>
      <c r="W64" s="255">
        <v>222477.38174657355</v>
      </c>
      <c r="X64" s="255">
        <v>45920.560217521073</v>
      </c>
      <c r="Y64" s="255">
        <v>64552.653812651624</v>
      </c>
      <c r="AA64" s="257"/>
    </row>
    <row r="65" spans="1:27" s="3" customFormat="1" x14ac:dyDescent="0.2">
      <c r="A65" s="256">
        <f t="shared" si="8"/>
        <v>2027</v>
      </c>
      <c r="B65" s="254">
        <f t="shared" si="9"/>
        <v>11</v>
      </c>
      <c r="C65" s="255">
        <v>1038.9249181909138</v>
      </c>
      <c r="D65" s="255">
        <v>331.78763597103813</v>
      </c>
      <c r="E65" s="255">
        <v>4122.7416141221647</v>
      </c>
      <c r="F65" s="255">
        <v>13958.157221782276</v>
      </c>
      <c r="G65" s="255">
        <v>2827.8244033470996</v>
      </c>
      <c r="H65" s="255">
        <v>331258.73766085994</v>
      </c>
      <c r="I65" s="255">
        <v>22193.792853983185</v>
      </c>
      <c r="J65" s="255">
        <v>270.92843310508283</v>
      </c>
      <c r="K65" s="255">
        <v>379466.27024292585</v>
      </c>
      <c r="L65" s="255">
        <v>39447.134391118605</v>
      </c>
      <c r="M65" s="255">
        <v>400.08709643955746</v>
      </c>
      <c r="N65" s="255">
        <v>174185.83362792854</v>
      </c>
      <c r="O65" s="255">
        <v>91239.560273292853</v>
      </c>
      <c r="P65" s="255">
        <v>907.85045067240765</v>
      </c>
      <c r="Q65" s="255">
        <v>51842.145122080918</v>
      </c>
      <c r="R65" s="255">
        <v>8022.6307693262752</v>
      </c>
      <c r="S65" s="255">
        <v>30090.745512794769</v>
      </c>
      <c r="T65" s="255">
        <v>78850.402444419131</v>
      </c>
      <c r="U65" s="255">
        <v>22494.895860088498</v>
      </c>
      <c r="V65" s="255">
        <v>12019.386339467314</v>
      </c>
      <c r="W65" s="255">
        <v>226200.17166027884</v>
      </c>
      <c r="X65" s="255">
        <v>43788.733627703448</v>
      </c>
      <c r="Y65" s="255">
        <v>71331.536057598409</v>
      </c>
      <c r="AA65" s="257"/>
    </row>
    <row r="66" spans="1:27" s="3" customFormat="1" x14ac:dyDescent="0.2">
      <c r="A66" s="258">
        <f t="shared" si="8"/>
        <v>2027</v>
      </c>
      <c r="B66" s="259">
        <f t="shared" si="9"/>
        <v>12</v>
      </c>
      <c r="C66" s="260">
        <v>1293.3008904620385</v>
      </c>
      <c r="D66" s="260">
        <v>407.97581543273236</v>
      </c>
      <c r="E66" s="260">
        <v>4466.5512651828922</v>
      </c>
      <c r="F66" s="260">
        <v>15541.934134424042</v>
      </c>
      <c r="G66" s="260">
        <v>3093.0934725535112</v>
      </c>
      <c r="H66" s="260">
        <v>353884.95426189626</v>
      </c>
      <c r="I66" s="260">
        <v>20264.208013058666</v>
      </c>
      <c r="J66" s="260">
        <v>288.53568133003927</v>
      </c>
      <c r="K66" s="260">
        <v>382380.9606476684</v>
      </c>
      <c r="L66" s="260">
        <v>34623.412088013167</v>
      </c>
      <c r="M66" s="260">
        <v>33.05687758001455</v>
      </c>
      <c r="N66" s="260">
        <v>173053.91199434566</v>
      </c>
      <c r="O66" s="260">
        <v>78879.612440058234</v>
      </c>
      <c r="P66" s="260">
        <v>0</v>
      </c>
      <c r="Q66" s="260">
        <v>57840.272152190053</v>
      </c>
      <c r="R66" s="260">
        <v>8676.1723949921325</v>
      </c>
      <c r="S66" s="260">
        <v>30820.080021583341</v>
      </c>
      <c r="T66" s="260">
        <v>78717.260059837194</v>
      </c>
      <c r="U66" s="260">
        <v>22020.848353001755</v>
      </c>
      <c r="V66" s="260">
        <v>12658.688680960704</v>
      </c>
      <c r="W66" s="260">
        <v>228655.77519275006</v>
      </c>
      <c r="X66" s="260">
        <v>42794.864664155793</v>
      </c>
      <c r="Y66" s="260">
        <v>66862.589084526146</v>
      </c>
      <c r="AA66" s="257"/>
    </row>
    <row r="67" spans="1:27" s="3" customFormat="1" x14ac:dyDescent="0.2">
      <c r="A67" s="254">
        <f>A55+1</f>
        <v>2028</v>
      </c>
      <c r="B67" s="254">
        <v>1</v>
      </c>
      <c r="C67" s="255">
        <v>1494.2128185761399</v>
      </c>
      <c r="D67" s="255">
        <v>434.61670671527128</v>
      </c>
      <c r="E67" s="255">
        <v>4973.5191022622121</v>
      </c>
      <c r="F67" s="255">
        <v>17017.176876330119</v>
      </c>
      <c r="G67" s="255">
        <v>3320.4807809303438</v>
      </c>
      <c r="H67" s="255">
        <v>359224.5136031193</v>
      </c>
      <c r="I67" s="255">
        <v>22551.985014561404</v>
      </c>
      <c r="J67" s="255">
        <v>208.7177834899444</v>
      </c>
      <c r="K67" s="255">
        <v>395396.07102914859</v>
      </c>
      <c r="L67" s="255">
        <v>37817.09391399283</v>
      </c>
      <c r="M67" s="255">
        <v>116.70383214317592</v>
      </c>
      <c r="N67" s="255">
        <v>176854.42891881126</v>
      </c>
      <c r="O67" s="255">
        <v>87365.511505557777</v>
      </c>
      <c r="P67" s="255">
        <v>0</v>
      </c>
      <c r="Q67" s="255">
        <v>64336.627653122814</v>
      </c>
      <c r="R67" s="255">
        <v>8843.9699253630552</v>
      </c>
      <c r="S67" s="255">
        <v>28345.666249625938</v>
      </c>
      <c r="T67" s="255">
        <v>83578.398865367257</v>
      </c>
      <c r="U67" s="255">
        <v>22405.305263662558</v>
      </c>
      <c r="V67" s="255">
        <v>10990.803692297233</v>
      </c>
      <c r="W67" s="255">
        <v>230035.01783779066</v>
      </c>
      <c r="X67" s="255">
        <v>43089.481319974082</v>
      </c>
      <c r="Y67" s="255">
        <v>62511.394810092403</v>
      </c>
      <c r="AA67" s="257"/>
    </row>
    <row r="68" spans="1:27" s="3" customFormat="1" x14ac:dyDescent="0.2">
      <c r="A68" s="256">
        <f>A67</f>
        <v>2028</v>
      </c>
      <c r="B68" s="254">
        <f>B67+1</f>
        <v>2</v>
      </c>
      <c r="C68" s="255">
        <v>1644.2161685900824</v>
      </c>
      <c r="D68" s="255">
        <v>428.34608214127633</v>
      </c>
      <c r="E68" s="255">
        <v>5012.999846799401</v>
      </c>
      <c r="F68" s="255">
        <v>17388.699929734925</v>
      </c>
      <c r="G68" s="255">
        <v>3487.2945766188368</v>
      </c>
      <c r="H68" s="255">
        <v>372705.53154088394</v>
      </c>
      <c r="I68" s="255">
        <v>23787.190620053581</v>
      </c>
      <c r="J68" s="255">
        <v>242.6791287732695</v>
      </c>
      <c r="K68" s="255">
        <v>409480.0745919855</v>
      </c>
      <c r="L68" s="255">
        <v>39993.487226872363</v>
      </c>
      <c r="M68" s="255">
        <v>288.43764319016719</v>
      </c>
      <c r="N68" s="255">
        <v>183441.03979117473</v>
      </c>
      <c r="O68" s="255">
        <v>89700.507807986025</v>
      </c>
      <c r="P68" s="255">
        <v>0</v>
      </c>
      <c r="Q68" s="255">
        <v>65436.956166486969</v>
      </c>
      <c r="R68" s="255">
        <v>10094.213886511992</v>
      </c>
      <c r="S68" s="255">
        <v>30220.047041055666</v>
      </c>
      <c r="T68" s="255">
        <v>96922.561900078639</v>
      </c>
      <c r="U68" s="255">
        <v>25427.939929733369</v>
      </c>
      <c r="V68" s="255">
        <v>11696.977691757353</v>
      </c>
      <c r="W68" s="255">
        <v>233895.08757507798</v>
      </c>
      <c r="X68" s="255">
        <v>44914.847694810407</v>
      </c>
      <c r="Y68" s="255">
        <v>68533.8206371837</v>
      </c>
      <c r="AA68" s="257"/>
    </row>
    <row r="69" spans="1:27" s="3" customFormat="1" x14ac:dyDescent="0.2">
      <c r="A69" s="256">
        <f t="shared" ref="A69:A78" si="10">A68</f>
        <v>2028</v>
      </c>
      <c r="B69" s="254">
        <f t="shared" ref="B69:B78" si="11">B68+1</f>
        <v>3</v>
      </c>
      <c r="C69" s="255">
        <v>1521.0415756675757</v>
      </c>
      <c r="D69" s="255">
        <v>354.72303431241778</v>
      </c>
      <c r="E69" s="255">
        <v>4828.5364979838751</v>
      </c>
      <c r="F69" s="255">
        <v>15745.529334525392</v>
      </c>
      <c r="G69" s="255">
        <v>3260.9774499436603</v>
      </c>
      <c r="H69" s="255">
        <v>347868.97833674739</v>
      </c>
      <c r="I69" s="255">
        <v>22102.867426085628</v>
      </c>
      <c r="J69" s="255">
        <v>290.72840035352323</v>
      </c>
      <c r="K69" s="255">
        <v>386892.55391146097</v>
      </c>
      <c r="L69" s="255">
        <v>37304.621733309737</v>
      </c>
      <c r="M69" s="255">
        <v>332.3596683664054</v>
      </c>
      <c r="N69" s="255">
        <v>172781.17392512676</v>
      </c>
      <c r="O69" s="255">
        <v>83490.549915971831</v>
      </c>
      <c r="P69" s="255">
        <v>0</v>
      </c>
      <c r="Q69" s="255">
        <v>60246.32492758939</v>
      </c>
      <c r="R69" s="255">
        <v>8729.3259194804486</v>
      </c>
      <c r="S69" s="255">
        <v>26721.382092698732</v>
      </c>
      <c r="T69" s="255">
        <v>86093.44890136343</v>
      </c>
      <c r="U69" s="255">
        <v>20702.168381548858</v>
      </c>
      <c r="V69" s="255">
        <v>10827.201096272433</v>
      </c>
      <c r="W69" s="255">
        <v>226631.57107889911</v>
      </c>
      <c r="X69" s="255">
        <v>42852.68754943677</v>
      </c>
      <c r="Y69" s="255">
        <v>60239.400270601509</v>
      </c>
      <c r="AA69" s="257"/>
    </row>
    <row r="70" spans="1:27" s="3" customFormat="1" x14ac:dyDescent="0.2">
      <c r="A70" s="256">
        <f t="shared" si="10"/>
        <v>2028</v>
      </c>
      <c r="B70" s="254">
        <f t="shared" si="11"/>
        <v>4</v>
      </c>
      <c r="C70" s="255">
        <v>1473.9343901386999</v>
      </c>
      <c r="D70" s="255">
        <v>300.64193927354512</v>
      </c>
      <c r="E70" s="255">
        <v>4967.4203012653288</v>
      </c>
      <c r="F70" s="255">
        <v>14641.306574816224</v>
      </c>
      <c r="G70" s="255">
        <v>3168.6801974832424</v>
      </c>
      <c r="H70" s="255">
        <v>346544.43504979042</v>
      </c>
      <c r="I70" s="255">
        <v>22783.560212491677</v>
      </c>
      <c r="J70" s="255">
        <v>364.90342576511762</v>
      </c>
      <c r="K70" s="255">
        <v>401253.79308860382</v>
      </c>
      <c r="L70" s="255">
        <v>40486.047580918501</v>
      </c>
      <c r="M70" s="255">
        <v>333.20774360840909</v>
      </c>
      <c r="N70" s="255">
        <v>189139.87197585887</v>
      </c>
      <c r="O70" s="255">
        <v>90773.935573333903</v>
      </c>
      <c r="P70" s="255">
        <v>0</v>
      </c>
      <c r="Q70" s="255">
        <v>60501.391354937143</v>
      </c>
      <c r="R70" s="255">
        <v>9429.4151033247817</v>
      </c>
      <c r="S70" s="255">
        <v>33556.055748082399</v>
      </c>
      <c r="T70" s="255">
        <v>94276.923950276134</v>
      </c>
      <c r="U70" s="255">
        <v>25312.708609759993</v>
      </c>
      <c r="V70" s="255">
        <v>11597.438846032519</v>
      </c>
      <c r="W70" s="255">
        <v>225551.46239625337</v>
      </c>
      <c r="X70" s="255">
        <v>41926.926105404295</v>
      </c>
      <c r="Y70" s="255">
        <v>64132.928663246843</v>
      </c>
      <c r="AA70" s="257"/>
    </row>
    <row r="71" spans="1:27" s="3" customFormat="1" x14ac:dyDescent="0.2">
      <c r="A71" s="256">
        <f t="shared" si="10"/>
        <v>2028</v>
      </c>
      <c r="B71" s="254">
        <f t="shared" si="11"/>
        <v>5</v>
      </c>
      <c r="C71" s="255">
        <v>1275.7013703444798</v>
      </c>
      <c r="D71" s="255">
        <v>319.56600685499012</v>
      </c>
      <c r="E71" s="255">
        <v>4125.3766498684208</v>
      </c>
      <c r="F71" s="255">
        <v>11929.87652481624</v>
      </c>
      <c r="G71" s="255">
        <v>2719.1299938031893</v>
      </c>
      <c r="H71" s="255">
        <v>323208.04443321098</v>
      </c>
      <c r="I71" s="255">
        <v>21620.206342991885</v>
      </c>
      <c r="J71" s="255">
        <v>311.02572852968694</v>
      </c>
      <c r="K71" s="255">
        <v>387827.74050120922</v>
      </c>
      <c r="L71" s="255">
        <v>40202.997806440326</v>
      </c>
      <c r="M71" s="255">
        <v>478.39956504402181</v>
      </c>
      <c r="N71" s="255">
        <v>176923.62316407249</v>
      </c>
      <c r="O71" s="255">
        <v>88490.322664820313</v>
      </c>
      <c r="P71" s="255">
        <v>917.85543775044493</v>
      </c>
      <c r="Q71" s="255">
        <v>50908.418758241736</v>
      </c>
      <c r="R71" s="255">
        <v>8580.4921222590001</v>
      </c>
      <c r="S71" s="255">
        <v>30367.016052483494</v>
      </c>
      <c r="T71" s="255">
        <v>84997.809012608515</v>
      </c>
      <c r="U71" s="255">
        <v>23313.798843687448</v>
      </c>
      <c r="V71" s="255">
        <v>12337.285140479287</v>
      </c>
      <c r="W71" s="255">
        <v>224854.62111829148</v>
      </c>
      <c r="X71" s="255">
        <v>43101.83333224267</v>
      </c>
      <c r="Y71" s="255">
        <v>65003.749220564132</v>
      </c>
      <c r="AA71" s="257"/>
    </row>
    <row r="72" spans="1:27" s="3" customFormat="1" x14ac:dyDescent="0.2">
      <c r="A72" s="256">
        <f t="shared" si="10"/>
        <v>2028</v>
      </c>
      <c r="B72" s="254">
        <f t="shared" si="11"/>
        <v>6</v>
      </c>
      <c r="C72" s="255">
        <v>866.43990421645401</v>
      </c>
      <c r="D72" s="255">
        <v>385.5261207406989</v>
      </c>
      <c r="E72" s="255">
        <v>4012.0102729133855</v>
      </c>
      <c r="F72" s="255">
        <v>11356.614104549009</v>
      </c>
      <c r="G72" s="255">
        <v>2559.5509541312463</v>
      </c>
      <c r="H72" s="255">
        <v>343607.82833498815</v>
      </c>
      <c r="I72" s="255">
        <v>22738.166729912158</v>
      </c>
      <c r="J72" s="255">
        <v>252.63639677332063</v>
      </c>
      <c r="K72" s="255">
        <v>406535.33333627443</v>
      </c>
      <c r="L72" s="255">
        <v>42792.393578308795</v>
      </c>
      <c r="M72" s="255">
        <v>652.59480395454841</v>
      </c>
      <c r="N72" s="255">
        <v>185245.05317475513</v>
      </c>
      <c r="O72" s="255">
        <v>94372.869023416206</v>
      </c>
      <c r="P72" s="255">
        <v>1147.4575411111364</v>
      </c>
      <c r="Q72" s="255">
        <v>41216.748216919317</v>
      </c>
      <c r="R72" s="255">
        <v>9345.8293309702276</v>
      </c>
      <c r="S72" s="255">
        <v>29600.256908455634</v>
      </c>
      <c r="T72" s="255">
        <v>93976.253236902077</v>
      </c>
      <c r="U72" s="255">
        <v>23305.522397887406</v>
      </c>
      <c r="V72" s="255">
        <v>11948.567837118522</v>
      </c>
      <c r="W72" s="255">
        <v>233711.64389821709</v>
      </c>
      <c r="X72" s="255">
        <v>45346.381489737942</v>
      </c>
      <c r="Y72" s="255">
        <v>62708.979840420572</v>
      </c>
      <c r="AA72" s="257"/>
    </row>
    <row r="73" spans="1:27" s="3" customFormat="1" x14ac:dyDescent="0.2">
      <c r="A73" s="256">
        <f t="shared" si="10"/>
        <v>2028</v>
      </c>
      <c r="B73" s="254">
        <f t="shared" si="11"/>
        <v>7</v>
      </c>
      <c r="C73" s="255">
        <v>736.98190355155748</v>
      </c>
      <c r="D73" s="255">
        <v>521.72054277191899</v>
      </c>
      <c r="E73" s="255">
        <v>3998.2126252526718</v>
      </c>
      <c r="F73" s="255">
        <v>11678.737531368648</v>
      </c>
      <c r="G73" s="255">
        <v>4508.3669842413174</v>
      </c>
      <c r="H73" s="255">
        <v>345382.72921367903</v>
      </c>
      <c r="I73" s="255">
        <v>21949.209126648493</v>
      </c>
      <c r="J73" s="255">
        <v>297.8439908603529</v>
      </c>
      <c r="K73" s="255">
        <v>419177.76331751107</v>
      </c>
      <c r="L73" s="255">
        <v>41743.399044766295</v>
      </c>
      <c r="M73" s="255">
        <v>920.11793131838203</v>
      </c>
      <c r="N73" s="255">
        <v>181863.81123452217</v>
      </c>
      <c r="O73" s="255">
        <v>90928.740657439936</v>
      </c>
      <c r="P73" s="255">
        <v>1089.9528630752918</v>
      </c>
      <c r="Q73" s="255">
        <v>30413.503728290922</v>
      </c>
      <c r="R73" s="255">
        <v>8537.8621507582811</v>
      </c>
      <c r="S73" s="255">
        <v>28101.917532268701</v>
      </c>
      <c r="T73" s="255">
        <v>85421.765943936058</v>
      </c>
      <c r="U73" s="255">
        <v>24587.587727183782</v>
      </c>
      <c r="V73" s="255">
        <v>11790.576472298075</v>
      </c>
      <c r="W73" s="255">
        <v>234837.81993417526</v>
      </c>
      <c r="X73" s="255">
        <v>47612.628740004453</v>
      </c>
      <c r="Y73" s="255">
        <v>66610.805583498426</v>
      </c>
      <c r="AA73" s="257"/>
    </row>
    <row r="74" spans="1:27" s="3" customFormat="1" x14ac:dyDescent="0.2">
      <c r="A74" s="256">
        <f t="shared" si="10"/>
        <v>2028</v>
      </c>
      <c r="B74" s="254">
        <f t="shared" si="11"/>
        <v>8</v>
      </c>
      <c r="C74" s="255">
        <v>627.77957873369758</v>
      </c>
      <c r="D74" s="255">
        <v>500.86392060491823</v>
      </c>
      <c r="E74" s="255">
        <v>4132.7703021069892</v>
      </c>
      <c r="F74" s="255">
        <v>11997.364943608301</v>
      </c>
      <c r="G74" s="255">
        <v>5017.9106636379138</v>
      </c>
      <c r="H74" s="255">
        <v>344366.95570871246</v>
      </c>
      <c r="I74" s="255">
        <v>21607.750440193224</v>
      </c>
      <c r="J74" s="255">
        <v>280.51659438229467</v>
      </c>
      <c r="K74" s="255">
        <v>418002.1702656002</v>
      </c>
      <c r="L74" s="255">
        <v>40761.124444019362</v>
      </c>
      <c r="M74" s="255">
        <v>1125.3956267268256</v>
      </c>
      <c r="N74" s="255">
        <v>181425.81596985509</v>
      </c>
      <c r="O74" s="255">
        <v>88580.857769596187</v>
      </c>
      <c r="P74" s="255">
        <v>1499.3973948431646</v>
      </c>
      <c r="Q74" s="255">
        <v>21449.477608715551</v>
      </c>
      <c r="R74" s="255">
        <v>8737.6267902024538</v>
      </c>
      <c r="S74" s="255">
        <v>24179.288921694359</v>
      </c>
      <c r="T74" s="255">
        <v>87206.432278462773</v>
      </c>
      <c r="U74" s="255">
        <v>22280.661380432659</v>
      </c>
      <c r="V74" s="255">
        <v>11747.432208290933</v>
      </c>
      <c r="W74" s="255">
        <v>235239.41849874659</v>
      </c>
      <c r="X74" s="255">
        <v>49789.469747540359</v>
      </c>
      <c r="Y74" s="255">
        <v>65388.065036926542</v>
      </c>
      <c r="AA74" s="257"/>
    </row>
    <row r="75" spans="1:27" s="3" customFormat="1" x14ac:dyDescent="0.2">
      <c r="A75" s="256">
        <f t="shared" si="10"/>
        <v>2028</v>
      </c>
      <c r="B75" s="254">
        <f t="shared" si="11"/>
        <v>9</v>
      </c>
      <c r="C75" s="255">
        <v>605.89910862041143</v>
      </c>
      <c r="D75" s="255">
        <v>405.02903053011994</v>
      </c>
      <c r="E75" s="255">
        <v>3864.3993125422198</v>
      </c>
      <c r="F75" s="255">
        <v>11312.522136456746</v>
      </c>
      <c r="G75" s="255">
        <v>4312.5271244644655</v>
      </c>
      <c r="H75" s="255">
        <v>336930.16595246026</v>
      </c>
      <c r="I75" s="255">
        <v>22989.699903389035</v>
      </c>
      <c r="J75" s="255">
        <v>298.90789130699454</v>
      </c>
      <c r="K75" s="255">
        <v>394491.49569000024</v>
      </c>
      <c r="L75" s="255">
        <v>42312.844908738116</v>
      </c>
      <c r="M75" s="255">
        <v>862.83906496885243</v>
      </c>
      <c r="N75" s="255">
        <v>172561.09491310298</v>
      </c>
      <c r="O75" s="255">
        <v>93933.114090643518</v>
      </c>
      <c r="P75" s="255">
        <v>1303.5451599431619</v>
      </c>
      <c r="Q75" s="255">
        <v>27927.713503330902</v>
      </c>
      <c r="R75" s="255">
        <v>9649.4655113343561</v>
      </c>
      <c r="S75" s="255">
        <v>27615.188344478076</v>
      </c>
      <c r="T75" s="255">
        <v>95688.721648720733</v>
      </c>
      <c r="U75" s="255">
        <v>24007.735261791517</v>
      </c>
      <c r="V75" s="255">
        <v>11469.289126166688</v>
      </c>
      <c r="W75" s="255">
        <v>229201.71422437998</v>
      </c>
      <c r="X75" s="255">
        <v>47169.737922009568</v>
      </c>
      <c r="Y75" s="255">
        <v>62007.934614582598</v>
      </c>
      <c r="AA75" s="257"/>
    </row>
    <row r="76" spans="1:27" s="3" customFormat="1" x14ac:dyDescent="0.2">
      <c r="A76" s="256">
        <f t="shared" si="10"/>
        <v>2028</v>
      </c>
      <c r="B76" s="254">
        <f t="shared" si="11"/>
        <v>10</v>
      </c>
      <c r="C76" s="255">
        <v>751.63637142101572</v>
      </c>
      <c r="D76" s="255">
        <v>301.62793980028556</v>
      </c>
      <c r="E76" s="255">
        <v>3863.8636761480557</v>
      </c>
      <c r="F76" s="255">
        <v>11987.502125727753</v>
      </c>
      <c r="G76" s="255">
        <v>3505.7132397907626</v>
      </c>
      <c r="H76" s="255">
        <v>334976.11370076839</v>
      </c>
      <c r="I76" s="255">
        <v>21485.38878886063</v>
      </c>
      <c r="J76" s="255">
        <v>315.47336127797331</v>
      </c>
      <c r="K76" s="255">
        <v>400055.36509959964</v>
      </c>
      <c r="L76" s="255">
        <v>39185.628533132302</v>
      </c>
      <c r="M76" s="255">
        <v>714.41548915740145</v>
      </c>
      <c r="N76" s="255">
        <v>172688.85628151591</v>
      </c>
      <c r="O76" s="255">
        <v>89540.434144874453</v>
      </c>
      <c r="P76" s="255">
        <v>1180.6025657417097</v>
      </c>
      <c r="Q76" s="255">
        <v>40027.688274725399</v>
      </c>
      <c r="R76" s="255">
        <v>8014.6313639501504</v>
      </c>
      <c r="S76" s="255">
        <v>30649.529577336027</v>
      </c>
      <c r="T76" s="255">
        <v>86119.021006236129</v>
      </c>
      <c r="U76" s="255">
        <v>21966.042349029831</v>
      </c>
      <c r="V76" s="255">
        <v>11376.470897781996</v>
      </c>
      <c r="W76" s="255">
        <v>222335.86663406983</v>
      </c>
      <c r="X76" s="255">
        <v>45891.350716787027</v>
      </c>
      <c r="Y76" s="255">
        <v>61951.163213527368</v>
      </c>
      <c r="AA76" s="257"/>
    </row>
    <row r="77" spans="1:27" s="3" customFormat="1" x14ac:dyDescent="0.2">
      <c r="A77" s="256">
        <f t="shared" si="10"/>
        <v>2028</v>
      </c>
      <c r="B77" s="254">
        <f t="shared" si="11"/>
        <v>11</v>
      </c>
      <c r="C77" s="255">
        <v>1037.5429866344195</v>
      </c>
      <c r="D77" s="255">
        <v>331.78763597103813</v>
      </c>
      <c r="E77" s="255">
        <v>4048.6159274706979</v>
      </c>
      <c r="F77" s="255">
        <v>13893.860431587014</v>
      </c>
      <c r="G77" s="255">
        <v>2776.9809488580127</v>
      </c>
      <c r="H77" s="255">
        <v>333950.84329610912</v>
      </c>
      <c r="I77" s="255">
        <v>21640.63939592311</v>
      </c>
      <c r="J77" s="255">
        <v>270.92843310508283</v>
      </c>
      <c r="K77" s="255">
        <v>398320.07109545328</v>
      </c>
      <c r="L77" s="255">
        <v>38463.962251837707</v>
      </c>
      <c r="M77" s="255">
        <v>397.04332316830647</v>
      </c>
      <c r="N77" s="255">
        <v>171414.84238453809</v>
      </c>
      <c r="O77" s="255">
        <v>88965.524527843838</v>
      </c>
      <c r="P77" s="255">
        <v>900.94372720984143</v>
      </c>
      <c r="Q77" s="255">
        <v>51447.741660806627</v>
      </c>
      <c r="R77" s="255">
        <v>7997.9841261672709</v>
      </c>
      <c r="S77" s="255">
        <v>30049.052165233999</v>
      </c>
      <c r="T77" s="255">
        <v>78614.061385728375</v>
      </c>
      <c r="U77" s="255">
        <v>22466.894037137838</v>
      </c>
      <c r="V77" s="255">
        <v>12011.954276287797</v>
      </c>
      <c r="W77" s="255">
        <v>226060.30312460594</v>
      </c>
      <c r="X77" s="255">
        <v>43761.657317342695</v>
      </c>
      <c r="Y77" s="255">
        <v>67319.252568054115</v>
      </c>
      <c r="AA77" s="257"/>
    </row>
    <row r="78" spans="1:27" s="3" customFormat="1" x14ac:dyDescent="0.2">
      <c r="A78" s="258">
        <f t="shared" si="10"/>
        <v>2028</v>
      </c>
      <c r="B78" s="259">
        <f t="shared" si="11"/>
        <v>12</v>
      </c>
      <c r="C78" s="260">
        <v>1291.6296952345076</v>
      </c>
      <c r="D78" s="260">
        <v>407.97581543273236</v>
      </c>
      <c r="E78" s="260">
        <v>4402.5382952367163</v>
      </c>
      <c r="F78" s="260">
        <v>15524.157191451028</v>
      </c>
      <c r="G78" s="260">
        <v>3048.7643945369623</v>
      </c>
      <c r="H78" s="260">
        <v>357704.93824851222</v>
      </c>
      <c r="I78" s="260">
        <v>19775.593663638574</v>
      </c>
      <c r="J78" s="260">
        <v>288.53568133003927</v>
      </c>
      <c r="K78" s="260">
        <v>403731.55000612041</v>
      </c>
      <c r="L78" s="260">
        <v>33788.56594148805</v>
      </c>
      <c r="M78" s="260">
        <v>32.923647835866099</v>
      </c>
      <c r="N78" s="260">
        <v>170845.8216215682</v>
      </c>
      <c r="O78" s="260">
        <v>76977.652566271281</v>
      </c>
      <c r="P78" s="260">
        <v>0</v>
      </c>
      <c r="Q78" s="260">
        <v>57607.157435239773</v>
      </c>
      <c r="R78" s="260">
        <v>8647.9346405609449</v>
      </c>
      <c r="S78" s="260">
        <v>30766.452456153071</v>
      </c>
      <c r="T78" s="260">
        <v>78465.383055957645</v>
      </c>
      <c r="U78" s="260">
        <v>21985.626579927059</v>
      </c>
      <c r="V78" s="260">
        <v>12650.869899840025</v>
      </c>
      <c r="W78" s="260">
        <v>228514.54338720776</v>
      </c>
      <c r="X78" s="260">
        <v>42768.43193574826</v>
      </c>
      <c r="Y78" s="260">
        <v>73949.227901881983</v>
      </c>
      <c r="AA78" s="257"/>
    </row>
    <row r="79" spans="1:27" s="13" customFormat="1" x14ac:dyDescent="0.2"/>
    <row r="80" spans="1:27" s="13" customFormat="1" x14ac:dyDescent="0.2">
      <c r="A80" s="261" t="str">
        <f>+'F2023 Energy'!A81</f>
        <v>Total TY January 2024 to December 2024</v>
      </c>
      <c r="B80" s="89"/>
      <c r="C80" s="90">
        <f>SUM(C19:C30)</f>
        <v>13521.918615215367</v>
      </c>
      <c r="D80" s="90">
        <f t="shared" ref="D80:Y80" si="12">SUM(D19:D30)</f>
        <v>4692.424775149213</v>
      </c>
      <c r="E80" s="90">
        <f t="shared" si="12"/>
        <v>55379.42299257133</v>
      </c>
      <c r="F80" s="90">
        <f t="shared" si="12"/>
        <v>165839.77499180677</v>
      </c>
      <c r="G80" s="90">
        <f t="shared" si="12"/>
        <v>44220.886086220671</v>
      </c>
      <c r="H80" s="90">
        <f t="shared" si="12"/>
        <v>4055452.3537427741</v>
      </c>
      <c r="I80" s="90">
        <f t="shared" si="12"/>
        <v>289875.29206260596</v>
      </c>
      <c r="J80" s="90">
        <f t="shared" si="12"/>
        <v>3422.8968159475994</v>
      </c>
      <c r="K80" s="90">
        <f t="shared" si="12"/>
        <v>4261974.484032155</v>
      </c>
      <c r="L80" s="90">
        <f t="shared" si="12"/>
        <v>519278.66372027941</v>
      </c>
      <c r="M80" s="90">
        <f t="shared" si="12"/>
        <v>6408.2141077635069</v>
      </c>
      <c r="N80" s="90">
        <f t="shared" si="12"/>
        <v>2158528.7078100876</v>
      </c>
      <c r="O80" s="90">
        <f t="shared" si="12"/>
        <v>1162652.0191276441</v>
      </c>
      <c r="P80" s="90">
        <f t="shared" si="12"/>
        <v>8256.3201893980731</v>
      </c>
      <c r="Q80" s="90">
        <f t="shared" si="12"/>
        <v>583433.70822105429</v>
      </c>
      <c r="R80" s="90">
        <f t="shared" si="12"/>
        <v>105600</v>
      </c>
      <c r="S80" s="90">
        <f t="shared" si="12"/>
        <v>350504.64445935236</v>
      </c>
      <c r="T80" s="90">
        <f t="shared" si="12"/>
        <v>1050612.8136678389</v>
      </c>
      <c r="U80" s="90">
        <f t="shared" si="12"/>
        <v>277938.81689328625</v>
      </c>
      <c r="V80" s="90">
        <f t="shared" si="12"/>
        <v>140884.3761164523</v>
      </c>
      <c r="W80" s="90">
        <f t="shared" si="12"/>
        <v>2759464.6085266997</v>
      </c>
      <c r="X80" s="90">
        <f t="shared" si="12"/>
        <v>539885.47611303558</v>
      </c>
      <c r="Y80" s="90">
        <f t="shared" si="12"/>
        <v>723020.96316947986</v>
      </c>
    </row>
    <row r="83" spans="3:25" s="13" customFormat="1" x14ac:dyDescent="0.2"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</row>
  </sheetData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9933298D70C3D4A8E7C95A6455F7A7E" ma:contentTypeVersion="24" ma:contentTypeDescription="" ma:contentTypeScope="" ma:versionID="18bc77721f17ad22baa6ed259a39dc9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2023-08-29T07:00:00+00:00</OpenedDate>
    <SignificantOrder xmlns="dc463f71-b30c-4ab2-9473-d307f9d35888">false</SignificantOrder>
    <Date1 xmlns="dc463f71-b30c-4ab2-9473-d307f9d35888">2023-09-29T07:00:00+00:00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3BF65C8-B9FC-430D-AB9B-FDFE0BBCDA7C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CCE66E4-CA03-41D3-9F0E-8323C2BF47C4}"/>
</file>

<file path=customXml/itemProps3.xml><?xml version="1.0" encoding="utf-8"?>
<ds:datastoreItem xmlns:ds="http://schemas.openxmlformats.org/officeDocument/2006/customXml" ds:itemID="{35CF7BA0-695B-4910-9991-D9FD4BD0CAF3}"/>
</file>

<file path=customXml/itemProps4.xml><?xml version="1.0" encoding="utf-8"?>
<ds:datastoreItem xmlns:ds="http://schemas.openxmlformats.org/officeDocument/2006/customXml" ds:itemID="{0A05DFBE-5E4B-47A9-8FD3-DAB846741D84}"/>
</file>

<file path=customXml/itemProps5.xml><?xml version="1.0" encoding="utf-8"?>
<ds:datastoreItem xmlns:ds="http://schemas.openxmlformats.org/officeDocument/2006/customXml" ds:itemID="{89EEEC25-40CA-45EE-821A-497C7CE953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Rate Summary</vt:lpstr>
      <vt:lpstr>Street &amp; Area Lighting</vt:lpstr>
      <vt:lpstr>Revenue Rate Impacts</vt:lpstr>
      <vt:lpstr>Typical Residential Notice</vt:lpstr>
      <vt:lpstr>Rate Spread and Design</vt:lpstr>
      <vt:lpstr>Workpapers--&gt;</vt:lpstr>
      <vt:lpstr>Revenue Requirment</vt:lpstr>
      <vt:lpstr>F2023 Energy</vt:lpstr>
      <vt:lpstr>F2023 Demand</vt:lpstr>
      <vt:lpstr>2022 GRC (UE-220066)--&gt;</vt:lpstr>
      <vt:lpstr>Exhibit No.__(BDJ-141C)</vt:lpstr>
      <vt:lpstr>2022 GRC Conversion Factor</vt:lpstr>
      <vt:lpstr>'Exhibit No.__(BDJ-141C)'!Print_Area</vt:lpstr>
      <vt:lpstr>'F2023 Demand'!Print_Area</vt:lpstr>
      <vt:lpstr>'F2023 Energy'!Print_Area</vt:lpstr>
      <vt:lpstr>'Rate Spread and Design'!Print_Area</vt:lpstr>
      <vt:lpstr>'Rate Summary'!Print_Area</vt:lpstr>
      <vt:lpstr>'Street &amp; Area Lighting'!Print_Area</vt:lpstr>
      <vt:lpstr>'Typical Residential Notice'!Print_Area</vt:lpstr>
      <vt:lpstr>'Exhibit No.__(BDJ-141C)'!Print_Titles</vt:lpstr>
      <vt:lpstr>'F2023 Demand'!Print_Titles</vt:lpstr>
      <vt:lpstr>'F2023 Energy'!Print_Titles</vt:lpstr>
      <vt:lpstr>'Street &amp; Area Lighting'!Print_Titles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Zakharova, Elena</cp:lastModifiedBy>
  <cp:lastPrinted>2021-03-15T17:22:18Z</cp:lastPrinted>
  <dcterms:created xsi:type="dcterms:W3CDTF">2014-04-04T17:25:38Z</dcterms:created>
  <dcterms:modified xsi:type="dcterms:W3CDTF">2023-09-26T12:15:51Z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0x0101006E56B4D1795A2E4DB2F0B01679ED314A00C9933298D70C3D4A8E7C95A6455F7A7E</vt:lpwstr>
  </property>
  <property fmtid="{D5CDD505-2E9C-101B-9397-08002B2CF9AE}" pid="3" name="_docset_NoMedatataSyncRequired">
    <vt:lpwstr>False</vt:lpwstr>
  </property>
</Properties>
</file>