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1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aveExternalLinkValues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RASANEN\#  Rate Filings\Sch 194 - BPA\2023 Filing Eff 11-1-23\Filed 09-29-2023 (UE-XXXXXX)\"/>
    </mc:Choice>
  </mc:AlternateContent>
  <xr:revisionPtr revIDLastSave="0" documentId="13_ncr:1_{BFEBC402-0236-4483-9519-1D7A3D2EE01D}" xr6:coauthVersionLast="47" xr6:coauthVersionMax="47" xr10:uidLastSave="{00000000-0000-0000-0000-000000000000}"/>
  <bookViews>
    <workbookView xWindow="32955" yWindow="-14085" windowWidth="21600" windowHeight="11385" tabRatio="873" xr2:uid="{00000000-000D-0000-FFFF-FFFF00000000}"/>
  </bookViews>
  <sheets>
    <sheet name="Sch 194 Summary" sheetId="1" r:id="rId1"/>
    <sheet name="Rate Impact" sheetId="34" r:id="rId2"/>
    <sheet name="Typical Residential Bill " sheetId="32" r:id="rId3"/>
    <sheet name="Sch 194" sheetId="37" r:id="rId4"/>
    <sheet name="Workpapers -&gt; " sheetId="35" r:id="rId5"/>
    <sheet name="186 - 253 Balance" sheetId="2" r:id="rId6"/>
    <sheet name="F2023 Res Exch Load" sheetId="20" r:id="rId7"/>
    <sheet name="F2023 Electric Delivered Sales" sheetId="38" r:id="rId8"/>
    <sheet name="Utility Spec PFx RAM 2024-25" sheetId="39" r:id="rId9"/>
    <sheet name="2022 GRC Conversion Factor" sheetId="17" r:id="rId10"/>
  </sheets>
  <definedNames>
    <definedName name="_Key1" localSheetId="2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localSheetId="8" hidden="1">#REF!</definedName>
    <definedName name="_Sort" hidden="1">#REF!</definedName>
    <definedName name="AccessDatabase" hidden="1">"I:\COMTREL\FINICLE\TradeSummary.mdb"</definedName>
    <definedName name="b" localSheetId="5" hidden="1">{#N/A,#N/A,FALSE,"Coversheet";#N/A,#N/A,FALSE,"QA"}</definedName>
    <definedName name="b" localSheetId="9" hidden="1">{#N/A,#N/A,FALSE,"Coversheet";#N/A,#N/A,FALSE,"QA"}</definedName>
    <definedName name="b" localSheetId="0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5" hidden="1">{#N/A,#N/A,FALSE,"Coversheet";#N/A,#N/A,FALSE,"QA"}</definedName>
    <definedName name="DELETE01" localSheetId="9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5" hidden="1">{#N/A,#N/A,FALSE,"Schedule F";#N/A,#N/A,FALSE,"Schedule G"}</definedName>
    <definedName name="DELETE02" localSheetId="9" hidden="1">{#N/A,#N/A,FALSE,"Schedule F";#N/A,#N/A,FALSE,"Schedule G"}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5" hidden="1">{#N/A,#N/A,FALSE,"Coversheet";#N/A,#N/A,FALSE,"QA"}</definedName>
    <definedName name="Delete06" localSheetId="9" hidden="1">{#N/A,#N/A,FALSE,"Coversheet";#N/A,#N/A,FALSE,"QA"}</definedName>
    <definedName name="Delete06" localSheetId="0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5" hidden="1">{#N/A,#N/A,FALSE,"Coversheet";#N/A,#N/A,FALSE,"QA"}</definedName>
    <definedName name="Delete09" localSheetId="9" hidden="1">{#N/A,#N/A,FALSE,"Coversheet";#N/A,#N/A,FALSE,"QA"}</definedName>
    <definedName name="Delete09" localSheetId="0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5" hidden="1">{#N/A,#N/A,FALSE,"Coversheet";#N/A,#N/A,FALSE,"QA"}</definedName>
    <definedName name="Delete1" localSheetId="9" hidden="1">{#N/A,#N/A,FALSE,"Coversheet";#N/A,#N/A,FALSE,"QA"}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5" hidden="1">{#N/A,#N/A,FALSE,"Schedule F";#N/A,#N/A,FALSE,"Schedule G"}</definedName>
    <definedName name="Delete10" localSheetId="9" hidden="1">{#N/A,#N/A,FALSE,"Schedule F";#N/A,#N/A,FALSE,"Schedule G"}</definedName>
    <definedName name="Delete10" localSheetId="0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5" hidden="1">{#N/A,#N/A,FALSE,"Coversheet";#N/A,#N/A,FALSE,"QA"}</definedName>
    <definedName name="Delete21" localSheetId="9" hidden="1">{#N/A,#N/A,FALSE,"Coversheet";#N/A,#N/A,FALSE,"QA"}</definedName>
    <definedName name="Delete21" localSheetId="0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7b2." hidden="1">{"pfexch7b2",#N/A,FALSE,"7(b)(2)";"PFPREF7b2",#N/A,FALSE,"7(b)(2)"}</definedName>
    <definedName name="wrn.COSTS." hidden="1">{"costs97",#N/A,FALSE,"COSA";"costs98",#N/A,FALSE,"COSA";"costs99",#N/A,FALSE,"COSA";"costs00",#N/A,FALSE,"COSA";"costs01",#N/A,FALSE,"COSA";"costsTP",#N/A,FALSE,"COSA"}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5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5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5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5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rates." hidden="1">{"dsino7b2",#N/A,FALSE,"RATES";"nrno7b2",#N/A,FALSE,"RATES";"pfno7b2",#N/A,FALSE,"RATES"}</definedName>
    <definedName name="wrn.Small._.Tools._.Overhead." localSheetId="9" hidden="1">{#N/A,#N/A,FALSE,"2002 Small Tool OH";#N/A,#N/A,FALSE,"QA"}</definedName>
    <definedName name="wrn.Small._.Tools._.Overhead." hidden="1">{#N/A,#N/A,FALSE,"2002 Small Tool OH";#N/A,#N/A,FALSE,"QA"}</definedName>
    <definedName name="wrn.WPRDSAll." hidden="1">{"COSA06FY97",#N/A,FALSE,"COSA";"COSA06FY98",#N/A,FALSE,"COSA";"COSA06FY99",#N/A,FALSE,"COSA";"COSA06FY00",#N/A,FALSE,"COSA";"COSA06FY01",#N/A,FALSE,"COSA";"COSA08",#N/A,FALSE,"COSA";"COSA09",#N/A,FALSE,"COSA";"COSA11",#N/A,FALSE,"COSA";"RDS01",#N/A,FALSE,"COSA";"RDS02",#N/A,FALSE,"ADJUST1";"RDS04",#N/A,FALSE,"ADJUST1";"RDS05_RDS06",#N/A,FALSE,"ADJUST1";"RDS07",#N/A,FALSE,"ADJUST1";"RDS11",#N/A,FALSE,"ADJUST2";"RDS12",#N/A,FALSE,"ADJUST2";"RDS15",#N/A,FALSE,"ADJUST2";"RDS16",#N/A,FALSE,"ADJUST2";"RDS16B",#N/A,FALSE,"ADJUST2";"RDS17",#N/A,FALSE,"ADJUST2";"RDS18",#N/A,FALSE,"ADJUST2";"RDS20",#N/A,FALSE,"DSI";"RDS21",#N/A,FALSE,"DSI";"RDS22",#N/A,FALSE,"DSI";"RDS23",#N/A,FALSE,"DSI";"RDS24",#N/A,FALSE,"DSI";"rds30_rds31",#N/A,FALSE,"7(b)(2)";"rds32",#N/A,FALSE,"7(b)(2)";"rds33",#N/A,FALSE,"7(b)(2)";"rds34",#N/A,FALSE,"7(b)(2)";"rds34a",#N/A,FALSE,"7(b)(2)";"rds40p1",#N/A,FALSE,"CONTRA";"rds40p2",#N/A,FALSE,"CONTRA";"rds41",#N/A,FALSE,"CONTRA";"rds50",#N/A,FALSE,"7(b)(2)";"rds36",#N/A,FALSE,"7(b)(2)";"rds51",#N/A,FALSE,"RATES";"rds52",#N/A,FALSE,"RATES";"rds60a",#N/A,FALSE,"UNITCOST";"rds60b",#N/A,FALSE,"UNITCOST";"rds61",#N/A,FALSE,"UNITCOST";"rds62",#N/A,FALSE,"UNITCOST";"rds63",#N/A,FALSE,"UNITCOST";"recon01",#N/A,FALSE,"RECON";"recon02",#N/A,FALSE,"RECON";"recon03",#N/A,FALSE,"RECON";"recon04",#N/A,FALSE,"RECON";"resex01_p1",#N/A,FALSE,"RESEX";"resex01_p2",#N/A,FALSE,"RESEX"}</definedName>
    <definedName name="wrn.WPRDSLandscape." hidden="1">{"COSA06FY97",#N/A,FALSE,"COSA";"COSA06FY98",#N/A,FALSE,"COSA";"COSA06FY99",#N/A,FALSE,"COSA";"COSA06FY00",#N/A,FALSE,"COSA";"COSA06FY01",#N/A,FALSE,"COSA";"COSA08",#N/A,FALSE,"COSA";"COSA09",#N/A,FALSE,"COSA";"COSA11",#N/A,FALSE,"COSA";"RDS01",#N/A,FALSE,"COSA";"RDS02",#N/A,FALSE,"ADJUST1";"RDS04",#N/A,FALSE,"ADJUST1";"RDS20",#N/A,FALSE,"DSI";"RDS21",#N/A,FALSE,"DSI";"RDS22",#N/A,FALSE,"DSI";"RDS23",#N/A,FALSE,"DSI";"RDS24",#N/A,FALSE,"DSI";"rds32",#N/A,FALSE,"7(b)(2)";"rds33",#N/A,FALSE,"7(b)(2)";"rds34",#N/A,FALSE,"7(b)(2)";"rds40p1",#N/A,FALSE,"CONTRA";"rds40p2",#N/A,FALSE,"CONTRA";"rds41",#N/A,FALSE,"CONTRA";"rds50",#N/A,FALSE,"7(b)(2)";"rds36",#N/A,FALSE,"7(b)(2)";"rds51",#N/A,FALSE,"RATES";"rds52",#N/A,FALSE,"RATES";"rds63",#N/A,FALSE,"UNITCOST";"recon04",#N/A,FALSE,"RECON";"resex01_p1",#N/A,FALSE,"RESEX";"resex01_p2",#N/A,FALSE,"RESEX"}</definedName>
    <definedName name="wrn.WPRDSPortrait." hidden="1">{"RDS05_RDS06",#N/A,FALSE,"ADJUST1";"RDS07",#N/A,FALSE,"ADJUST1";"RDS11",#N/A,FALSE,"ADJUST2";"RDS12",#N/A,FALSE,"ADJUST2";"RDS15",#N/A,FALSE,"ADJUST2";"RDS16",#N/A,FALSE,"ADJUST2";"RDS16B",#N/A,FALSE,"ADJUST2";"RDS17",#N/A,FALSE,"ADJUST2";"RDS18",#N/A,FALSE,"ADJUST2";"rds30_rds31",#N/A,FALSE,"7(b)(2)";"rds34a",#N/A,FALSE,"7(b)(2)";"rds60a",#N/A,FALSE,"UNITCOST";"rds60b",#N/A,FALSE,"UNITCOST";"rds61",#N/A,FALSE,"UNITCOST";"rds62",#N/A,FALSE,"UNITCOST";"recon01",#N/A,FALSE,"RECON";"recon02",#N/A,FALSE,"RECON";"recon03",#N/A,FALSE,"RECON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34" l="1"/>
  <c r="AA28" i="34"/>
  <c r="AA27" i="34"/>
  <c r="AA26" i="34"/>
  <c r="AA23" i="34"/>
  <c r="AA22" i="34"/>
  <c r="AA19" i="34"/>
  <c r="AA18" i="34"/>
  <c r="AA17" i="34"/>
  <c r="AA14" i="34"/>
  <c r="AA13" i="34"/>
  <c r="AA12" i="34"/>
  <c r="AA11" i="34"/>
  <c r="AA8" i="34"/>
  <c r="AA7" i="34"/>
  <c r="AB7" i="34" s="1"/>
  <c r="AC32" i="34" l="1"/>
  <c r="AC28" i="34"/>
  <c r="AC27" i="34"/>
  <c r="AC23" i="34"/>
  <c r="W24" i="34"/>
  <c r="V24" i="34"/>
  <c r="U24" i="34"/>
  <c r="T24" i="34"/>
  <c r="P24" i="34"/>
  <c r="O24" i="34"/>
  <c r="N24" i="34"/>
  <c r="M24" i="34"/>
  <c r="L24" i="34"/>
  <c r="H24" i="34"/>
  <c r="G24" i="34"/>
  <c r="F24" i="34"/>
  <c r="E24" i="34"/>
  <c r="D24" i="34"/>
  <c r="F20" i="34"/>
  <c r="R20" i="34"/>
  <c r="Q20" i="34"/>
  <c r="P20" i="34"/>
  <c r="O20" i="34"/>
  <c r="J20" i="34"/>
  <c r="I20" i="34"/>
  <c r="H20" i="34"/>
  <c r="G20" i="34"/>
  <c r="S15" i="34"/>
  <c r="R15" i="34"/>
  <c r="K15" i="34"/>
  <c r="J15" i="34"/>
  <c r="C15" i="34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J17" i="17"/>
  <c r="J12" i="17"/>
  <c r="K10" i="17"/>
  <c r="G5" i="17"/>
  <c r="G4" i="17"/>
  <c r="AC19" i="34" l="1"/>
  <c r="AC22" i="34"/>
  <c r="J24" i="34"/>
  <c r="C24" i="34"/>
  <c r="K24" i="34"/>
  <c r="S24" i="34"/>
  <c r="S30" i="34" s="1"/>
  <c r="S34" i="34" s="1"/>
  <c r="D15" i="34"/>
  <c r="L15" i="34"/>
  <c r="T15" i="34"/>
  <c r="AG32" i="34"/>
  <c r="E15" i="34"/>
  <c r="M15" i="34"/>
  <c r="U15" i="34"/>
  <c r="M20" i="34"/>
  <c r="M30" i="34" s="1"/>
  <c r="M34" i="34" s="1"/>
  <c r="M37" i="34" s="1"/>
  <c r="U20" i="34"/>
  <c r="R24" i="34"/>
  <c r="R30" i="34" s="1"/>
  <c r="R34" i="34" s="1"/>
  <c r="R37" i="34" s="1"/>
  <c r="V20" i="34"/>
  <c r="E12" i="17"/>
  <c r="E14" i="17" s="1"/>
  <c r="E16" i="17" s="1"/>
  <c r="E17" i="17" s="1"/>
  <c r="E18" i="17" s="1"/>
  <c r="N20" i="34"/>
  <c r="F15" i="34"/>
  <c r="N15" i="34"/>
  <c r="N30" i="34" s="1"/>
  <c r="N34" i="34" s="1"/>
  <c r="V15" i="34"/>
  <c r="V30" i="34" s="1"/>
  <c r="V34" i="34" s="1"/>
  <c r="C20" i="34"/>
  <c r="C30" i="34" s="1"/>
  <c r="C34" i="34" s="1"/>
  <c r="K20" i="34"/>
  <c r="K30" i="34" s="1"/>
  <c r="K34" i="34" s="1"/>
  <c r="S20" i="34"/>
  <c r="X19" i="34"/>
  <c r="Y19" i="34" s="1"/>
  <c r="D20" i="34"/>
  <c r="X28" i="34"/>
  <c r="Y28" i="34" s="1"/>
  <c r="AG28" i="34" s="1"/>
  <c r="H15" i="34"/>
  <c r="H30" i="34" s="1"/>
  <c r="H34" i="34" s="1"/>
  <c r="P15" i="34"/>
  <c r="P30" i="34" s="1"/>
  <c r="P34" i="34" s="1"/>
  <c r="I24" i="34"/>
  <c r="Q24" i="34"/>
  <c r="AB24" i="34"/>
  <c r="I15" i="34"/>
  <c r="Q15" i="34"/>
  <c r="O15" i="34"/>
  <c r="O30" i="34" s="1"/>
  <c r="O34" i="34" s="1"/>
  <c r="X27" i="34"/>
  <c r="Y27" i="34" s="1"/>
  <c r="AG27" i="34" s="1"/>
  <c r="AE32" i="34"/>
  <c r="T20" i="34"/>
  <c r="T30" i="34" s="1"/>
  <c r="T34" i="34" s="1"/>
  <c r="T37" i="34" s="1"/>
  <c r="X23" i="34"/>
  <c r="Y23" i="34" s="1"/>
  <c r="AG23" i="34" s="1"/>
  <c r="G15" i="34"/>
  <c r="G30" i="34" s="1"/>
  <c r="G34" i="34" s="1"/>
  <c r="G37" i="34" s="1"/>
  <c r="L20" i="34"/>
  <c r="J30" i="34"/>
  <c r="J34" i="34" s="1"/>
  <c r="J37" i="34" s="1"/>
  <c r="E20" i="34"/>
  <c r="E30" i="34" s="1"/>
  <c r="E34" i="34" s="1"/>
  <c r="E37" i="34" s="1"/>
  <c r="AC24" i="34"/>
  <c r="F30" i="34"/>
  <c r="F34" i="34" s="1"/>
  <c r="X22" i="34"/>
  <c r="AA24" i="34"/>
  <c r="AD32" i="34"/>
  <c r="AF32" i="34" s="1"/>
  <c r="K12" i="17"/>
  <c r="K14" i="17" s="1"/>
  <c r="K16" i="17" s="1"/>
  <c r="D15" i="1" s="1"/>
  <c r="AD19" i="34" l="1"/>
  <c r="AF19" i="34" s="1"/>
  <c r="I30" i="34"/>
  <c r="I34" i="34" s="1"/>
  <c r="I37" i="34" s="1"/>
  <c r="U30" i="34"/>
  <c r="U34" i="34" s="1"/>
  <c r="U37" i="34" s="1"/>
  <c r="L30" i="34"/>
  <c r="L34" i="34" s="1"/>
  <c r="L37" i="34" s="1"/>
  <c r="D30" i="34"/>
  <c r="D34" i="34" s="1"/>
  <c r="D37" i="34" s="1"/>
  <c r="AD28" i="34"/>
  <c r="AF28" i="34" s="1"/>
  <c r="AE28" i="34"/>
  <c r="AD27" i="34"/>
  <c r="AF27" i="34" s="1"/>
  <c r="Q30" i="34"/>
  <c r="Q34" i="34" s="1"/>
  <c r="Q37" i="34" s="1"/>
  <c r="AE23" i="34"/>
  <c r="AE19" i="34"/>
  <c r="AD23" i="34"/>
  <c r="AF23" i="34" s="1"/>
  <c r="AG19" i="34"/>
  <c r="AE27" i="34"/>
  <c r="H37" i="34"/>
  <c r="P37" i="34"/>
  <c r="V37" i="34"/>
  <c r="K37" i="34"/>
  <c r="C37" i="34"/>
  <c r="S37" i="34"/>
  <c r="X24" i="34"/>
  <c r="Y22" i="34"/>
  <c r="O37" i="34"/>
  <c r="N37" i="34"/>
  <c r="F37" i="34"/>
  <c r="K17" i="17"/>
  <c r="K18" i="17" s="1"/>
  <c r="Y24" i="34" l="1"/>
  <c r="AE22" i="34"/>
  <c r="AD22" i="34"/>
  <c r="AG22" i="34"/>
  <c r="AK82" i="38"/>
  <c r="AH82" i="38"/>
  <c r="AK81" i="38"/>
  <c r="AH81" i="38"/>
  <c r="T82" i="38"/>
  <c r="Q82" i="38"/>
  <c r="T81" i="38"/>
  <c r="Q81" i="38"/>
  <c r="F82" i="38"/>
  <c r="G82" i="38"/>
  <c r="H82" i="38"/>
  <c r="I82" i="38"/>
  <c r="J82" i="38"/>
  <c r="F81" i="38"/>
  <c r="G81" i="38"/>
  <c r="H81" i="38"/>
  <c r="I81" i="38"/>
  <c r="J81" i="38"/>
  <c r="E82" i="38"/>
  <c r="E81" i="38"/>
  <c r="L30" i="20"/>
  <c r="L31" i="20"/>
  <c r="K30" i="20"/>
  <c r="K31" i="20"/>
  <c r="J30" i="20"/>
  <c r="J31" i="20"/>
  <c r="I30" i="20"/>
  <c r="I31" i="20"/>
  <c r="H30" i="20"/>
  <c r="H31" i="20"/>
  <c r="G30" i="20"/>
  <c r="G31" i="20"/>
  <c r="F30" i="20"/>
  <c r="F31" i="20"/>
  <c r="E30" i="20"/>
  <c r="E31" i="20"/>
  <c r="D30" i="20"/>
  <c r="M30" i="20" s="1"/>
  <c r="D31" i="20"/>
  <c r="C30" i="20"/>
  <c r="C31" i="20"/>
  <c r="M31" i="20" l="1"/>
  <c r="AE24" i="34"/>
  <c r="AG24" i="34"/>
  <c r="AD24" i="34"/>
  <c r="AF24" i="34" s="1"/>
  <c r="AF22" i="34"/>
  <c r="B81" i="38"/>
  <c r="D10" i="1" l="1"/>
  <c r="A4" i="39" l="1"/>
  <c r="A2" i="39"/>
  <c r="A1" i="39"/>
  <c r="L9" i="20" l="1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8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C9" i="20"/>
  <c r="D9" i="20"/>
  <c r="E9" i="20"/>
  <c r="F9" i="20"/>
  <c r="G9" i="20"/>
  <c r="H9" i="20"/>
  <c r="C10" i="20"/>
  <c r="D10" i="20"/>
  <c r="E10" i="20"/>
  <c r="F10" i="20"/>
  <c r="G10" i="20"/>
  <c r="H10" i="20"/>
  <c r="C11" i="20"/>
  <c r="D11" i="20"/>
  <c r="E11" i="20"/>
  <c r="F11" i="20"/>
  <c r="G11" i="20"/>
  <c r="H11" i="20"/>
  <c r="C12" i="20"/>
  <c r="D12" i="20"/>
  <c r="E12" i="20"/>
  <c r="F12" i="20"/>
  <c r="G12" i="20"/>
  <c r="H12" i="20"/>
  <c r="C13" i="20"/>
  <c r="D13" i="20"/>
  <c r="E13" i="20"/>
  <c r="F13" i="20"/>
  <c r="G13" i="20"/>
  <c r="H13" i="20"/>
  <c r="C14" i="20"/>
  <c r="D14" i="20"/>
  <c r="E14" i="20"/>
  <c r="F14" i="20"/>
  <c r="G14" i="20"/>
  <c r="H14" i="20"/>
  <c r="C15" i="20"/>
  <c r="D15" i="20"/>
  <c r="E15" i="20"/>
  <c r="F15" i="20"/>
  <c r="G15" i="20"/>
  <c r="H15" i="20"/>
  <c r="C16" i="20"/>
  <c r="D16" i="20"/>
  <c r="E16" i="20"/>
  <c r="F16" i="20"/>
  <c r="G16" i="20"/>
  <c r="H16" i="20"/>
  <c r="C17" i="20"/>
  <c r="D17" i="20"/>
  <c r="E17" i="20"/>
  <c r="F17" i="20"/>
  <c r="G17" i="20"/>
  <c r="H17" i="20"/>
  <c r="C18" i="20"/>
  <c r="D18" i="20"/>
  <c r="E18" i="20"/>
  <c r="F18" i="20"/>
  <c r="G18" i="20"/>
  <c r="H18" i="20"/>
  <c r="C19" i="20"/>
  <c r="D19" i="20"/>
  <c r="E19" i="20"/>
  <c r="F19" i="20"/>
  <c r="G19" i="20"/>
  <c r="H19" i="20"/>
  <c r="C20" i="20"/>
  <c r="D20" i="20"/>
  <c r="E20" i="20"/>
  <c r="F20" i="20"/>
  <c r="G20" i="20"/>
  <c r="H20" i="20"/>
  <c r="C21" i="20"/>
  <c r="D21" i="20"/>
  <c r="E21" i="20"/>
  <c r="F21" i="20"/>
  <c r="G21" i="20"/>
  <c r="H21" i="20"/>
  <c r="C22" i="20"/>
  <c r="D22" i="20"/>
  <c r="E22" i="20"/>
  <c r="F22" i="20"/>
  <c r="G22" i="20"/>
  <c r="H22" i="20"/>
  <c r="C23" i="20"/>
  <c r="D23" i="20"/>
  <c r="E23" i="20"/>
  <c r="F23" i="20"/>
  <c r="G23" i="20"/>
  <c r="H23" i="20"/>
  <c r="C24" i="20"/>
  <c r="D24" i="20"/>
  <c r="E24" i="20"/>
  <c r="F24" i="20"/>
  <c r="G24" i="20"/>
  <c r="H24" i="20"/>
  <c r="C25" i="20"/>
  <c r="D25" i="20"/>
  <c r="E25" i="20"/>
  <c r="F25" i="20"/>
  <c r="G25" i="20"/>
  <c r="H25" i="20"/>
  <c r="C26" i="20"/>
  <c r="D26" i="20"/>
  <c r="E26" i="20"/>
  <c r="F26" i="20"/>
  <c r="G26" i="20"/>
  <c r="H26" i="20"/>
  <c r="C27" i="20"/>
  <c r="D27" i="20"/>
  <c r="E27" i="20"/>
  <c r="F27" i="20"/>
  <c r="G27" i="20"/>
  <c r="H27" i="20"/>
  <c r="C28" i="20"/>
  <c r="D28" i="20"/>
  <c r="E28" i="20"/>
  <c r="F28" i="20"/>
  <c r="G28" i="20"/>
  <c r="H28" i="20"/>
  <c r="C29" i="20"/>
  <c r="D29" i="20"/>
  <c r="E29" i="20"/>
  <c r="F29" i="20"/>
  <c r="G29" i="20"/>
  <c r="H29" i="20"/>
  <c r="D8" i="20"/>
  <c r="E8" i="20"/>
  <c r="F8" i="20"/>
  <c r="G8" i="20"/>
  <c r="H8" i="20"/>
  <c r="C8" i="20"/>
  <c r="A20" i="38"/>
  <c r="B82" i="38" l="1"/>
  <c r="A32" i="38"/>
  <c r="A44" i="38" l="1"/>
  <c r="A56" i="38" l="1"/>
  <c r="A68" i="38" l="1"/>
  <c r="F47" i="32" l="1"/>
  <c r="F34" i="32"/>
  <c r="F49" i="32" s="1"/>
  <c r="F35" i="32"/>
  <c r="F50" i="32" s="1"/>
  <c r="F36" i="32"/>
  <c r="F51" i="32" s="1"/>
  <c r="F37" i="32"/>
  <c r="F52" i="32" s="1"/>
  <c r="F38" i="32"/>
  <c r="F53" i="32" s="1"/>
  <c r="F39" i="32"/>
  <c r="F54" i="32" s="1"/>
  <c r="F40" i="32"/>
  <c r="F55" i="32" s="1"/>
  <c r="A8" i="20" l="1"/>
  <c r="C12" i="2" l="1"/>
  <c r="C14" i="2" s="1"/>
  <c r="A11" i="2"/>
  <c r="A12" i="2" s="1"/>
  <c r="A13" i="2" s="1"/>
  <c r="A14" i="2" s="1"/>
  <c r="H36" i="37" l="1"/>
  <c r="H35" i="37"/>
  <c r="H34" i="37"/>
  <c r="D32" i="37"/>
  <c r="H27" i="37"/>
  <c r="H26" i="37"/>
  <c r="H23" i="37"/>
  <c r="F23" i="37"/>
  <c r="H21" i="37"/>
  <c r="D24" i="37"/>
  <c r="H16" i="37"/>
  <c r="H14" i="37"/>
  <c r="F14" i="37"/>
  <c r="H12" i="37"/>
  <c r="D18" i="37"/>
  <c r="A8" i="37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D9" i="37"/>
  <c r="H28" i="37" l="1"/>
  <c r="D28" i="37"/>
  <c r="D38" i="37" s="1"/>
  <c r="F12" i="37"/>
  <c r="F16" i="37"/>
  <c r="F26" i="37"/>
  <c r="F27" i="37"/>
  <c r="F34" i="37"/>
  <c r="F35" i="37"/>
  <c r="F36" i="37"/>
  <c r="F21" i="37"/>
  <c r="F30" i="37"/>
  <c r="H30" i="37"/>
  <c r="F28" i="37" l="1"/>
  <c r="F31" i="32" l="1"/>
  <c r="F33" i="32"/>
  <c r="F48" i="32" s="1"/>
  <c r="E90" i="32"/>
  <c r="B18" i="32" s="1"/>
  <c r="E89" i="32"/>
  <c r="B17" i="32" s="1"/>
  <c r="E88" i="32"/>
  <c r="B16" i="32" s="1"/>
  <c r="E87" i="32"/>
  <c r="B15" i="32" s="1"/>
  <c r="E86" i="32"/>
  <c r="B14" i="32" s="1"/>
  <c r="E85" i="32"/>
  <c r="B13" i="32" s="1"/>
  <c r="E84" i="32"/>
  <c r="B12" i="32" s="1"/>
  <c r="E83" i="32"/>
  <c r="B11" i="32" s="1"/>
  <c r="E82" i="32"/>
  <c r="B10" i="32" s="1"/>
  <c r="E81" i="32"/>
  <c r="B9" i="32" s="1"/>
  <c r="E80" i="32"/>
  <c r="B8" i="32" s="1"/>
  <c r="D91" i="32"/>
  <c r="E79" i="32"/>
  <c r="F67" i="32"/>
  <c r="F66" i="32"/>
  <c r="F65" i="32"/>
  <c r="F64" i="32"/>
  <c r="E68" i="32"/>
  <c r="F45" i="32"/>
  <c r="F41" i="32"/>
  <c r="F56" i="32" s="1"/>
  <c r="F46" i="32"/>
  <c r="E43" i="32"/>
  <c r="F30" i="32"/>
  <c r="E28" i="32"/>
  <c r="F27" i="32"/>
  <c r="F28" i="32" s="1"/>
  <c r="C23" i="32"/>
  <c r="C22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H11" i="32" l="1"/>
  <c r="H8" i="32"/>
  <c r="H7" i="32"/>
  <c r="H12" i="32"/>
  <c r="H15" i="32"/>
  <c r="C20" i="32"/>
  <c r="H16" i="32"/>
  <c r="H22" i="32"/>
  <c r="E93" i="32"/>
  <c r="E91" i="32"/>
  <c r="B7" i="32"/>
  <c r="F63" i="32"/>
  <c r="F68" i="32" s="1"/>
  <c r="C91" i="32"/>
  <c r="H10" i="32"/>
  <c r="H14" i="32"/>
  <c r="H18" i="32"/>
  <c r="H23" i="32"/>
  <c r="F42" i="32"/>
  <c r="F57" i="32" s="1"/>
  <c r="E58" i="32"/>
  <c r="H9" i="32"/>
  <c r="H13" i="32"/>
  <c r="H17" i="32"/>
  <c r="F58" i="32" l="1"/>
  <c r="F43" i="32"/>
  <c r="B22" i="32"/>
  <c r="B20" i="32"/>
  <c r="H20" i="32"/>
  <c r="A2" i="20" l="1"/>
  <c r="A1" i="20" l="1"/>
  <c r="A2" i="2"/>
  <c r="A1" i="2"/>
  <c r="M29" i="20" l="1"/>
  <c r="M26" i="20" l="1"/>
  <c r="M27" i="20"/>
  <c r="M23" i="20"/>
  <c r="M19" i="20"/>
  <c r="M28" i="20"/>
  <c r="M24" i="20"/>
  <c r="M20" i="20"/>
  <c r="M22" i="20"/>
  <c r="M25" i="20"/>
  <c r="M21" i="20"/>
  <c r="M34" i="20" l="1"/>
  <c r="N34" i="20" s="1"/>
  <c r="M18" i="20"/>
  <c r="M17" i="20"/>
  <c r="M16" i="20"/>
  <c r="M15" i="20"/>
  <c r="M14" i="20"/>
  <c r="M13" i="20"/>
  <c r="M12" i="20"/>
  <c r="M11" i="20"/>
  <c r="M10" i="20"/>
  <c r="M9" i="20"/>
  <c r="M8" i="20"/>
  <c r="M33" i="20" l="1"/>
  <c r="N33" i="20" s="1"/>
  <c r="M35" i="20"/>
  <c r="D8" i="1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1" i="20" s="1"/>
  <c r="A32" i="20" s="1"/>
  <c r="A33" i="20" s="1"/>
  <c r="A34" i="20" s="1"/>
  <c r="A35" i="20" s="1"/>
  <c r="A8" i="1"/>
  <c r="A9" i="1"/>
  <c r="A10" i="1"/>
  <c r="A11" i="1"/>
  <c r="A12" i="1"/>
  <c r="A13" i="1"/>
  <c r="A14" i="1"/>
  <c r="A15" i="1"/>
  <c r="A16" i="1"/>
  <c r="A17" i="1"/>
  <c r="A18" i="1"/>
  <c r="B18" i="1" l="1"/>
  <c r="B13" i="1"/>
  <c r="B16" i="1"/>
  <c r="D12" i="1" l="1"/>
  <c r="D13" i="1" l="1"/>
  <c r="D16" i="1" s="1"/>
  <c r="D18" i="1" s="1"/>
  <c r="G7" i="37" l="1"/>
  <c r="F60" i="32"/>
  <c r="H7" i="37" l="1"/>
  <c r="G15" i="37"/>
  <c r="H15" i="37" s="1"/>
  <c r="G13" i="37"/>
  <c r="H13" i="37" s="1"/>
  <c r="G17" i="37"/>
  <c r="H17" i="37" s="1"/>
  <c r="G11" i="37"/>
  <c r="H11" i="37" s="1"/>
  <c r="G8" i="37"/>
  <c r="H8" i="37" s="1"/>
  <c r="G31" i="37"/>
  <c r="H31" i="37" s="1"/>
  <c r="H32" i="37" s="1"/>
  <c r="G20" i="37"/>
  <c r="H20" i="37" s="1"/>
  <c r="G22" i="37"/>
  <c r="H22" i="37" s="1"/>
  <c r="F71" i="32"/>
  <c r="F70" i="32"/>
  <c r="H9" i="37" l="1"/>
  <c r="H24" i="37"/>
  <c r="H18" i="37"/>
  <c r="I7" i="32"/>
  <c r="I17" i="32"/>
  <c r="I16" i="32"/>
  <c r="I10" i="32"/>
  <c r="I22" i="32"/>
  <c r="I8" i="32"/>
  <c r="I14" i="32"/>
  <c r="I13" i="32"/>
  <c r="I23" i="32"/>
  <c r="I11" i="32"/>
  <c r="I18" i="32"/>
  <c r="I9" i="32"/>
  <c r="I12" i="32"/>
  <c r="I15" i="32"/>
  <c r="J9" i="32"/>
  <c r="J10" i="32"/>
  <c r="J12" i="32"/>
  <c r="J23" i="32"/>
  <c r="J15" i="32"/>
  <c r="J13" i="32"/>
  <c r="J14" i="32"/>
  <c r="J8" i="32"/>
  <c r="J16" i="32"/>
  <c r="J18" i="32"/>
  <c r="J11" i="32"/>
  <c r="J17" i="32"/>
  <c r="J7" i="32"/>
  <c r="J22" i="32"/>
  <c r="H38" i="37" l="1"/>
  <c r="K9" i="32"/>
  <c r="K14" i="32"/>
  <c r="K10" i="32"/>
  <c r="K18" i="32"/>
  <c r="K16" i="32"/>
  <c r="K15" i="32"/>
  <c r="K11" i="32"/>
  <c r="K8" i="32"/>
  <c r="K17" i="32"/>
  <c r="K13" i="32"/>
  <c r="J20" i="32"/>
  <c r="K12" i="32"/>
  <c r="K23" i="32"/>
  <c r="K22" i="32"/>
  <c r="K7" i="32"/>
  <c r="I20" i="32"/>
  <c r="K20" i="32" l="1"/>
  <c r="AB9" i="34" l="1"/>
  <c r="AB20" i="34"/>
  <c r="X12" i="34" l="1"/>
  <c r="Y12" i="34" s="1"/>
  <c r="AE12" i="34" s="1"/>
  <c r="X26" i="34"/>
  <c r="Y26" i="34" s="1"/>
  <c r="AE26" i="34" s="1"/>
  <c r="AC13" i="34"/>
  <c r="X13" i="34"/>
  <c r="Y13" i="34" s="1"/>
  <c r="AE13" i="34" s="1"/>
  <c r="AC18" i="34"/>
  <c r="X18" i="34"/>
  <c r="Y18" i="34" s="1"/>
  <c r="AE18" i="34" s="1"/>
  <c r="E15" i="37"/>
  <c r="F15" i="37" s="1"/>
  <c r="E13" i="37"/>
  <c r="F13" i="37" s="1"/>
  <c r="E11" i="37"/>
  <c r="F11" i="37" s="1"/>
  <c r="E8" i="37"/>
  <c r="F8" i="37" s="1"/>
  <c r="E31" i="37"/>
  <c r="F31" i="37" s="1"/>
  <c r="F32" i="37" s="1"/>
  <c r="E22" i="37"/>
  <c r="F22" i="37" s="1"/>
  <c r="E17" i="37"/>
  <c r="F17" i="37" s="1"/>
  <c r="E20" i="37"/>
  <c r="F20" i="37" s="1"/>
  <c r="F7" i="37"/>
  <c r="AC14" i="34"/>
  <c r="X14" i="34"/>
  <c r="Y14" i="34" s="1"/>
  <c r="AE14" i="34" s="1"/>
  <c r="W9" i="34"/>
  <c r="X8" i="34"/>
  <c r="E70" i="32"/>
  <c r="E71" i="32"/>
  <c r="AC12" i="34"/>
  <c r="AG12" i="34" s="1"/>
  <c r="AB15" i="34"/>
  <c r="AG14" i="34" l="1"/>
  <c r="AD12" i="34"/>
  <c r="AF12" i="34" s="1"/>
  <c r="AD13" i="34"/>
  <c r="AF13" i="34" s="1"/>
  <c r="AG13" i="34"/>
  <c r="AD18" i="34"/>
  <c r="AF18" i="34" s="1"/>
  <c r="AG18" i="34"/>
  <c r="F18" i="37"/>
  <c r="AA15" i="34"/>
  <c r="AC11" i="34"/>
  <c r="AA9" i="34"/>
  <c r="AC8" i="34"/>
  <c r="AD14" i="34"/>
  <c r="AF14" i="34" s="1"/>
  <c r="F24" i="37"/>
  <c r="E15" i="32"/>
  <c r="E16" i="32"/>
  <c r="E10" i="32"/>
  <c r="E12" i="32"/>
  <c r="E18" i="32"/>
  <c r="E13" i="32"/>
  <c r="E23" i="32"/>
  <c r="E11" i="32"/>
  <c r="E7" i="32"/>
  <c r="E8" i="32"/>
  <c r="E9" i="32"/>
  <c r="E14" i="32"/>
  <c r="E17" i="32"/>
  <c r="E22" i="32"/>
  <c r="D23" i="32"/>
  <c r="D12" i="32"/>
  <c r="F12" i="32" s="1"/>
  <c r="L12" i="32" s="1"/>
  <c r="M12" i="32" s="1"/>
  <c r="D17" i="32"/>
  <c r="D9" i="32"/>
  <c r="D10" i="32"/>
  <c r="D18" i="32"/>
  <c r="F18" i="32" s="1"/>
  <c r="L18" i="32" s="1"/>
  <c r="M18" i="32" s="1"/>
  <c r="D15" i="32"/>
  <c r="D11" i="32"/>
  <c r="D7" i="32"/>
  <c r="D16" i="32"/>
  <c r="D8" i="32"/>
  <c r="D13" i="32"/>
  <c r="F13" i="32" s="1"/>
  <c r="L13" i="32" s="1"/>
  <c r="M13" i="32" s="1"/>
  <c r="D14" i="32"/>
  <c r="F14" i="32" s="1"/>
  <c r="L14" i="32" s="1"/>
  <c r="M14" i="32" s="1"/>
  <c r="D22" i="32"/>
  <c r="F22" i="32" s="1"/>
  <c r="L22" i="32" s="1"/>
  <c r="M22" i="32" s="1"/>
  <c r="Y8" i="34"/>
  <c r="X9" i="34"/>
  <c r="X11" i="34"/>
  <c r="W15" i="34"/>
  <c r="F9" i="37"/>
  <c r="AC26" i="34"/>
  <c r="F11" i="32" l="1"/>
  <c r="L11" i="32" s="1"/>
  <c r="M11" i="32" s="1"/>
  <c r="F15" i="32"/>
  <c r="L15" i="32" s="1"/>
  <c r="M15" i="32" s="1"/>
  <c r="F8" i="32"/>
  <c r="L8" i="32" s="1"/>
  <c r="M8" i="32" s="1"/>
  <c r="F16" i="32"/>
  <c r="L16" i="32" s="1"/>
  <c r="M16" i="32" s="1"/>
  <c r="F17" i="32"/>
  <c r="L17" i="32" s="1"/>
  <c r="M17" i="32" s="1"/>
  <c r="F38" i="37"/>
  <c r="AE8" i="34"/>
  <c r="Y9" i="34"/>
  <c r="AD8" i="34"/>
  <c r="AC15" i="34"/>
  <c r="W20" i="34"/>
  <c r="W30" i="34" s="1"/>
  <c r="W34" i="34" s="1"/>
  <c r="W37" i="34" s="1"/>
  <c r="X17" i="34"/>
  <c r="F10" i="32"/>
  <c r="L10" i="32" s="1"/>
  <c r="M10" i="32" s="1"/>
  <c r="F9" i="32"/>
  <c r="L9" i="32" s="1"/>
  <c r="M9" i="32" s="1"/>
  <c r="E20" i="32"/>
  <c r="AA20" i="34"/>
  <c r="AA30" i="34" s="1"/>
  <c r="AA34" i="34" s="1"/>
  <c r="AC17" i="34"/>
  <c r="Y11" i="34"/>
  <c r="X15" i="34"/>
  <c r="D20" i="32"/>
  <c r="F7" i="32"/>
  <c r="F23" i="32"/>
  <c r="L23" i="32" s="1"/>
  <c r="M23" i="32" s="1"/>
  <c r="AC9" i="34"/>
  <c r="AG8" i="34"/>
  <c r="AG26" i="34"/>
  <c r="AD26" i="34"/>
  <c r="AF26" i="34" s="1"/>
  <c r="AB30" i="34"/>
  <c r="AB34" i="34" s="1"/>
  <c r="AG9" i="34" l="1"/>
  <c r="Y15" i="34"/>
  <c r="AE15" i="34" s="1"/>
  <c r="AE11" i="34"/>
  <c r="AD11" i="34"/>
  <c r="AG15" i="34"/>
  <c r="AF8" i="34"/>
  <c r="AD9" i="34"/>
  <c r="AF9" i="34" s="1"/>
  <c r="F20" i="32"/>
  <c r="L20" i="32" s="1"/>
  <c r="M20" i="32" s="1"/>
  <c r="L7" i="32"/>
  <c r="M7" i="32" s="1"/>
  <c r="AE9" i="34"/>
  <c r="AG11" i="34"/>
  <c r="AC20" i="34"/>
  <c r="AC30" i="34" s="1"/>
  <c r="AA37" i="34"/>
  <c r="Y17" i="34"/>
  <c r="AG17" i="34" s="1"/>
  <c r="X20" i="34"/>
  <c r="X30" i="34" s="1"/>
  <c r="X34" i="34" s="1"/>
  <c r="AB37" i="34"/>
  <c r="AC34" i="34" l="1"/>
  <c r="AD15" i="34"/>
  <c r="AF11" i="34"/>
  <c r="AE17" i="34"/>
  <c r="Y20" i="34"/>
  <c r="AG20" i="34" s="1"/>
  <c r="AD17" i="34"/>
  <c r="AC39" i="34" l="1"/>
  <c r="AE20" i="34"/>
  <c r="Y30" i="34"/>
  <c r="AF15" i="34"/>
  <c r="AD20" i="34"/>
  <c r="AF20" i="34" s="1"/>
  <c r="AF17" i="34"/>
  <c r="AD30" i="34" l="1"/>
  <c r="Y34" i="34"/>
  <c r="AE30" i="34"/>
  <c r="AG30" i="34"/>
  <c r="AE34" i="34" l="1"/>
  <c r="AG34" i="34"/>
  <c r="AF30" i="34"/>
  <c r="AD34" i="34"/>
  <c r="AF34" i="34" s="1"/>
  <c r="X37" i="34" l="1"/>
  <c r="Y37" i="34" l="1"/>
</calcChain>
</file>

<file path=xl/sharedStrings.xml><?xml version="1.0" encoding="utf-8"?>
<sst xmlns="http://schemas.openxmlformats.org/spreadsheetml/2006/main" count="511" uniqueCount="359">
  <si>
    <t>Puget Sound Energy</t>
  </si>
  <si>
    <t>Proposed Schedule 194</t>
  </si>
  <si>
    <t>BPA Residential and Farm Energy Exchange Benefits</t>
  </si>
  <si>
    <t>Line No.</t>
  </si>
  <si>
    <t>Description</t>
  </si>
  <si>
    <t>Calculation</t>
  </si>
  <si>
    <t>Total amount to be credited before revenue related expense conversion</t>
  </si>
  <si>
    <t>Revenue Related Expense Conversion Factor</t>
  </si>
  <si>
    <t>Grossed up Total to be Credited</t>
  </si>
  <si>
    <t>Month</t>
  </si>
  <si>
    <t>Balance</t>
  </si>
  <si>
    <t>(A)</t>
  </si>
  <si>
    <t>(B)</t>
  </si>
  <si>
    <t>Total</t>
  </si>
  <si>
    <t>Residential Customer Impacts</t>
  </si>
  <si>
    <t>kWh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</si>
  <si>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</si>
  <si>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</si>
  <si>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</si>
  <si>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</si>
  <si>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</si>
  <si>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</si>
  <si>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</si>
  <si>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</si>
  <si>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</si>
  <si>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</si>
  <si>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</si>
  <si>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</si>
  <si>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</si>
  <si>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</si>
  <si>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</si>
  <si>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</si>
  <si>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</si>
  <si>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</si>
  <si>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</si>
  <si>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</si>
  <si>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</si>
  <si>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95A - Wind Power Production Credit</t>
  </si>
  <si>
    <t>Schedule 120 - Conservation Rider</t>
  </si>
  <si>
    <t>Schedule 129 - Low Income</t>
  </si>
  <si>
    <t>Schedule 194 - BPA Exchange Credit</t>
  </si>
  <si>
    <t>PUGET SOUND ENERGY-ELECTRIC</t>
  </si>
  <si>
    <t>LINE</t>
  </si>
  <si>
    <t>NO.</t>
  </si>
  <si>
    <t>DESCRIPTION</t>
  </si>
  <si>
    <t>RATE</t>
  </si>
  <si>
    <t>SUM OF TAXES OTHER</t>
  </si>
  <si>
    <t>(C)
= (I + N)</t>
  </si>
  <si>
    <t>Res Exch Sch</t>
  </si>
  <si>
    <t>Schedule 8</t>
  </si>
  <si>
    <t>Schedule 10</t>
  </si>
  <si>
    <t>Schedule 11</t>
  </si>
  <si>
    <t>Schedule 12</t>
  </si>
  <si>
    <t>Schedule 29</t>
  </si>
  <si>
    <t>Schedule 35</t>
  </si>
  <si>
    <t>Schedule 56</t>
  </si>
  <si>
    <t>Schedule 59</t>
  </si>
  <si>
    <t>Schedule 137 - Renewable Energy Credit</t>
  </si>
  <si>
    <t>Average</t>
  </si>
  <si>
    <t>Schedule 140 - Property Tax Rider</t>
  </si>
  <si>
    <t>Schedule 142 - Decoupling Rider</t>
  </si>
  <si>
    <t>ANNUAL FILING FEE</t>
  </si>
  <si>
    <t>(After DSM Program Impacts)</t>
  </si>
  <si>
    <t>Year</t>
  </si>
  <si>
    <t>Schedule 7A</t>
  </si>
  <si>
    <t>Subtotal Base Monthly Charge</t>
  </si>
  <si>
    <t>$ / kWh</t>
  </si>
  <si>
    <t>Subtotal Base Over 600 kWh Charge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</si>
  <si>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</si>
  <si>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</si>
  <si>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</si>
  <si>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</si>
  <si>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</si>
  <si>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</si>
  <si>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</si>
  <si>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</si>
  <si>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</si>
  <si>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</si>
  <si>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Divide by 2 (number of years to recover in rates)</t>
  </si>
  <si>
    <t>Data 
(Delivered MWH)</t>
  </si>
  <si>
    <t>Remove:</t>
  </si>
  <si>
    <t>Add:</t>
  </si>
  <si>
    <t>Tariff</t>
  </si>
  <si>
    <t>Residential</t>
  </si>
  <si>
    <t>Sales Total</t>
  </si>
  <si>
    <t>Sales+Transport</t>
  </si>
  <si>
    <t>BAD DEBTS</t>
  </si>
  <si>
    <t>CONVERSION FACTOR</t>
  </si>
  <si>
    <t>Total Secondary</t>
  </si>
  <si>
    <t>Total Primary</t>
  </si>
  <si>
    <t>Total High Voltage</t>
  </si>
  <si>
    <t>50-59</t>
  </si>
  <si>
    <t>Transportation 449-459</t>
  </si>
  <si>
    <t>Special Contract</t>
  </si>
  <si>
    <t>Retail Sales</t>
  </si>
  <si>
    <t>Total Sales</t>
  </si>
  <si>
    <t>Account 18600321/(25300541)</t>
  </si>
  <si>
    <t>Avista Corporation</t>
  </si>
  <si>
    <t>Idaho Power Company</t>
  </si>
  <si>
    <t>NorthWestern Energy, LLC</t>
  </si>
  <si>
    <t>PacifiCorp</t>
  </si>
  <si>
    <t>Portland General Electric Company</t>
  </si>
  <si>
    <t>Puget Sound Energy, Inc.</t>
  </si>
  <si>
    <t>Clark Public Utilities</t>
  </si>
  <si>
    <t>Franklin</t>
  </si>
  <si>
    <t>Snohomish PUD</t>
  </si>
  <si>
    <t>Refund Amt</t>
  </si>
  <si>
    <t xml:space="preserve">Forecast Account 18600321 (25300541) Balance </t>
  </si>
  <si>
    <t>STATE UTILITY TAX - NET OF BAD DEBTS ( 3.8734% - ( LINE 1 * 3.8734%) )</t>
  </si>
  <si>
    <t>CONVERSION FACTOR EXCLUDING FEDERAL INCOME TAX ( 1 - LINE 5)</t>
  </si>
  <si>
    <t>FEDERAL INCOME TAX</t>
  </si>
  <si>
    <t xml:space="preserve">CONVERSION FACTOR INCL FEDERAL INCOME TAX ( LINE 5 + LINE 8 ) </t>
  </si>
  <si>
    <t>cross check</t>
  </si>
  <si>
    <t>Delivered Monthly Sales &amp; Transportation by Rate Schedule</t>
  </si>
  <si>
    <t>SC</t>
  </si>
  <si>
    <t>Current Customer Bill in Notice</t>
  </si>
  <si>
    <t>Proposed Customer Bill in Notice</t>
  </si>
  <si>
    <t>Basic Charge</t>
  </si>
  <si>
    <t>First 600 kWh</t>
  </si>
  <si>
    <t>Over 600 kWh</t>
  </si>
  <si>
    <t>Bill</t>
  </si>
  <si>
    <t>Schedule 141Z - EDIT Rider</t>
  </si>
  <si>
    <t>Schedule 142 - Decoupling Rider - Supplemental</t>
  </si>
  <si>
    <t>Schedule 95 - Power Cost Adjustment Clause-Supplemental</t>
  </si>
  <si>
    <t>Month No.</t>
  </si>
  <si>
    <t>Schedule 194 - BPA Residential Credit</t>
  </si>
  <si>
    <t>`</t>
  </si>
  <si>
    <t>Current
Schedule 194
BPA
Residential &amp;
Farm Credit</t>
  </si>
  <si>
    <t>Proposed Schedule 194
BPA
Residential &amp;
Farm Credit</t>
  </si>
  <si>
    <t>7A (Note 1)</t>
  </si>
  <si>
    <t>26 &amp; 26P</t>
  </si>
  <si>
    <t>Total Secondary Voltage</t>
  </si>
  <si>
    <t>Total Primary Voltage</t>
  </si>
  <si>
    <t>50-55, 57-58</t>
  </si>
  <si>
    <t>56-59</t>
  </si>
  <si>
    <t>Total Lighting</t>
  </si>
  <si>
    <t>449-459</t>
  </si>
  <si>
    <t>Transportation</t>
  </si>
  <si>
    <t>Firm Resale</t>
  </si>
  <si>
    <t xml:space="preserve">Account 18600321 Balance </t>
  </si>
  <si>
    <t xml:space="preserve">Account 25300541 Balance </t>
  </si>
  <si>
    <t>Calculation of Settlement Utility Specific PF Exchange Rates</t>
  </si>
  <si>
    <t>TOC</t>
  </si>
  <si>
    <t>é</t>
  </si>
  <si>
    <t>Initial Allocations</t>
  </si>
  <si>
    <t>Interim</t>
  </si>
  <si>
    <t>Refund</t>
  </si>
  <si>
    <t>Base</t>
  </si>
  <si>
    <t>Exchange</t>
  </si>
  <si>
    <t xml:space="preserve">Unconstrained </t>
  </si>
  <si>
    <t>Scheduled</t>
  </si>
  <si>
    <t>Protection</t>
  </si>
  <si>
    <t>Cost</t>
  </si>
  <si>
    <t>7(b)(3)</t>
  </si>
  <si>
    <t>Utility</t>
  </si>
  <si>
    <t>REP</t>
  </si>
  <si>
    <t>ASC</t>
  </si>
  <si>
    <t>PFx</t>
  </si>
  <si>
    <t>Load</t>
  </si>
  <si>
    <t>Benefits</t>
  </si>
  <si>
    <t>Amount</t>
  </si>
  <si>
    <t>Allocation</t>
  </si>
  <si>
    <t>Surcharge</t>
  </si>
  <si>
    <t>a</t>
  </si>
  <si>
    <t>b</t>
  </si>
  <si>
    <t>c</t>
  </si>
  <si>
    <t>d</t>
  </si>
  <si>
    <t>e=avg(c,d)</t>
  </si>
  <si>
    <t>f=(a-b)*e</t>
  </si>
  <si>
    <t>g=contract</t>
  </si>
  <si>
    <t>h=contract</t>
  </si>
  <si>
    <t>Σi=Σf - Σh</t>
  </si>
  <si>
    <t>Σj=h</t>
  </si>
  <si>
    <t>k=(i+j)/e</t>
  </si>
  <si>
    <t>l=b+k</t>
  </si>
  <si>
    <t>m=(a-l)*e</t>
  </si>
  <si>
    <t>rounding to</t>
  </si>
  <si>
    <t xml:space="preserve">places = </t>
  </si>
  <si>
    <t>IOU Σ(g)</t>
  </si>
  <si>
    <t>IOU Σ(j)</t>
  </si>
  <si>
    <t>IOU REP</t>
  </si>
  <si>
    <t>COU Σ(g)</t>
  </si>
  <si>
    <t>COU Σ(j)</t>
  </si>
  <si>
    <t>COU REP</t>
  </si>
  <si>
    <t>IOU Reallocations</t>
  </si>
  <si>
    <t>Final</t>
  </si>
  <si>
    <t>Annual</t>
  </si>
  <si>
    <t>Reallocation</t>
  </si>
  <si>
    <t>Reallocated</t>
  </si>
  <si>
    <t>Adjustment</t>
  </si>
  <si>
    <t>n=m</t>
  </si>
  <si>
    <t>o=contract</t>
  </si>
  <si>
    <t>p=below</t>
  </si>
  <si>
    <t>q=n-o+p</t>
  </si>
  <si>
    <t>r=f-q</t>
  </si>
  <si>
    <t>s=r/e</t>
  </si>
  <si>
    <t>t=b+s</t>
  </si>
  <si>
    <t>u=(a-t)*e</t>
  </si>
  <si>
    <t>v=(a-t)*c</t>
  </si>
  <si>
    <t>w=(a-t)*d</t>
  </si>
  <si>
    <t>Avista</t>
  </si>
  <si>
    <t>Idaho Power</t>
  </si>
  <si>
    <t>NorthWestern</t>
  </si>
  <si>
    <t>Portland</t>
  </si>
  <si>
    <t>Puget Sound</t>
  </si>
  <si>
    <t>Clark</t>
  </si>
  <si>
    <t>IOU Reallocation Adjustments</t>
  </si>
  <si>
    <t>Snohomish</t>
  </si>
  <si>
    <t>Total REP</t>
  </si>
  <si>
    <t>p1=o1*(f/Σf)</t>
  </si>
  <si>
    <t>p2=o2*(f/Σf)</t>
  </si>
  <si>
    <t>p3=o3*(f/Σf)</t>
  </si>
  <si>
    <t>p4=o4*(f/Σf)</t>
  </si>
  <si>
    <t>p5=o5*(f/Σf)</t>
  </si>
  <si>
    <t>p6=o6*(f/Σf)</t>
  </si>
  <si>
    <t>p=Σ(p1…p6)</t>
  </si>
  <si>
    <t>REP Cost</t>
  </si>
  <si>
    <t>Determine Rounding Decimal Place</t>
  </si>
  <si>
    <t>Idaho</t>
  </si>
  <si>
    <t xml:space="preserve">Forecast Net REP Benefits to be paid by BPA </t>
  </si>
  <si>
    <t xml:space="preserve">12 Month Average kWH Load </t>
  </si>
  <si>
    <r>
      <t>BPA FY</t>
    </r>
    <r>
      <rPr>
        <b/>
        <sz val="8"/>
        <color rgb="FF0000FF"/>
        <rFont val="Arial"/>
        <family val="2"/>
      </rPr>
      <t xml:space="preserve"> 2024</t>
    </r>
  </si>
  <si>
    <r>
      <t xml:space="preserve">Residential Exchange Balance </t>
    </r>
    <r>
      <rPr>
        <b/>
        <sz val="8"/>
        <color rgb="FF0000FF"/>
        <rFont val="Arial"/>
        <family val="2"/>
      </rPr>
      <t xml:space="preserve">8-31-23 </t>
    </r>
    <r>
      <rPr>
        <sz val="8"/>
        <rFont val="Arial"/>
        <family val="2"/>
      </rPr>
      <t>to recover over 2 years</t>
    </r>
  </si>
  <si>
    <r>
      <t xml:space="preserve">Proposed Residential and Farm Exchange Benefit Rate Effective </t>
    </r>
    <r>
      <rPr>
        <b/>
        <sz val="8"/>
        <color rgb="FF0000FF"/>
        <rFont val="Arial"/>
        <family val="2"/>
      </rPr>
      <t>11-1-23</t>
    </r>
    <r>
      <rPr>
        <b/>
        <sz val="8"/>
        <rFont val="Arial"/>
        <family val="2"/>
      </rPr>
      <t xml:space="preserve"> ($ / kWh)</t>
    </r>
  </si>
  <si>
    <t>Schedule 129D - Bill Discount Rate Rider</t>
  </si>
  <si>
    <t>Schedule 141A - Energy Charge Credit Recovery Adjustment</t>
  </si>
  <si>
    <t>Schedule 141CEI Clean Energy Implementation Plan</t>
  </si>
  <si>
    <t>Schedule 141COL - Colstrip Adjustment Rider</t>
  </si>
  <si>
    <t>Schedule 141N - Rates Not Subject to Refund Rate Adjustment</t>
  </si>
  <si>
    <t>Schedule 141R - Rates Subject to Refund Rate Adjustment</t>
  </si>
  <si>
    <t>Schedule 141TEP - TEP Rider</t>
  </si>
  <si>
    <t xml:space="preserve">        Subtotal Base First 600 kWh Charge</t>
  </si>
  <si>
    <t>Test Year ended September 2023</t>
  </si>
  <si>
    <r>
      <t xml:space="preserve">Proposed Rates
Eff. </t>
    </r>
    <r>
      <rPr>
        <b/>
        <sz val="8"/>
        <color rgb="FF0000FF"/>
        <rFont val="Arial"/>
        <family val="2"/>
      </rPr>
      <t>11-01-23</t>
    </r>
  </si>
  <si>
    <t>SCH_459EI</t>
  </si>
  <si>
    <t>SCH_449EI</t>
  </si>
  <si>
    <t>SCH_449EC</t>
  </si>
  <si>
    <t>SCH_59E</t>
  </si>
  <si>
    <t>SCH_58E</t>
  </si>
  <si>
    <t>SCH_57E</t>
  </si>
  <si>
    <t>SCH_56E</t>
  </si>
  <si>
    <t>SCH_55E</t>
  </si>
  <si>
    <t>SCH_54E</t>
  </si>
  <si>
    <t>SCH_53E</t>
  </si>
  <si>
    <t>SCH_52E</t>
  </si>
  <si>
    <t>SCH_51E</t>
  </si>
  <si>
    <t>SCH_50E</t>
  </si>
  <si>
    <t>SCH_25EL</t>
  </si>
  <si>
    <t>SCH_24EL</t>
  </si>
  <si>
    <t>SCH_49EI</t>
  </si>
  <si>
    <t>SCH_49EC</t>
  </si>
  <si>
    <t>SCH_46EI</t>
  </si>
  <si>
    <t>SCH_46EC</t>
  </si>
  <si>
    <t>SCH_43E</t>
  </si>
  <si>
    <t>SCH_35E</t>
  </si>
  <si>
    <t>SCH_31EI</t>
  </si>
  <si>
    <t>SCH_31EC</t>
  </si>
  <si>
    <t>SCH_29E</t>
  </si>
  <si>
    <t>SCH_26EI</t>
  </si>
  <si>
    <t>SCH_26EC</t>
  </si>
  <si>
    <t>SCH_25EI</t>
  </si>
  <si>
    <t>SCH_25EC</t>
  </si>
  <si>
    <t>SCH_24EI</t>
  </si>
  <si>
    <t>SCH_24EC</t>
  </si>
  <si>
    <t>SCH_12E</t>
  </si>
  <si>
    <t>SCH_11E</t>
  </si>
  <si>
    <t>SCH_10E</t>
  </si>
  <si>
    <t>SCH_8E</t>
  </si>
  <si>
    <t>SCH_7AE</t>
  </si>
  <si>
    <t>SCH_7E</t>
  </si>
  <si>
    <t>SCH_05E</t>
  </si>
  <si>
    <t>SCH_03E</t>
  </si>
  <si>
    <t>Monthly kWh Sales Projections, 2023 - 2028</t>
  </si>
  <si>
    <t xml:space="preserve">Reconciled to LFG's F23 Final Forecast as of May 26th, 2023; </t>
  </si>
  <si>
    <r>
      <t xml:space="preserve">Sum of </t>
    </r>
    <r>
      <rPr>
        <sz val="8"/>
        <color rgb="FF0000FF"/>
        <rFont val="Arial"/>
        <family val="2"/>
      </rPr>
      <t>Nov 2023</t>
    </r>
  </si>
  <si>
    <r>
      <t xml:space="preserve">Sum of </t>
    </r>
    <r>
      <rPr>
        <sz val="8"/>
        <color rgb="FF0000FF"/>
        <rFont val="Arial"/>
        <family val="2"/>
      </rPr>
      <t>Dec 2023</t>
    </r>
  </si>
  <si>
    <r>
      <t xml:space="preserve">Sum of </t>
    </r>
    <r>
      <rPr>
        <sz val="8"/>
        <color rgb="FF0000FF"/>
        <rFont val="Arial"/>
        <family val="2"/>
      </rPr>
      <t>Jan 2024</t>
    </r>
  </si>
  <si>
    <r>
      <t xml:space="preserve">Sum of </t>
    </r>
    <r>
      <rPr>
        <sz val="8"/>
        <color rgb="FF0000FF"/>
        <rFont val="Arial"/>
        <family val="2"/>
      </rPr>
      <t>Feb 2024</t>
    </r>
  </si>
  <si>
    <r>
      <t xml:space="preserve">Sum of </t>
    </r>
    <r>
      <rPr>
        <sz val="8"/>
        <color rgb="FF0000FF"/>
        <rFont val="Arial"/>
        <family val="2"/>
      </rPr>
      <t>Mar 2024</t>
    </r>
  </si>
  <si>
    <r>
      <t xml:space="preserve">Sum of </t>
    </r>
    <r>
      <rPr>
        <sz val="8"/>
        <color rgb="FF0000FF"/>
        <rFont val="Arial"/>
        <family val="2"/>
      </rPr>
      <t>Apr 2024</t>
    </r>
  </si>
  <si>
    <r>
      <t xml:space="preserve">Sum of </t>
    </r>
    <r>
      <rPr>
        <sz val="8"/>
        <color rgb="FF0000FF"/>
        <rFont val="Arial"/>
        <family val="2"/>
      </rPr>
      <t>May 2024</t>
    </r>
  </si>
  <si>
    <r>
      <t xml:space="preserve">Sum of </t>
    </r>
    <r>
      <rPr>
        <sz val="8"/>
        <color rgb="FF0000FF"/>
        <rFont val="Arial"/>
        <family val="2"/>
      </rPr>
      <t>Jun 2024</t>
    </r>
  </si>
  <si>
    <r>
      <t xml:space="preserve">Sum of </t>
    </r>
    <r>
      <rPr>
        <sz val="8"/>
        <color rgb="FF0000FF"/>
        <rFont val="Arial"/>
        <family val="2"/>
      </rPr>
      <t>Jul 2024</t>
    </r>
  </si>
  <si>
    <r>
      <t xml:space="preserve">Sum of </t>
    </r>
    <r>
      <rPr>
        <sz val="8"/>
        <color rgb="FF0000FF"/>
        <rFont val="Arial"/>
        <family val="2"/>
      </rPr>
      <t>Aug 2024</t>
    </r>
  </si>
  <si>
    <r>
      <t xml:space="preserve">Sum of </t>
    </r>
    <r>
      <rPr>
        <sz val="8"/>
        <color rgb="FF0000FF"/>
        <rFont val="Arial"/>
        <family val="2"/>
      </rPr>
      <t>Sep 2024</t>
    </r>
  </si>
  <si>
    <r>
      <t xml:space="preserve">Sum of </t>
    </r>
    <r>
      <rPr>
        <sz val="8"/>
        <color rgb="FF0000FF"/>
        <rFont val="Arial"/>
        <family val="2"/>
      </rPr>
      <t>Oct 2024</t>
    </r>
  </si>
  <si>
    <r>
      <t xml:space="preserve">Sum of </t>
    </r>
    <r>
      <rPr>
        <sz val="8"/>
        <color rgb="FF0000FF"/>
        <rFont val="Arial"/>
        <family val="2"/>
      </rPr>
      <t>Nov 2024</t>
    </r>
  </si>
  <si>
    <r>
      <t xml:space="preserve">Sum of </t>
    </r>
    <r>
      <rPr>
        <sz val="8"/>
        <color rgb="FF0000FF"/>
        <rFont val="Arial"/>
        <family val="2"/>
      </rPr>
      <t>Dec 2024</t>
    </r>
  </si>
  <si>
    <r>
      <t xml:space="preserve">Sum of </t>
    </r>
    <r>
      <rPr>
        <sz val="8"/>
        <color rgb="FF0000FF"/>
        <rFont val="Arial"/>
        <family val="2"/>
      </rPr>
      <t>Jan 2025</t>
    </r>
  </si>
  <si>
    <r>
      <t xml:space="preserve">Sum of </t>
    </r>
    <r>
      <rPr>
        <sz val="8"/>
        <color rgb="FF0000FF"/>
        <rFont val="Arial"/>
        <family val="2"/>
      </rPr>
      <t>Feb 2025</t>
    </r>
  </si>
  <si>
    <r>
      <t xml:space="preserve">Sum of </t>
    </r>
    <r>
      <rPr>
        <sz val="8"/>
        <color rgb="FF0000FF"/>
        <rFont val="Arial"/>
        <family val="2"/>
      </rPr>
      <t>Mar 2025</t>
    </r>
  </si>
  <si>
    <r>
      <t xml:space="preserve">Sum of </t>
    </r>
    <r>
      <rPr>
        <sz val="8"/>
        <color rgb="FF0000FF"/>
        <rFont val="Arial"/>
        <family val="2"/>
      </rPr>
      <t>Apr 2025</t>
    </r>
  </si>
  <si>
    <r>
      <t xml:space="preserve">Sum of </t>
    </r>
    <r>
      <rPr>
        <sz val="8"/>
        <color rgb="FF0000FF"/>
        <rFont val="Arial"/>
        <family val="2"/>
      </rPr>
      <t>May 2025</t>
    </r>
  </si>
  <si>
    <r>
      <t xml:space="preserve">Sum of </t>
    </r>
    <r>
      <rPr>
        <sz val="8"/>
        <color rgb="FF0000FF"/>
        <rFont val="Arial"/>
        <family val="2"/>
      </rPr>
      <t>Jun 2025</t>
    </r>
  </si>
  <si>
    <r>
      <t xml:space="preserve">Sum of </t>
    </r>
    <r>
      <rPr>
        <sz val="8"/>
        <color rgb="FF0000FF"/>
        <rFont val="Arial"/>
        <family val="2"/>
      </rPr>
      <t>Jul 2025</t>
    </r>
  </si>
  <si>
    <r>
      <t>Sum of</t>
    </r>
    <r>
      <rPr>
        <sz val="8"/>
        <color rgb="FF0000FF"/>
        <rFont val="Arial"/>
        <family val="2"/>
      </rPr>
      <t xml:space="preserve"> Aug 2025</t>
    </r>
  </si>
  <si>
    <r>
      <t xml:space="preserve">Sum of </t>
    </r>
    <r>
      <rPr>
        <sz val="8"/>
        <color rgb="FF0000FF"/>
        <rFont val="Arial"/>
        <family val="2"/>
      </rPr>
      <t>Sep 2025</t>
    </r>
  </si>
  <si>
    <t>Total BPA FY 2024</t>
  </si>
  <si>
    <t>Total BPA FY 2025</t>
  </si>
  <si>
    <t>RAM Module uploaded from https://www.bpa.gov/-/media/Aep/rates-tariff/bp-24/bp-24-settlement/models-and-datasets/RAM2024-Settlement-Proposal-External.xlsm</t>
  </si>
  <si>
    <r>
      <t>TOTAL Balance @</t>
    </r>
    <r>
      <rPr>
        <b/>
        <sz val="8"/>
        <color rgb="FF0000FF"/>
        <rFont val="Arial"/>
        <family val="2"/>
      </rPr>
      <t xml:space="preserve"> 8-31-23</t>
    </r>
  </si>
  <si>
    <r>
      <t xml:space="preserve">Current Rates
Eff. </t>
    </r>
    <r>
      <rPr>
        <b/>
        <sz val="8"/>
        <color rgb="FF0000FF"/>
        <rFont val="Arial"/>
        <family val="2"/>
      </rPr>
      <t>11-01-21</t>
    </r>
  </si>
  <si>
    <r>
      <rPr>
        <b/>
        <sz val="8"/>
        <color rgb="FF0000FF"/>
        <rFont val="Arial"/>
        <family val="2"/>
      </rPr>
      <t>F2023</t>
    </r>
    <r>
      <rPr>
        <b/>
        <sz val="8"/>
        <rFont val="Arial"/>
        <family val="2"/>
      </rPr>
      <t xml:space="preserve"> Monthly Load Forecast</t>
    </r>
  </si>
  <si>
    <t>BPA Report - RAM Module - REP 2024</t>
  </si>
  <si>
    <t>November 1, 2023 through October 31, 2024</t>
  </si>
  <si>
    <r>
      <t xml:space="preserve">Sum of </t>
    </r>
    <r>
      <rPr>
        <sz val="8"/>
        <color rgb="FF0000FF"/>
        <rFont val="Arial"/>
        <family val="2"/>
      </rPr>
      <t>Oct 2025</t>
    </r>
  </si>
  <si>
    <r>
      <t xml:space="preserve">12 Month kWH Load, </t>
    </r>
    <r>
      <rPr>
        <b/>
        <i/>
        <sz val="8"/>
        <color rgb="FF0000FF"/>
        <rFont val="Arial"/>
        <family val="2"/>
      </rPr>
      <t>November 2024 to October 2025</t>
    </r>
  </si>
  <si>
    <r>
      <t xml:space="preserve">12 Month kWH Load, </t>
    </r>
    <r>
      <rPr>
        <b/>
        <i/>
        <sz val="8"/>
        <color rgb="FF0000FF"/>
        <rFont val="Arial"/>
        <family val="2"/>
      </rPr>
      <t>November 2023 to October 2024</t>
    </r>
  </si>
  <si>
    <t>Note: Adjusted for 0.004 Annual UTS Fees per DOCKET UE-220407 and UG-220408</t>
  </si>
  <si>
    <r>
      <rPr>
        <b/>
        <sz val="8"/>
        <color rgb="FF0000FF"/>
        <rFont val="Arial"/>
        <family val="2"/>
      </rPr>
      <t>FY2023</t>
    </r>
    <r>
      <rPr>
        <b/>
        <sz val="8"/>
        <rFont val="Arial"/>
        <family val="2"/>
      </rPr>
      <t xml:space="preserve"> Delivered kWh Grand Total</t>
    </r>
  </si>
  <si>
    <t>SCH_SC</t>
  </si>
  <si>
    <t>November 1, 2023 through October 31, 2025</t>
  </si>
  <si>
    <t>Net Adjustments</t>
  </si>
  <si>
    <t>% Change (Net)</t>
  </si>
  <si>
    <t>25 (11, 7A)</t>
  </si>
  <si>
    <t>26 (12,26P)</t>
  </si>
  <si>
    <t>31 (10)</t>
  </si>
  <si>
    <t>Check</t>
  </si>
  <si>
    <t>Cross check</t>
  </si>
  <si>
    <t>Forecast Exchange Delivered Sales (kWh)</t>
  </si>
  <si>
    <t>Current  Average 
Rates per KWHs</t>
  </si>
  <si>
    <t>Proposed Average 
Rates per KWHs</t>
  </si>
  <si>
    <t>Annual kWh Delivered Sales  11/01/23 to 10/31/24 (F2023)</t>
  </si>
  <si>
    <t>Estimated Annual
Base Revenue
Rates Effective
01/11/23</t>
  </si>
  <si>
    <t>Schedule 95
PCA Supplemental</t>
  </si>
  <si>
    <t>Schedule 95
PCORC</t>
  </si>
  <si>
    <t>Schedule 95A
Federal Incentive Credit</t>
  </si>
  <si>
    <t>Schedule 120
Conservation</t>
  </si>
  <si>
    <t>Schedule 129
Low Income</t>
  </si>
  <si>
    <t xml:space="preserve">Schedule 129D
Bill Discount </t>
  </si>
  <si>
    <t xml:space="preserve">Schedule 139 Green Direct </t>
  </si>
  <si>
    <t>Schedule 139 Green Direct Supplemental</t>
  </si>
  <si>
    <t>Schedule 140
Property Tax</t>
  </si>
  <si>
    <t>Schedule 141A
Energy Charge Credit</t>
  </si>
  <si>
    <t>Schedule 141COL
Colstrip Adjustment</t>
  </si>
  <si>
    <t>Schedule 141N
Rates Not Subject to Refund</t>
  </si>
  <si>
    <t>Schedule 141R
Rates Subject to Refund</t>
  </si>
  <si>
    <t>Schedule 141TEP</t>
  </si>
  <si>
    <t>Schedule 141Z (Unprotected)
EDIT</t>
  </si>
  <si>
    <t>Schedule 142
 Deferral</t>
  </si>
  <si>
    <t>Schedule 142
Supplemental</t>
  </si>
  <si>
    <t>Schedule 194
BPA Res &amp; Farm Credit</t>
  </si>
  <si>
    <t>Subtotal
Rider
Rates</t>
  </si>
  <si>
    <t>Annual Estimated Revenue @ Rates Effective 09/01/23</t>
  </si>
  <si>
    <t>Total 
Proposed
Rates at 11/01/2023</t>
  </si>
  <si>
    <t>24, 324</t>
  </si>
  <si>
    <t xml:space="preserve">7, 7BDR, 307, 317, 327* </t>
  </si>
  <si>
    <t>24 (8), 324</t>
  </si>
  <si>
    <t>7, 7BDR, 307, 317, 327*</t>
  </si>
  <si>
    <t>* Note: Schedule 194 Residential Energy Exchange Credit is excluded from Bill Discount Rate ("7BDR")</t>
  </si>
  <si>
    <t xml:space="preserve">Schedule 7, 7BDR, 307, 317, 327 * </t>
  </si>
  <si>
    <t>Rate Impacts</t>
  </si>
  <si>
    <t>Test Year Ended October 31, 2024</t>
  </si>
  <si>
    <t>Proposed Effective date November 1, 2023</t>
  </si>
  <si>
    <t>Present Rates Effective 09/01/2023</t>
  </si>
  <si>
    <t>Proposed Rates Effective 11/01/2023</t>
  </si>
  <si>
    <t>Average Residential Usage Test Year Ended October 31, 2024</t>
  </si>
  <si>
    <t>FOR THE TWELVE MONTHS ENDED JUNE 30, 2021</t>
  </si>
  <si>
    <t>2022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</si>
</sst>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0_);_(* \(#,##0.0000000\);_(* &quot;-&quot;??_);_(@_)"/>
    <numFmt numFmtId="168" formatCode="_(&quot;$&quot;* #,##0.000000_);_(&quot;$&quot;* \(#,##0.000000\);_(&quot;$&quot;* &quot;-&quot;??_);_(@_)"/>
    <numFmt numFmtId="169" formatCode="0.000000"/>
    <numFmt numFmtId="170" formatCode="0.00_)"/>
    <numFmt numFmtId="171" formatCode="_(* #,##0.0_);_(* \(#,##0.0\);_(* &quot;-&quot;_);_(@_)"/>
    <numFmt numFmtId="172" formatCode="_(* ###0_);_(* \(###0\);_(* &quot;-&quot;_);_(@_)"/>
    <numFmt numFmtId="173" formatCode="d\.mmm\.yy"/>
    <numFmt numFmtId="174" formatCode="0.0000000"/>
    <numFmt numFmtId="175" formatCode="[$-409]mmmm\ d\,\ yyyy;@"/>
    <numFmt numFmtId="176" formatCode="#,##0_);[Red]\(#,##0\);&quot; &quot;"/>
    <numFmt numFmtId="177" formatCode="&quot;$&quot;#,##0.00"/>
    <numFmt numFmtId="178" formatCode="#."/>
    <numFmt numFmtId="179" formatCode="&quot;$&quot;#,##0;\-&quot;$&quot;#,##0"/>
    <numFmt numFmtId="180" formatCode="_(&quot;$&quot;* #,##0.0000_);_(&quot;$&quot;* \(#,##0.0000\);_(&quot;$&quot;* &quot;-&quot;????_);_(@_)"/>
    <numFmt numFmtId="181" formatCode="0.0000%"/>
    <numFmt numFmtId="182" formatCode="&quot;FY&quot;\ ###"/>
    <numFmt numFmtId="183" formatCode="_(&quot;$&quot;* #,##0.000000_);_(&quot;$&quot;* \(#,##0.000000\);_(&quot;$&quot;* &quot;-&quot;??????_);_(@_)"/>
    <numFmt numFmtId="184" formatCode="&quot;$&quot;#,##0"/>
    <numFmt numFmtId="185" formatCode="0.00000"/>
    <numFmt numFmtId="186" formatCode="0.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b/>
      <sz val="8"/>
      <color indexed="8"/>
      <name val="Helv"/>
    </font>
    <font>
      <b/>
      <sz val="10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u/>
      <sz val="7.5"/>
      <color indexed="12"/>
      <name val="Arial"/>
      <family val="2"/>
    </font>
    <font>
      <sz val="8"/>
      <color theme="1"/>
      <name val="Arial"/>
      <family val="2"/>
    </font>
    <font>
      <b/>
      <i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8080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009999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8"/>
      <color rgb="FF0070C0"/>
      <name val="Arial"/>
      <family val="2"/>
    </font>
    <font>
      <sz val="8"/>
      <color rgb="FFFFFFFF"/>
      <name val="Arial"/>
      <family val="2"/>
    </font>
    <font>
      <b/>
      <sz val="8"/>
      <color rgb="FF3366FF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4">
    <xf numFmtId="0" fontId="0" fillId="0" borderId="0"/>
    <xf numFmtId="169" fontId="5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74" fontId="22" fillId="0" borderId="0">
      <alignment horizontal="left" wrapText="1"/>
    </xf>
    <xf numFmtId="174" fontId="22" fillId="0" borderId="0">
      <alignment horizontal="left" wrapText="1"/>
    </xf>
    <xf numFmtId="174" fontId="22" fillId="0" borderId="0">
      <alignment horizontal="left" wrapText="1"/>
    </xf>
    <xf numFmtId="17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9" fontId="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6" fontId="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9" fontId="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166" fontId="22" fillId="0" borderId="0">
      <alignment horizontal="left" wrapText="1"/>
    </xf>
    <xf numFmtId="169" fontId="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4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9" fontId="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6" fontId="5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166" fontId="22" fillId="0" borderId="0">
      <alignment horizontal="left" wrapText="1"/>
    </xf>
    <xf numFmtId="0" fontId="23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173" fontId="6" fillId="0" borderId="0" applyFill="0" applyBorder="0" applyAlignment="0"/>
    <xf numFmtId="41" fontId="5" fillId="20" borderId="0"/>
    <xf numFmtId="0" fontId="27" fillId="21" borderId="1" applyNumberFormat="0" applyAlignment="0" applyProtection="0"/>
    <xf numFmtId="41" fontId="22" fillId="22" borderId="0"/>
    <xf numFmtId="43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8" fillId="0" borderId="0"/>
    <xf numFmtId="0" fontId="8" fillId="0" borderId="0"/>
    <xf numFmtId="0" fontId="28" fillId="0" borderId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0" borderId="0">
      <protection locked="0"/>
    </xf>
    <xf numFmtId="0" fontId="28" fillId="0" borderId="0"/>
    <xf numFmtId="0" fontId="9" fillId="0" borderId="0" applyNumberFormat="0" applyAlignment="0">
      <alignment horizontal="left"/>
    </xf>
    <xf numFmtId="0" fontId="10" fillId="0" borderId="0" applyNumberFormat="0" applyAlignment="0"/>
    <xf numFmtId="0" fontId="8" fillId="0" borderId="0"/>
    <xf numFmtId="0" fontId="28" fillId="0" borderId="0"/>
    <xf numFmtId="0" fontId="8" fillId="0" borderId="0"/>
    <xf numFmtId="0" fontId="28" fillId="0" borderId="0"/>
    <xf numFmtId="44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169" fontId="5" fillId="0" borderId="0"/>
    <xf numFmtId="0" fontId="3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" fillId="0" borderId="0"/>
    <xf numFmtId="0" fontId="33" fillId="4" borderId="0" applyNumberFormat="0" applyBorder="0" applyAlignment="0" applyProtection="0"/>
    <xf numFmtId="38" fontId="11" fillId="22" borderId="0" applyNumberFormat="0" applyBorder="0" applyAlignment="0" applyProtection="0"/>
    <xf numFmtId="38" fontId="34" fillId="22" borderId="0" applyNumberFormat="0" applyBorder="0" applyAlignment="0" applyProtection="0"/>
    <xf numFmtId="38" fontId="34" fillId="22" borderId="0" applyNumberFormat="0" applyBorder="0" applyAlignment="0" applyProtection="0"/>
    <xf numFmtId="38" fontId="34" fillId="22" borderId="0" applyNumberFormat="0" applyBorder="0" applyAlignment="0" applyProtection="0"/>
    <xf numFmtId="38" fontId="34" fillId="22" borderId="0" applyNumberFormat="0" applyBorder="0" applyAlignment="0" applyProtection="0"/>
    <xf numFmtId="0" fontId="12" fillId="0" borderId="2" applyNumberFormat="0" applyAlignment="0" applyProtection="0">
      <alignment horizontal="left"/>
    </xf>
    <xf numFmtId="0" fontId="12" fillId="0" borderId="3">
      <alignment horizontal="lef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38" fontId="13" fillId="0" borderId="0"/>
    <xf numFmtId="40" fontId="13" fillId="0" borderId="0"/>
    <xf numFmtId="0" fontId="37" fillId="7" borderId="5" applyNumberFormat="0" applyAlignment="0" applyProtection="0"/>
    <xf numFmtId="10" fontId="11" fillId="20" borderId="6" applyNumberFormat="0" applyBorder="0" applyAlignment="0" applyProtection="0"/>
    <xf numFmtId="10" fontId="34" fillId="20" borderId="6" applyNumberFormat="0" applyBorder="0" applyAlignment="0" applyProtection="0"/>
    <xf numFmtId="10" fontId="34" fillId="20" borderId="6" applyNumberFormat="0" applyBorder="0" applyAlignment="0" applyProtection="0"/>
    <xf numFmtId="10" fontId="34" fillId="20" borderId="6" applyNumberFormat="0" applyBorder="0" applyAlignment="0" applyProtection="0"/>
    <xf numFmtId="10" fontId="34" fillId="20" borderId="6" applyNumberFormat="0" applyBorder="0" applyAlignment="0" applyProtection="0"/>
    <xf numFmtId="41" fontId="14" fillId="23" borderId="7">
      <alignment horizontal="left"/>
      <protection locked="0"/>
    </xf>
    <xf numFmtId="10" fontId="14" fillId="23" borderId="7">
      <alignment horizontal="right"/>
      <protection locked="0"/>
    </xf>
    <xf numFmtId="0" fontId="34" fillId="22" borderId="0"/>
    <xf numFmtId="3" fontId="38" fillId="0" borderId="0" applyFill="0" applyBorder="0" applyAlignment="0" applyProtection="0"/>
    <xf numFmtId="0" fontId="39" fillId="0" borderId="8" applyNumberFormat="0" applyFill="0" applyAlignment="0" applyProtection="0"/>
    <xf numFmtId="44" fontId="15" fillId="0" borderId="9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44" fontId="15" fillId="0" borderId="10" applyNumberFormat="0" applyFont="0" applyAlignment="0">
      <alignment horizontal="center"/>
    </xf>
    <xf numFmtId="44" fontId="20" fillId="0" borderId="10" applyNumberFormat="0" applyFont="0" applyAlignment="0">
      <alignment horizontal="center"/>
    </xf>
    <xf numFmtId="44" fontId="20" fillId="0" borderId="10" applyNumberFormat="0" applyFont="0" applyAlignment="0">
      <alignment horizontal="center"/>
    </xf>
    <xf numFmtId="44" fontId="20" fillId="0" borderId="10" applyNumberFormat="0" applyFont="0" applyAlignment="0">
      <alignment horizontal="center"/>
    </xf>
    <xf numFmtId="0" fontId="40" fillId="24" borderId="0" applyNumberFormat="0" applyBorder="0" applyAlignment="0" applyProtection="0"/>
    <xf numFmtId="37" fontId="16" fillId="0" borderId="0"/>
    <xf numFmtId="170" fontId="17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69" fontId="22" fillId="0" borderId="0">
      <alignment horizontal="left" wrapText="1"/>
    </xf>
    <xf numFmtId="0" fontId="22" fillId="0" borderId="0"/>
    <xf numFmtId="0" fontId="22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24" fillId="25" borderId="11" applyNumberFormat="0" applyFont="0" applyAlignment="0" applyProtection="0"/>
    <xf numFmtId="0" fontId="42" fillId="26" borderId="12" applyNumberFormat="0" applyAlignment="0" applyProtection="0"/>
    <xf numFmtId="0" fontId="8" fillId="0" borderId="0"/>
    <xf numFmtId="0" fontId="8" fillId="0" borderId="0"/>
    <xf numFmtId="0" fontId="28" fillId="0" borderId="0"/>
    <xf numFmtId="10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22" fillId="27" borderId="7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3" fillId="0" borderId="13">
      <alignment horizontal="center"/>
    </xf>
    <xf numFmtId="3" fontId="41" fillId="0" borderId="0" applyFont="0" applyFill="0" applyBorder="0" applyAlignment="0" applyProtection="0"/>
    <xf numFmtId="0" fontId="41" fillId="28" borderId="0" applyNumberFormat="0" applyFont="0" applyBorder="0" applyAlignment="0" applyProtection="0"/>
    <xf numFmtId="0" fontId="28" fillId="0" borderId="0"/>
    <xf numFmtId="3" fontId="44" fillId="0" borderId="0" applyFill="0" applyBorder="0" applyAlignment="0" applyProtection="0"/>
    <xf numFmtId="0" fontId="45" fillId="0" borderId="0"/>
    <xf numFmtId="3" fontId="44" fillId="0" borderId="0" applyFill="0" applyBorder="0" applyAlignment="0" applyProtection="0"/>
    <xf numFmtId="42" fontId="22" fillId="20" borderId="0"/>
    <xf numFmtId="0" fontId="46" fillId="29" borderId="0"/>
    <xf numFmtId="0" fontId="47" fillId="29" borderId="14"/>
    <xf numFmtId="0" fontId="48" fillId="30" borderId="15"/>
    <xf numFmtId="0" fontId="49" fillId="29" borderId="16"/>
    <xf numFmtId="42" fontId="22" fillId="20" borderId="17">
      <alignment vertical="center"/>
    </xf>
    <xf numFmtId="0" fontId="20" fillId="20" borderId="18" applyNumberFormat="0">
      <alignment horizontal="center" vertical="center" wrapText="1"/>
    </xf>
    <xf numFmtId="10" fontId="22" fillId="20" borderId="0"/>
    <xf numFmtId="180" fontId="22" fillId="20" borderId="0"/>
    <xf numFmtId="164" fontId="36" fillId="0" borderId="0" applyBorder="0" applyAlignment="0"/>
    <xf numFmtId="42" fontId="22" fillId="20" borderId="19">
      <alignment horizontal="left"/>
    </xf>
    <xf numFmtId="180" fontId="50" fillId="20" borderId="19">
      <alignment horizontal="left"/>
    </xf>
    <xf numFmtId="14" fontId="18" fillId="0" borderId="0" applyNumberFormat="0" applyFill="0" applyBorder="0" applyAlignment="0" applyProtection="0">
      <alignment horizontal="left"/>
    </xf>
    <xf numFmtId="171" fontId="5" fillId="0" borderId="0" applyFont="0" applyFill="0" applyAlignment="0">
      <alignment horizontal="right"/>
    </xf>
    <xf numFmtId="4" fontId="51" fillId="23" borderId="12" applyNumberFormat="0" applyProtection="0">
      <alignment vertical="center"/>
    </xf>
    <xf numFmtId="4" fontId="51" fillId="23" borderId="12" applyNumberFormat="0" applyProtection="0">
      <alignment horizontal="left" vertical="center" indent="1"/>
    </xf>
    <xf numFmtId="0" fontId="22" fillId="31" borderId="12" applyNumberFormat="0" applyProtection="0">
      <alignment horizontal="left" vertical="center" indent="1"/>
    </xf>
    <xf numFmtId="4" fontId="52" fillId="32" borderId="12" applyNumberFormat="0" applyProtection="0">
      <alignment horizontal="left" vertical="center" indent="1"/>
    </xf>
    <xf numFmtId="4" fontId="51" fillId="33" borderId="20" applyNumberFormat="0" applyProtection="0">
      <alignment horizontal="left" vertical="center" indent="1"/>
    </xf>
    <xf numFmtId="4" fontId="51" fillId="33" borderId="12" applyNumberFormat="0" applyProtection="0">
      <alignment horizontal="left" vertical="center" indent="1"/>
    </xf>
    <xf numFmtId="4" fontId="51" fillId="34" borderId="12" applyNumberFormat="0" applyProtection="0">
      <alignment horizontal="left" vertical="center" indent="1"/>
    </xf>
    <xf numFmtId="0" fontId="22" fillId="34" borderId="12" applyNumberFormat="0" applyProtection="0">
      <alignment horizontal="left" vertical="center" indent="1"/>
    </xf>
    <xf numFmtId="4" fontId="51" fillId="33" borderId="12" applyNumberFormat="0" applyProtection="0">
      <alignment horizontal="right" vertical="center"/>
    </xf>
    <xf numFmtId="0" fontId="22" fillId="31" borderId="12" applyNumberFormat="0" applyProtection="0">
      <alignment horizontal="left" vertical="center" indent="1"/>
    </xf>
    <xf numFmtId="0" fontId="22" fillId="31" borderId="12" applyNumberFormat="0" applyProtection="0">
      <alignment horizontal="left" vertical="center" indent="1"/>
    </xf>
    <xf numFmtId="0" fontId="53" fillId="0" borderId="0"/>
    <xf numFmtId="39" fontId="5" fillId="35" borderId="0"/>
    <xf numFmtId="38" fontId="11" fillId="0" borderId="21"/>
    <xf numFmtId="38" fontId="34" fillId="0" borderId="21"/>
    <xf numFmtId="38" fontId="34" fillId="0" borderId="21"/>
    <xf numFmtId="38" fontId="34" fillId="0" borderId="21"/>
    <xf numFmtId="38" fontId="34" fillId="0" borderId="21"/>
    <xf numFmtId="38" fontId="13" fillId="0" borderId="19"/>
    <xf numFmtId="39" fontId="18" fillId="36" borderId="0"/>
    <xf numFmtId="176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40" fontId="19" fillId="0" borderId="0" applyBorder="0">
      <alignment horizontal="right"/>
    </xf>
    <xf numFmtId="41" fontId="54" fillId="20" borderId="0">
      <alignment horizontal="left"/>
    </xf>
    <xf numFmtId="0" fontId="22" fillId="0" borderId="0" applyNumberFormat="0" applyBorder="0" applyAlignment="0"/>
    <xf numFmtId="0" fontId="55" fillId="0" borderId="0" applyNumberFormat="0" applyFill="0" applyBorder="0" applyAlignment="0" applyProtection="0"/>
    <xf numFmtId="0" fontId="46" fillId="0" borderId="0"/>
    <xf numFmtId="0" fontId="47" fillId="29" borderId="0"/>
    <xf numFmtId="177" fontId="56" fillId="20" borderId="0">
      <alignment horizontal="left" vertical="center"/>
    </xf>
    <xf numFmtId="0" fontId="20" fillId="20" borderId="0">
      <alignment horizontal="left" wrapText="1"/>
    </xf>
    <xf numFmtId="0" fontId="21" fillId="0" borderId="0">
      <alignment horizontal="left" vertical="center"/>
    </xf>
    <xf numFmtId="0" fontId="7" fillId="0" borderId="22" applyNumberFormat="0" applyFont="0" applyFill="0" applyAlignment="0" applyProtection="0"/>
    <xf numFmtId="0" fontId="28" fillId="0" borderId="23"/>
    <xf numFmtId="0" fontId="57" fillId="0" borderId="0" applyNumberForma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>
      <alignment vertical="top"/>
      <protection locked="0"/>
    </xf>
    <xf numFmtId="180" fontId="5" fillId="0" borderId="0">
      <alignment horizontal="left" wrapText="1"/>
    </xf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9" fontId="18" fillId="0" borderId="0">
      <alignment horizontal="left" wrapText="1"/>
    </xf>
    <xf numFmtId="0" fontId="23" fillId="0" borderId="0"/>
    <xf numFmtId="43" fontId="1" fillId="0" borderId="0" applyFont="0" applyFill="0" applyBorder="0" applyAlignment="0" applyProtection="0"/>
  </cellStyleXfs>
  <cellXfs count="350">
    <xf numFmtId="0" fontId="0" fillId="0" borderId="0" xfId="0"/>
    <xf numFmtId="0" fontId="11" fillId="0" borderId="0" xfId="0" applyFont="1"/>
    <xf numFmtId="0" fontId="60" fillId="0" borderId="0" xfId="0" applyFont="1"/>
    <xf numFmtId="0" fontId="13" fillId="0" borderId="0" xfId="0" applyFont="1"/>
    <xf numFmtId="165" fontId="11" fillId="0" borderId="0" xfId="262" applyNumberFormat="1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Alignment="1">
      <alignment horizontal="center" wrapText="1"/>
    </xf>
    <xf numFmtId="164" fontId="11" fillId="0" borderId="0" xfId="0" applyNumberFormat="1" applyFont="1"/>
    <xf numFmtId="0" fontId="11" fillId="0" borderId="18" xfId="0" applyFont="1" applyBorder="1" applyAlignment="1">
      <alignment horizontal="center" wrapText="1"/>
    </xf>
    <xf numFmtId="0" fontId="11" fillId="0" borderId="18" xfId="0" quotePrefix="1" applyFont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Alignment="1">
      <alignment horizontal="left"/>
    </xf>
    <xf numFmtId="164" fontId="11" fillId="0" borderId="17" xfId="0" applyNumberFormat="1" applyFont="1" applyBorder="1"/>
    <xf numFmtId="0" fontId="11" fillId="0" borderId="0" xfId="0" applyFont="1" applyAlignment="1">
      <alignment horizontal="left"/>
    </xf>
    <xf numFmtId="0" fontId="11" fillId="0" borderId="18" xfId="0" quotePrefix="1" applyFont="1" applyBorder="1" applyAlignment="1">
      <alignment horizontal="left"/>
    </xf>
    <xf numFmtId="0" fontId="11" fillId="0" borderId="18" xfId="0" applyFont="1" applyBorder="1"/>
    <xf numFmtId="0" fontId="11" fillId="0" borderId="0" xfId="432" applyFont="1"/>
    <xf numFmtId="0" fontId="11" fillId="0" borderId="31" xfId="0" quotePrefix="1" applyFont="1" applyBorder="1" applyAlignment="1">
      <alignment horizontal="center" wrapText="1"/>
    </xf>
    <xf numFmtId="0" fontId="11" fillId="0" borderId="0" xfId="432" applyFont="1" applyFill="1"/>
    <xf numFmtId="168" fontId="11" fillId="0" borderId="40" xfId="0" applyNumberFormat="1" applyFont="1" applyFill="1" applyBorder="1"/>
    <xf numFmtId="168" fontId="11" fillId="0" borderId="32" xfId="0" quotePrefix="1" applyNumberFormat="1" applyFont="1" applyFill="1" applyBorder="1" applyAlignment="1"/>
    <xf numFmtId="168" fontId="11" fillId="0" borderId="32" xfId="0" applyNumberFormat="1" applyFont="1" applyFill="1" applyBorder="1"/>
    <xf numFmtId="168" fontId="11" fillId="0" borderId="33" xfId="0" applyNumberFormat="1" applyFont="1" applyFill="1" applyBorder="1"/>
    <xf numFmtId="44" fontId="11" fillId="0" borderId="0" xfId="0" applyNumberFormat="1" applyFont="1"/>
    <xf numFmtId="44" fontId="11" fillId="0" borderId="17" xfId="0" applyNumberFormat="1" applyFont="1" applyBorder="1"/>
    <xf numFmtId="0" fontId="11" fillId="0" borderId="0" xfId="0" quotePrefix="1" applyFont="1" applyFill="1" applyAlignment="1">
      <alignment horizontal="center"/>
    </xf>
    <xf numFmtId="164" fontId="11" fillId="0" borderId="0" xfId="0" applyNumberFormat="1" applyFont="1" applyFill="1" applyBorder="1"/>
    <xf numFmtId="165" fontId="11" fillId="0" borderId="0" xfId="0" applyNumberFormat="1" applyFont="1" applyFill="1" applyBorder="1"/>
    <xf numFmtId="164" fontId="11" fillId="0" borderId="17" xfId="0" applyNumberFormat="1" applyFont="1" applyFill="1" applyBorder="1"/>
    <xf numFmtId="0" fontId="11" fillId="0" borderId="0" xfId="433" applyFont="1"/>
    <xf numFmtId="0" fontId="11" fillId="0" borderId="36" xfId="0" applyFont="1" applyFill="1" applyBorder="1"/>
    <xf numFmtId="0" fontId="11" fillId="0" borderId="16" xfId="0" applyFont="1" applyFill="1" applyBorder="1"/>
    <xf numFmtId="0" fontId="11" fillId="0" borderId="37" xfId="0" applyFont="1" applyFill="1" applyBorder="1"/>
    <xf numFmtId="0" fontId="11" fillId="0" borderId="38" xfId="0" applyFont="1" applyFill="1" applyBorder="1"/>
    <xf numFmtId="0" fontId="13" fillId="0" borderId="39" xfId="0" quotePrefix="1" applyFont="1" applyFill="1" applyBorder="1" applyAlignment="1">
      <alignment horizontal="center" wrapText="1"/>
    </xf>
    <xf numFmtId="0" fontId="13" fillId="0" borderId="3" xfId="0" quotePrefix="1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1" fillId="0" borderId="32" xfId="0" applyFont="1" applyFill="1" applyBorder="1" applyAlignment="1">
      <alignment horizontal="center"/>
    </xf>
    <xf numFmtId="0" fontId="11" fillId="0" borderId="28" xfId="0" quotePrefix="1" applyFont="1" applyFill="1" applyBorder="1" applyAlignment="1">
      <alignment horizontal="left"/>
    </xf>
    <xf numFmtId="164" fontId="66" fillId="0" borderId="0" xfId="0" applyNumberFormat="1" applyFont="1" applyFill="1" applyBorder="1"/>
    <xf numFmtId="164" fontId="11" fillId="0" borderId="41" xfId="0" applyNumberFormat="1" applyFont="1" applyFill="1" applyBorder="1"/>
    <xf numFmtId="0" fontId="11" fillId="0" borderId="30" xfId="0" quotePrefix="1" applyFont="1" applyFill="1" applyBorder="1" applyAlignment="1">
      <alignment horizontal="left"/>
    </xf>
    <xf numFmtId="164" fontId="66" fillId="0" borderId="18" xfId="0" applyNumberFormat="1" applyFont="1" applyFill="1" applyBorder="1"/>
    <xf numFmtId="0" fontId="70" fillId="0" borderId="2" xfId="0" quotePrefix="1" applyFont="1" applyFill="1" applyBorder="1" applyAlignment="1"/>
    <xf numFmtId="0" fontId="70" fillId="0" borderId="26" xfId="0" quotePrefix="1" applyFont="1" applyFill="1" applyBorder="1" applyAlignment="1">
      <alignment horizontal="left"/>
    </xf>
    <xf numFmtId="164" fontId="70" fillId="0" borderId="2" xfId="0" quotePrefix="1" applyNumberFormat="1" applyFont="1" applyFill="1" applyBorder="1" applyAlignment="1"/>
    <xf numFmtId="0" fontId="11" fillId="0" borderId="0" xfId="0" quotePrefix="1" applyFont="1" applyFill="1" applyBorder="1" applyAlignment="1">
      <alignment horizontal="left"/>
    </xf>
    <xf numFmtId="0" fontId="11" fillId="0" borderId="18" xfId="0" applyFont="1" applyFill="1" applyBorder="1"/>
    <xf numFmtId="0" fontId="11" fillId="0" borderId="18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left"/>
    </xf>
    <xf numFmtId="164" fontId="64" fillId="0" borderId="0" xfId="236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 indent="1"/>
    </xf>
    <xf numFmtId="165" fontId="66" fillId="0" borderId="0" xfId="262" applyNumberFormat="1" applyFont="1" applyFill="1" applyBorder="1"/>
    <xf numFmtId="0" fontId="11" fillId="0" borderId="0" xfId="0" applyFont="1" applyFill="1" applyBorder="1" applyAlignment="1">
      <alignment horizontal="left" indent="2"/>
    </xf>
    <xf numFmtId="165" fontId="11" fillId="0" borderId="3" xfId="262" applyNumberFormat="1" applyFont="1" applyFill="1" applyBorder="1"/>
    <xf numFmtId="0" fontId="11" fillId="0" borderId="0" xfId="0" quotePrefix="1" applyFont="1" applyFill="1" applyBorder="1" applyAlignment="1">
      <alignment horizontal="left" indent="3"/>
    </xf>
    <xf numFmtId="167" fontId="66" fillId="0" borderId="0" xfId="236" applyNumberFormat="1" applyFont="1" applyFill="1" applyBorder="1"/>
    <xf numFmtId="0" fontId="13" fillId="0" borderId="0" xfId="0" quotePrefix="1" applyFont="1" applyFill="1" applyBorder="1" applyAlignment="1">
      <alignment horizontal="left" indent="4"/>
    </xf>
    <xf numFmtId="165" fontId="13" fillId="0" borderId="17" xfId="262" applyNumberFormat="1" applyFont="1" applyFill="1" applyBorder="1"/>
    <xf numFmtId="168" fontId="13" fillId="0" borderId="17" xfId="262" applyNumberFormat="1" applyFont="1" applyFill="1" applyBorder="1"/>
    <xf numFmtId="0" fontId="13" fillId="0" borderId="6" xfId="0" quotePrefix="1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1" fillId="0" borderId="34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34" xfId="0" quotePrefix="1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28" xfId="0" applyFont="1" applyFill="1" applyBorder="1"/>
    <xf numFmtId="165" fontId="11" fillId="0" borderId="0" xfId="262" applyNumberFormat="1" applyFont="1" applyFill="1"/>
    <xf numFmtId="0" fontId="11" fillId="0" borderId="0" xfId="0" applyFont="1" applyFill="1" applyAlignment="1">
      <alignment horizontal="left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0" fontId="11" fillId="0" borderId="0" xfId="0" applyFont="1" applyBorder="1" applyAlignment="1"/>
    <xf numFmtId="0" fontId="11" fillId="0" borderId="0" xfId="0" quotePrefix="1" applyFont="1" applyBorder="1" applyAlignment="1">
      <alignment horizontal="center"/>
    </xf>
    <xf numFmtId="0" fontId="11" fillId="0" borderId="0" xfId="0" applyFont="1" applyAlignment="1"/>
    <xf numFmtId="168" fontId="11" fillId="0" borderId="31" xfId="0" applyNumberFormat="1" applyFont="1" applyFill="1" applyBorder="1"/>
    <xf numFmtId="0" fontId="11" fillId="0" borderId="31" xfId="0" applyFont="1" applyFill="1" applyBorder="1"/>
    <xf numFmtId="168" fontId="66" fillId="38" borderId="32" xfId="0" quotePrefix="1" applyNumberFormat="1" applyFont="1" applyFill="1" applyBorder="1" applyAlignment="1"/>
    <xf numFmtId="0" fontId="11" fillId="38" borderId="0" xfId="0" applyFont="1" applyFill="1"/>
    <xf numFmtId="168" fontId="11" fillId="0" borderId="40" xfId="0" quotePrefix="1" applyNumberFormat="1" applyFont="1" applyFill="1" applyBorder="1" applyAlignment="1"/>
    <xf numFmtId="183" fontId="11" fillId="0" borderId="0" xfId="0" applyNumberFormat="1" applyFont="1"/>
    <xf numFmtId="0" fontId="13" fillId="0" borderId="0" xfId="432" applyFont="1" applyFill="1"/>
    <xf numFmtId="0" fontId="13" fillId="0" borderId="18" xfId="432" applyFont="1" applyFill="1" applyBorder="1" applyAlignment="1">
      <alignment horizontal="center" wrapText="1"/>
    </xf>
    <xf numFmtId="0" fontId="64" fillId="0" borderId="18" xfId="432" quotePrefix="1" applyFont="1" applyFill="1" applyBorder="1" applyAlignment="1">
      <alignment horizontal="center" wrapText="1"/>
    </xf>
    <xf numFmtId="0" fontId="13" fillId="0" borderId="18" xfId="432" quotePrefix="1" applyFont="1" applyFill="1" applyBorder="1" applyAlignment="1">
      <alignment horizontal="center" wrapText="1"/>
    </xf>
    <xf numFmtId="0" fontId="11" fillId="0" borderId="0" xfId="432" applyFont="1" applyFill="1" applyAlignment="1">
      <alignment horizontal="center"/>
    </xf>
    <xf numFmtId="164" fontId="11" fillId="0" borderId="0" xfId="432" applyNumberFormat="1" applyFont="1" applyFill="1"/>
    <xf numFmtId="168" fontId="66" fillId="0" borderId="0" xfId="432" applyNumberFormat="1" applyFont="1" applyFill="1"/>
    <xf numFmtId="165" fontId="11" fillId="0" borderId="0" xfId="432" applyNumberFormat="1" applyFont="1" applyFill="1"/>
    <xf numFmtId="0" fontId="11" fillId="0" borderId="0" xfId="432" quotePrefix="1" applyFont="1" applyFill="1" applyAlignment="1">
      <alignment horizontal="center"/>
    </xf>
    <xf numFmtId="164" fontId="11" fillId="0" borderId="3" xfId="432" applyNumberFormat="1" applyFont="1" applyFill="1" applyBorder="1"/>
    <xf numFmtId="168" fontId="11" fillId="0" borderId="3" xfId="432" applyNumberFormat="1" applyFont="1" applyFill="1" applyBorder="1"/>
    <xf numFmtId="165" fontId="11" fillId="0" borderId="3" xfId="432" applyNumberFormat="1" applyFont="1" applyFill="1" applyBorder="1"/>
    <xf numFmtId="168" fontId="11" fillId="0" borderId="0" xfId="432" applyNumberFormat="1" applyFont="1" applyFill="1"/>
    <xf numFmtId="168" fontId="65" fillId="0" borderId="0" xfId="432" applyNumberFormat="1" applyFont="1" applyFill="1"/>
    <xf numFmtId="0" fontId="11" fillId="0" borderId="0" xfId="432" quotePrefix="1" applyFont="1" applyFill="1" applyAlignment="1">
      <alignment horizontal="left"/>
    </xf>
    <xf numFmtId="164" fontId="11" fillId="0" borderId="17" xfId="236" applyNumberFormat="1" applyFont="1" applyFill="1" applyBorder="1"/>
    <xf numFmtId="165" fontId="11" fillId="0" borderId="17" xfId="262" applyNumberFormat="1" applyFont="1" applyFill="1" applyBorder="1"/>
    <xf numFmtId="164" fontId="11" fillId="0" borderId="0" xfId="432" applyNumberFormat="1" applyFont="1"/>
    <xf numFmtId="164" fontId="66" fillId="0" borderId="0" xfId="432" applyNumberFormat="1" applyFont="1" applyFill="1"/>
    <xf numFmtId="0" fontId="11" fillId="0" borderId="0" xfId="0" applyFont="1" applyFill="1" applyBorder="1" applyAlignment="1">
      <alignment horizontal="right" wrapText="1"/>
    </xf>
    <xf numFmtId="44" fontId="11" fillId="0" borderId="0" xfId="262" applyFont="1" applyFill="1" applyBorder="1" applyAlignment="1">
      <alignment horizontal="right" wrapText="1"/>
    </xf>
    <xf numFmtId="0" fontId="13" fillId="0" borderId="0" xfId="0" quotePrefix="1" applyFont="1" applyFill="1" applyAlignment="1">
      <alignment horizontal="right"/>
    </xf>
    <xf numFmtId="165" fontId="13" fillId="0" borderId="17" xfId="263" applyNumberFormat="1" applyFont="1" applyFill="1" applyBorder="1"/>
    <xf numFmtId="165" fontId="64" fillId="0" borderId="3" xfId="262" applyNumberFormat="1" applyFont="1" applyFill="1" applyBorder="1"/>
    <xf numFmtId="0" fontId="74" fillId="39" borderId="0" xfId="0" applyFont="1" applyFill="1" applyBorder="1"/>
    <xf numFmtId="0" fontId="75" fillId="39" borderId="0" xfId="0" applyFont="1" applyFill="1" applyBorder="1"/>
    <xf numFmtId="0" fontId="11" fillId="39" borderId="0" xfId="433" applyFont="1" applyFill="1" applyBorder="1"/>
    <xf numFmtId="0" fontId="11" fillId="0" borderId="0" xfId="433" applyFont="1" applyFill="1" applyBorder="1"/>
    <xf numFmtId="0" fontId="62" fillId="39" borderId="0" xfId="0" applyFont="1" applyFill="1" applyBorder="1"/>
    <xf numFmtId="0" fontId="13" fillId="0" borderId="0" xfId="433" applyFont="1" applyFill="1" applyBorder="1"/>
    <xf numFmtId="0" fontId="13" fillId="0" borderId="0" xfId="433" applyFont="1" applyFill="1" applyBorder="1" applyAlignment="1">
      <alignment horizontal="center"/>
    </xf>
    <xf numFmtId="182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436" applyFont="1" applyFill="1" applyBorder="1" applyAlignment="1">
      <alignment horizontal="center"/>
    </xf>
    <xf numFmtId="2" fontId="65" fillId="0" borderId="0" xfId="433" applyNumberFormat="1" applyFont="1" applyFill="1" applyBorder="1"/>
    <xf numFmtId="3" fontId="11" fillId="0" borderId="0" xfId="433" applyNumberFormat="1" applyFont="1" applyFill="1" applyBorder="1"/>
    <xf numFmtId="165" fontId="65" fillId="0" borderId="0" xfId="0" applyNumberFormat="1" applyFont="1" applyFill="1" applyBorder="1"/>
    <xf numFmtId="3" fontId="65" fillId="0" borderId="0" xfId="433" applyNumberFormat="1" applyFont="1" applyFill="1" applyBorder="1"/>
    <xf numFmtId="2" fontId="11" fillId="0" borderId="0" xfId="433" applyNumberFormat="1" applyFont="1" applyFill="1" applyBorder="1"/>
    <xf numFmtId="0" fontId="11" fillId="0" borderId="0" xfId="433" applyFont="1" applyFill="1" applyBorder="1" applyAlignment="1">
      <alignment horizontal="right"/>
    </xf>
    <xf numFmtId="165" fontId="11" fillId="0" borderId="0" xfId="433" applyNumberFormat="1" applyFont="1" applyFill="1" applyBorder="1"/>
    <xf numFmtId="165" fontId="65" fillId="0" borderId="0" xfId="433" applyNumberFormat="1" applyFont="1" applyFill="1" applyBorder="1"/>
    <xf numFmtId="0" fontId="11" fillId="0" borderId="0" xfId="436" applyFont="1" applyFill="1" applyBorder="1"/>
    <xf numFmtId="185" fontId="65" fillId="0" borderId="0" xfId="433" applyNumberFormat="1" applyFont="1" applyFill="1" applyBorder="1"/>
    <xf numFmtId="0" fontId="11" fillId="0" borderId="0" xfId="433" applyFont="1" applyFill="1" applyBorder="1" applyAlignment="1">
      <alignment horizontal="left"/>
    </xf>
    <xf numFmtId="0" fontId="11" fillId="0" borderId="0" xfId="433" applyFont="1" applyFill="1" applyBorder="1" applyAlignment="1">
      <alignment horizontal="center"/>
    </xf>
    <xf numFmtId="3" fontId="67" fillId="0" borderId="0" xfId="0" applyNumberFormat="1" applyFont="1"/>
    <xf numFmtId="0" fontId="71" fillId="0" borderId="0" xfId="0" applyFont="1" applyFill="1"/>
    <xf numFmtId="164" fontId="71" fillId="0" borderId="0" xfId="0" applyNumberFormat="1" applyFont="1" applyFill="1"/>
    <xf numFmtId="168" fontId="66" fillId="0" borderId="31" xfId="0" applyNumberFormat="1" applyFont="1" applyFill="1" applyBorder="1"/>
    <xf numFmtId="0" fontId="64" fillId="0" borderId="0" xfId="0" applyFont="1" applyAlignment="1">
      <alignment horizontal="centerContinuous" vertical="center"/>
    </xf>
    <xf numFmtId="43" fontId="11" fillId="0" borderId="0" xfId="0" applyNumberFormat="1" applyFont="1" applyFill="1"/>
    <xf numFmtId="168" fontId="11" fillId="0" borderId="29" xfId="0" quotePrefix="1" applyNumberFormat="1" applyFont="1" applyFill="1" applyBorder="1" applyAlignment="1"/>
    <xf numFmtId="168" fontId="11" fillId="0" borderId="25" xfId="0" quotePrefix="1" applyNumberFormat="1" applyFont="1" applyFill="1" applyBorder="1" applyAlignment="1"/>
    <xf numFmtId="168" fontId="11" fillId="0" borderId="51" xfId="0" quotePrefix="1" applyNumberFormat="1" applyFont="1" applyFill="1" applyBorder="1" applyAlignment="1"/>
    <xf numFmtId="168" fontId="66" fillId="0" borderId="32" xfId="0" applyNumberFormat="1" applyFont="1" applyFill="1" applyBorder="1"/>
    <xf numFmtId="168" fontId="66" fillId="0" borderId="0" xfId="262" applyNumberFormat="1" applyFont="1" applyFill="1"/>
    <xf numFmtId="0" fontId="60" fillId="0" borderId="0" xfId="438" applyFont="1"/>
    <xf numFmtId="0" fontId="67" fillId="0" borderId="0" xfId="438" applyFont="1"/>
    <xf numFmtId="3" fontId="60" fillId="37" borderId="33" xfId="438" applyNumberFormat="1" applyFont="1" applyFill="1" applyBorder="1"/>
    <xf numFmtId="3" fontId="60" fillId="37" borderId="18" xfId="438" applyNumberFormat="1" applyFont="1" applyFill="1" applyBorder="1"/>
    <xf numFmtId="3" fontId="60" fillId="37" borderId="30" xfId="438" applyNumberFormat="1" applyFont="1" applyFill="1" applyBorder="1" applyAlignment="1">
      <alignment horizontal="right"/>
    </xf>
    <xf numFmtId="0" fontId="60" fillId="37" borderId="33" xfId="438" applyFont="1" applyFill="1" applyBorder="1" applyAlignment="1">
      <alignment horizontal="center"/>
    </xf>
    <xf numFmtId="0" fontId="60" fillId="37" borderId="33" xfId="438" applyFont="1" applyFill="1" applyBorder="1"/>
    <xf numFmtId="3" fontId="60" fillId="37" borderId="32" xfId="438" applyNumberFormat="1" applyFont="1" applyFill="1" applyBorder="1"/>
    <xf numFmtId="3" fontId="60" fillId="37" borderId="0" xfId="438" applyNumberFormat="1" applyFont="1" applyFill="1"/>
    <xf numFmtId="3" fontId="60" fillId="37" borderId="28" xfId="438" applyNumberFormat="1" applyFont="1" applyFill="1" applyBorder="1" applyAlignment="1">
      <alignment horizontal="right"/>
    </xf>
    <xf numFmtId="0" fontId="60" fillId="37" borderId="32" xfId="438" applyFont="1" applyFill="1" applyBorder="1" applyAlignment="1">
      <alignment horizontal="center"/>
    </xf>
    <xf numFmtId="0" fontId="60" fillId="37" borderId="32" xfId="438" applyFont="1" applyFill="1" applyBorder="1"/>
    <xf numFmtId="0" fontId="60" fillId="37" borderId="31" xfId="438" applyFont="1" applyFill="1" applyBorder="1" applyAlignment="1">
      <alignment horizontal="center"/>
    </xf>
    <xf numFmtId="3" fontId="60" fillId="37" borderId="31" xfId="438" applyNumberFormat="1" applyFont="1" applyFill="1" applyBorder="1"/>
    <xf numFmtId="3" fontId="60" fillId="37" borderId="19" xfId="438" applyNumberFormat="1" applyFont="1" applyFill="1" applyBorder="1"/>
    <xf numFmtId="3" fontId="60" fillId="37" borderId="34" xfId="438" applyNumberFormat="1" applyFont="1" applyFill="1" applyBorder="1" applyAlignment="1">
      <alignment horizontal="right"/>
    </xf>
    <xf numFmtId="0" fontId="68" fillId="37" borderId="0" xfId="438" applyFont="1" applyFill="1" applyAlignment="1">
      <alignment horizontal="center"/>
    </xf>
    <xf numFmtId="0" fontId="68" fillId="37" borderId="6" xfId="438" applyFont="1" applyFill="1" applyBorder="1" applyAlignment="1">
      <alignment horizontal="center"/>
    </xf>
    <xf numFmtId="0" fontId="68" fillId="37" borderId="24" xfId="438" applyFont="1" applyFill="1" applyBorder="1" applyAlignment="1">
      <alignment horizontal="center"/>
    </xf>
    <xf numFmtId="0" fontId="68" fillId="37" borderId="3" xfId="438" applyFont="1" applyFill="1" applyBorder="1" applyAlignment="1">
      <alignment horizontal="center"/>
    </xf>
    <xf numFmtId="0" fontId="68" fillId="37" borderId="39" xfId="438" applyFont="1" applyFill="1" applyBorder="1" applyAlignment="1">
      <alignment horizontal="center"/>
    </xf>
    <xf numFmtId="0" fontId="60" fillId="37" borderId="0" xfId="438" applyFont="1" applyFill="1"/>
    <xf numFmtId="0" fontId="62" fillId="37" borderId="0" xfId="438" applyFont="1" applyFill="1"/>
    <xf numFmtId="0" fontId="61" fillId="37" borderId="0" xfId="438" applyFont="1" applyFill="1"/>
    <xf numFmtId="0" fontId="67" fillId="37" borderId="0" xfId="438" applyFont="1" applyFill="1"/>
    <xf numFmtId="0" fontId="72" fillId="37" borderId="0" xfId="438" applyFont="1" applyFill="1"/>
    <xf numFmtId="164" fontId="67" fillId="0" borderId="0" xfId="236" applyNumberFormat="1" applyFont="1"/>
    <xf numFmtId="6" fontId="11" fillId="0" borderId="0" xfId="433" applyNumberFormat="1" applyFont="1" applyFill="1" applyBorder="1"/>
    <xf numFmtId="0" fontId="11" fillId="0" borderId="0" xfId="436" applyFont="1" applyFill="1" applyBorder="1" applyAlignment="1">
      <alignment horizontal="center"/>
    </xf>
    <xf numFmtId="184" fontId="65" fillId="0" borderId="0" xfId="436" applyNumberFormat="1" applyFont="1" applyFill="1" applyBorder="1" applyAlignment="1">
      <alignment horizontal="left"/>
    </xf>
    <xf numFmtId="6" fontId="65" fillId="0" borderId="0" xfId="433" applyNumberFormat="1" applyFont="1" applyFill="1" applyBorder="1"/>
    <xf numFmtId="0" fontId="62" fillId="0" borderId="0" xfId="0" applyFont="1" applyFill="1" applyBorder="1"/>
    <xf numFmtId="0" fontId="75" fillId="0" borderId="0" xfId="0" applyFont="1" applyFill="1" applyBorder="1"/>
    <xf numFmtId="0" fontId="11" fillId="0" borderId="0" xfId="433" applyFont="1" applyFill="1"/>
    <xf numFmtId="0" fontId="11" fillId="0" borderId="0" xfId="0" applyFont="1" applyFill="1" applyBorder="1" applyAlignment="1"/>
    <xf numFmtId="0" fontId="13" fillId="0" borderId="0" xfId="0" applyFont="1" applyFill="1" applyBorder="1" applyAlignment="1"/>
    <xf numFmtId="0" fontId="11" fillId="0" borderId="34" xfId="436" applyFont="1" applyFill="1" applyBorder="1"/>
    <xf numFmtId="0" fontId="11" fillId="0" borderId="28" xfId="436" applyFont="1" applyFill="1" applyBorder="1"/>
    <xf numFmtId="0" fontId="11" fillId="0" borderId="29" xfId="436" applyFont="1" applyFill="1" applyBorder="1" applyAlignment="1">
      <alignment horizontal="center"/>
    </xf>
    <xf numFmtId="0" fontId="11" fillId="0" borderId="28" xfId="433" applyFont="1" applyFill="1" applyBorder="1"/>
    <xf numFmtId="0" fontId="11" fillId="0" borderId="30" xfId="433" applyFont="1" applyFill="1" applyBorder="1"/>
    <xf numFmtId="0" fontId="13" fillId="0" borderId="0" xfId="432" applyFont="1" applyFill="1" applyAlignment="1">
      <alignment horizontal="center"/>
    </xf>
    <xf numFmtId="0" fontId="13" fillId="0" borderId="0" xfId="432" quotePrefix="1" applyFont="1" applyFill="1" applyAlignment="1">
      <alignment horizontal="center"/>
    </xf>
    <xf numFmtId="0" fontId="11" fillId="0" borderId="28" xfId="0" applyFont="1" applyFill="1" applyBorder="1" applyAlignment="1">
      <alignment horizontal="center"/>
    </xf>
    <xf numFmtId="164" fontId="11" fillId="0" borderId="32" xfId="0" applyNumberFormat="1" applyFont="1" applyFill="1" applyBorder="1"/>
    <xf numFmtId="164" fontId="11" fillId="0" borderId="33" xfId="0" applyNumberFormat="1" applyFont="1" applyFill="1" applyBorder="1"/>
    <xf numFmtId="0" fontId="67" fillId="0" borderId="0" xfId="0" applyFont="1" applyAlignment="1" applyProtection="1">
      <alignment horizontal="centerContinuous"/>
      <protection locked="0"/>
    </xf>
    <xf numFmtId="0" fontId="67" fillId="0" borderId="0" xfId="0" applyFont="1" applyAlignment="1">
      <alignment horizontal="centerContinuous"/>
    </xf>
    <xf numFmtId="169" fontId="13" fillId="0" borderId="0" xfId="0" applyNumberFormat="1" applyFont="1" applyAlignment="1">
      <alignment horizontal="right"/>
    </xf>
    <xf numFmtId="0" fontId="60" fillId="0" borderId="0" xfId="440" applyFont="1"/>
    <xf numFmtId="0" fontId="60" fillId="38" borderId="0" xfId="440" applyFont="1" applyFill="1"/>
    <xf numFmtId="0" fontId="63" fillId="38" borderId="0" xfId="440" applyFont="1" applyFill="1"/>
    <xf numFmtId="0" fontId="13" fillId="0" borderId="0" xfId="437" applyFont="1" applyAlignment="1">
      <alignment horizontal="centerContinuous" vertical="center"/>
    </xf>
    <xf numFmtId="0" fontId="13" fillId="0" borderId="0" xfId="437" applyFont="1"/>
    <xf numFmtId="0" fontId="11" fillId="0" borderId="0" xfId="437" applyFont="1" applyAlignment="1">
      <alignment horizontal="centerContinuous" vertical="center"/>
    </xf>
    <xf numFmtId="0" fontId="11" fillId="0" borderId="0" xfId="437" applyFont="1"/>
    <xf numFmtId="164" fontId="11" fillId="0" borderId="0" xfId="437" applyNumberFormat="1" applyFont="1"/>
    <xf numFmtId="44" fontId="11" fillId="0" borderId="0" xfId="435" applyFont="1"/>
    <xf numFmtId="44" fontId="11" fillId="0" borderId="0" xfId="437" applyNumberFormat="1" applyFont="1"/>
    <xf numFmtId="10" fontId="11" fillId="0" borderId="0" xfId="431" applyNumberFormat="1" applyFont="1"/>
    <xf numFmtId="164" fontId="11" fillId="0" borderId="17" xfId="437" applyNumberFormat="1" applyFont="1" applyBorder="1"/>
    <xf numFmtId="44" fontId="11" fillId="0" borderId="17" xfId="435" applyFont="1" applyBorder="1"/>
    <xf numFmtId="10" fontId="11" fillId="0" borderId="17" xfId="431" applyNumberFormat="1" applyFont="1" applyBorder="1"/>
    <xf numFmtId="0" fontId="63" fillId="0" borderId="0" xfId="0" applyFont="1" applyAlignment="1">
      <alignment horizontal="centerContinuous"/>
    </xf>
    <xf numFmtId="0" fontId="64" fillId="0" borderId="0" xfId="0" applyFont="1" applyAlignment="1">
      <alignment horizontal="centerContinuous"/>
    </xf>
    <xf numFmtId="0" fontId="66" fillId="0" borderId="0" xfId="0" applyFont="1" applyAlignment="1">
      <alignment horizontal="centerContinuous"/>
    </xf>
    <xf numFmtId="0" fontId="66" fillId="0" borderId="0" xfId="0" applyFont="1" applyAlignment="1">
      <alignment horizontal="centerContinuous" wrapText="1"/>
    </xf>
    <xf numFmtId="0" fontId="13" fillId="0" borderId="0" xfId="0" applyFont="1" applyAlignment="1" applyProtection="1">
      <alignment horizontal="centerContinuous"/>
      <protection locked="0"/>
    </xf>
    <xf numFmtId="0" fontId="13" fillId="0" borderId="0" xfId="0" applyFont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8" xfId="0" applyFont="1" applyBorder="1" applyProtection="1">
      <protection locked="0"/>
    </xf>
    <xf numFmtId="0" fontId="13" fillId="0" borderId="18" xfId="0" applyFont="1" applyBorder="1"/>
    <xf numFmtId="0" fontId="13" fillId="0" borderId="18" xfId="0" applyFont="1" applyBorder="1" applyAlignment="1">
      <alignment horizontal="right"/>
    </xf>
    <xf numFmtId="0" fontId="11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66" fillId="0" borderId="0" xfId="0" applyFont="1"/>
    <xf numFmtId="169" fontId="66" fillId="0" borderId="0" xfId="0" applyNumberFormat="1" applyFont="1"/>
    <xf numFmtId="169" fontId="11" fillId="0" borderId="0" xfId="0" applyNumberFormat="1" applyFont="1"/>
    <xf numFmtId="169" fontId="65" fillId="38" borderId="0" xfId="0" applyNumberFormat="1" applyFont="1" applyFill="1"/>
    <xf numFmtId="181" fontId="66" fillId="0" borderId="0" xfId="0" applyNumberFormat="1" applyFont="1"/>
    <xf numFmtId="169" fontId="60" fillId="0" borderId="18" xfId="0" applyNumberFormat="1" applyFont="1" applyBorder="1"/>
    <xf numFmtId="181" fontId="11" fillId="0" borderId="0" xfId="0" applyNumberFormat="1" applyFont="1"/>
    <xf numFmtId="169" fontId="67" fillId="38" borderId="0" xfId="0" applyNumberFormat="1" applyFont="1" applyFill="1"/>
    <xf numFmtId="9" fontId="66" fillId="0" borderId="0" xfId="0" applyNumberFormat="1" applyFont="1"/>
    <xf numFmtId="169" fontId="60" fillId="0" borderId="0" xfId="0" applyNumberFormat="1" applyFont="1"/>
    <xf numFmtId="9" fontId="11" fillId="0" borderId="0" xfId="0" applyNumberFormat="1" applyFont="1"/>
    <xf numFmtId="169" fontId="11" fillId="0" borderId="17" xfId="0" applyNumberFormat="1" applyFont="1" applyBorder="1" applyProtection="1">
      <protection locked="0"/>
    </xf>
    <xf numFmtId="44" fontId="11" fillId="0" borderId="0" xfId="262" applyFont="1" applyFill="1" applyBorder="1"/>
    <xf numFmtId="44" fontId="65" fillId="0" borderId="29" xfId="262" applyFont="1" applyFill="1" applyBorder="1"/>
    <xf numFmtId="44" fontId="11" fillId="0" borderId="29" xfId="262" applyFont="1" applyFill="1" applyBorder="1"/>
    <xf numFmtId="44" fontId="11" fillId="0" borderId="18" xfId="262" applyFont="1" applyFill="1" applyBorder="1"/>
    <xf numFmtId="44" fontId="65" fillId="0" borderId="25" xfId="262" applyFont="1" applyFill="1" applyBorder="1"/>
    <xf numFmtId="44" fontId="11" fillId="0" borderId="17" xfId="262" applyFont="1" applyFill="1" applyBorder="1"/>
    <xf numFmtId="44" fontId="65" fillId="0" borderId="59" xfId="262" applyFont="1" applyFill="1" applyBorder="1"/>
    <xf numFmtId="164" fontId="11" fillId="0" borderId="42" xfId="0" applyNumberFormat="1" applyFont="1" applyFill="1" applyBorder="1"/>
    <xf numFmtId="0" fontId="70" fillId="0" borderId="26" xfId="0" quotePrefix="1" applyFont="1" applyFill="1" applyBorder="1" applyAlignment="1"/>
    <xf numFmtId="164" fontId="70" fillId="0" borderId="27" xfId="0" applyNumberFormat="1" applyFont="1" applyFill="1" applyBorder="1"/>
    <xf numFmtId="0" fontId="13" fillId="0" borderId="24" xfId="0" quotePrefix="1" applyFont="1" applyFill="1" applyBorder="1" applyAlignment="1">
      <alignment horizontal="center" wrapText="1"/>
    </xf>
    <xf numFmtId="0" fontId="13" fillId="38" borderId="28" xfId="433" applyFont="1" applyFill="1" applyBorder="1"/>
    <xf numFmtId="44" fontId="13" fillId="38" borderId="0" xfId="262" applyFont="1" applyFill="1" applyBorder="1"/>
    <xf numFmtId="44" fontId="65" fillId="38" borderId="29" xfId="262" applyFont="1" applyFill="1" applyBorder="1"/>
    <xf numFmtId="0" fontId="13" fillId="38" borderId="19" xfId="436" applyFont="1" applyFill="1" applyBorder="1" applyAlignment="1">
      <alignment horizontal="center"/>
    </xf>
    <xf numFmtId="182" fontId="13" fillId="38" borderId="35" xfId="0" applyNumberFormat="1" applyFont="1" applyFill="1" applyBorder="1" applyAlignment="1" applyProtection="1">
      <alignment horizontal="center" vertical="center" wrapText="1"/>
    </xf>
    <xf numFmtId="0" fontId="13" fillId="38" borderId="0" xfId="436" applyFont="1" applyFill="1" applyBorder="1" applyAlignment="1">
      <alignment horizontal="center"/>
    </xf>
    <xf numFmtId="0" fontId="13" fillId="38" borderId="29" xfId="436" applyFont="1" applyFill="1" applyBorder="1" applyAlignment="1">
      <alignment horizontal="center"/>
    </xf>
    <xf numFmtId="0" fontId="64" fillId="38" borderId="6" xfId="0" quotePrefix="1" applyFont="1" applyFill="1" applyBorder="1" applyAlignment="1">
      <alignment horizontal="center" wrapText="1"/>
    </xf>
    <xf numFmtId="168" fontId="66" fillId="38" borderId="32" xfId="0" applyNumberFormat="1" applyFont="1" applyFill="1" applyBorder="1"/>
    <xf numFmtId="164" fontId="65" fillId="38" borderId="17" xfId="0" applyNumberFormat="1" applyFont="1" applyFill="1" applyBorder="1"/>
    <xf numFmtId="0" fontId="66" fillId="38" borderId="50" xfId="0" quotePrefix="1" applyFont="1" applyFill="1" applyBorder="1" applyAlignment="1">
      <alignment horizontal="centerContinuous"/>
    </xf>
    <xf numFmtId="0" fontId="11" fillId="38" borderId="2" xfId="0" quotePrefix="1" applyFont="1" applyFill="1" applyBorder="1" applyAlignment="1">
      <alignment horizontal="centerContinuous"/>
    </xf>
    <xf numFmtId="0" fontId="11" fillId="38" borderId="27" xfId="0" quotePrefix="1" applyFont="1" applyFill="1" applyBorder="1" applyAlignment="1">
      <alignment horizontal="centerContinuous"/>
    </xf>
    <xf numFmtId="0" fontId="11" fillId="38" borderId="13" xfId="0" applyFont="1" applyFill="1" applyBorder="1" applyAlignment="1">
      <alignment horizontal="center" vertical="center" wrapText="1"/>
    </xf>
    <xf numFmtId="0" fontId="11" fillId="38" borderId="49" xfId="0" applyFont="1" applyFill="1" applyBorder="1" applyAlignment="1">
      <alignment horizontal="center" vertical="center" wrapText="1"/>
    </xf>
    <xf numFmtId="0" fontId="73" fillId="38" borderId="0" xfId="0" applyFont="1" applyFill="1" applyBorder="1"/>
    <xf numFmtId="164" fontId="66" fillId="38" borderId="0" xfId="0" applyNumberFormat="1" applyFont="1" applyFill="1" applyBorder="1"/>
    <xf numFmtId="164" fontId="11" fillId="38" borderId="44" xfId="0" applyNumberFormat="1" applyFont="1" applyFill="1" applyBorder="1"/>
    <xf numFmtId="0" fontId="11" fillId="38" borderId="0" xfId="0" applyFont="1" applyFill="1" applyBorder="1"/>
    <xf numFmtId="0" fontId="13" fillId="38" borderId="17" xfId="0" applyFont="1" applyFill="1" applyBorder="1"/>
    <xf numFmtId="164" fontId="13" fillId="38" borderId="17" xfId="0" applyNumberFormat="1" applyFont="1" applyFill="1" applyBorder="1"/>
    <xf numFmtId="164" fontId="13" fillId="38" borderId="48" xfId="0" applyNumberFormat="1" applyFont="1" applyFill="1" applyBorder="1"/>
    <xf numFmtId="0" fontId="11" fillId="38" borderId="13" xfId="0" applyFont="1" applyFill="1" applyBorder="1"/>
    <xf numFmtId="164" fontId="11" fillId="38" borderId="13" xfId="0" applyNumberFormat="1" applyFont="1" applyFill="1" applyBorder="1"/>
    <xf numFmtId="164" fontId="11" fillId="38" borderId="49" xfId="0" applyNumberFormat="1" applyFont="1" applyFill="1" applyBorder="1"/>
    <xf numFmtId="0" fontId="11" fillId="0" borderId="0" xfId="437" quotePrefix="1" applyFont="1" applyAlignment="1">
      <alignment horizontal="center"/>
    </xf>
    <xf numFmtId="0" fontId="11" fillId="0" borderId="0" xfId="437" applyFont="1" applyAlignment="1">
      <alignment horizontal="center"/>
    </xf>
    <xf numFmtId="14" fontId="11" fillId="0" borderId="0" xfId="437" applyNumberFormat="1" applyFont="1"/>
    <xf numFmtId="0" fontId="13" fillId="37" borderId="26" xfId="437" applyFont="1" applyFill="1" applyBorder="1" applyAlignment="1">
      <alignment horizontal="center" wrapText="1"/>
    </xf>
    <xf numFmtId="0" fontId="13" fillId="37" borderId="50" xfId="437" applyFont="1" applyFill="1" applyBorder="1" applyAlignment="1">
      <alignment horizontal="center" wrapText="1"/>
    </xf>
    <xf numFmtId="0" fontId="13" fillId="0" borderId="18" xfId="437" applyFont="1" applyBorder="1" applyAlignment="1">
      <alignment horizontal="center" wrapText="1"/>
    </xf>
    <xf numFmtId="0" fontId="13" fillId="0" borderId="18" xfId="437" quotePrefix="1" applyFont="1" applyBorder="1" applyAlignment="1">
      <alignment horizontal="center" wrapText="1"/>
    </xf>
    <xf numFmtId="17" fontId="13" fillId="0" borderId="18" xfId="437" quotePrefix="1" applyNumberFormat="1" applyFont="1" applyBorder="1" applyAlignment="1">
      <alignment horizontal="center" wrapText="1"/>
    </xf>
    <xf numFmtId="17" fontId="13" fillId="0" borderId="0" xfId="437" quotePrefix="1" applyNumberFormat="1" applyFont="1" applyAlignment="1">
      <alignment horizontal="center" wrapText="1"/>
    </xf>
    <xf numFmtId="17" fontId="13" fillId="37" borderId="26" xfId="437" quotePrefix="1" applyNumberFormat="1" applyFont="1" applyFill="1" applyBorder="1" applyAlignment="1">
      <alignment horizontal="center" wrapText="1"/>
    </xf>
    <xf numFmtId="17" fontId="13" fillId="37" borderId="50" xfId="437" quotePrefix="1" applyNumberFormat="1" applyFont="1" applyFill="1" applyBorder="1" applyAlignment="1">
      <alignment horizontal="center" wrapText="1"/>
    </xf>
    <xf numFmtId="17" fontId="13" fillId="37" borderId="53" xfId="437" quotePrefix="1" applyNumberFormat="1" applyFont="1" applyFill="1" applyBorder="1" applyAlignment="1">
      <alignment horizontal="center" wrapText="1"/>
    </xf>
    <xf numFmtId="0" fontId="13" fillId="37" borderId="55" xfId="437" quotePrefix="1" applyFont="1" applyFill="1" applyBorder="1" applyAlignment="1">
      <alignment horizontal="center" wrapText="1"/>
    </xf>
    <xf numFmtId="165" fontId="11" fillId="0" borderId="0" xfId="435" applyNumberFormat="1" applyFont="1" applyFill="1"/>
    <xf numFmtId="165" fontId="11" fillId="0" borderId="0" xfId="437" applyNumberFormat="1" applyFont="1"/>
    <xf numFmtId="165" fontId="11" fillId="37" borderId="43" xfId="437" applyNumberFormat="1" applyFont="1" applyFill="1" applyBorder="1"/>
    <xf numFmtId="165" fontId="11" fillId="37" borderId="56" xfId="437" applyNumberFormat="1" applyFont="1" applyFill="1" applyBorder="1"/>
    <xf numFmtId="165" fontId="11" fillId="37" borderId="0" xfId="437" applyNumberFormat="1" applyFont="1" applyFill="1"/>
    <xf numFmtId="168" fontId="11" fillId="37" borderId="0" xfId="437" applyNumberFormat="1" applyFont="1" applyFill="1"/>
    <xf numFmtId="10" fontId="11" fillId="37" borderId="44" xfId="437" applyNumberFormat="1" applyFont="1" applyFill="1" applyBorder="1"/>
    <xf numFmtId="186" fontId="11" fillId="0" borderId="0" xfId="437" applyNumberFormat="1" applyFont="1"/>
    <xf numFmtId="164" fontId="11" fillId="0" borderId="3" xfId="437" applyNumberFormat="1" applyFont="1" applyBorder="1"/>
    <xf numFmtId="165" fontId="11" fillId="0" borderId="3" xfId="435" applyNumberFormat="1" applyFont="1" applyFill="1" applyBorder="1"/>
    <xf numFmtId="165" fontId="11" fillId="0" borderId="3" xfId="437" applyNumberFormat="1" applyFont="1" applyBorder="1"/>
    <xf numFmtId="165" fontId="11" fillId="37" borderId="45" xfId="437" applyNumberFormat="1" applyFont="1" applyFill="1" applyBorder="1"/>
    <xf numFmtId="165" fontId="11" fillId="37" borderId="57" xfId="437" applyNumberFormat="1" applyFont="1" applyFill="1" applyBorder="1"/>
    <xf numFmtId="165" fontId="11" fillId="37" borderId="3" xfId="437" applyNumberFormat="1" applyFont="1" applyFill="1" applyBorder="1"/>
    <xf numFmtId="168" fontId="11" fillId="37" borderId="3" xfId="437" applyNumberFormat="1" applyFont="1" applyFill="1" applyBorder="1"/>
    <xf numFmtId="10" fontId="11" fillId="37" borderId="46" xfId="437" applyNumberFormat="1" applyFont="1" applyFill="1" applyBorder="1"/>
    <xf numFmtId="165" fontId="11" fillId="0" borderId="0" xfId="435" applyNumberFormat="1" applyFont="1" applyFill="1" applyBorder="1"/>
    <xf numFmtId="165" fontId="11" fillId="0" borderId="17" xfId="435" applyNumberFormat="1" applyFont="1" applyFill="1" applyBorder="1"/>
    <xf numFmtId="165" fontId="11" fillId="37" borderId="47" xfId="435" applyNumberFormat="1" applyFont="1" applyFill="1" applyBorder="1"/>
    <xf numFmtId="165" fontId="11" fillId="37" borderId="58" xfId="435" applyNumberFormat="1" applyFont="1" applyFill="1" applyBorder="1"/>
    <xf numFmtId="165" fontId="11" fillId="37" borderId="17" xfId="435" applyNumberFormat="1" applyFont="1" applyFill="1" applyBorder="1"/>
    <xf numFmtId="168" fontId="11" fillId="37" borderId="17" xfId="437" applyNumberFormat="1" applyFont="1" applyFill="1" applyBorder="1"/>
    <xf numFmtId="10" fontId="11" fillId="37" borderId="48" xfId="437" applyNumberFormat="1" applyFont="1" applyFill="1" applyBorder="1"/>
    <xf numFmtId="165" fontId="11" fillId="37" borderId="45" xfId="435" applyNumberFormat="1" applyFont="1" applyFill="1" applyBorder="1"/>
    <xf numFmtId="165" fontId="11" fillId="37" borderId="13" xfId="437" applyNumberFormat="1" applyFont="1" applyFill="1" applyBorder="1"/>
    <xf numFmtId="168" fontId="11" fillId="37" borderId="52" xfId="437" applyNumberFormat="1" applyFont="1" applyFill="1" applyBorder="1"/>
    <xf numFmtId="10" fontId="11" fillId="37" borderId="54" xfId="437" applyNumberFormat="1" applyFont="1" applyFill="1" applyBorder="1"/>
    <xf numFmtId="165" fontId="11" fillId="37" borderId="13" xfId="435" applyNumberFormat="1" applyFont="1" applyFill="1" applyBorder="1"/>
    <xf numFmtId="10" fontId="11" fillId="37" borderId="49" xfId="437" applyNumberFormat="1" applyFont="1" applyFill="1" applyBorder="1"/>
    <xf numFmtId="165" fontId="66" fillId="0" borderId="0" xfId="435" applyNumberFormat="1" applyFont="1" applyFill="1"/>
    <xf numFmtId="0" fontId="71" fillId="0" borderId="0" xfId="437" applyFont="1"/>
    <xf numFmtId="164" fontId="71" fillId="0" borderId="0" xfId="439" applyNumberFormat="1" applyFont="1" applyFill="1"/>
    <xf numFmtId="165" fontId="71" fillId="0" borderId="0" xfId="435" applyNumberFormat="1" applyFont="1" applyFill="1"/>
    <xf numFmtId="165" fontId="71" fillId="0" borderId="0" xfId="437" applyNumberFormat="1" applyFont="1"/>
    <xf numFmtId="164" fontId="66" fillId="0" borderId="0" xfId="437" applyNumberFormat="1" applyFont="1"/>
    <xf numFmtId="165" fontId="66" fillId="0" borderId="3" xfId="435" applyNumberFormat="1" applyFont="1" applyFill="1" applyBorder="1"/>
    <xf numFmtId="165" fontId="66" fillId="37" borderId="56" xfId="437" applyNumberFormat="1" applyFont="1" applyFill="1" applyBorder="1"/>
    <xf numFmtId="165" fontId="66" fillId="37" borderId="57" xfId="435" applyNumberFormat="1" applyFont="1" applyFill="1" applyBorder="1"/>
    <xf numFmtId="0" fontId="63" fillId="0" borderId="3" xfId="0" applyFont="1" applyFill="1" applyBorder="1" applyAlignment="1">
      <alignment horizontal="center" wrapText="1"/>
    </xf>
    <xf numFmtId="0" fontId="65" fillId="0" borderId="0" xfId="432" applyFont="1" applyFill="1" applyAlignment="1">
      <alignment horizontal="center"/>
    </xf>
    <xf numFmtId="0" fontId="65" fillId="0" borderId="0" xfId="437" applyFont="1" applyAlignment="1">
      <alignment horizontal="center"/>
    </xf>
    <xf numFmtId="0" fontId="11" fillId="0" borderId="0" xfId="437" applyFont="1" applyFill="1" applyAlignment="1">
      <alignment horizontal="left"/>
    </xf>
    <xf numFmtId="0" fontId="65" fillId="0" borderId="0" xfId="437" quotePrefix="1" applyFont="1" applyAlignment="1">
      <alignment horizontal="center"/>
    </xf>
    <xf numFmtId="0" fontId="63" fillId="0" borderId="0" xfId="0" quotePrefix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0" fontId="11" fillId="0" borderId="0" xfId="0" quotePrefix="1" applyFont="1" applyFill="1" applyAlignment="1">
      <alignment horizontal="left" indent="2"/>
    </xf>
    <xf numFmtId="0" fontId="11" fillId="0" borderId="0" xfId="437" quotePrefix="1" applyFont="1" applyFill="1" applyAlignment="1">
      <alignment horizontal="left" indent="2"/>
    </xf>
    <xf numFmtId="0" fontId="11" fillId="0" borderId="0" xfId="0" quotePrefix="1" applyFont="1" applyFill="1" applyAlignment="1">
      <alignment horizontal="left" indent="1"/>
    </xf>
    <xf numFmtId="0" fontId="11" fillId="0" borderId="0" xfId="0" quotePrefix="1" applyFont="1" applyAlignment="1">
      <alignment horizontal="left" indent="3"/>
    </xf>
    <xf numFmtId="0" fontId="11" fillId="0" borderId="18" xfId="0" quotePrefix="1" applyFont="1" applyBorder="1" applyAlignment="1">
      <alignment horizontal="center"/>
    </xf>
    <xf numFmtId="0" fontId="11" fillId="0" borderId="0" xfId="0" quotePrefix="1" applyFont="1" applyAlignment="1">
      <alignment horizontal="left" indent="1"/>
    </xf>
    <xf numFmtId="0" fontId="11" fillId="0" borderId="0" xfId="0" quotePrefix="1" applyFont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0" fontId="11" fillId="0" borderId="0" xfId="0" quotePrefix="1" applyFont="1" applyFill="1" applyAlignment="1">
      <alignment horizontal="left"/>
    </xf>
    <xf numFmtId="0" fontId="11" fillId="0" borderId="29" xfId="0" quotePrefix="1" applyFont="1" applyFill="1" applyBorder="1" applyAlignment="1">
      <alignment horizontal="left"/>
    </xf>
    <xf numFmtId="0" fontId="11" fillId="0" borderId="0" xfId="0" quotePrefix="1" applyFont="1" applyFill="1" applyAlignment="1">
      <alignment horizontal="left" indent="3"/>
    </xf>
    <xf numFmtId="0" fontId="11" fillId="38" borderId="0" xfId="0" quotePrefix="1" applyFont="1" applyFill="1" applyAlignment="1">
      <alignment horizontal="left" indent="3"/>
    </xf>
    <xf numFmtId="0" fontId="13" fillId="0" borderId="0" xfId="432" applyFont="1" applyFill="1" applyAlignment="1">
      <alignment horizontal="center"/>
    </xf>
    <xf numFmtId="0" fontId="13" fillId="0" borderId="0" xfId="432" quotePrefix="1" applyFont="1" applyFill="1" applyAlignment="1">
      <alignment horizontal="center"/>
    </xf>
    <xf numFmtId="0" fontId="64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75" fontId="63" fillId="0" borderId="0" xfId="0" applyNumberFormat="1" applyFont="1" applyFill="1" applyAlignment="1">
      <alignment horizontal="center"/>
    </xf>
    <xf numFmtId="0" fontId="63" fillId="0" borderId="0" xfId="0" quotePrefix="1" applyFont="1" applyFill="1" applyAlignment="1">
      <alignment horizontal="center"/>
    </xf>
    <xf numFmtId="0" fontId="63" fillId="0" borderId="0" xfId="0" applyFont="1" applyFill="1" applyAlignment="1">
      <alignment horizontal="center"/>
    </xf>
    <xf numFmtId="0" fontId="69" fillId="0" borderId="0" xfId="433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13" fillId="0" borderId="0" xfId="433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5" fillId="39" borderId="0" xfId="0" applyFont="1" applyFill="1" applyBorder="1" applyAlignment="1">
      <alignment horizontal="center"/>
    </xf>
  </cellXfs>
  <cellStyles count="444">
    <cellStyle name="_x0013_" xfId="2" xr:uid="{00000000-0005-0000-0000-000000000000}"/>
    <cellStyle name="_4.06E Pass Throughs" xfId="3" xr:uid="{00000000-0005-0000-0000-000001000000}"/>
    <cellStyle name="_4.06E Pass Throughs_04 07E Wild Horse Wind Expansion (C) (2)" xfId="4" xr:uid="{00000000-0005-0000-0000-000002000000}"/>
    <cellStyle name="_4.06E Pass Throughs_INPUTS" xfId="5" xr:uid="{00000000-0005-0000-0000-000003000000}"/>
    <cellStyle name="_4.06E Pass Throughs_Production Adj 4.37" xfId="6" xr:uid="{00000000-0005-0000-0000-000004000000}"/>
    <cellStyle name="_4.06E Pass Throughs_Purchased Power Adj 4.03" xfId="7" xr:uid="{00000000-0005-0000-0000-000005000000}"/>
    <cellStyle name="_4.06E Pass Throughs_ROR &amp; CONV FACTOR" xfId="8" xr:uid="{00000000-0005-0000-0000-000006000000}"/>
    <cellStyle name="_4.06E Pass Throughs_ROR 5.02" xfId="9" xr:uid="{00000000-0005-0000-0000-000007000000}"/>
    <cellStyle name="_4.13E Montana Energy Tax" xfId="10" xr:uid="{00000000-0005-0000-0000-000008000000}"/>
    <cellStyle name="_4.13E Montana Energy Tax_04 07E Wild Horse Wind Expansion (C) (2)" xfId="11" xr:uid="{00000000-0005-0000-0000-000009000000}"/>
    <cellStyle name="_4.13E Montana Energy Tax_INPUTS" xfId="12" xr:uid="{00000000-0005-0000-0000-00000A000000}"/>
    <cellStyle name="_4.13E Montana Energy Tax_Production Adj 4.37" xfId="13" xr:uid="{00000000-0005-0000-0000-00000B000000}"/>
    <cellStyle name="_4.13E Montana Energy Tax_Purchased Power Adj 4.03" xfId="14" xr:uid="{00000000-0005-0000-0000-00000C000000}"/>
    <cellStyle name="_4.13E Montana Energy Tax_ROR &amp; CONV FACTOR" xfId="15" xr:uid="{00000000-0005-0000-0000-00000D000000}"/>
    <cellStyle name="_4.13E Montana Energy Tax_ROR 5.02" xfId="16" xr:uid="{00000000-0005-0000-0000-00000E000000}"/>
    <cellStyle name="_Book1" xfId="17" xr:uid="{00000000-0005-0000-0000-00000F000000}"/>
    <cellStyle name="_Book1 (2)" xfId="18" xr:uid="{00000000-0005-0000-0000-000010000000}"/>
    <cellStyle name="_Book1 (2)_04 07E Wild Horse Wind Expansion (C) (2)" xfId="19" xr:uid="{00000000-0005-0000-0000-000011000000}"/>
    <cellStyle name="_Book1 (2)_INPUTS" xfId="20" xr:uid="{00000000-0005-0000-0000-000012000000}"/>
    <cellStyle name="_Book1 (2)_Production Adj 4.37" xfId="21" xr:uid="{00000000-0005-0000-0000-000013000000}"/>
    <cellStyle name="_Book1 (2)_Purchased Power Adj 4.03" xfId="22" xr:uid="{00000000-0005-0000-0000-000014000000}"/>
    <cellStyle name="_Book1 (2)_ROR &amp; CONV FACTOR" xfId="23" xr:uid="{00000000-0005-0000-0000-000015000000}"/>
    <cellStyle name="_Book1 (2)_ROR 5.02" xfId="24" xr:uid="{00000000-0005-0000-0000-000016000000}"/>
    <cellStyle name="_Book1_Electric COS Inputs" xfId="25" xr:uid="{00000000-0005-0000-0000-000017000000}"/>
    <cellStyle name="_Book1_Production Adj 4.37" xfId="26" xr:uid="{00000000-0005-0000-0000-000018000000}"/>
    <cellStyle name="_Book1_Purchased Power Adj 4.03" xfId="27" xr:uid="{00000000-0005-0000-0000-000019000000}"/>
    <cellStyle name="_Book1_ROR 5.02" xfId="28" xr:uid="{00000000-0005-0000-0000-00001A000000}"/>
    <cellStyle name="_Book2" xfId="29" xr:uid="{00000000-0005-0000-0000-00001B000000}"/>
    <cellStyle name="_Book2_04 07E Wild Horse Wind Expansion (C) (2)" xfId="30" xr:uid="{00000000-0005-0000-0000-00001C000000}"/>
    <cellStyle name="_Book2_INPUTS" xfId="31" xr:uid="{00000000-0005-0000-0000-00001D000000}"/>
    <cellStyle name="_Book2_Production Adj 4.37" xfId="32" xr:uid="{00000000-0005-0000-0000-00001E000000}"/>
    <cellStyle name="_Book2_Purchased Power Adj 4.03" xfId="33" xr:uid="{00000000-0005-0000-0000-00001F000000}"/>
    <cellStyle name="_Book2_ROR &amp; CONV FACTOR" xfId="34" xr:uid="{00000000-0005-0000-0000-000020000000}"/>
    <cellStyle name="_Book2_ROR 5.02" xfId="35" xr:uid="{00000000-0005-0000-0000-000021000000}"/>
    <cellStyle name="_Chelan Debt Forecast 12.19.05" xfId="36" xr:uid="{00000000-0005-0000-0000-000022000000}"/>
    <cellStyle name="_Chelan Debt Forecast 12.19.05_INPUTS" xfId="37" xr:uid="{00000000-0005-0000-0000-000023000000}"/>
    <cellStyle name="_Chelan Debt Forecast 12.19.05_Low Income 2010 RevRequirement (2)" xfId="38" xr:uid="{00000000-0005-0000-0000-000024000000}"/>
    <cellStyle name="_Chelan Debt Forecast 12.19.05_Production Adj 4.37" xfId="39" xr:uid="{00000000-0005-0000-0000-000025000000}"/>
    <cellStyle name="_Chelan Debt Forecast 12.19.05_Purchased Power Adj 4.03" xfId="40" xr:uid="{00000000-0005-0000-0000-000026000000}"/>
    <cellStyle name="_Chelan Debt Forecast 12.19.05_ROR &amp; CONV FACTOR" xfId="41" xr:uid="{00000000-0005-0000-0000-000027000000}"/>
    <cellStyle name="_Chelan Debt Forecast 12.19.05_ROR 5.02" xfId="42" xr:uid="{00000000-0005-0000-0000-000028000000}"/>
    <cellStyle name="_Costs not in AURORA 06GRC" xfId="43" xr:uid="{00000000-0005-0000-0000-000029000000}"/>
    <cellStyle name="_Costs not in AURORA 06GRC_04 07E Wild Horse Wind Expansion (C) (2)" xfId="44" xr:uid="{00000000-0005-0000-0000-00002A000000}"/>
    <cellStyle name="_Costs not in AURORA 06GRC_INPUTS" xfId="45" xr:uid="{00000000-0005-0000-0000-00002B000000}"/>
    <cellStyle name="_Costs not in AURORA 06GRC_Low Income 2010 RevRequirement (2)" xfId="46" xr:uid="{00000000-0005-0000-0000-00002C000000}"/>
    <cellStyle name="_Costs not in AURORA 06GRC_Production Adj 4.37" xfId="47" xr:uid="{00000000-0005-0000-0000-00002D000000}"/>
    <cellStyle name="_Costs not in AURORA 06GRC_Purchased Power Adj 4.03" xfId="48" xr:uid="{00000000-0005-0000-0000-00002E000000}"/>
    <cellStyle name="_Costs not in AURORA 06GRC_ROR &amp; CONV FACTOR" xfId="49" xr:uid="{00000000-0005-0000-0000-00002F000000}"/>
    <cellStyle name="_Costs not in AURORA 06GRC_ROR 5.02" xfId="50" xr:uid="{00000000-0005-0000-0000-000030000000}"/>
    <cellStyle name="_Costs not in AURORA 2006GRC 6.15.06" xfId="51" xr:uid="{00000000-0005-0000-0000-000031000000}"/>
    <cellStyle name="_Costs not in AURORA 2006GRC 6.15.06_04 07E Wild Horse Wind Expansion (C) (2)" xfId="52" xr:uid="{00000000-0005-0000-0000-000032000000}"/>
    <cellStyle name="_Costs not in AURORA 2006GRC 6.15.06_INPUTS" xfId="53" xr:uid="{00000000-0005-0000-0000-000033000000}"/>
    <cellStyle name="_Costs not in AURORA 2006GRC 6.15.06_Production Adj 4.37" xfId="54" xr:uid="{00000000-0005-0000-0000-000034000000}"/>
    <cellStyle name="_Costs not in AURORA 2006GRC 6.15.06_Purchased Power Adj 4.03" xfId="55" xr:uid="{00000000-0005-0000-0000-000035000000}"/>
    <cellStyle name="_Costs not in AURORA 2006GRC 6.15.06_ROR &amp; CONV FACTOR" xfId="56" xr:uid="{00000000-0005-0000-0000-000036000000}"/>
    <cellStyle name="_Costs not in AURORA 2006GRC 6.15.06_ROR 5.02" xfId="57" xr:uid="{00000000-0005-0000-0000-000037000000}"/>
    <cellStyle name="_Costs not in AURORA 2006GRC w gas price updated" xfId="58" xr:uid="{00000000-0005-0000-0000-000038000000}"/>
    <cellStyle name="_Costs not in AURORA 2007 Rate Case" xfId="59" xr:uid="{00000000-0005-0000-0000-000039000000}"/>
    <cellStyle name="_Costs not in AURORA 2007 Rate Case_Electric COS Inputs" xfId="60" xr:uid="{00000000-0005-0000-0000-00003A000000}"/>
    <cellStyle name="_Costs not in AURORA 2007 Rate Case_Production Adj 4.37" xfId="61" xr:uid="{00000000-0005-0000-0000-00003B000000}"/>
    <cellStyle name="_Costs not in AURORA 2007 Rate Case_Purchased Power Adj 4.03" xfId="62" xr:uid="{00000000-0005-0000-0000-00003C000000}"/>
    <cellStyle name="_Costs not in AURORA 2007 Rate Case_ROR 5.02" xfId="63" xr:uid="{00000000-0005-0000-0000-00003D000000}"/>
    <cellStyle name="_Costs not in KWI3000 '06Budget" xfId="64" xr:uid="{00000000-0005-0000-0000-00003E000000}"/>
    <cellStyle name="_Costs not in KWI3000 '06Budget_INPUTS" xfId="65" xr:uid="{00000000-0005-0000-0000-00003F000000}"/>
    <cellStyle name="_Costs not in KWI3000 '06Budget_Low Income 2010 RevRequirement (2)" xfId="66" xr:uid="{00000000-0005-0000-0000-000040000000}"/>
    <cellStyle name="_Costs not in KWI3000 '06Budget_Production Adj 4.37" xfId="67" xr:uid="{00000000-0005-0000-0000-000041000000}"/>
    <cellStyle name="_Costs not in KWI3000 '06Budget_Purchased Power Adj 4.03" xfId="68" xr:uid="{00000000-0005-0000-0000-000042000000}"/>
    <cellStyle name="_Costs not in KWI3000 '06Budget_ROR &amp; CONV FACTOR" xfId="69" xr:uid="{00000000-0005-0000-0000-000043000000}"/>
    <cellStyle name="_Costs not in KWI3000 '06Budget_ROR 5.02" xfId="70" xr:uid="{00000000-0005-0000-0000-000044000000}"/>
    <cellStyle name="_DEM-WP (C) Power Cost 2006GRC Order" xfId="71" xr:uid="{00000000-0005-0000-0000-000045000000}"/>
    <cellStyle name="_DEM-WP (C) Power Cost 2006GRC Order_04 07E Wild Horse Wind Expansion (C) (2)" xfId="72" xr:uid="{00000000-0005-0000-0000-000046000000}"/>
    <cellStyle name="_DEM-WP (C) Power Cost 2006GRC Order_Electric COS Inputs" xfId="73" xr:uid="{00000000-0005-0000-0000-000047000000}"/>
    <cellStyle name="_DEM-WP (C) Power Cost 2006GRC Order_Production Adj 4.37" xfId="74" xr:uid="{00000000-0005-0000-0000-000048000000}"/>
    <cellStyle name="_DEM-WP (C) Power Cost 2006GRC Order_Purchased Power Adj 4.03" xfId="75" xr:uid="{00000000-0005-0000-0000-000049000000}"/>
    <cellStyle name="_DEM-WP (C) Power Cost 2006GRC Order_ROR 5.02" xfId="76" xr:uid="{00000000-0005-0000-0000-00004A000000}"/>
    <cellStyle name="_DEM-WP Revised (HC) Wild Horse 2006GRC" xfId="77" xr:uid="{00000000-0005-0000-0000-00004B000000}"/>
    <cellStyle name="_DEM-WP(C) Costs not in AURORA 2006GRC" xfId="78" xr:uid="{00000000-0005-0000-0000-00004C000000}"/>
    <cellStyle name="_DEM-WP(C) Costs not in AURORA 2006GRC_Electric COS Inputs" xfId="79" xr:uid="{00000000-0005-0000-0000-00004D000000}"/>
    <cellStyle name="_DEM-WP(C) Costs not in AURORA 2006GRC_Production Adj 4.37" xfId="80" xr:uid="{00000000-0005-0000-0000-00004E000000}"/>
    <cellStyle name="_DEM-WP(C) Costs not in AURORA 2006GRC_Purchased Power Adj 4.03" xfId="81" xr:uid="{00000000-0005-0000-0000-00004F000000}"/>
    <cellStyle name="_DEM-WP(C) Costs not in AURORA 2006GRC_ROR 5.02" xfId="82" xr:uid="{00000000-0005-0000-0000-000050000000}"/>
    <cellStyle name="_DEM-WP(C) Costs not in AURORA 2007GRC" xfId="83" xr:uid="{00000000-0005-0000-0000-000051000000}"/>
    <cellStyle name="_DEM-WP(C) Costs not in AURORA 2007PCORC-5.07Update" xfId="84" xr:uid="{00000000-0005-0000-0000-000052000000}"/>
    <cellStyle name="_DEM-WP(C) Sumas Proforma 11.5.07" xfId="85" xr:uid="{00000000-0005-0000-0000-000053000000}"/>
    <cellStyle name="_DEM-WP(C) Westside Hydro Data_051007" xfId="86" xr:uid="{00000000-0005-0000-0000-000054000000}"/>
    <cellStyle name="_Fuel Prices 4-14" xfId="87" xr:uid="{00000000-0005-0000-0000-000055000000}"/>
    <cellStyle name="_Fuel Prices 4-14_04 07E Wild Horse Wind Expansion (C) (2)" xfId="88" xr:uid="{00000000-0005-0000-0000-000056000000}"/>
    <cellStyle name="_Fuel Prices 4-14_Direct Assignment Distribution Plant 2008" xfId="89" xr:uid="{00000000-0005-0000-0000-000057000000}"/>
    <cellStyle name="_Fuel Prices 4-14_Electric COS Inputs" xfId="90" xr:uid="{00000000-0005-0000-0000-000058000000}"/>
    <cellStyle name="_Fuel Prices 4-14_Electric Rate Spread and Rate Design 3.23.09" xfId="91" xr:uid="{00000000-0005-0000-0000-000059000000}"/>
    <cellStyle name="_Fuel Prices 4-14_INPUTS" xfId="92" xr:uid="{00000000-0005-0000-0000-00005A000000}"/>
    <cellStyle name="_Fuel Prices 4-14_Leased Transformer &amp; Substation Plant &amp; Rev 12-2009" xfId="93" xr:uid="{00000000-0005-0000-0000-00005B000000}"/>
    <cellStyle name="_Fuel Prices 4-14_Low Income 2010 RevRequirement (2)" xfId="94" xr:uid="{00000000-0005-0000-0000-00005C000000}"/>
    <cellStyle name="_Fuel Prices 4-14_Peak Credit Exhibits for 2009 GRC" xfId="95" xr:uid="{00000000-0005-0000-0000-00005D000000}"/>
    <cellStyle name="_Fuel Prices 4-14_Production Adj 4.37" xfId="96" xr:uid="{00000000-0005-0000-0000-00005E000000}"/>
    <cellStyle name="_Fuel Prices 4-14_Purchased Power Adj 4.03" xfId="97" xr:uid="{00000000-0005-0000-0000-00005F000000}"/>
    <cellStyle name="_Fuel Prices 4-14_Rate Design Sch 24" xfId="98" xr:uid="{00000000-0005-0000-0000-000060000000}"/>
    <cellStyle name="_Fuel Prices 4-14_Rate Design Sch 25" xfId="99" xr:uid="{00000000-0005-0000-0000-000061000000}"/>
    <cellStyle name="_Fuel Prices 4-14_Rate Design Sch 26" xfId="100" xr:uid="{00000000-0005-0000-0000-000062000000}"/>
    <cellStyle name="_Fuel Prices 4-14_Rate Design Sch 31" xfId="101" xr:uid="{00000000-0005-0000-0000-000063000000}"/>
    <cellStyle name="_Fuel Prices 4-14_Rate Design Sch 43" xfId="102" xr:uid="{00000000-0005-0000-0000-000064000000}"/>
    <cellStyle name="_Fuel Prices 4-14_Rate Design Sch 448-449" xfId="103" xr:uid="{00000000-0005-0000-0000-000065000000}"/>
    <cellStyle name="_Fuel Prices 4-14_Rate Design Sch 46" xfId="104" xr:uid="{00000000-0005-0000-0000-000066000000}"/>
    <cellStyle name="_Fuel Prices 4-14_Rate Spread" xfId="105" xr:uid="{00000000-0005-0000-0000-000067000000}"/>
    <cellStyle name="_Fuel Prices 4-14_ROR 5.02" xfId="106" xr:uid="{00000000-0005-0000-0000-000068000000}"/>
    <cellStyle name="_NIM 06 Base Case Current Trends" xfId="107" xr:uid="{00000000-0005-0000-0000-000069000000}"/>
    <cellStyle name="_Portfolio SPlan Base Case.xls Chart 1" xfId="108" xr:uid="{00000000-0005-0000-0000-00006A000000}"/>
    <cellStyle name="_Portfolio SPlan Base Case.xls Chart 2" xfId="109" xr:uid="{00000000-0005-0000-0000-00006B000000}"/>
    <cellStyle name="_Portfolio SPlan Base Case.xls Chart 3" xfId="110" xr:uid="{00000000-0005-0000-0000-00006C000000}"/>
    <cellStyle name="_Power Cost Value Copy 11.30.05 gas 1.09.06 AURORA at 1.10.06" xfId="111" xr:uid="{00000000-0005-0000-0000-00006D000000}"/>
    <cellStyle name="_Power Cost Value Copy 11.30.05 gas 1.09.06 AURORA at 1.10.06_04 07E Wild Horse Wind Expansion (C) (2)" xfId="112" xr:uid="{00000000-0005-0000-0000-00006E000000}"/>
    <cellStyle name="_Power Cost Value Copy 11.30.05 gas 1.09.06 AURORA at 1.10.06_Direct Assignment Distribution Plant 2008" xfId="113" xr:uid="{00000000-0005-0000-0000-00006F000000}"/>
    <cellStyle name="_Power Cost Value Copy 11.30.05 gas 1.09.06 AURORA at 1.10.06_Electric COS Inputs" xfId="114" xr:uid="{00000000-0005-0000-0000-000070000000}"/>
    <cellStyle name="_Power Cost Value Copy 11.30.05 gas 1.09.06 AURORA at 1.10.06_Electric Rate Spread and Rate Design 3.23.09" xfId="115" xr:uid="{00000000-0005-0000-0000-000071000000}"/>
    <cellStyle name="_Power Cost Value Copy 11.30.05 gas 1.09.06 AURORA at 1.10.06_INPUTS" xfId="116" xr:uid="{00000000-0005-0000-0000-000072000000}"/>
    <cellStyle name="_Power Cost Value Copy 11.30.05 gas 1.09.06 AURORA at 1.10.06_Leased Transformer &amp; Substation Plant &amp; Rev 12-2009" xfId="117" xr:uid="{00000000-0005-0000-0000-000073000000}"/>
    <cellStyle name="_Power Cost Value Copy 11.30.05 gas 1.09.06 AURORA at 1.10.06_Low Income 2010 RevRequirement (2)" xfId="118" xr:uid="{00000000-0005-0000-0000-000074000000}"/>
    <cellStyle name="_Power Cost Value Copy 11.30.05 gas 1.09.06 AURORA at 1.10.06_Production Adj 4.37" xfId="119" xr:uid="{00000000-0005-0000-0000-000075000000}"/>
    <cellStyle name="_Power Cost Value Copy 11.30.05 gas 1.09.06 AURORA at 1.10.06_Purchased Power Adj 4.03" xfId="120" xr:uid="{00000000-0005-0000-0000-000076000000}"/>
    <cellStyle name="_Power Cost Value Copy 11.30.05 gas 1.09.06 AURORA at 1.10.06_Rate Design Sch 24" xfId="121" xr:uid="{00000000-0005-0000-0000-000077000000}"/>
    <cellStyle name="_Power Cost Value Copy 11.30.05 gas 1.09.06 AURORA at 1.10.06_Rate Design Sch 25" xfId="122" xr:uid="{00000000-0005-0000-0000-000078000000}"/>
    <cellStyle name="_Power Cost Value Copy 11.30.05 gas 1.09.06 AURORA at 1.10.06_Rate Design Sch 26" xfId="123" xr:uid="{00000000-0005-0000-0000-000079000000}"/>
    <cellStyle name="_Power Cost Value Copy 11.30.05 gas 1.09.06 AURORA at 1.10.06_Rate Design Sch 31" xfId="124" xr:uid="{00000000-0005-0000-0000-00007A000000}"/>
    <cellStyle name="_Power Cost Value Copy 11.30.05 gas 1.09.06 AURORA at 1.10.06_Rate Design Sch 43" xfId="125" xr:uid="{00000000-0005-0000-0000-00007B000000}"/>
    <cellStyle name="_Power Cost Value Copy 11.30.05 gas 1.09.06 AURORA at 1.10.06_Rate Design Sch 448-449" xfId="126" xr:uid="{00000000-0005-0000-0000-00007C000000}"/>
    <cellStyle name="_Power Cost Value Copy 11.30.05 gas 1.09.06 AURORA at 1.10.06_Rate Design Sch 46" xfId="127" xr:uid="{00000000-0005-0000-0000-00007D000000}"/>
    <cellStyle name="_Power Cost Value Copy 11.30.05 gas 1.09.06 AURORA at 1.10.06_Rate Spread" xfId="128" xr:uid="{00000000-0005-0000-0000-00007E000000}"/>
    <cellStyle name="_Power Cost Value Copy 11.30.05 gas 1.09.06 AURORA at 1.10.06_ROR 5.02" xfId="129" xr:uid="{00000000-0005-0000-0000-00007F000000}"/>
    <cellStyle name="_Recon to Darrin's 5.11.05 proforma" xfId="130" xr:uid="{00000000-0005-0000-0000-000080000000}"/>
    <cellStyle name="_Recon to Darrin's 5.11.05 proforma_INPUTS" xfId="131" xr:uid="{00000000-0005-0000-0000-000081000000}"/>
    <cellStyle name="_Recon to Darrin's 5.11.05 proforma_Low Income 2010 RevRequirement (2)" xfId="132" xr:uid="{00000000-0005-0000-0000-000082000000}"/>
    <cellStyle name="_Recon to Darrin's 5.11.05 proforma_Production Adj 4.37" xfId="133" xr:uid="{00000000-0005-0000-0000-000083000000}"/>
    <cellStyle name="_Recon to Darrin's 5.11.05 proforma_Purchased Power Adj 4.03" xfId="134" xr:uid="{00000000-0005-0000-0000-000084000000}"/>
    <cellStyle name="_Recon to Darrin's 5.11.05 proforma_ROR &amp; CONV FACTOR" xfId="135" xr:uid="{00000000-0005-0000-0000-000085000000}"/>
    <cellStyle name="_Recon to Darrin's 5.11.05 proforma_ROR 5.02" xfId="136" xr:uid="{00000000-0005-0000-0000-000086000000}"/>
    <cellStyle name="_Tenaska Comparison" xfId="137" xr:uid="{00000000-0005-0000-0000-000087000000}"/>
    <cellStyle name="_Tenaska Comparison_Electric COS Inputs" xfId="138" xr:uid="{00000000-0005-0000-0000-000088000000}"/>
    <cellStyle name="_Tenaska Comparison_Production Adj 4.37" xfId="139" xr:uid="{00000000-0005-0000-0000-000089000000}"/>
    <cellStyle name="_Tenaska Comparison_Purchased Power Adj 4.03" xfId="140" xr:uid="{00000000-0005-0000-0000-00008A000000}"/>
    <cellStyle name="_Tenaska Comparison_ROR 5.02" xfId="141" xr:uid="{00000000-0005-0000-0000-00008B000000}"/>
    <cellStyle name="_Value Copy 11 30 05 gas 12 09 05 AURORA at 12 14 05" xfId="142" xr:uid="{00000000-0005-0000-0000-00008C000000}"/>
    <cellStyle name="_Value Copy 11 30 05 gas 12 09 05 AURORA at 12 14 05_04 07E Wild Horse Wind Expansion (C) (2)" xfId="143" xr:uid="{00000000-0005-0000-0000-00008D000000}"/>
    <cellStyle name="_Value Copy 11 30 05 gas 12 09 05 AURORA at 12 14 05_Direct Assignment Distribution Plant 2008" xfId="144" xr:uid="{00000000-0005-0000-0000-00008E000000}"/>
    <cellStyle name="_Value Copy 11 30 05 gas 12 09 05 AURORA at 12 14 05_Electric COS Inputs" xfId="145" xr:uid="{00000000-0005-0000-0000-00008F000000}"/>
    <cellStyle name="_Value Copy 11 30 05 gas 12 09 05 AURORA at 12 14 05_Electric Rate Spread and Rate Design 3.23.09" xfId="146" xr:uid="{00000000-0005-0000-0000-000090000000}"/>
    <cellStyle name="_Value Copy 11 30 05 gas 12 09 05 AURORA at 12 14 05_INPUTS" xfId="147" xr:uid="{00000000-0005-0000-0000-000091000000}"/>
    <cellStyle name="_Value Copy 11 30 05 gas 12 09 05 AURORA at 12 14 05_Leased Transformer &amp; Substation Plant &amp; Rev 12-2009" xfId="148" xr:uid="{00000000-0005-0000-0000-000092000000}"/>
    <cellStyle name="_Value Copy 11 30 05 gas 12 09 05 AURORA at 12 14 05_Low Income 2010 RevRequirement (2)" xfId="149" xr:uid="{00000000-0005-0000-0000-000093000000}"/>
    <cellStyle name="_Value Copy 11 30 05 gas 12 09 05 AURORA at 12 14 05_Production Adj 4.37" xfId="150" xr:uid="{00000000-0005-0000-0000-000094000000}"/>
    <cellStyle name="_Value Copy 11 30 05 gas 12 09 05 AURORA at 12 14 05_Purchased Power Adj 4.03" xfId="151" xr:uid="{00000000-0005-0000-0000-000095000000}"/>
    <cellStyle name="_Value Copy 11 30 05 gas 12 09 05 AURORA at 12 14 05_Rate Design Sch 24" xfId="152" xr:uid="{00000000-0005-0000-0000-000096000000}"/>
    <cellStyle name="_Value Copy 11 30 05 gas 12 09 05 AURORA at 12 14 05_Rate Design Sch 25" xfId="153" xr:uid="{00000000-0005-0000-0000-000097000000}"/>
    <cellStyle name="_Value Copy 11 30 05 gas 12 09 05 AURORA at 12 14 05_Rate Design Sch 26" xfId="154" xr:uid="{00000000-0005-0000-0000-000098000000}"/>
    <cellStyle name="_Value Copy 11 30 05 gas 12 09 05 AURORA at 12 14 05_Rate Design Sch 31" xfId="155" xr:uid="{00000000-0005-0000-0000-000099000000}"/>
    <cellStyle name="_Value Copy 11 30 05 gas 12 09 05 AURORA at 12 14 05_Rate Design Sch 43" xfId="156" xr:uid="{00000000-0005-0000-0000-00009A000000}"/>
    <cellStyle name="_Value Copy 11 30 05 gas 12 09 05 AURORA at 12 14 05_Rate Design Sch 448-449" xfId="157" xr:uid="{00000000-0005-0000-0000-00009B000000}"/>
    <cellStyle name="_Value Copy 11 30 05 gas 12 09 05 AURORA at 12 14 05_Rate Design Sch 46" xfId="158" xr:uid="{00000000-0005-0000-0000-00009C000000}"/>
    <cellStyle name="_Value Copy 11 30 05 gas 12 09 05 AURORA at 12 14 05_Rate Spread" xfId="159" xr:uid="{00000000-0005-0000-0000-00009D000000}"/>
    <cellStyle name="_Value Copy 11 30 05 gas 12 09 05 AURORA at 12 14 05_ROR 5.02" xfId="160" xr:uid="{00000000-0005-0000-0000-00009E000000}"/>
    <cellStyle name="_VC 6.15.06 update on 06GRC power costs.xls Chart 1" xfId="161" xr:uid="{00000000-0005-0000-0000-00009F000000}"/>
    <cellStyle name="_VC 6.15.06 update on 06GRC power costs.xls Chart 1_04 07E Wild Horse Wind Expansion (C) (2)" xfId="162" xr:uid="{00000000-0005-0000-0000-0000A0000000}"/>
    <cellStyle name="_VC 6.15.06 update on 06GRC power costs.xls Chart 1_INPUTS" xfId="163" xr:uid="{00000000-0005-0000-0000-0000A1000000}"/>
    <cellStyle name="_VC 6.15.06 update on 06GRC power costs.xls Chart 1_Production Adj 4.37" xfId="164" xr:uid="{00000000-0005-0000-0000-0000A2000000}"/>
    <cellStyle name="_VC 6.15.06 update on 06GRC power costs.xls Chart 1_Purchased Power Adj 4.03" xfId="165" xr:uid="{00000000-0005-0000-0000-0000A3000000}"/>
    <cellStyle name="_VC 6.15.06 update on 06GRC power costs.xls Chart 1_ROR &amp; CONV FACTOR" xfId="166" xr:uid="{00000000-0005-0000-0000-0000A4000000}"/>
    <cellStyle name="_VC 6.15.06 update on 06GRC power costs.xls Chart 1_ROR 5.02" xfId="167" xr:uid="{00000000-0005-0000-0000-0000A5000000}"/>
    <cellStyle name="_VC 6.15.06 update on 06GRC power costs.xls Chart 2" xfId="168" xr:uid="{00000000-0005-0000-0000-0000A6000000}"/>
    <cellStyle name="_VC 6.15.06 update on 06GRC power costs.xls Chart 2_04 07E Wild Horse Wind Expansion (C) (2)" xfId="169" xr:uid="{00000000-0005-0000-0000-0000A7000000}"/>
    <cellStyle name="_VC 6.15.06 update on 06GRC power costs.xls Chart 2_INPUTS" xfId="170" xr:uid="{00000000-0005-0000-0000-0000A8000000}"/>
    <cellStyle name="_VC 6.15.06 update on 06GRC power costs.xls Chart 2_Production Adj 4.37" xfId="171" xr:uid="{00000000-0005-0000-0000-0000A9000000}"/>
    <cellStyle name="_VC 6.15.06 update on 06GRC power costs.xls Chart 2_Purchased Power Adj 4.03" xfId="172" xr:uid="{00000000-0005-0000-0000-0000AA000000}"/>
    <cellStyle name="_VC 6.15.06 update on 06GRC power costs.xls Chart 2_ROR &amp; CONV FACTOR" xfId="173" xr:uid="{00000000-0005-0000-0000-0000AB000000}"/>
    <cellStyle name="_VC 6.15.06 update on 06GRC power costs.xls Chart 2_ROR 5.02" xfId="174" xr:uid="{00000000-0005-0000-0000-0000AC000000}"/>
    <cellStyle name="_VC 6.15.06 update on 06GRC power costs.xls Chart 3" xfId="175" xr:uid="{00000000-0005-0000-0000-0000AD000000}"/>
    <cellStyle name="_VC 6.15.06 update on 06GRC power costs.xls Chart 3_04 07E Wild Horse Wind Expansion (C) (2)" xfId="176" xr:uid="{00000000-0005-0000-0000-0000AE000000}"/>
    <cellStyle name="_VC 6.15.06 update on 06GRC power costs.xls Chart 3_INPUTS" xfId="177" xr:uid="{00000000-0005-0000-0000-0000AF000000}"/>
    <cellStyle name="_VC 6.15.06 update on 06GRC power costs.xls Chart 3_Production Adj 4.37" xfId="178" xr:uid="{00000000-0005-0000-0000-0000B0000000}"/>
    <cellStyle name="_VC 6.15.06 update on 06GRC power costs.xls Chart 3_Purchased Power Adj 4.03" xfId="179" xr:uid="{00000000-0005-0000-0000-0000B1000000}"/>
    <cellStyle name="_VC 6.15.06 update on 06GRC power costs.xls Chart 3_ROR &amp; CONV FACTOR" xfId="180" xr:uid="{00000000-0005-0000-0000-0000B2000000}"/>
    <cellStyle name="_VC 6.15.06 update on 06GRC power costs.xls Chart 3_ROR 5.02" xfId="181" xr:uid="{00000000-0005-0000-0000-0000B3000000}"/>
    <cellStyle name="0,0_x000d__x000a_NA_x000d__x000a_" xfId="182" xr:uid="{00000000-0005-0000-0000-0000B4000000}"/>
    <cellStyle name="20% - Accent1" xfId="183" builtinId="30" customBuiltin="1"/>
    <cellStyle name="20% - Accent1 2" xfId="184" xr:uid="{00000000-0005-0000-0000-0000B6000000}"/>
    <cellStyle name="20% - Accent1 3" xfId="185" xr:uid="{00000000-0005-0000-0000-0000B7000000}"/>
    <cellStyle name="20% - Accent2" xfId="186" builtinId="34" customBuiltin="1"/>
    <cellStyle name="20% - Accent2 2" xfId="187" xr:uid="{00000000-0005-0000-0000-0000B9000000}"/>
    <cellStyle name="20% - Accent2 3" xfId="188" xr:uid="{00000000-0005-0000-0000-0000BA000000}"/>
    <cellStyle name="20% - Accent3" xfId="189" builtinId="38" customBuiltin="1"/>
    <cellStyle name="20% - Accent3 2" xfId="190" xr:uid="{00000000-0005-0000-0000-0000BC000000}"/>
    <cellStyle name="20% - Accent3 3" xfId="191" xr:uid="{00000000-0005-0000-0000-0000BD000000}"/>
    <cellStyle name="20% - Accent4" xfId="192" builtinId="42" customBuiltin="1"/>
    <cellStyle name="20% - Accent4 2" xfId="193" xr:uid="{00000000-0005-0000-0000-0000BF000000}"/>
    <cellStyle name="20% - Accent4 3" xfId="194" xr:uid="{00000000-0005-0000-0000-0000C0000000}"/>
    <cellStyle name="20% - Accent5" xfId="195" builtinId="46" customBuiltin="1"/>
    <cellStyle name="20% - Accent5 2" xfId="196" xr:uid="{00000000-0005-0000-0000-0000C2000000}"/>
    <cellStyle name="20% - Accent5 3" xfId="197" xr:uid="{00000000-0005-0000-0000-0000C3000000}"/>
    <cellStyle name="20% - Accent6" xfId="198" builtinId="50" customBuiltin="1"/>
    <cellStyle name="20% - Accent6 2" xfId="199" xr:uid="{00000000-0005-0000-0000-0000C5000000}"/>
    <cellStyle name="20% - Accent6 3" xfId="200" xr:uid="{00000000-0005-0000-0000-0000C6000000}"/>
    <cellStyle name="40% - Accent1" xfId="201" builtinId="31" customBuiltin="1"/>
    <cellStyle name="40% - Accent1 2" xfId="202" xr:uid="{00000000-0005-0000-0000-0000C8000000}"/>
    <cellStyle name="40% - Accent1 3" xfId="203" xr:uid="{00000000-0005-0000-0000-0000C9000000}"/>
    <cellStyle name="40% - Accent2" xfId="204" builtinId="35" customBuiltin="1"/>
    <cellStyle name="40% - Accent2 2" xfId="205" xr:uid="{00000000-0005-0000-0000-0000CB000000}"/>
    <cellStyle name="40% - Accent2 3" xfId="206" xr:uid="{00000000-0005-0000-0000-0000CC000000}"/>
    <cellStyle name="40% - Accent3" xfId="207" builtinId="39" customBuiltin="1"/>
    <cellStyle name="40% - Accent3 2" xfId="208" xr:uid="{00000000-0005-0000-0000-0000CE000000}"/>
    <cellStyle name="40% - Accent3 3" xfId="209" xr:uid="{00000000-0005-0000-0000-0000CF000000}"/>
    <cellStyle name="40% - Accent4" xfId="210" builtinId="43" customBuiltin="1"/>
    <cellStyle name="40% - Accent4 2" xfId="211" xr:uid="{00000000-0005-0000-0000-0000D1000000}"/>
    <cellStyle name="40% - Accent4 3" xfId="212" xr:uid="{00000000-0005-0000-0000-0000D2000000}"/>
    <cellStyle name="40% - Accent5" xfId="213" builtinId="47" customBuiltin="1"/>
    <cellStyle name="40% - Accent5 2" xfId="214" xr:uid="{00000000-0005-0000-0000-0000D4000000}"/>
    <cellStyle name="40% - Accent5 3" xfId="215" xr:uid="{00000000-0005-0000-0000-0000D5000000}"/>
    <cellStyle name="40% - Accent6" xfId="216" builtinId="51" customBuiltin="1"/>
    <cellStyle name="40% - Accent6 2" xfId="217" xr:uid="{00000000-0005-0000-0000-0000D7000000}"/>
    <cellStyle name="40% - Accent6 3" xfId="218" xr:uid="{00000000-0005-0000-0000-0000D8000000}"/>
    <cellStyle name="60% - Accent1" xfId="219" builtinId="32" customBuiltin="1"/>
    <cellStyle name="60% - Accent2" xfId="220" builtinId="36" customBuiltin="1"/>
    <cellStyle name="60% - Accent3" xfId="221" builtinId="40" customBuiltin="1"/>
    <cellStyle name="60% - Accent4" xfId="222" builtinId="44" customBuiltin="1"/>
    <cellStyle name="60% - Accent5" xfId="223" builtinId="48" customBuiltin="1"/>
    <cellStyle name="60% - Accent6" xfId="224" builtinId="52" customBuiltin="1"/>
    <cellStyle name="Accent1" xfId="225" builtinId="29" customBuiltin="1"/>
    <cellStyle name="Accent2" xfId="226" builtinId="33" customBuiltin="1"/>
    <cellStyle name="Accent3" xfId="227" builtinId="37" customBuiltin="1"/>
    <cellStyle name="Accent4" xfId="228" builtinId="41" customBuiltin="1"/>
    <cellStyle name="Accent5" xfId="229" builtinId="45" customBuiltin="1"/>
    <cellStyle name="Accent6" xfId="230" builtinId="49" customBuiltin="1"/>
    <cellStyle name="Bad" xfId="231" builtinId="27" customBuiltin="1"/>
    <cellStyle name="Calc Currency (0)" xfId="232" xr:uid="{00000000-0005-0000-0000-0000E6000000}"/>
    <cellStyle name="Calculation" xfId="233" builtinId="22" customBuiltin="1"/>
    <cellStyle name="Check Cell" xfId="234" builtinId="23" customBuiltin="1"/>
    <cellStyle name="CheckCell" xfId="235" xr:uid="{00000000-0005-0000-0000-0000E9000000}"/>
    <cellStyle name="Comma" xfId="236" builtinId="3"/>
    <cellStyle name="Comma 10" xfId="439" xr:uid="{00000000-0005-0000-0000-0000EB000000}"/>
    <cellStyle name="Comma 11" xfId="443" xr:uid="{00000000-0005-0000-0000-0000EC000000}"/>
    <cellStyle name="Comma 2" xfId="237" xr:uid="{00000000-0005-0000-0000-0000ED000000}"/>
    <cellStyle name="Comma 2 2" xfId="238" xr:uid="{00000000-0005-0000-0000-0000EE000000}"/>
    <cellStyle name="Comma 2 3" xfId="430" xr:uid="{00000000-0005-0000-0000-0000EF000000}"/>
    <cellStyle name="Comma 3" xfId="239" xr:uid="{00000000-0005-0000-0000-0000F0000000}"/>
    <cellStyle name="Comma 3 2" xfId="240" xr:uid="{00000000-0005-0000-0000-0000F1000000}"/>
    <cellStyle name="Comma 4" xfId="241" xr:uid="{00000000-0005-0000-0000-0000F2000000}"/>
    <cellStyle name="Comma 5" xfId="242" xr:uid="{00000000-0005-0000-0000-0000F3000000}"/>
    <cellStyle name="Comma 6" xfId="243" xr:uid="{00000000-0005-0000-0000-0000F4000000}"/>
    <cellStyle name="Comma 7" xfId="244" xr:uid="{00000000-0005-0000-0000-0000F5000000}"/>
    <cellStyle name="Comma 8" xfId="245" xr:uid="{00000000-0005-0000-0000-0000F6000000}"/>
    <cellStyle name="Comma 9" xfId="246" xr:uid="{00000000-0005-0000-0000-0000F7000000}"/>
    <cellStyle name="Comma0" xfId="247" xr:uid="{00000000-0005-0000-0000-0000F8000000}"/>
    <cellStyle name="Comma0 - Style2" xfId="248" xr:uid="{00000000-0005-0000-0000-0000F9000000}"/>
    <cellStyle name="Comma0 - Style4" xfId="249" xr:uid="{00000000-0005-0000-0000-0000FA000000}"/>
    <cellStyle name="Comma0 - Style5" xfId="250" xr:uid="{00000000-0005-0000-0000-0000FB000000}"/>
    <cellStyle name="Comma0 2" xfId="251" xr:uid="{00000000-0005-0000-0000-0000FC000000}"/>
    <cellStyle name="Comma0 3" xfId="252" xr:uid="{00000000-0005-0000-0000-0000FD000000}"/>
    <cellStyle name="Comma0 4" xfId="253" xr:uid="{00000000-0005-0000-0000-0000FE000000}"/>
    <cellStyle name="Comma0_00COS Ind Allocators" xfId="254" xr:uid="{00000000-0005-0000-0000-0000FF000000}"/>
    <cellStyle name="Comma1 - Style1" xfId="255" xr:uid="{00000000-0005-0000-0000-000000010000}"/>
    <cellStyle name="Copied" xfId="256" xr:uid="{00000000-0005-0000-0000-000001010000}"/>
    <cellStyle name="COST1" xfId="257" xr:uid="{00000000-0005-0000-0000-000002010000}"/>
    <cellStyle name="Curren - Style1" xfId="258" xr:uid="{00000000-0005-0000-0000-000003010000}"/>
    <cellStyle name="Curren - Style2" xfId="259" xr:uid="{00000000-0005-0000-0000-000004010000}"/>
    <cellStyle name="Curren - Style5" xfId="260" xr:uid="{00000000-0005-0000-0000-000005010000}"/>
    <cellStyle name="Curren - Style6" xfId="261" xr:uid="{00000000-0005-0000-0000-000006010000}"/>
    <cellStyle name="Currency" xfId="262" builtinId="4"/>
    <cellStyle name="Currency 2" xfId="263" xr:uid="{00000000-0005-0000-0000-000008010000}"/>
    <cellStyle name="Currency 2 12" xfId="435" xr:uid="{00000000-0005-0000-0000-000009010000}"/>
    <cellStyle name="Currency 3" xfId="264" xr:uid="{00000000-0005-0000-0000-00000A010000}"/>
    <cellStyle name="Currency 3 2" xfId="265" xr:uid="{00000000-0005-0000-0000-00000B010000}"/>
    <cellStyle name="Currency 4" xfId="266" xr:uid="{00000000-0005-0000-0000-00000C010000}"/>
    <cellStyle name="Currency 5" xfId="267" xr:uid="{00000000-0005-0000-0000-00000D010000}"/>
    <cellStyle name="Currency 6" xfId="268" xr:uid="{00000000-0005-0000-0000-00000E010000}"/>
    <cellStyle name="Currency 7" xfId="269" xr:uid="{00000000-0005-0000-0000-00000F010000}"/>
    <cellStyle name="Currency 8" xfId="270" xr:uid="{00000000-0005-0000-0000-000010010000}"/>
    <cellStyle name="Currency 9" xfId="271" xr:uid="{00000000-0005-0000-0000-000011010000}"/>
    <cellStyle name="Currency0" xfId="272" xr:uid="{00000000-0005-0000-0000-000012010000}"/>
    <cellStyle name="Date" xfId="273" xr:uid="{00000000-0005-0000-0000-000013010000}"/>
    <cellStyle name="Date 2" xfId="274" xr:uid="{00000000-0005-0000-0000-000014010000}"/>
    <cellStyle name="Date 3" xfId="275" xr:uid="{00000000-0005-0000-0000-000015010000}"/>
    <cellStyle name="Date 4" xfId="276" xr:uid="{00000000-0005-0000-0000-000016010000}"/>
    <cellStyle name="Date_903 SAP 2-6-09" xfId="277" xr:uid="{00000000-0005-0000-0000-000017010000}"/>
    <cellStyle name="Entered" xfId="278" xr:uid="{00000000-0005-0000-0000-000018010000}"/>
    <cellStyle name="Explanatory Text" xfId="279" builtinId="53" customBuiltin="1"/>
    <cellStyle name="Fixed" xfId="280" xr:uid="{00000000-0005-0000-0000-00001A010000}"/>
    <cellStyle name="Fixed3 - Style3" xfId="281" xr:uid="{00000000-0005-0000-0000-00001B010000}"/>
    <cellStyle name="Good" xfId="282" builtinId="26" customBuiltin="1"/>
    <cellStyle name="Grey" xfId="283" xr:uid="{00000000-0005-0000-0000-00001D010000}"/>
    <cellStyle name="Grey 2" xfId="284" xr:uid="{00000000-0005-0000-0000-00001E010000}"/>
    <cellStyle name="Grey 3" xfId="285" xr:uid="{00000000-0005-0000-0000-00001F010000}"/>
    <cellStyle name="Grey 4" xfId="286" xr:uid="{00000000-0005-0000-0000-000020010000}"/>
    <cellStyle name="Grey_Direct Assignment Distribution Plant 2008" xfId="287" xr:uid="{00000000-0005-0000-0000-000021010000}"/>
    <cellStyle name="Header1" xfId="288" xr:uid="{00000000-0005-0000-0000-000022010000}"/>
    <cellStyle name="Header2" xfId="289" xr:uid="{00000000-0005-0000-0000-000023010000}"/>
    <cellStyle name="Heading 1" xfId="290" builtinId="16" customBuiltin="1"/>
    <cellStyle name="Heading 2" xfId="291" builtinId="17" customBuiltin="1"/>
    <cellStyle name="Heading 3" xfId="292" builtinId="18" customBuiltin="1"/>
    <cellStyle name="Heading 4" xfId="293" builtinId="19" customBuiltin="1"/>
    <cellStyle name="Heading1" xfId="294" xr:uid="{00000000-0005-0000-0000-000028010000}"/>
    <cellStyle name="Heading2" xfId="295" xr:uid="{00000000-0005-0000-0000-000029010000}"/>
    <cellStyle name="Hyperlink 2" xfId="427" xr:uid="{00000000-0005-0000-0000-00002A010000}"/>
    <cellStyle name="Input" xfId="296" builtinId="20" customBuiltin="1"/>
    <cellStyle name="Input [yellow]" xfId="297" xr:uid="{00000000-0005-0000-0000-00002C010000}"/>
    <cellStyle name="Input [yellow] 2" xfId="298" xr:uid="{00000000-0005-0000-0000-00002D010000}"/>
    <cellStyle name="Input [yellow] 3" xfId="299" xr:uid="{00000000-0005-0000-0000-00002E010000}"/>
    <cellStyle name="Input [yellow] 4" xfId="300" xr:uid="{00000000-0005-0000-0000-00002F010000}"/>
    <cellStyle name="Input [yellow]_Direct Assignment Distribution Plant 2008" xfId="301" xr:uid="{00000000-0005-0000-0000-000030010000}"/>
    <cellStyle name="Input Cells" xfId="302" xr:uid="{00000000-0005-0000-0000-000031010000}"/>
    <cellStyle name="Input Cells Percent" xfId="303" xr:uid="{00000000-0005-0000-0000-000032010000}"/>
    <cellStyle name="Lines" xfId="304" xr:uid="{00000000-0005-0000-0000-000033010000}"/>
    <cellStyle name="LINKED" xfId="305" xr:uid="{00000000-0005-0000-0000-000034010000}"/>
    <cellStyle name="Linked Cell" xfId="306" builtinId="24" customBuiltin="1"/>
    <cellStyle name="modified border" xfId="307" xr:uid="{00000000-0005-0000-0000-000036010000}"/>
    <cellStyle name="modified border 2" xfId="308" xr:uid="{00000000-0005-0000-0000-000037010000}"/>
    <cellStyle name="modified border 3" xfId="309" xr:uid="{00000000-0005-0000-0000-000038010000}"/>
    <cellStyle name="modified border 4" xfId="310" xr:uid="{00000000-0005-0000-0000-000039010000}"/>
    <cellStyle name="modified border1" xfId="311" xr:uid="{00000000-0005-0000-0000-00003A010000}"/>
    <cellStyle name="modified border1 2" xfId="312" xr:uid="{00000000-0005-0000-0000-00003B010000}"/>
    <cellStyle name="modified border1 3" xfId="313" xr:uid="{00000000-0005-0000-0000-00003C010000}"/>
    <cellStyle name="modified border1 4" xfId="314" xr:uid="{00000000-0005-0000-0000-00003D010000}"/>
    <cellStyle name="Neutral" xfId="315" builtinId="28" customBuiltin="1"/>
    <cellStyle name="no dec" xfId="316" xr:uid="{00000000-0005-0000-0000-00003F010000}"/>
    <cellStyle name="Normal" xfId="0" builtinId="0"/>
    <cellStyle name="Normal - Style1" xfId="317" xr:uid="{00000000-0005-0000-0000-000041010000}"/>
    <cellStyle name="Normal - Style1 2" xfId="318" xr:uid="{00000000-0005-0000-0000-000042010000}"/>
    <cellStyle name="Normal - Style1 3" xfId="319" xr:uid="{00000000-0005-0000-0000-000043010000}"/>
    <cellStyle name="Normal - Style1 4" xfId="320" xr:uid="{00000000-0005-0000-0000-000044010000}"/>
    <cellStyle name="Normal - Style1_903 SAP 2-6-09" xfId="321" xr:uid="{00000000-0005-0000-0000-000045010000}"/>
    <cellStyle name="Normal 10" xfId="322" xr:uid="{00000000-0005-0000-0000-000046010000}"/>
    <cellStyle name="Normal 11" xfId="426" xr:uid="{00000000-0005-0000-0000-000047010000}"/>
    <cellStyle name="Normal 12" xfId="429" xr:uid="{00000000-0005-0000-0000-000048010000}"/>
    <cellStyle name="Normal 13" xfId="438" xr:uid="{00000000-0005-0000-0000-000049010000}"/>
    <cellStyle name="Normal 14" xfId="440" xr:uid="{00000000-0005-0000-0000-00004A010000}"/>
    <cellStyle name="Normal 2" xfId="323" xr:uid="{00000000-0005-0000-0000-00004B010000}"/>
    <cellStyle name="Normal 2 10" xfId="437" xr:uid="{00000000-0005-0000-0000-00004C010000}"/>
    <cellStyle name="Normal 2 10 2 2" xfId="434" xr:uid="{00000000-0005-0000-0000-00004D010000}"/>
    <cellStyle name="Normal 2 2" xfId="324" xr:uid="{00000000-0005-0000-0000-00004E010000}"/>
    <cellStyle name="Normal 2 2 2" xfId="325" xr:uid="{00000000-0005-0000-0000-00004F010000}"/>
    <cellStyle name="Normal 2 2 3" xfId="326" xr:uid="{00000000-0005-0000-0000-000050010000}"/>
    <cellStyle name="Normal 2 2 4" xfId="442" xr:uid="{00000000-0005-0000-0000-000051010000}"/>
    <cellStyle name="Normal 2 2_4.14E Miscellaneous Operating Expense working file" xfId="327" xr:uid="{00000000-0005-0000-0000-000052010000}"/>
    <cellStyle name="Normal 2 3" xfId="328" xr:uid="{00000000-0005-0000-0000-000053010000}"/>
    <cellStyle name="Normal 2 4" xfId="329" xr:uid="{00000000-0005-0000-0000-000054010000}"/>
    <cellStyle name="Normal 2 5" xfId="330" xr:uid="{00000000-0005-0000-0000-000055010000}"/>
    <cellStyle name="Normal 2 6" xfId="331" xr:uid="{00000000-0005-0000-0000-000056010000}"/>
    <cellStyle name="Normal 2 7" xfId="441" xr:uid="{00000000-0005-0000-0000-000057010000}"/>
    <cellStyle name="Normal 2_GRC 2009 Load Research Rate Schedule Statistics - v2 2-26-2009" xfId="332" xr:uid="{00000000-0005-0000-0000-000058010000}"/>
    <cellStyle name="Normal 22 6 2" xfId="432" xr:uid="{00000000-0005-0000-0000-000059010000}"/>
    <cellStyle name="Normal 3" xfId="333" xr:uid="{00000000-0005-0000-0000-00005A010000}"/>
    <cellStyle name="Normal 3 2" xfId="334" xr:uid="{00000000-0005-0000-0000-00005B010000}"/>
    <cellStyle name="Normal 3 3" xfId="335" xr:uid="{00000000-0005-0000-0000-00005C010000}"/>
    <cellStyle name="Normal 4" xfId="336" xr:uid="{00000000-0005-0000-0000-00005D010000}"/>
    <cellStyle name="Normal 5" xfId="337" xr:uid="{00000000-0005-0000-0000-00005E010000}"/>
    <cellStyle name="Normal 6" xfId="338" xr:uid="{00000000-0005-0000-0000-00005F010000}"/>
    <cellStyle name="Normal 7" xfId="339" xr:uid="{00000000-0005-0000-0000-000060010000}"/>
    <cellStyle name="Normal 8" xfId="340" xr:uid="{00000000-0005-0000-0000-000061010000}"/>
    <cellStyle name="Normal 8 2" xfId="428" xr:uid="{00000000-0005-0000-0000-000062010000}"/>
    <cellStyle name="Normal 9" xfId="341" xr:uid="{00000000-0005-0000-0000-000063010000}"/>
    <cellStyle name="Normal__REP settlement benefits (2)" xfId="436" xr:uid="{00000000-0005-0000-0000-000064010000}"/>
    <cellStyle name="Normal_ActiveExchange3" xfId="433" xr:uid="{00000000-0005-0000-0000-000065010000}"/>
    <cellStyle name="Note" xfId="342" builtinId="10" customBuiltin="1"/>
    <cellStyle name="Note 10" xfId="343" xr:uid="{00000000-0005-0000-0000-000067010000}"/>
    <cellStyle name="Note 11" xfId="344" xr:uid="{00000000-0005-0000-0000-000068010000}"/>
    <cellStyle name="Note 2" xfId="345" xr:uid="{00000000-0005-0000-0000-000069010000}"/>
    <cellStyle name="Note 3" xfId="346" xr:uid="{00000000-0005-0000-0000-00006A010000}"/>
    <cellStyle name="Note 4" xfId="347" xr:uid="{00000000-0005-0000-0000-00006B010000}"/>
    <cellStyle name="Note 5" xfId="348" xr:uid="{00000000-0005-0000-0000-00006C010000}"/>
    <cellStyle name="Note 6" xfId="349" xr:uid="{00000000-0005-0000-0000-00006D010000}"/>
    <cellStyle name="Note 7" xfId="350" xr:uid="{00000000-0005-0000-0000-00006E010000}"/>
    <cellStyle name="Note 8" xfId="351" xr:uid="{00000000-0005-0000-0000-00006F010000}"/>
    <cellStyle name="Note 9" xfId="352" xr:uid="{00000000-0005-0000-0000-000070010000}"/>
    <cellStyle name="Output" xfId="353" builtinId="21" customBuiltin="1"/>
    <cellStyle name="Percen - Style1" xfId="354" xr:uid="{00000000-0005-0000-0000-000072010000}"/>
    <cellStyle name="Percen - Style2" xfId="355" xr:uid="{00000000-0005-0000-0000-000073010000}"/>
    <cellStyle name="Percen - Style3" xfId="356" xr:uid="{00000000-0005-0000-0000-000074010000}"/>
    <cellStyle name="Percent [2]" xfId="357" xr:uid="{00000000-0005-0000-0000-000075010000}"/>
    <cellStyle name="Percent 2" xfId="358" xr:uid="{00000000-0005-0000-0000-000076010000}"/>
    <cellStyle name="Percent 2 3 3" xfId="431" xr:uid="{00000000-0005-0000-0000-000077010000}"/>
    <cellStyle name="Percent 3" xfId="359" xr:uid="{00000000-0005-0000-0000-000078010000}"/>
    <cellStyle name="Percent 4" xfId="360" xr:uid="{00000000-0005-0000-0000-000079010000}"/>
    <cellStyle name="Percent 5" xfId="361" xr:uid="{00000000-0005-0000-0000-00007A010000}"/>
    <cellStyle name="Percent 6" xfId="362" xr:uid="{00000000-0005-0000-0000-00007B010000}"/>
    <cellStyle name="Percent 7" xfId="363" xr:uid="{00000000-0005-0000-0000-00007C010000}"/>
    <cellStyle name="Percent 8" xfId="364" xr:uid="{00000000-0005-0000-0000-00007D010000}"/>
    <cellStyle name="Processing" xfId="365" xr:uid="{00000000-0005-0000-0000-00007E010000}"/>
    <cellStyle name="PSChar" xfId="366" xr:uid="{00000000-0005-0000-0000-00007F010000}"/>
    <cellStyle name="PSDate" xfId="367" xr:uid="{00000000-0005-0000-0000-000080010000}"/>
    <cellStyle name="PSDec" xfId="368" xr:uid="{00000000-0005-0000-0000-000081010000}"/>
    <cellStyle name="PSHeading" xfId="369" xr:uid="{00000000-0005-0000-0000-000082010000}"/>
    <cellStyle name="PSInt" xfId="370" xr:uid="{00000000-0005-0000-0000-000083010000}"/>
    <cellStyle name="PSSpacer" xfId="371" xr:uid="{00000000-0005-0000-0000-000084010000}"/>
    <cellStyle name="purple - Style8" xfId="372" xr:uid="{00000000-0005-0000-0000-000085010000}"/>
    <cellStyle name="RED" xfId="373" xr:uid="{00000000-0005-0000-0000-000086010000}"/>
    <cellStyle name="Red - Style7" xfId="374" xr:uid="{00000000-0005-0000-0000-000087010000}"/>
    <cellStyle name="RED_04 07E Wild Horse Wind Expansion (C) (2)" xfId="375" xr:uid="{00000000-0005-0000-0000-000088010000}"/>
    <cellStyle name="Report" xfId="376" xr:uid="{00000000-0005-0000-0000-000089010000}"/>
    <cellStyle name="Report - Style5" xfId="377" xr:uid="{00000000-0005-0000-0000-00008A010000}"/>
    <cellStyle name="Report - Style6" xfId="378" xr:uid="{00000000-0005-0000-0000-00008B010000}"/>
    <cellStyle name="Report - Style7" xfId="379" xr:uid="{00000000-0005-0000-0000-00008C010000}"/>
    <cellStyle name="Report - Style8" xfId="380" xr:uid="{00000000-0005-0000-0000-00008D010000}"/>
    <cellStyle name="Report Bar" xfId="381" xr:uid="{00000000-0005-0000-0000-00008E010000}"/>
    <cellStyle name="Report Heading" xfId="382" xr:uid="{00000000-0005-0000-0000-00008F010000}"/>
    <cellStyle name="Report Percent" xfId="383" xr:uid="{00000000-0005-0000-0000-000090010000}"/>
    <cellStyle name="Report Unit Cost" xfId="384" xr:uid="{00000000-0005-0000-0000-000091010000}"/>
    <cellStyle name="Reports" xfId="385" xr:uid="{00000000-0005-0000-0000-000092010000}"/>
    <cellStyle name="Reports Total" xfId="386" xr:uid="{00000000-0005-0000-0000-000093010000}"/>
    <cellStyle name="Reports Unit Cost Total" xfId="387" xr:uid="{00000000-0005-0000-0000-000094010000}"/>
    <cellStyle name="RevList" xfId="388" xr:uid="{00000000-0005-0000-0000-000095010000}"/>
    <cellStyle name="round100" xfId="389" xr:uid="{00000000-0005-0000-0000-000096010000}"/>
    <cellStyle name="SAPBEXaggData" xfId="390" xr:uid="{00000000-0005-0000-0000-000097010000}"/>
    <cellStyle name="SAPBEXaggItem" xfId="391" xr:uid="{00000000-0005-0000-0000-000098010000}"/>
    <cellStyle name="SAPBEXchaText" xfId="392" xr:uid="{00000000-0005-0000-0000-000099010000}"/>
    <cellStyle name="SAPBEXfilterDrill" xfId="393" xr:uid="{00000000-0005-0000-0000-00009A010000}"/>
    <cellStyle name="SAPBEXfilterItem" xfId="394" xr:uid="{00000000-0005-0000-0000-00009B010000}"/>
    <cellStyle name="SAPBEXheaderItem" xfId="395" xr:uid="{00000000-0005-0000-0000-00009C010000}"/>
    <cellStyle name="SAPBEXheaderText" xfId="396" xr:uid="{00000000-0005-0000-0000-00009D010000}"/>
    <cellStyle name="SAPBEXHLevel0X" xfId="397" xr:uid="{00000000-0005-0000-0000-00009E010000}"/>
    <cellStyle name="SAPBEXstdData" xfId="398" xr:uid="{00000000-0005-0000-0000-00009F010000}"/>
    <cellStyle name="SAPBEXstdItem" xfId="399" xr:uid="{00000000-0005-0000-0000-0000A0010000}"/>
    <cellStyle name="SAPBEXstdItemX" xfId="400" xr:uid="{00000000-0005-0000-0000-0000A1010000}"/>
    <cellStyle name="SAPBEXtitle" xfId="401" xr:uid="{00000000-0005-0000-0000-0000A2010000}"/>
    <cellStyle name="shade" xfId="402" xr:uid="{00000000-0005-0000-0000-0000A3010000}"/>
    <cellStyle name="StmtTtl1" xfId="403" xr:uid="{00000000-0005-0000-0000-0000A4010000}"/>
    <cellStyle name="StmtTtl1 2" xfId="404" xr:uid="{00000000-0005-0000-0000-0000A5010000}"/>
    <cellStyle name="StmtTtl1 3" xfId="405" xr:uid="{00000000-0005-0000-0000-0000A6010000}"/>
    <cellStyle name="StmtTtl1 4" xfId="406" xr:uid="{00000000-0005-0000-0000-0000A7010000}"/>
    <cellStyle name="StmtTtl1_Direct Assignment Distribution Plant 2008" xfId="407" xr:uid="{00000000-0005-0000-0000-0000A8010000}"/>
    <cellStyle name="StmtTtl2" xfId="408" xr:uid="{00000000-0005-0000-0000-0000A9010000}"/>
    <cellStyle name="STYL1 - Style1" xfId="409" xr:uid="{00000000-0005-0000-0000-0000AA010000}"/>
    <cellStyle name="Style 1" xfId="1" xr:uid="{00000000-0005-0000-0000-0000AB010000}"/>
    <cellStyle name="Style 1 2" xfId="410" xr:uid="{00000000-0005-0000-0000-0000AC010000}"/>
    <cellStyle name="Style 1 3" xfId="411" xr:uid="{00000000-0005-0000-0000-0000AD010000}"/>
    <cellStyle name="Style 1 4" xfId="412" xr:uid="{00000000-0005-0000-0000-0000AE010000}"/>
    <cellStyle name="Style 1_4.14E Miscellaneous Operating Expense working file" xfId="413" xr:uid="{00000000-0005-0000-0000-0000AF010000}"/>
    <cellStyle name="Subtotal" xfId="414" xr:uid="{00000000-0005-0000-0000-0000B0010000}"/>
    <cellStyle name="Sub-total" xfId="415" xr:uid="{00000000-0005-0000-0000-0000B1010000}"/>
    <cellStyle name="Test" xfId="416" xr:uid="{00000000-0005-0000-0000-0000B2010000}"/>
    <cellStyle name="Title" xfId="417" builtinId="15" customBuiltin="1"/>
    <cellStyle name="Title: - Style3" xfId="418" xr:uid="{00000000-0005-0000-0000-0000B4010000}"/>
    <cellStyle name="Title: - Style4" xfId="419" xr:uid="{00000000-0005-0000-0000-0000B5010000}"/>
    <cellStyle name="Title: Major" xfId="420" xr:uid="{00000000-0005-0000-0000-0000B6010000}"/>
    <cellStyle name="Title: Minor" xfId="421" xr:uid="{00000000-0005-0000-0000-0000B7010000}"/>
    <cellStyle name="Title: Worksheet" xfId="422" xr:uid="{00000000-0005-0000-0000-0000B8010000}"/>
    <cellStyle name="Total" xfId="423" builtinId="25" customBuiltin="1"/>
    <cellStyle name="Total4 - Style4" xfId="424" xr:uid="{00000000-0005-0000-0000-0000BA010000}"/>
    <cellStyle name="Warning Text" xfId="425" builtinId="11" customBuiltin="1"/>
  </cellStyles>
  <dxfs count="2">
    <dxf>
      <font>
        <b/>
        <i/>
        <condense val="0"/>
        <extend val="0"/>
        <color rgb="FFFF0000"/>
      </font>
    </dxf>
    <dxf>
      <font>
        <b/>
        <i/>
        <condense val="0"/>
        <extend val="0"/>
        <color rgb="FFFF0000"/>
      </font>
    </dxf>
  </dxfs>
  <tableStyles count="0" defaultTableStyle="TableStyleMedium9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24</xdr:row>
      <xdr:rowOff>57150</xdr:rowOff>
    </xdr:from>
    <xdr:to>
      <xdr:col>24</xdr:col>
      <xdr:colOff>199258</xdr:colOff>
      <xdr:row>62</xdr:row>
      <xdr:rowOff>60888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A0EF25-5A3B-9A73-7038-918EA5037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3686175"/>
          <a:ext cx="8638408" cy="5918763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27</xdr:col>
      <xdr:colOff>312994</xdr:colOff>
      <xdr:row>21</xdr:row>
      <xdr:rowOff>118659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BB780-DA62-4373-9944-8F5E6C360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3925" y="142875"/>
          <a:ext cx="7866319" cy="3138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114300</xdr:rowOff>
    </xdr:from>
    <xdr:to>
      <xdr:col>4</xdr:col>
      <xdr:colOff>275584</xdr:colOff>
      <xdr:row>51</xdr:row>
      <xdr:rowOff>104115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19350"/>
          <a:ext cx="5123809" cy="527619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15</xdr:row>
      <xdr:rowOff>9525</xdr:rowOff>
    </xdr:from>
    <xdr:to>
      <xdr:col>13</xdr:col>
      <xdr:colOff>285107</xdr:colOff>
      <xdr:row>42</xdr:row>
      <xdr:rowOff>132852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2457450"/>
          <a:ext cx="5142857" cy="3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  <pageSetUpPr fitToPage="1"/>
  </sheetPr>
  <dimension ref="A1:D21"/>
  <sheetViews>
    <sheetView tabSelected="1" workbookViewId="0">
      <selection activeCell="B21" sqref="B21"/>
    </sheetView>
  </sheetViews>
  <sheetFormatPr defaultColWidth="9.140625" defaultRowHeight="11.25" x14ac:dyDescent="0.2"/>
  <cols>
    <col min="1" max="1" width="7.85546875" style="6" bestFit="1" customWidth="1"/>
    <col min="2" max="2" width="8.42578125" style="6" bestFit="1" customWidth="1"/>
    <col min="3" max="3" width="65.28515625" style="6" bestFit="1" customWidth="1"/>
    <col min="4" max="4" width="12.85546875" style="6" bestFit="1" customWidth="1"/>
    <col min="5" max="12" width="14.5703125" style="6" customWidth="1"/>
    <col min="13" max="13" width="10.5703125" style="6" bestFit="1" customWidth="1"/>
    <col min="14" max="16384" width="9.140625" style="6"/>
  </cols>
  <sheetData>
    <row r="1" spans="1:4" x14ac:dyDescent="0.2">
      <c r="A1" s="323" t="s">
        <v>0</v>
      </c>
      <c r="B1" s="323"/>
      <c r="C1" s="323"/>
      <c r="D1" s="323"/>
    </row>
    <row r="2" spans="1:4" x14ac:dyDescent="0.2">
      <c r="A2" s="323" t="s">
        <v>1</v>
      </c>
      <c r="B2" s="323"/>
      <c r="C2" s="323"/>
      <c r="D2" s="323"/>
    </row>
    <row r="3" spans="1:4" x14ac:dyDescent="0.2">
      <c r="A3" s="323" t="s">
        <v>2</v>
      </c>
      <c r="B3" s="323"/>
      <c r="C3" s="323"/>
      <c r="D3" s="323"/>
    </row>
    <row r="4" spans="1:4" x14ac:dyDescent="0.2">
      <c r="A4" s="324" t="s">
        <v>221</v>
      </c>
      <c r="B4" s="323"/>
      <c r="C4" s="323"/>
      <c r="D4" s="323"/>
    </row>
    <row r="5" spans="1:4" x14ac:dyDescent="0.2">
      <c r="A5" s="322" t="s">
        <v>304</v>
      </c>
      <c r="B5" s="323"/>
      <c r="C5" s="323"/>
      <c r="D5" s="323"/>
    </row>
    <row r="6" spans="1:4" x14ac:dyDescent="0.2">
      <c r="A6" s="47"/>
      <c r="B6" s="47"/>
    </row>
    <row r="7" spans="1:4" x14ac:dyDescent="0.2">
      <c r="A7" s="48" t="s">
        <v>3</v>
      </c>
      <c r="B7" s="48"/>
      <c r="C7" s="48" t="s">
        <v>4</v>
      </c>
      <c r="D7" s="49" t="s">
        <v>5</v>
      </c>
    </row>
    <row r="8" spans="1:4" x14ac:dyDescent="0.2">
      <c r="A8" s="50">
        <f t="shared" ref="A8:A18" si="0">ROW()-7</f>
        <v>1</v>
      </c>
      <c r="B8" s="47"/>
      <c r="C8" s="51" t="s">
        <v>319</v>
      </c>
      <c r="D8" s="52">
        <f>'F2023 Res Exch Load'!M35</f>
        <v>11695744180.49416</v>
      </c>
    </row>
    <row r="9" spans="1:4" x14ac:dyDescent="0.2">
      <c r="A9" s="50">
        <f t="shared" si="0"/>
        <v>2</v>
      </c>
      <c r="B9" s="53"/>
      <c r="C9" s="47"/>
      <c r="D9" s="52"/>
    </row>
    <row r="10" spans="1:4" x14ac:dyDescent="0.2">
      <c r="A10" s="50">
        <f t="shared" si="0"/>
        <v>3</v>
      </c>
      <c r="B10" s="51"/>
      <c r="C10" s="51" t="s">
        <v>219</v>
      </c>
      <c r="D10" s="110">
        <f>'Utility Spec PFx RAM 2024-25'!N36*1000</f>
        <v>91903752.672981292</v>
      </c>
    </row>
    <row r="11" spans="1:4" x14ac:dyDescent="0.2">
      <c r="A11" s="50">
        <f t="shared" si="0"/>
        <v>4</v>
      </c>
      <c r="B11" s="53"/>
      <c r="C11" s="47"/>
      <c r="D11" s="4"/>
    </row>
    <row r="12" spans="1:4" x14ac:dyDescent="0.2">
      <c r="A12" s="50">
        <f t="shared" si="0"/>
        <v>5</v>
      </c>
      <c r="B12" s="53"/>
      <c r="C12" s="54" t="s">
        <v>222</v>
      </c>
      <c r="D12" s="55">
        <f>-'186 - 253 Balance'!C14</f>
        <v>-8160686.8949999996</v>
      </c>
    </row>
    <row r="13" spans="1:4" x14ac:dyDescent="0.2">
      <c r="A13" s="50">
        <f t="shared" si="0"/>
        <v>6</v>
      </c>
      <c r="B13" s="47" t="str">
        <f>"= "&amp;A10&amp;" + "&amp;A12</f>
        <v>= 3 + 5</v>
      </c>
      <c r="C13" s="56" t="s">
        <v>6</v>
      </c>
      <c r="D13" s="57">
        <f>SUM(D10:D12)</f>
        <v>83743065.777981296</v>
      </c>
    </row>
    <row r="14" spans="1:4" x14ac:dyDescent="0.2">
      <c r="A14" s="50">
        <f t="shared" si="0"/>
        <v>7</v>
      </c>
      <c r="B14" s="47"/>
      <c r="C14" s="56"/>
      <c r="D14" s="4"/>
    </row>
    <row r="15" spans="1:4" x14ac:dyDescent="0.2">
      <c r="A15" s="50">
        <f t="shared" si="0"/>
        <v>8</v>
      </c>
      <c r="B15" s="53"/>
      <c r="C15" s="58" t="s">
        <v>7</v>
      </c>
      <c r="D15" s="59">
        <f>'2022 GRC Conversion Factor'!K16</f>
        <v>0.95034799999999997</v>
      </c>
    </row>
    <row r="16" spans="1:4" ht="12" thickBot="1" x14ac:dyDescent="0.25">
      <c r="A16" s="50">
        <f t="shared" si="0"/>
        <v>9</v>
      </c>
      <c r="B16" s="47" t="str">
        <f>"= "&amp;A13&amp;" / "&amp;A15</f>
        <v>= 6 / 8</v>
      </c>
      <c r="C16" s="60" t="s">
        <v>8</v>
      </c>
      <c r="D16" s="61">
        <f>+D13/D15</f>
        <v>88118316.425121427</v>
      </c>
    </row>
    <row r="17" spans="1:4" ht="12" thickTop="1" x14ac:dyDescent="0.2">
      <c r="A17" s="50">
        <f t="shared" si="0"/>
        <v>10</v>
      </c>
      <c r="B17" s="53"/>
    </row>
    <row r="18" spans="1:4" ht="12" thickBot="1" x14ac:dyDescent="0.25">
      <c r="A18" s="50">
        <f t="shared" si="0"/>
        <v>11</v>
      </c>
      <c r="B18" s="47" t="str">
        <f>"= "&amp;A16&amp;" / "&amp;A8</f>
        <v>= 9 / 1</v>
      </c>
      <c r="C18" s="51" t="s">
        <v>223</v>
      </c>
      <c r="D18" s="62">
        <f>-ROUND(D16/D8,6)</f>
        <v>-7.5339999999999999E-3</v>
      </c>
    </row>
    <row r="19" spans="1:4" ht="12" thickTop="1" x14ac:dyDescent="0.2"/>
    <row r="21" spans="1:4" x14ac:dyDescent="0.2">
      <c r="B21" s="320"/>
    </row>
  </sheetData>
  <mergeCells count="5">
    <mergeCell ref="A5:D5"/>
    <mergeCell ref="A1:D1"/>
    <mergeCell ref="A2:D2"/>
    <mergeCell ref="A3:D3"/>
    <mergeCell ref="A4:D4"/>
  </mergeCells>
  <phoneticPr fontId="11" type="noConversion"/>
  <printOptions horizontalCentered="1"/>
  <pageMargins left="0.75" right="0.75" top="1" bottom="1" header="0.5" footer="0.5"/>
  <pageSetup orientation="landscape" cellComments="asDisplayed" horizontalDpi="300" verticalDpi="300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4" tint="0.79998168889431442"/>
    <pageSetUpPr fitToPage="1"/>
  </sheetPr>
  <dimension ref="A1:K22"/>
  <sheetViews>
    <sheetView workbookViewId="0">
      <selection activeCell="E17" sqref="E17"/>
    </sheetView>
  </sheetViews>
  <sheetFormatPr defaultRowHeight="11.25" x14ac:dyDescent="0.2"/>
  <cols>
    <col min="1" max="1" width="4.28515625" style="2" bestFit="1" customWidth="1"/>
    <col min="2" max="2" width="55.140625" style="2" bestFit="1" customWidth="1"/>
    <col min="3" max="3" width="1.7109375" style="2" customWidth="1"/>
    <col min="4" max="4" width="7.140625" style="2" bestFit="1" customWidth="1"/>
    <col min="5" max="5" width="7.42578125" style="2" bestFit="1" customWidth="1"/>
    <col min="6" max="6" width="1.28515625" style="2" customWidth="1"/>
    <col min="7" max="7" width="4.28515625" style="2" bestFit="1" customWidth="1"/>
    <col min="8" max="8" width="64.28515625" style="2" bestFit="1" customWidth="1"/>
    <col min="9" max="9" width="1.5703125" style="2" customWidth="1"/>
    <col min="10" max="10" width="7.140625" style="2" bestFit="1" customWidth="1"/>
    <col min="11" max="11" width="7.42578125" style="2" bestFit="1" customWidth="1"/>
    <col min="12" max="256" width="9.140625" style="2"/>
    <col min="257" max="257" width="5" style="2" bestFit="1" customWidth="1"/>
    <col min="258" max="258" width="63" style="2" bestFit="1" customWidth="1"/>
    <col min="259" max="259" width="1.7109375" style="2" customWidth="1"/>
    <col min="260" max="260" width="7.28515625" style="2" bestFit="1" customWidth="1"/>
    <col min="261" max="512" width="9.140625" style="2"/>
    <col min="513" max="513" width="5" style="2" bestFit="1" customWidth="1"/>
    <col min="514" max="514" width="63" style="2" bestFit="1" customWidth="1"/>
    <col min="515" max="515" width="1.7109375" style="2" customWidth="1"/>
    <col min="516" max="516" width="7.28515625" style="2" bestFit="1" customWidth="1"/>
    <col min="517" max="768" width="9.140625" style="2"/>
    <col min="769" max="769" width="5" style="2" bestFit="1" customWidth="1"/>
    <col min="770" max="770" width="63" style="2" bestFit="1" customWidth="1"/>
    <col min="771" max="771" width="1.7109375" style="2" customWidth="1"/>
    <col min="772" max="772" width="7.28515625" style="2" bestFit="1" customWidth="1"/>
    <col min="773" max="1024" width="9.140625" style="2"/>
    <col min="1025" max="1025" width="5" style="2" bestFit="1" customWidth="1"/>
    <col min="1026" max="1026" width="63" style="2" bestFit="1" customWidth="1"/>
    <col min="1027" max="1027" width="1.7109375" style="2" customWidth="1"/>
    <col min="1028" max="1028" width="7.28515625" style="2" bestFit="1" customWidth="1"/>
    <col min="1029" max="1280" width="9.140625" style="2"/>
    <col min="1281" max="1281" width="5" style="2" bestFit="1" customWidth="1"/>
    <col min="1282" max="1282" width="63" style="2" bestFit="1" customWidth="1"/>
    <col min="1283" max="1283" width="1.7109375" style="2" customWidth="1"/>
    <col min="1284" max="1284" width="7.28515625" style="2" bestFit="1" customWidth="1"/>
    <col min="1285" max="1536" width="9.140625" style="2"/>
    <col min="1537" max="1537" width="5" style="2" bestFit="1" customWidth="1"/>
    <col min="1538" max="1538" width="63" style="2" bestFit="1" customWidth="1"/>
    <col min="1539" max="1539" width="1.7109375" style="2" customWidth="1"/>
    <col min="1540" max="1540" width="7.28515625" style="2" bestFit="1" customWidth="1"/>
    <col min="1541" max="1792" width="9.140625" style="2"/>
    <col min="1793" max="1793" width="5" style="2" bestFit="1" customWidth="1"/>
    <col min="1794" max="1794" width="63" style="2" bestFit="1" customWidth="1"/>
    <col min="1795" max="1795" width="1.7109375" style="2" customWidth="1"/>
    <col min="1796" max="1796" width="7.28515625" style="2" bestFit="1" customWidth="1"/>
    <col min="1797" max="2048" width="9.140625" style="2"/>
    <col min="2049" max="2049" width="5" style="2" bestFit="1" customWidth="1"/>
    <col min="2050" max="2050" width="63" style="2" bestFit="1" customWidth="1"/>
    <col min="2051" max="2051" width="1.7109375" style="2" customWidth="1"/>
    <col min="2052" max="2052" width="7.28515625" style="2" bestFit="1" customWidth="1"/>
    <col min="2053" max="2304" width="9.140625" style="2"/>
    <col min="2305" max="2305" width="5" style="2" bestFit="1" customWidth="1"/>
    <col min="2306" max="2306" width="63" style="2" bestFit="1" customWidth="1"/>
    <col min="2307" max="2307" width="1.7109375" style="2" customWidth="1"/>
    <col min="2308" max="2308" width="7.28515625" style="2" bestFit="1" customWidth="1"/>
    <col min="2309" max="2560" width="9.140625" style="2"/>
    <col min="2561" max="2561" width="5" style="2" bestFit="1" customWidth="1"/>
    <col min="2562" max="2562" width="63" style="2" bestFit="1" customWidth="1"/>
    <col min="2563" max="2563" width="1.7109375" style="2" customWidth="1"/>
    <col min="2564" max="2564" width="7.28515625" style="2" bestFit="1" customWidth="1"/>
    <col min="2565" max="2816" width="9.140625" style="2"/>
    <col min="2817" max="2817" width="5" style="2" bestFit="1" customWidth="1"/>
    <col min="2818" max="2818" width="63" style="2" bestFit="1" customWidth="1"/>
    <col min="2819" max="2819" width="1.7109375" style="2" customWidth="1"/>
    <col min="2820" max="2820" width="7.28515625" style="2" bestFit="1" customWidth="1"/>
    <col min="2821" max="3072" width="9.140625" style="2"/>
    <col min="3073" max="3073" width="5" style="2" bestFit="1" customWidth="1"/>
    <col min="3074" max="3074" width="63" style="2" bestFit="1" customWidth="1"/>
    <col min="3075" max="3075" width="1.7109375" style="2" customWidth="1"/>
    <col min="3076" max="3076" width="7.28515625" style="2" bestFit="1" customWidth="1"/>
    <col min="3077" max="3328" width="9.140625" style="2"/>
    <col min="3329" max="3329" width="5" style="2" bestFit="1" customWidth="1"/>
    <col min="3330" max="3330" width="63" style="2" bestFit="1" customWidth="1"/>
    <col min="3331" max="3331" width="1.7109375" style="2" customWidth="1"/>
    <col min="3332" max="3332" width="7.28515625" style="2" bestFit="1" customWidth="1"/>
    <col min="3333" max="3584" width="9.140625" style="2"/>
    <col min="3585" max="3585" width="5" style="2" bestFit="1" customWidth="1"/>
    <col min="3586" max="3586" width="63" style="2" bestFit="1" customWidth="1"/>
    <col min="3587" max="3587" width="1.7109375" style="2" customWidth="1"/>
    <col min="3588" max="3588" width="7.28515625" style="2" bestFit="1" customWidth="1"/>
    <col min="3589" max="3840" width="9.140625" style="2"/>
    <col min="3841" max="3841" width="5" style="2" bestFit="1" customWidth="1"/>
    <col min="3842" max="3842" width="63" style="2" bestFit="1" customWidth="1"/>
    <col min="3843" max="3843" width="1.7109375" style="2" customWidth="1"/>
    <col min="3844" max="3844" width="7.28515625" style="2" bestFit="1" customWidth="1"/>
    <col min="3845" max="4096" width="9.140625" style="2"/>
    <col min="4097" max="4097" width="5" style="2" bestFit="1" customWidth="1"/>
    <col min="4098" max="4098" width="63" style="2" bestFit="1" customWidth="1"/>
    <col min="4099" max="4099" width="1.7109375" style="2" customWidth="1"/>
    <col min="4100" max="4100" width="7.28515625" style="2" bestFit="1" customWidth="1"/>
    <col min="4101" max="4352" width="9.140625" style="2"/>
    <col min="4353" max="4353" width="5" style="2" bestFit="1" customWidth="1"/>
    <col min="4354" max="4354" width="63" style="2" bestFit="1" customWidth="1"/>
    <col min="4355" max="4355" width="1.7109375" style="2" customWidth="1"/>
    <col min="4356" max="4356" width="7.28515625" style="2" bestFit="1" customWidth="1"/>
    <col min="4357" max="4608" width="9.140625" style="2"/>
    <col min="4609" max="4609" width="5" style="2" bestFit="1" customWidth="1"/>
    <col min="4610" max="4610" width="63" style="2" bestFit="1" customWidth="1"/>
    <col min="4611" max="4611" width="1.7109375" style="2" customWidth="1"/>
    <col min="4612" max="4612" width="7.28515625" style="2" bestFit="1" customWidth="1"/>
    <col min="4613" max="4864" width="9.140625" style="2"/>
    <col min="4865" max="4865" width="5" style="2" bestFit="1" customWidth="1"/>
    <col min="4866" max="4866" width="63" style="2" bestFit="1" customWidth="1"/>
    <col min="4867" max="4867" width="1.7109375" style="2" customWidth="1"/>
    <col min="4868" max="4868" width="7.28515625" style="2" bestFit="1" customWidth="1"/>
    <col min="4869" max="5120" width="9.140625" style="2"/>
    <col min="5121" max="5121" width="5" style="2" bestFit="1" customWidth="1"/>
    <col min="5122" max="5122" width="63" style="2" bestFit="1" customWidth="1"/>
    <col min="5123" max="5123" width="1.7109375" style="2" customWidth="1"/>
    <col min="5124" max="5124" width="7.28515625" style="2" bestFit="1" customWidth="1"/>
    <col min="5125" max="5376" width="9.140625" style="2"/>
    <col min="5377" max="5377" width="5" style="2" bestFit="1" customWidth="1"/>
    <col min="5378" max="5378" width="63" style="2" bestFit="1" customWidth="1"/>
    <col min="5379" max="5379" width="1.7109375" style="2" customWidth="1"/>
    <col min="5380" max="5380" width="7.28515625" style="2" bestFit="1" customWidth="1"/>
    <col min="5381" max="5632" width="9.140625" style="2"/>
    <col min="5633" max="5633" width="5" style="2" bestFit="1" customWidth="1"/>
    <col min="5634" max="5634" width="63" style="2" bestFit="1" customWidth="1"/>
    <col min="5635" max="5635" width="1.7109375" style="2" customWidth="1"/>
    <col min="5636" max="5636" width="7.28515625" style="2" bestFit="1" customWidth="1"/>
    <col min="5637" max="5888" width="9.140625" style="2"/>
    <col min="5889" max="5889" width="5" style="2" bestFit="1" customWidth="1"/>
    <col min="5890" max="5890" width="63" style="2" bestFit="1" customWidth="1"/>
    <col min="5891" max="5891" width="1.7109375" style="2" customWidth="1"/>
    <col min="5892" max="5892" width="7.28515625" style="2" bestFit="1" customWidth="1"/>
    <col min="5893" max="6144" width="9.140625" style="2"/>
    <col min="6145" max="6145" width="5" style="2" bestFit="1" customWidth="1"/>
    <col min="6146" max="6146" width="63" style="2" bestFit="1" customWidth="1"/>
    <col min="6147" max="6147" width="1.7109375" style="2" customWidth="1"/>
    <col min="6148" max="6148" width="7.28515625" style="2" bestFit="1" customWidth="1"/>
    <col min="6149" max="6400" width="9.140625" style="2"/>
    <col min="6401" max="6401" width="5" style="2" bestFit="1" customWidth="1"/>
    <col min="6402" max="6402" width="63" style="2" bestFit="1" customWidth="1"/>
    <col min="6403" max="6403" width="1.7109375" style="2" customWidth="1"/>
    <col min="6404" max="6404" width="7.28515625" style="2" bestFit="1" customWidth="1"/>
    <col min="6405" max="6656" width="9.140625" style="2"/>
    <col min="6657" max="6657" width="5" style="2" bestFit="1" customWidth="1"/>
    <col min="6658" max="6658" width="63" style="2" bestFit="1" customWidth="1"/>
    <col min="6659" max="6659" width="1.7109375" style="2" customWidth="1"/>
    <col min="6660" max="6660" width="7.28515625" style="2" bestFit="1" customWidth="1"/>
    <col min="6661" max="6912" width="9.140625" style="2"/>
    <col min="6913" max="6913" width="5" style="2" bestFit="1" customWidth="1"/>
    <col min="6914" max="6914" width="63" style="2" bestFit="1" customWidth="1"/>
    <col min="6915" max="6915" width="1.7109375" style="2" customWidth="1"/>
    <col min="6916" max="6916" width="7.28515625" style="2" bestFit="1" customWidth="1"/>
    <col min="6917" max="7168" width="9.140625" style="2"/>
    <col min="7169" max="7169" width="5" style="2" bestFit="1" customWidth="1"/>
    <col min="7170" max="7170" width="63" style="2" bestFit="1" customWidth="1"/>
    <col min="7171" max="7171" width="1.7109375" style="2" customWidth="1"/>
    <col min="7172" max="7172" width="7.28515625" style="2" bestFit="1" customWidth="1"/>
    <col min="7173" max="7424" width="9.140625" style="2"/>
    <col min="7425" max="7425" width="5" style="2" bestFit="1" customWidth="1"/>
    <col min="7426" max="7426" width="63" style="2" bestFit="1" customWidth="1"/>
    <col min="7427" max="7427" width="1.7109375" style="2" customWidth="1"/>
    <col min="7428" max="7428" width="7.28515625" style="2" bestFit="1" customWidth="1"/>
    <col min="7429" max="7680" width="9.140625" style="2"/>
    <col min="7681" max="7681" width="5" style="2" bestFit="1" customWidth="1"/>
    <col min="7682" max="7682" width="63" style="2" bestFit="1" customWidth="1"/>
    <col min="7683" max="7683" width="1.7109375" style="2" customWidth="1"/>
    <col min="7684" max="7684" width="7.28515625" style="2" bestFit="1" customWidth="1"/>
    <col min="7685" max="7936" width="9.140625" style="2"/>
    <col min="7937" max="7937" width="5" style="2" bestFit="1" customWidth="1"/>
    <col min="7938" max="7938" width="63" style="2" bestFit="1" customWidth="1"/>
    <col min="7939" max="7939" width="1.7109375" style="2" customWidth="1"/>
    <col min="7940" max="7940" width="7.28515625" style="2" bestFit="1" customWidth="1"/>
    <col min="7941" max="8192" width="9.140625" style="2"/>
    <col min="8193" max="8193" width="5" style="2" bestFit="1" customWidth="1"/>
    <col min="8194" max="8194" width="63" style="2" bestFit="1" customWidth="1"/>
    <col min="8195" max="8195" width="1.7109375" style="2" customWidth="1"/>
    <col min="8196" max="8196" width="7.28515625" style="2" bestFit="1" customWidth="1"/>
    <col min="8197" max="8448" width="9.140625" style="2"/>
    <col min="8449" max="8449" width="5" style="2" bestFit="1" customWidth="1"/>
    <col min="8450" max="8450" width="63" style="2" bestFit="1" customWidth="1"/>
    <col min="8451" max="8451" width="1.7109375" style="2" customWidth="1"/>
    <col min="8452" max="8452" width="7.28515625" style="2" bestFit="1" customWidth="1"/>
    <col min="8453" max="8704" width="9.140625" style="2"/>
    <col min="8705" max="8705" width="5" style="2" bestFit="1" customWidth="1"/>
    <col min="8706" max="8706" width="63" style="2" bestFit="1" customWidth="1"/>
    <col min="8707" max="8707" width="1.7109375" style="2" customWidth="1"/>
    <col min="8708" max="8708" width="7.28515625" style="2" bestFit="1" customWidth="1"/>
    <col min="8709" max="8960" width="9.140625" style="2"/>
    <col min="8961" max="8961" width="5" style="2" bestFit="1" customWidth="1"/>
    <col min="8962" max="8962" width="63" style="2" bestFit="1" customWidth="1"/>
    <col min="8963" max="8963" width="1.7109375" style="2" customWidth="1"/>
    <col min="8964" max="8964" width="7.28515625" style="2" bestFit="1" customWidth="1"/>
    <col min="8965" max="9216" width="9.140625" style="2"/>
    <col min="9217" max="9217" width="5" style="2" bestFit="1" customWidth="1"/>
    <col min="9218" max="9218" width="63" style="2" bestFit="1" customWidth="1"/>
    <col min="9219" max="9219" width="1.7109375" style="2" customWidth="1"/>
    <col min="9220" max="9220" width="7.28515625" style="2" bestFit="1" customWidth="1"/>
    <col min="9221" max="9472" width="9.140625" style="2"/>
    <col min="9473" max="9473" width="5" style="2" bestFit="1" customWidth="1"/>
    <col min="9474" max="9474" width="63" style="2" bestFit="1" customWidth="1"/>
    <col min="9475" max="9475" width="1.7109375" style="2" customWidth="1"/>
    <col min="9476" max="9476" width="7.28515625" style="2" bestFit="1" customWidth="1"/>
    <col min="9477" max="9728" width="9.140625" style="2"/>
    <col min="9729" max="9729" width="5" style="2" bestFit="1" customWidth="1"/>
    <col min="9730" max="9730" width="63" style="2" bestFit="1" customWidth="1"/>
    <col min="9731" max="9731" width="1.7109375" style="2" customWidth="1"/>
    <col min="9732" max="9732" width="7.28515625" style="2" bestFit="1" customWidth="1"/>
    <col min="9733" max="9984" width="9.140625" style="2"/>
    <col min="9985" max="9985" width="5" style="2" bestFit="1" customWidth="1"/>
    <col min="9986" max="9986" width="63" style="2" bestFit="1" customWidth="1"/>
    <col min="9987" max="9987" width="1.7109375" style="2" customWidth="1"/>
    <col min="9988" max="9988" width="7.28515625" style="2" bestFit="1" customWidth="1"/>
    <col min="9989" max="10240" width="9.140625" style="2"/>
    <col min="10241" max="10241" width="5" style="2" bestFit="1" customWidth="1"/>
    <col min="10242" max="10242" width="63" style="2" bestFit="1" customWidth="1"/>
    <col min="10243" max="10243" width="1.7109375" style="2" customWidth="1"/>
    <col min="10244" max="10244" width="7.28515625" style="2" bestFit="1" customWidth="1"/>
    <col min="10245" max="10496" width="9.140625" style="2"/>
    <col min="10497" max="10497" width="5" style="2" bestFit="1" customWidth="1"/>
    <col min="10498" max="10498" width="63" style="2" bestFit="1" customWidth="1"/>
    <col min="10499" max="10499" width="1.7109375" style="2" customWidth="1"/>
    <col min="10500" max="10500" width="7.28515625" style="2" bestFit="1" customWidth="1"/>
    <col min="10501" max="10752" width="9.140625" style="2"/>
    <col min="10753" max="10753" width="5" style="2" bestFit="1" customWidth="1"/>
    <col min="10754" max="10754" width="63" style="2" bestFit="1" customWidth="1"/>
    <col min="10755" max="10755" width="1.7109375" style="2" customWidth="1"/>
    <col min="10756" max="10756" width="7.28515625" style="2" bestFit="1" customWidth="1"/>
    <col min="10757" max="11008" width="9.140625" style="2"/>
    <col min="11009" max="11009" width="5" style="2" bestFit="1" customWidth="1"/>
    <col min="11010" max="11010" width="63" style="2" bestFit="1" customWidth="1"/>
    <col min="11011" max="11011" width="1.7109375" style="2" customWidth="1"/>
    <col min="11012" max="11012" width="7.28515625" style="2" bestFit="1" customWidth="1"/>
    <col min="11013" max="11264" width="9.140625" style="2"/>
    <col min="11265" max="11265" width="5" style="2" bestFit="1" customWidth="1"/>
    <col min="11266" max="11266" width="63" style="2" bestFit="1" customWidth="1"/>
    <col min="11267" max="11267" width="1.7109375" style="2" customWidth="1"/>
    <col min="11268" max="11268" width="7.28515625" style="2" bestFit="1" customWidth="1"/>
    <col min="11269" max="11520" width="9.140625" style="2"/>
    <col min="11521" max="11521" width="5" style="2" bestFit="1" customWidth="1"/>
    <col min="11522" max="11522" width="63" style="2" bestFit="1" customWidth="1"/>
    <col min="11523" max="11523" width="1.7109375" style="2" customWidth="1"/>
    <col min="11524" max="11524" width="7.28515625" style="2" bestFit="1" customWidth="1"/>
    <col min="11525" max="11776" width="9.140625" style="2"/>
    <col min="11777" max="11777" width="5" style="2" bestFit="1" customWidth="1"/>
    <col min="11778" max="11778" width="63" style="2" bestFit="1" customWidth="1"/>
    <col min="11779" max="11779" width="1.7109375" style="2" customWidth="1"/>
    <col min="11780" max="11780" width="7.28515625" style="2" bestFit="1" customWidth="1"/>
    <col min="11781" max="12032" width="9.140625" style="2"/>
    <col min="12033" max="12033" width="5" style="2" bestFit="1" customWidth="1"/>
    <col min="12034" max="12034" width="63" style="2" bestFit="1" customWidth="1"/>
    <col min="12035" max="12035" width="1.7109375" style="2" customWidth="1"/>
    <col min="12036" max="12036" width="7.28515625" style="2" bestFit="1" customWidth="1"/>
    <col min="12037" max="12288" width="9.140625" style="2"/>
    <col min="12289" max="12289" width="5" style="2" bestFit="1" customWidth="1"/>
    <col min="12290" max="12290" width="63" style="2" bestFit="1" customWidth="1"/>
    <col min="12291" max="12291" width="1.7109375" style="2" customWidth="1"/>
    <col min="12292" max="12292" width="7.28515625" style="2" bestFit="1" customWidth="1"/>
    <col min="12293" max="12544" width="9.140625" style="2"/>
    <col min="12545" max="12545" width="5" style="2" bestFit="1" customWidth="1"/>
    <col min="12546" max="12546" width="63" style="2" bestFit="1" customWidth="1"/>
    <col min="12547" max="12547" width="1.7109375" style="2" customWidth="1"/>
    <col min="12548" max="12548" width="7.28515625" style="2" bestFit="1" customWidth="1"/>
    <col min="12549" max="12800" width="9.140625" style="2"/>
    <col min="12801" max="12801" width="5" style="2" bestFit="1" customWidth="1"/>
    <col min="12802" max="12802" width="63" style="2" bestFit="1" customWidth="1"/>
    <col min="12803" max="12803" width="1.7109375" style="2" customWidth="1"/>
    <col min="12804" max="12804" width="7.28515625" style="2" bestFit="1" customWidth="1"/>
    <col min="12805" max="13056" width="9.140625" style="2"/>
    <col min="13057" max="13057" width="5" style="2" bestFit="1" customWidth="1"/>
    <col min="13058" max="13058" width="63" style="2" bestFit="1" customWidth="1"/>
    <col min="13059" max="13059" width="1.7109375" style="2" customWidth="1"/>
    <col min="13060" max="13060" width="7.28515625" style="2" bestFit="1" customWidth="1"/>
    <col min="13061" max="13312" width="9.140625" style="2"/>
    <col min="13313" max="13313" width="5" style="2" bestFit="1" customWidth="1"/>
    <col min="13314" max="13314" width="63" style="2" bestFit="1" customWidth="1"/>
    <col min="13315" max="13315" width="1.7109375" style="2" customWidth="1"/>
    <col min="13316" max="13316" width="7.28515625" style="2" bestFit="1" customWidth="1"/>
    <col min="13317" max="13568" width="9.140625" style="2"/>
    <col min="13569" max="13569" width="5" style="2" bestFit="1" customWidth="1"/>
    <col min="13570" max="13570" width="63" style="2" bestFit="1" customWidth="1"/>
    <col min="13571" max="13571" width="1.7109375" style="2" customWidth="1"/>
    <col min="13572" max="13572" width="7.28515625" style="2" bestFit="1" customWidth="1"/>
    <col min="13573" max="13824" width="9.140625" style="2"/>
    <col min="13825" max="13825" width="5" style="2" bestFit="1" customWidth="1"/>
    <col min="13826" max="13826" width="63" style="2" bestFit="1" customWidth="1"/>
    <col min="13827" max="13827" width="1.7109375" style="2" customWidth="1"/>
    <col min="13828" max="13828" width="7.28515625" style="2" bestFit="1" customWidth="1"/>
    <col min="13829" max="14080" width="9.140625" style="2"/>
    <col min="14081" max="14081" width="5" style="2" bestFit="1" customWidth="1"/>
    <col min="14082" max="14082" width="63" style="2" bestFit="1" customWidth="1"/>
    <col min="14083" max="14083" width="1.7109375" style="2" customWidth="1"/>
    <col min="14084" max="14084" width="7.28515625" style="2" bestFit="1" customWidth="1"/>
    <col min="14085" max="14336" width="9.140625" style="2"/>
    <col min="14337" max="14337" width="5" style="2" bestFit="1" customWidth="1"/>
    <col min="14338" max="14338" width="63" style="2" bestFit="1" customWidth="1"/>
    <col min="14339" max="14339" width="1.7109375" style="2" customWidth="1"/>
    <col min="14340" max="14340" width="7.28515625" style="2" bestFit="1" customWidth="1"/>
    <col min="14341" max="14592" width="9.140625" style="2"/>
    <col min="14593" max="14593" width="5" style="2" bestFit="1" customWidth="1"/>
    <col min="14594" max="14594" width="63" style="2" bestFit="1" customWidth="1"/>
    <col min="14595" max="14595" width="1.7109375" style="2" customWidth="1"/>
    <col min="14596" max="14596" width="7.28515625" style="2" bestFit="1" customWidth="1"/>
    <col min="14597" max="14848" width="9.140625" style="2"/>
    <col min="14849" max="14849" width="5" style="2" bestFit="1" customWidth="1"/>
    <col min="14850" max="14850" width="63" style="2" bestFit="1" customWidth="1"/>
    <col min="14851" max="14851" width="1.7109375" style="2" customWidth="1"/>
    <col min="14852" max="14852" width="7.28515625" style="2" bestFit="1" customWidth="1"/>
    <col min="14853" max="15104" width="9.140625" style="2"/>
    <col min="15105" max="15105" width="5" style="2" bestFit="1" customWidth="1"/>
    <col min="15106" max="15106" width="63" style="2" bestFit="1" customWidth="1"/>
    <col min="15107" max="15107" width="1.7109375" style="2" customWidth="1"/>
    <col min="15108" max="15108" width="7.28515625" style="2" bestFit="1" customWidth="1"/>
    <col min="15109" max="15360" width="9.140625" style="2"/>
    <col min="15361" max="15361" width="5" style="2" bestFit="1" customWidth="1"/>
    <col min="15362" max="15362" width="63" style="2" bestFit="1" customWidth="1"/>
    <col min="15363" max="15363" width="1.7109375" style="2" customWidth="1"/>
    <col min="15364" max="15364" width="7.28515625" style="2" bestFit="1" customWidth="1"/>
    <col min="15365" max="15616" width="9.140625" style="2"/>
    <col min="15617" max="15617" width="5" style="2" bestFit="1" customWidth="1"/>
    <col min="15618" max="15618" width="63" style="2" bestFit="1" customWidth="1"/>
    <col min="15619" max="15619" width="1.7109375" style="2" customWidth="1"/>
    <col min="15620" max="15620" width="7.28515625" style="2" bestFit="1" customWidth="1"/>
    <col min="15621" max="15872" width="9.140625" style="2"/>
    <col min="15873" max="15873" width="5" style="2" bestFit="1" customWidth="1"/>
    <col min="15874" max="15874" width="63" style="2" bestFit="1" customWidth="1"/>
    <col min="15875" max="15875" width="1.7109375" style="2" customWidth="1"/>
    <col min="15876" max="15876" width="7.28515625" style="2" bestFit="1" customWidth="1"/>
    <col min="15877" max="16128" width="9.140625" style="2"/>
    <col min="16129" max="16129" width="5" style="2" bestFit="1" customWidth="1"/>
    <col min="16130" max="16130" width="63" style="2" bestFit="1" customWidth="1"/>
    <col min="16131" max="16131" width="1.7109375" style="2" customWidth="1"/>
    <col min="16132" max="16132" width="7.28515625" style="2" bestFit="1" customWidth="1"/>
    <col min="16133" max="16384" width="9.140625" style="2"/>
  </cols>
  <sheetData>
    <row r="1" spans="1:11" x14ac:dyDescent="0.2">
      <c r="A1" s="3"/>
      <c r="B1" s="3"/>
      <c r="C1" s="3"/>
      <c r="D1" s="3"/>
      <c r="E1" s="191"/>
      <c r="G1" s="3"/>
      <c r="H1" s="3"/>
      <c r="I1" s="3"/>
      <c r="J1" s="3"/>
      <c r="K1" s="191"/>
    </row>
    <row r="2" spans="1:11" x14ac:dyDescent="0.2">
      <c r="A2" s="189" t="s">
        <v>41</v>
      </c>
      <c r="B2" s="76"/>
      <c r="C2" s="76"/>
      <c r="D2" s="76"/>
      <c r="E2" s="76"/>
      <c r="G2" s="189" t="s">
        <v>41</v>
      </c>
      <c r="H2" s="76"/>
      <c r="I2" s="76"/>
      <c r="J2" s="76"/>
      <c r="K2" s="76"/>
    </row>
    <row r="3" spans="1:11" x14ac:dyDescent="0.2">
      <c r="A3" s="190" t="s">
        <v>87</v>
      </c>
      <c r="B3" s="206"/>
      <c r="C3" s="206"/>
      <c r="D3" s="206"/>
      <c r="E3" s="206"/>
      <c r="G3" s="190" t="s">
        <v>87</v>
      </c>
      <c r="H3" s="206"/>
      <c r="I3" s="206"/>
      <c r="J3" s="206"/>
      <c r="K3" s="206"/>
    </row>
    <row r="4" spans="1:11" x14ac:dyDescent="0.2">
      <c r="A4" s="207" t="s">
        <v>357</v>
      </c>
      <c r="B4" s="208"/>
      <c r="C4" s="208"/>
      <c r="D4" s="208"/>
      <c r="E4" s="209"/>
      <c r="G4" s="76" t="str">
        <f>A4</f>
        <v>FOR THE TWELVE MONTHS ENDED JUNE 30, 2021</v>
      </c>
      <c r="H4" s="208"/>
      <c r="I4" s="208"/>
      <c r="J4" s="208"/>
      <c r="K4" s="209"/>
    </row>
    <row r="5" spans="1:11" x14ac:dyDescent="0.2">
      <c r="A5" s="207" t="s">
        <v>358</v>
      </c>
      <c r="B5" s="208"/>
      <c r="C5" s="208"/>
      <c r="D5" s="208"/>
      <c r="E5" s="209"/>
      <c r="G5" s="76" t="str">
        <f>A5</f>
        <v>2022 GENERAL RATE CASE</v>
      </c>
      <c r="H5" s="208"/>
      <c r="I5" s="208"/>
      <c r="J5" s="208"/>
      <c r="K5" s="209"/>
    </row>
    <row r="6" spans="1:11" x14ac:dyDescent="0.2">
      <c r="A6" s="210"/>
      <c r="B6" s="76"/>
      <c r="C6" s="76"/>
      <c r="D6" s="76"/>
      <c r="E6" s="76"/>
      <c r="G6" s="210"/>
      <c r="H6" s="76"/>
      <c r="I6" s="76"/>
      <c r="J6" s="76"/>
      <c r="K6" s="76"/>
    </row>
    <row r="7" spans="1:11" x14ac:dyDescent="0.2">
      <c r="A7" s="211" t="s">
        <v>42</v>
      </c>
      <c r="B7" s="3"/>
      <c r="C7" s="3"/>
      <c r="D7" s="3"/>
      <c r="E7" s="3"/>
      <c r="G7" s="211" t="s">
        <v>42</v>
      </c>
      <c r="H7" s="3"/>
      <c r="I7" s="3"/>
      <c r="J7" s="3"/>
      <c r="K7" s="3"/>
    </row>
    <row r="8" spans="1:11" x14ac:dyDescent="0.2">
      <c r="A8" s="212" t="s">
        <v>43</v>
      </c>
      <c r="B8" s="213" t="s">
        <v>44</v>
      </c>
      <c r="C8" s="214"/>
      <c r="D8" s="214"/>
      <c r="E8" s="215" t="s">
        <v>45</v>
      </c>
      <c r="G8" s="212" t="s">
        <v>43</v>
      </c>
      <c r="H8" s="213" t="s">
        <v>44</v>
      </c>
      <c r="I8" s="214"/>
      <c r="J8" s="214"/>
      <c r="K8" s="215" t="s">
        <v>45</v>
      </c>
    </row>
    <row r="9" spans="1:11" x14ac:dyDescent="0.2">
      <c r="A9" s="1"/>
      <c r="B9" s="1"/>
      <c r="C9" s="1"/>
      <c r="D9" s="1"/>
      <c r="E9" s="216"/>
      <c r="G9" s="1"/>
      <c r="H9" s="1"/>
      <c r="I9" s="1"/>
      <c r="J9" s="1"/>
      <c r="K9" s="216"/>
    </row>
    <row r="10" spans="1:11" x14ac:dyDescent="0.2">
      <c r="A10" s="217">
        <v>1</v>
      </c>
      <c r="B10" s="14" t="s">
        <v>86</v>
      </c>
      <c r="C10" s="1"/>
      <c r="D10" s="218"/>
      <c r="E10" s="219">
        <v>7.1970000000000003E-3</v>
      </c>
      <c r="G10" s="217">
        <v>1</v>
      </c>
      <c r="H10" s="14" t="s">
        <v>86</v>
      </c>
      <c r="I10" s="1"/>
      <c r="J10" s="218"/>
      <c r="K10" s="220">
        <f>E10</f>
        <v>7.1970000000000003E-3</v>
      </c>
    </row>
    <row r="11" spans="1:11" x14ac:dyDescent="0.2">
      <c r="A11" s="217">
        <v>2</v>
      </c>
      <c r="B11" s="14" t="s">
        <v>61</v>
      </c>
      <c r="C11" s="1"/>
      <c r="D11" s="218"/>
      <c r="E11" s="219">
        <v>2E-3</v>
      </c>
      <c r="G11" s="217">
        <v>2</v>
      </c>
      <c r="H11" s="14" t="s">
        <v>61</v>
      </c>
      <c r="I11" s="1"/>
      <c r="J11" s="218"/>
      <c r="K11" s="221">
        <v>4.0000000000000001E-3</v>
      </c>
    </row>
    <row r="12" spans="1:11" x14ac:dyDescent="0.2">
      <c r="A12" s="217">
        <v>3</v>
      </c>
      <c r="B12" s="14" t="s">
        <v>108</v>
      </c>
      <c r="D12" s="222">
        <v>3.8733999999999998E-2</v>
      </c>
      <c r="E12" s="223">
        <f>ROUND(D12-(D12*E10),6)</f>
        <v>3.8455000000000003E-2</v>
      </c>
      <c r="G12" s="217">
        <v>3</v>
      </c>
      <c r="H12" s="14" t="s">
        <v>108</v>
      </c>
      <c r="J12" s="224">
        <f>D12</f>
        <v>3.8733999999999998E-2</v>
      </c>
      <c r="K12" s="223">
        <f>ROUND(J12-(J12*K10),6)</f>
        <v>3.8455000000000003E-2</v>
      </c>
    </row>
    <row r="13" spans="1:11" x14ac:dyDescent="0.2">
      <c r="A13" s="217">
        <v>4</v>
      </c>
      <c r="B13" s="14"/>
      <c r="C13" s="1"/>
      <c r="D13" s="1"/>
      <c r="E13" s="220"/>
      <c r="G13" s="217">
        <v>4</v>
      </c>
      <c r="H13" s="14"/>
      <c r="I13" s="1"/>
      <c r="J13" s="1"/>
      <c r="K13" s="220"/>
    </row>
    <row r="14" spans="1:11" x14ac:dyDescent="0.2">
      <c r="A14" s="217">
        <v>5</v>
      </c>
      <c r="B14" s="14" t="s">
        <v>46</v>
      </c>
      <c r="C14" s="1"/>
      <c r="D14" s="1"/>
      <c r="E14" s="220">
        <f>ROUND(SUM(E10:E12),6)</f>
        <v>4.7652E-2</v>
      </c>
      <c r="G14" s="217">
        <v>5</v>
      </c>
      <c r="H14" s="14" t="s">
        <v>46</v>
      </c>
      <c r="I14" s="1"/>
      <c r="J14" s="1"/>
      <c r="K14" s="220">
        <f>ROUND(SUM(K10:K12),6)</f>
        <v>4.9652000000000002E-2</v>
      </c>
    </row>
    <row r="15" spans="1:11" x14ac:dyDescent="0.2">
      <c r="A15" s="217">
        <v>6</v>
      </c>
      <c r="B15" s="1"/>
      <c r="C15" s="1"/>
      <c r="D15" s="1"/>
      <c r="E15" s="220"/>
      <c r="G15" s="217">
        <v>6</v>
      </c>
      <c r="H15" s="1"/>
      <c r="I15" s="1"/>
      <c r="J15" s="1"/>
      <c r="K15" s="220"/>
    </row>
    <row r="16" spans="1:11" x14ac:dyDescent="0.2">
      <c r="A16" s="217">
        <v>7</v>
      </c>
      <c r="B16" s="1" t="s">
        <v>109</v>
      </c>
      <c r="C16" s="1"/>
      <c r="D16" s="1"/>
      <c r="E16" s="225">
        <f>ROUND(1-E14,6)</f>
        <v>0.95234799999999997</v>
      </c>
      <c r="G16" s="217">
        <v>7</v>
      </c>
      <c r="H16" s="1" t="s">
        <v>109</v>
      </c>
      <c r="I16" s="1"/>
      <c r="J16" s="1"/>
      <c r="K16" s="225">
        <f>ROUND(1-K14,6)</f>
        <v>0.95034799999999997</v>
      </c>
    </row>
    <row r="17" spans="1:11" x14ac:dyDescent="0.2">
      <c r="A17" s="217">
        <v>8</v>
      </c>
      <c r="B17" s="14" t="s">
        <v>110</v>
      </c>
      <c r="C17" s="1"/>
      <c r="D17" s="226">
        <v>0.21</v>
      </c>
      <c r="E17" s="227">
        <f>ROUND((E16)*D17,6)</f>
        <v>0.199993</v>
      </c>
      <c r="G17" s="217">
        <v>8</v>
      </c>
      <c r="H17" s="14" t="s">
        <v>110</v>
      </c>
      <c r="I17" s="1"/>
      <c r="J17" s="228">
        <f>D17</f>
        <v>0.21</v>
      </c>
      <c r="K17" s="227">
        <f>ROUND((K16)*J17,6)</f>
        <v>0.199573</v>
      </c>
    </row>
    <row r="18" spans="1:11" ht="12" thickBot="1" x14ac:dyDescent="0.25">
      <c r="A18" s="217">
        <v>9</v>
      </c>
      <c r="B18" s="14" t="s">
        <v>111</v>
      </c>
      <c r="C18" s="1"/>
      <c r="D18" s="1"/>
      <c r="E18" s="229">
        <f>E16-E17</f>
        <v>0.752355</v>
      </c>
      <c r="G18" s="217">
        <v>9</v>
      </c>
      <c r="H18" s="14" t="s">
        <v>111</v>
      </c>
      <c r="I18" s="1"/>
      <c r="J18" s="1"/>
      <c r="K18" s="229">
        <f>K16-K17</f>
        <v>0.75077499999999997</v>
      </c>
    </row>
    <row r="19" spans="1:11" ht="12" thickTop="1" x14ac:dyDescent="0.2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</row>
    <row r="22" spans="1:11" x14ac:dyDescent="0.2">
      <c r="A22" s="192"/>
      <c r="B22" s="192"/>
      <c r="C22" s="192"/>
      <c r="D22" s="192"/>
      <c r="E22" s="192"/>
      <c r="F22" s="192"/>
      <c r="G22" s="192"/>
      <c r="H22" s="194" t="s">
        <v>308</v>
      </c>
      <c r="I22" s="193"/>
      <c r="J22" s="193"/>
      <c r="K22" s="192"/>
    </row>
  </sheetData>
  <phoneticPr fontId="0" type="noConversion"/>
  <printOptions horizontalCentered="1"/>
  <pageMargins left="0.75" right="0.75" top="1" bottom="1" header="0.5" footer="0.5"/>
  <pageSetup scale="75" orientation="landscape" cellComments="asDisplayed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1:AH40"/>
  <sheetViews>
    <sheetView topLeftCell="A17" workbookViewId="0">
      <selection activeCell="B39" sqref="B39"/>
    </sheetView>
  </sheetViews>
  <sheetFormatPr defaultColWidth="6.28515625" defaultRowHeight="11.25" x14ac:dyDescent="0.2"/>
  <cols>
    <col min="1" max="1" width="4.42578125" style="198" bestFit="1" customWidth="1"/>
    <col min="2" max="2" width="17.42578125" style="198" bestFit="1" customWidth="1"/>
    <col min="3" max="3" width="13.28515625" style="198" bestFit="1" customWidth="1"/>
    <col min="4" max="4" width="12.85546875" style="198" bestFit="1" customWidth="1"/>
    <col min="5" max="5" width="11.85546875" style="198" bestFit="1" customWidth="1"/>
    <col min="6" max="6" width="8.28515625" style="198" bestFit="1" customWidth="1"/>
    <col min="7" max="8" width="11.5703125" style="198" bestFit="1" customWidth="1"/>
    <col min="9" max="9" width="11.28515625" style="198" bestFit="1" customWidth="1"/>
    <col min="10" max="10" width="10.5703125" style="198" bestFit="1" customWidth="1"/>
    <col min="11" max="11" width="11.28515625" style="198" customWidth="1"/>
    <col min="12" max="12" width="11.85546875" style="198" bestFit="1" customWidth="1"/>
    <col min="13" max="13" width="11.28515625" style="198" bestFit="1" customWidth="1"/>
    <col min="14" max="14" width="12" style="198" customWidth="1"/>
    <col min="15" max="15" width="13.85546875" style="198" bestFit="1" customWidth="1"/>
    <col min="16" max="16" width="10.7109375" style="198" bestFit="1" customWidth="1"/>
    <col min="17" max="17" width="11.5703125" style="198" bestFit="1" customWidth="1"/>
    <col min="18" max="18" width="12.28515625" style="198" customWidth="1"/>
    <col min="19" max="19" width="9.85546875" style="198" bestFit="1" customWidth="1"/>
    <col min="20" max="20" width="11.85546875" style="198" bestFit="1" customWidth="1"/>
    <col min="21" max="21" width="11.28515625" style="198" bestFit="1" customWidth="1"/>
    <col min="22" max="22" width="11.85546875" style="198" bestFit="1" customWidth="1"/>
    <col min="23" max="23" width="13.140625" style="198" bestFit="1" customWidth="1"/>
    <col min="24" max="24" width="11.5703125" style="198" bestFit="1" customWidth="1"/>
    <col min="25" max="25" width="12.85546875" style="198" bestFit="1" customWidth="1"/>
    <col min="26" max="26" width="1.7109375" style="198" customWidth="1"/>
    <col min="27" max="29" width="11.28515625" style="198" bestFit="1" customWidth="1"/>
    <col min="30" max="30" width="12.85546875" style="198" bestFit="1" customWidth="1"/>
    <col min="31" max="31" width="9.42578125" style="198" bestFit="1" customWidth="1"/>
    <col min="32" max="32" width="9.42578125" style="198" customWidth="1"/>
    <col min="33" max="33" width="7" style="198" bestFit="1" customWidth="1"/>
    <col min="34" max="16384" width="6.28515625" style="198"/>
  </cols>
  <sheetData>
    <row r="1" spans="1:34" x14ac:dyDescent="0.2">
      <c r="A1" s="195" t="s">
        <v>0</v>
      </c>
      <c r="B1" s="195"/>
      <c r="C1" s="195"/>
      <c r="D1" s="195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</row>
    <row r="2" spans="1:34" x14ac:dyDescent="0.2">
      <c r="A2" s="195" t="s">
        <v>351</v>
      </c>
      <c r="B2" s="195"/>
      <c r="C2" s="195"/>
      <c r="D2" s="195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</row>
    <row r="3" spans="1:34" x14ac:dyDescent="0.2">
      <c r="A3" s="195" t="s">
        <v>352</v>
      </c>
      <c r="B3" s="195"/>
      <c r="C3" s="195"/>
      <c r="D3" s="195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</row>
    <row r="4" spans="1:34" x14ac:dyDescent="0.2">
      <c r="A4" s="195" t="s">
        <v>353</v>
      </c>
      <c r="B4" s="195"/>
      <c r="C4" s="195"/>
      <c r="D4" s="195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</row>
    <row r="5" spans="1:34" ht="12" thickBot="1" x14ac:dyDescent="0.25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</row>
    <row r="6" spans="1:34" ht="12" thickBot="1" x14ac:dyDescent="0.25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8"/>
      <c r="Z6" s="268"/>
      <c r="AA6" s="269" t="s">
        <v>80</v>
      </c>
      <c r="AB6" s="270" t="s">
        <v>81</v>
      </c>
      <c r="AC6" s="267"/>
    </row>
    <row r="7" spans="1:34" s="196" customFormat="1" ht="57" thickBot="1" x14ac:dyDescent="0.25">
      <c r="A7" s="271" t="s">
        <v>3</v>
      </c>
      <c r="B7" s="271" t="s">
        <v>82</v>
      </c>
      <c r="C7" s="272" t="s">
        <v>322</v>
      </c>
      <c r="D7" s="273" t="s">
        <v>323</v>
      </c>
      <c r="E7" s="273" t="s">
        <v>324</v>
      </c>
      <c r="F7" s="273" t="s">
        <v>325</v>
      </c>
      <c r="G7" s="273" t="s">
        <v>326</v>
      </c>
      <c r="H7" s="273" t="s">
        <v>327</v>
      </c>
      <c r="I7" s="273" t="s">
        <v>328</v>
      </c>
      <c r="J7" s="273" t="s">
        <v>329</v>
      </c>
      <c r="K7" s="273" t="s">
        <v>330</v>
      </c>
      <c r="L7" s="273" t="s">
        <v>331</v>
      </c>
      <c r="M7" s="273" t="s">
        <v>332</v>
      </c>
      <c r="N7" s="273" t="s">
        <v>333</v>
      </c>
      <c r="O7" s="273" t="s">
        <v>226</v>
      </c>
      <c r="P7" s="273" t="s">
        <v>334</v>
      </c>
      <c r="Q7" s="273" t="s">
        <v>335</v>
      </c>
      <c r="R7" s="273" t="s">
        <v>336</v>
      </c>
      <c r="S7" s="273" t="s">
        <v>337</v>
      </c>
      <c r="T7" s="273" t="s">
        <v>338</v>
      </c>
      <c r="U7" s="273" t="s">
        <v>339</v>
      </c>
      <c r="V7" s="273" t="s">
        <v>340</v>
      </c>
      <c r="W7" s="273" t="s">
        <v>341</v>
      </c>
      <c r="X7" s="273" t="s">
        <v>342</v>
      </c>
      <c r="Y7" s="273" t="s">
        <v>343</v>
      </c>
      <c r="Z7" s="274"/>
      <c r="AA7" s="275" t="str">
        <f>W7</f>
        <v>Schedule 194
BPA Res &amp; Farm Credit</v>
      </c>
      <c r="AB7" s="276" t="str">
        <f>AA7</f>
        <v>Schedule 194
BPA Res &amp; Farm Credit</v>
      </c>
      <c r="AC7" s="277" t="s">
        <v>312</v>
      </c>
      <c r="AD7" s="277" t="s">
        <v>344</v>
      </c>
      <c r="AE7" s="277" t="s">
        <v>320</v>
      </c>
      <c r="AF7" s="277" t="s">
        <v>321</v>
      </c>
      <c r="AG7" s="278" t="s">
        <v>313</v>
      </c>
    </row>
    <row r="8" spans="1:34" x14ac:dyDescent="0.2">
      <c r="A8" s="267">
        <v>1</v>
      </c>
      <c r="B8" s="319" t="s">
        <v>346</v>
      </c>
      <c r="C8" s="313">
        <v>11219027142.827419</v>
      </c>
      <c r="D8" s="308">
        <v>1194629600.2881556</v>
      </c>
      <c r="E8" s="308">
        <v>23948430.667499453</v>
      </c>
      <c r="F8" s="308">
        <v>0</v>
      </c>
      <c r="G8" s="308">
        <v>572170.3842841984</v>
      </c>
      <c r="H8" s="308">
        <v>56588772.908421502</v>
      </c>
      <c r="I8" s="308">
        <v>30145525.932777278</v>
      </c>
      <c r="J8" s="308">
        <v>0</v>
      </c>
      <c r="K8" s="308">
        <v>0</v>
      </c>
      <c r="L8" s="308">
        <v>0</v>
      </c>
      <c r="M8" s="308">
        <v>29304098.897065222</v>
      </c>
      <c r="N8" s="308">
        <v>20508381.617088523</v>
      </c>
      <c r="O8" s="308">
        <v>14023783.928534275</v>
      </c>
      <c r="P8" s="308">
        <v>29943583.444206383</v>
      </c>
      <c r="Q8" s="308">
        <v>112268804.61827399</v>
      </c>
      <c r="R8" s="308">
        <v>56420487.501279086</v>
      </c>
      <c r="S8" s="308">
        <v>3578869.6585619468</v>
      </c>
      <c r="T8" s="308">
        <v>-9917619.9942594394</v>
      </c>
      <c r="U8" s="308">
        <v>-38997338.34846811</v>
      </c>
      <c r="V8" s="308">
        <v>0</v>
      </c>
      <c r="W8" s="308">
        <v>-75044072.558372602</v>
      </c>
      <c r="X8" s="280">
        <f>SUM(E8:W8)</f>
        <v>253343878.6568917</v>
      </c>
      <c r="Y8" s="280">
        <f>SUM(X8,D8)</f>
        <v>1447973478.9450474</v>
      </c>
      <c r="AA8" s="281">
        <f>-W8</f>
        <v>75044072.558372602</v>
      </c>
      <c r="AB8" s="315">
        <v>-84524150.494061783</v>
      </c>
      <c r="AC8" s="283">
        <f>SUM(AA8:AB8)</f>
        <v>-9480077.9356891811</v>
      </c>
      <c r="AD8" s="283">
        <f>SUM(Y8,AC8)</f>
        <v>1438493401.0093582</v>
      </c>
      <c r="AE8" s="284">
        <f>Y8/C8</f>
        <v>0.12906408554958973</v>
      </c>
      <c r="AF8" s="284">
        <f>AD8/C8</f>
        <v>0.12821908554958975</v>
      </c>
      <c r="AG8" s="285">
        <f>AC8/Y8</f>
        <v>-6.5471350639627031E-3</v>
      </c>
      <c r="AH8" s="286"/>
    </row>
    <row r="9" spans="1:34" x14ac:dyDescent="0.2">
      <c r="A9" s="267">
        <f t="shared" ref="A9:A37" si="0">+A8+1</f>
        <v>2</v>
      </c>
      <c r="B9" s="267" t="s">
        <v>83</v>
      </c>
      <c r="C9" s="287">
        <f t="shared" ref="C9:Y9" si="1">SUM(C8:C8)</f>
        <v>11219027142.827419</v>
      </c>
      <c r="D9" s="288">
        <f t="shared" si="1"/>
        <v>1194629600.2881556</v>
      </c>
      <c r="E9" s="288">
        <f t="shared" si="1"/>
        <v>23948430.667499453</v>
      </c>
      <c r="F9" s="288">
        <f t="shared" si="1"/>
        <v>0</v>
      </c>
      <c r="G9" s="288">
        <f t="shared" si="1"/>
        <v>572170.3842841984</v>
      </c>
      <c r="H9" s="288">
        <f t="shared" si="1"/>
        <v>56588772.908421502</v>
      </c>
      <c r="I9" s="288">
        <f t="shared" si="1"/>
        <v>30145525.932777278</v>
      </c>
      <c r="J9" s="288">
        <f t="shared" ref="J9" si="2">SUM(J8:J8)</f>
        <v>0</v>
      </c>
      <c r="K9" s="288">
        <f t="shared" si="1"/>
        <v>0</v>
      </c>
      <c r="L9" s="288">
        <f t="shared" si="1"/>
        <v>0</v>
      </c>
      <c r="M9" s="288">
        <f t="shared" si="1"/>
        <v>29304098.897065222</v>
      </c>
      <c r="N9" s="288">
        <f t="shared" si="1"/>
        <v>20508381.617088523</v>
      </c>
      <c r="O9" s="288">
        <f t="shared" ref="O9" si="3">SUM(O8:O8)</f>
        <v>14023783.928534275</v>
      </c>
      <c r="P9" s="288">
        <f t="shared" si="1"/>
        <v>29943583.444206383</v>
      </c>
      <c r="Q9" s="288">
        <f t="shared" si="1"/>
        <v>112268804.61827399</v>
      </c>
      <c r="R9" s="288">
        <f t="shared" si="1"/>
        <v>56420487.501279086</v>
      </c>
      <c r="S9" s="288">
        <f t="shared" si="1"/>
        <v>3578869.6585619468</v>
      </c>
      <c r="T9" s="288">
        <f t="shared" si="1"/>
        <v>-9917619.9942594394</v>
      </c>
      <c r="U9" s="288">
        <f t="shared" si="1"/>
        <v>-38997338.34846811</v>
      </c>
      <c r="V9" s="288">
        <f t="shared" si="1"/>
        <v>0</v>
      </c>
      <c r="W9" s="288">
        <f t="shared" si="1"/>
        <v>-75044072.558372602</v>
      </c>
      <c r="X9" s="289">
        <f t="shared" si="1"/>
        <v>253343878.6568917</v>
      </c>
      <c r="Y9" s="289">
        <f t="shared" si="1"/>
        <v>1447973478.9450474</v>
      </c>
      <c r="AA9" s="290">
        <f t="shared" ref="AA9:AD9" si="4">SUM(AA8:AA8)</f>
        <v>75044072.558372602</v>
      </c>
      <c r="AB9" s="291">
        <f t="shared" si="4"/>
        <v>-84524150.494061783</v>
      </c>
      <c r="AC9" s="292">
        <f t="shared" si="4"/>
        <v>-9480077.9356891811</v>
      </c>
      <c r="AD9" s="292">
        <f t="shared" si="4"/>
        <v>1438493401.0093582</v>
      </c>
      <c r="AE9" s="293">
        <f>Y9/C9</f>
        <v>0.12906408554958973</v>
      </c>
      <c r="AF9" s="293">
        <f>AD9/C9</f>
        <v>0.12821908554958975</v>
      </c>
      <c r="AG9" s="294">
        <f>AC9/Y9</f>
        <v>-6.5471350639627031E-3</v>
      </c>
      <c r="AH9" s="286"/>
    </row>
    <row r="10" spans="1:34" x14ac:dyDescent="0.2">
      <c r="A10" s="267">
        <f t="shared" si="0"/>
        <v>3</v>
      </c>
      <c r="B10" s="267"/>
      <c r="C10" s="19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80"/>
      <c r="Y10" s="280"/>
      <c r="AA10" s="281"/>
      <c r="AB10" s="282"/>
      <c r="AC10" s="283"/>
      <c r="AD10" s="283"/>
      <c r="AE10" s="284"/>
      <c r="AF10" s="284"/>
      <c r="AG10" s="285"/>
    </row>
    <row r="11" spans="1:34" x14ac:dyDescent="0.2">
      <c r="A11" s="267">
        <f t="shared" si="0"/>
        <v>4</v>
      </c>
      <c r="B11" s="321" t="s">
        <v>347</v>
      </c>
      <c r="C11" s="313">
        <v>2756365694.0911837</v>
      </c>
      <c r="D11" s="308">
        <v>275294686.92747754</v>
      </c>
      <c r="E11" s="308">
        <v>5939476.7930699643</v>
      </c>
      <c r="F11" s="308">
        <v>0</v>
      </c>
      <c r="G11" s="308">
        <v>140574.65039865035</v>
      </c>
      <c r="H11" s="308">
        <v>11786219.707933903</v>
      </c>
      <c r="I11" s="308">
        <v>7274049.0667066332</v>
      </c>
      <c r="J11" s="308">
        <v>0</v>
      </c>
      <c r="K11" s="308">
        <v>-153669.61779083172</v>
      </c>
      <c r="L11" s="308">
        <v>-177663.167065938</v>
      </c>
      <c r="M11" s="308">
        <v>5769073.3977328483</v>
      </c>
      <c r="N11" s="308">
        <v>4818127.2332713893</v>
      </c>
      <c r="O11" s="308">
        <v>2731558.4028443629</v>
      </c>
      <c r="P11" s="308">
        <v>6466433.918337917</v>
      </c>
      <c r="Q11" s="308">
        <v>21507921.510993507</v>
      </c>
      <c r="R11" s="308">
        <v>10810466.252225623</v>
      </c>
      <c r="S11" s="308">
        <v>763513.2972632579</v>
      </c>
      <c r="T11" s="308">
        <v>-1965288.7398870138</v>
      </c>
      <c r="U11" s="308">
        <v>-6105350.0124119725</v>
      </c>
      <c r="V11" s="308">
        <v>0</v>
      </c>
      <c r="W11" s="308">
        <v>-1720637.3565435035</v>
      </c>
      <c r="X11" s="280">
        <f>SUM(E11:W11)</f>
        <v>67884805.337078825</v>
      </c>
      <c r="Y11" s="280">
        <f>SUM(X11,D11)</f>
        <v>343179492.26455635</v>
      </c>
      <c r="AA11" s="281">
        <f t="shared" ref="AA11:AA14" si="5">-W11</f>
        <v>1720637.3565435035</v>
      </c>
      <c r="AB11" s="315">
        <v>-1937999.9767078422</v>
      </c>
      <c r="AC11" s="283">
        <f>SUM(AA11:AB11)</f>
        <v>-217362.62016433873</v>
      </c>
      <c r="AD11" s="283">
        <f>SUM(Y11,AC11)</f>
        <v>342962129.64439201</v>
      </c>
      <c r="AE11" s="284">
        <f>Y11/C11</f>
        <v>0.12450434026233516</v>
      </c>
      <c r="AF11" s="284">
        <f>AD11/C11</f>
        <v>0.12442548185082963</v>
      </c>
      <c r="AG11" s="285">
        <f>AC11/Y11</f>
        <v>-6.3337881506268551E-4</v>
      </c>
      <c r="AH11" s="286"/>
    </row>
    <row r="12" spans="1:34" x14ac:dyDescent="0.2">
      <c r="A12" s="267">
        <f t="shared" si="0"/>
        <v>5</v>
      </c>
      <c r="B12" s="266" t="s">
        <v>314</v>
      </c>
      <c r="C12" s="313">
        <v>2954877677.3376851</v>
      </c>
      <c r="D12" s="308">
        <v>270438209.26386374</v>
      </c>
      <c r="E12" s="308">
        <v>6570176.3270850945</v>
      </c>
      <c r="F12" s="308">
        <v>0</v>
      </c>
      <c r="G12" s="308">
        <v>153653.6392215596</v>
      </c>
      <c r="H12" s="308">
        <v>12847808.141064256</v>
      </c>
      <c r="I12" s="308">
        <v>7082841.7925784308</v>
      </c>
      <c r="J12" s="308">
        <v>0</v>
      </c>
      <c r="K12" s="308">
        <v>743341.87149714772</v>
      </c>
      <c r="L12" s="308">
        <v>-273140.04027007206</v>
      </c>
      <c r="M12" s="308">
        <v>5850657.8011286166</v>
      </c>
      <c r="N12" s="308">
        <v>5147396.9139222475</v>
      </c>
      <c r="O12" s="308">
        <v>3057345.5917271427</v>
      </c>
      <c r="P12" s="308">
        <v>6793649.6391003532</v>
      </c>
      <c r="Q12" s="308">
        <v>23859505.894380532</v>
      </c>
      <c r="R12" s="308">
        <v>12006975.35823678</v>
      </c>
      <c r="S12" s="308">
        <v>848049.89339591551</v>
      </c>
      <c r="T12" s="308">
        <v>-1976813.1661389112</v>
      </c>
      <c r="U12" s="308">
        <v>9340368.338064421</v>
      </c>
      <c r="V12" s="308">
        <v>0</v>
      </c>
      <c r="W12" s="308">
        <v>-901334.29200694163</v>
      </c>
      <c r="X12" s="280">
        <f>SUM(E12:W12)</f>
        <v>91150483.702986553</v>
      </c>
      <c r="Y12" s="280">
        <f>SUM(X12,D12)</f>
        <v>361588692.96685028</v>
      </c>
      <c r="AA12" s="281">
        <f t="shared" si="5"/>
        <v>901334.29200694163</v>
      </c>
      <c r="AB12" s="315">
        <v>-1015196.9735357002</v>
      </c>
      <c r="AC12" s="283">
        <f>SUM(AA12:AB12)</f>
        <v>-113862.68152875861</v>
      </c>
      <c r="AD12" s="283">
        <f>SUM(Y12,AC12)</f>
        <v>361474830.28532153</v>
      </c>
      <c r="AE12" s="284">
        <f>Y12/C12</f>
        <v>0.12237010544972475</v>
      </c>
      <c r="AF12" s="284">
        <f>AD12/C12</f>
        <v>0.12233157164428096</v>
      </c>
      <c r="AG12" s="285">
        <f>AC12/Y12</f>
        <v>-3.1489558092790613E-4</v>
      </c>
      <c r="AH12" s="286"/>
    </row>
    <row r="13" spans="1:34" x14ac:dyDescent="0.2">
      <c r="A13" s="267">
        <f t="shared" si="0"/>
        <v>6</v>
      </c>
      <c r="B13" s="266" t="s">
        <v>315</v>
      </c>
      <c r="C13" s="313">
        <v>1955145587.5570116</v>
      </c>
      <c r="D13" s="308">
        <v>163338220.19312453</v>
      </c>
      <c r="E13" s="308">
        <v>4549133.8601234751</v>
      </c>
      <c r="F13" s="308">
        <v>0</v>
      </c>
      <c r="G13" s="308">
        <v>99712.424965407583</v>
      </c>
      <c r="H13" s="308">
        <v>7783434.5840644632</v>
      </c>
      <c r="I13" s="308">
        <v>4336512.9132014513</v>
      </c>
      <c r="J13" s="308">
        <v>0</v>
      </c>
      <c r="K13" s="308">
        <v>1280556.035166746</v>
      </c>
      <c r="L13" s="308">
        <v>-455534.03108758503</v>
      </c>
      <c r="M13" s="308">
        <v>3353074.6826602747</v>
      </c>
      <c r="N13" s="308">
        <v>3362850.4105980597</v>
      </c>
      <c r="O13" s="308">
        <v>1705420.6561468793</v>
      </c>
      <c r="P13" s="308">
        <v>4249487.810068015</v>
      </c>
      <c r="Q13" s="308">
        <v>13948367.960833928</v>
      </c>
      <c r="R13" s="308">
        <v>6999600.8730552047</v>
      </c>
      <c r="S13" s="308">
        <v>475100.37777635379</v>
      </c>
      <c r="T13" s="308">
        <v>-1128119.0040203957</v>
      </c>
      <c r="U13" s="308">
        <v>3584495.2353902706</v>
      </c>
      <c r="V13" s="308">
        <v>0</v>
      </c>
      <c r="W13" s="308">
        <v>-113551.6151902127</v>
      </c>
      <c r="X13" s="280">
        <f>SUM(E13:W13)</f>
        <v>54030543.17375233</v>
      </c>
      <c r="Y13" s="280">
        <f>SUM(X13,D13)</f>
        <v>217368763.36687687</v>
      </c>
      <c r="AA13" s="281">
        <f t="shared" si="5"/>
        <v>113551.6151902127</v>
      </c>
      <c r="AB13" s="315">
        <v>-127896.22796278405</v>
      </c>
      <c r="AC13" s="283">
        <f>SUM(AA13:AB13)</f>
        <v>-14344.612772571345</v>
      </c>
      <c r="AD13" s="283">
        <f>SUM(Y13,AC13)</f>
        <v>217354418.75410429</v>
      </c>
      <c r="AE13" s="284">
        <f>Y13/C13</f>
        <v>0.11117778888194353</v>
      </c>
      <c r="AF13" s="284">
        <f>AD13/C13</f>
        <v>0.11117045203047636</v>
      </c>
      <c r="AG13" s="285">
        <f>AC13/Y13</f>
        <v>-6.5992061372499897E-5</v>
      </c>
      <c r="AH13" s="286"/>
    </row>
    <row r="14" spans="1:34" x14ac:dyDescent="0.2">
      <c r="A14" s="267">
        <f t="shared" si="0"/>
        <v>7</v>
      </c>
      <c r="B14" s="267">
        <v>29</v>
      </c>
      <c r="C14" s="313">
        <v>15036282.699173195</v>
      </c>
      <c r="D14" s="308">
        <v>1290749.5539693143</v>
      </c>
      <c r="E14" s="308">
        <v>27854.515171797582</v>
      </c>
      <c r="F14" s="308">
        <v>0</v>
      </c>
      <c r="G14" s="308">
        <v>646.56015606444737</v>
      </c>
      <c r="H14" s="308">
        <v>68114.360627254573</v>
      </c>
      <c r="I14" s="308">
        <v>31681.447647157922</v>
      </c>
      <c r="J14" s="308">
        <v>0</v>
      </c>
      <c r="K14" s="308">
        <v>0</v>
      </c>
      <c r="L14" s="308">
        <v>0</v>
      </c>
      <c r="M14" s="308">
        <v>29771.839744362926</v>
      </c>
      <c r="N14" s="308">
        <v>26193.204461959707</v>
      </c>
      <c r="O14" s="308">
        <v>12958.636472070604</v>
      </c>
      <c r="P14" s="308">
        <v>37180.497027903795</v>
      </c>
      <c r="Q14" s="308">
        <v>121766.85779938848</v>
      </c>
      <c r="R14" s="308">
        <v>61191.672695027301</v>
      </c>
      <c r="S14" s="308">
        <v>5563.4245986940823</v>
      </c>
      <c r="T14" s="308">
        <v>-10059.273125746868</v>
      </c>
      <c r="U14" s="308">
        <v>47529.689612086469</v>
      </c>
      <c r="V14" s="308">
        <v>0</v>
      </c>
      <c r="W14" s="308">
        <v>-100577.6949747695</v>
      </c>
      <c r="X14" s="280">
        <f>SUM(E14:W14)</f>
        <v>359815.73791325151</v>
      </c>
      <c r="Y14" s="280">
        <f>SUM(X14,D14)</f>
        <v>1650565.2918825657</v>
      </c>
      <c r="AA14" s="281">
        <f t="shared" si="5"/>
        <v>100577.6949747695</v>
      </c>
      <c r="AB14" s="315">
        <v>-113283.35385557085</v>
      </c>
      <c r="AC14" s="283">
        <f>SUM(AA14:AB14)</f>
        <v>-12705.658880801348</v>
      </c>
      <c r="AD14" s="283">
        <f>SUM(Y14,AC14)</f>
        <v>1637859.6330017643</v>
      </c>
      <c r="AE14" s="284">
        <f>Y14/C14</f>
        <v>0.10977216409833301</v>
      </c>
      <c r="AF14" s="284">
        <f>AD14/C14</f>
        <v>0.10892716409833302</v>
      </c>
      <c r="AG14" s="285">
        <f>AC14/Y14</f>
        <v>-7.6977620596334027E-3</v>
      </c>
      <c r="AH14" s="286"/>
    </row>
    <row r="15" spans="1:34" x14ac:dyDescent="0.2">
      <c r="A15" s="267">
        <f t="shared" si="0"/>
        <v>8</v>
      </c>
      <c r="B15" s="266" t="s">
        <v>88</v>
      </c>
      <c r="C15" s="287">
        <f t="shared" ref="C15:Y15" si="6">SUM(C11:C14)</f>
        <v>7681425241.6850538</v>
      </c>
      <c r="D15" s="288">
        <f t="shared" si="6"/>
        <v>710361865.93843508</v>
      </c>
      <c r="E15" s="288">
        <f t="shared" si="6"/>
        <v>17086641.495450329</v>
      </c>
      <c r="F15" s="288">
        <f t="shared" si="6"/>
        <v>0</v>
      </c>
      <c r="G15" s="288">
        <f t="shared" si="6"/>
        <v>394587.27474168199</v>
      </c>
      <c r="H15" s="288">
        <f t="shared" si="6"/>
        <v>32485576.793689877</v>
      </c>
      <c r="I15" s="288">
        <f t="shared" si="6"/>
        <v>18725085.220133673</v>
      </c>
      <c r="J15" s="288">
        <f t="shared" ref="J15" si="7">SUM(J11:J14)</f>
        <v>0</v>
      </c>
      <c r="K15" s="288">
        <f t="shared" si="6"/>
        <v>1870228.288873062</v>
      </c>
      <c r="L15" s="288">
        <f t="shared" si="6"/>
        <v>-906337.23842359509</v>
      </c>
      <c r="M15" s="288">
        <f t="shared" si="6"/>
        <v>15002577.721266102</v>
      </c>
      <c r="N15" s="288">
        <f t="shared" si="6"/>
        <v>13354567.762253657</v>
      </c>
      <c r="O15" s="288">
        <f t="shared" ref="O15" si="8">SUM(O11:O14)</f>
        <v>7507283.287190455</v>
      </c>
      <c r="P15" s="288">
        <f t="shared" si="6"/>
        <v>17546751.864534188</v>
      </c>
      <c r="Q15" s="288">
        <f t="shared" si="6"/>
        <v>59437562.224007353</v>
      </c>
      <c r="R15" s="288">
        <f t="shared" si="6"/>
        <v>29878234.156212635</v>
      </c>
      <c r="S15" s="288">
        <f t="shared" si="6"/>
        <v>2092226.9930342212</v>
      </c>
      <c r="T15" s="288">
        <f t="shared" si="6"/>
        <v>-5080280.1831720676</v>
      </c>
      <c r="U15" s="288">
        <f t="shared" si="6"/>
        <v>6867043.2506548055</v>
      </c>
      <c r="V15" s="288">
        <f t="shared" si="6"/>
        <v>0</v>
      </c>
      <c r="W15" s="288">
        <f t="shared" si="6"/>
        <v>-2836100.9587154272</v>
      </c>
      <c r="X15" s="289">
        <f t="shared" si="6"/>
        <v>213425647.95173097</v>
      </c>
      <c r="Y15" s="289">
        <f t="shared" si="6"/>
        <v>923787513.89016604</v>
      </c>
      <c r="AA15" s="290">
        <f t="shared" ref="AA15:AD15" si="9">SUM(AA11:AA14)</f>
        <v>2836100.9587154272</v>
      </c>
      <c r="AB15" s="291">
        <f t="shared" si="9"/>
        <v>-3194376.5320618972</v>
      </c>
      <c r="AC15" s="292">
        <f t="shared" si="9"/>
        <v>-358275.57334647002</v>
      </c>
      <c r="AD15" s="292">
        <f t="shared" si="9"/>
        <v>923429238.31681955</v>
      </c>
      <c r="AE15" s="293">
        <f>Y15/C15</f>
        <v>0.12026251441946173</v>
      </c>
      <c r="AF15" s="293">
        <f>AD15/C15</f>
        <v>0.12021587260989203</v>
      </c>
      <c r="AG15" s="294">
        <f>AC15/Y15</f>
        <v>-3.8783331443584251E-4</v>
      </c>
      <c r="AH15" s="286"/>
    </row>
    <row r="16" spans="1:34" x14ac:dyDescent="0.2">
      <c r="A16" s="267">
        <f t="shared" si="0"/>
        <v>9</v>
      </c>
      <c r="B16" s="267"/>
      <c r="C16" s="19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80"/>
      <c r="Y16" s="280"/>
      <c r="AA16" s="281"/>
      <c r="AB16" s="282"/>
      <c r="AC16" s="283"/>
      <c r="AD16" s="283"/>
      <c r="AE16" s="284"/>
      <c r="AF16" s="284"/>
      <c r="AG16" s="285"/>
    </row>
    <row r="17" spans="1:34" x14ac:dyDescent="0.2">
      <c r="A17" s="267">
        <f t="shared" si="0"/>
        <v>10</v>
      </c>
      <c r="B17" s="267" t="s">
        <v>316</v>
      </c>
      <c r="C17" s="313">
        <v>1414945269.7895148</v>
      </c>
      <c r="D17" s="308">
        <v>115279182.61630873</v>
      </c>
      <c r="E17" s="308">
        <v>3012854.8329859828</v>
      </c>
      <c r="F17" s="308">
        <v>0</v>
      </c>
      <c r="G17" s="308">
        <v>69332.318219686218</v>
      </c>
      <c r="H17" s="308">
        <v>5430559.9454521574</v>
      </c>
      <c r="I17" s="308">
        <v>3100145.086108827</v>
      </c>
      <c r="J17" s="308">
        <v>0</v>
      </c>
      <c r="K17" s="308">
        <v>557156.35249099927</v>
      </c>
      <c r="L17" s="308">
        <v>-201374.64947077501</v>
      </c>
      <c r="M17" s="308">
        <v>2442195.5356567027</v>
      </c>
      <c r="N17" s="308">
        <v>2351639.0383901736</v>
      </c>
      <c r="O17" s="308">
        <v>1207356.7098316699</v>
      </c>
      <c r="P17" s="308">
        <v>2843440.3339593224</v>
      </c>
      <c r="Q17" s="308">
        <v>9625555.4001343288</v>
      </c>
      <c r="R17" s="308">
        <v>4846626.3185494589</v>
      </c>
      <c r="S17" s="308">
        <v>356566.20798695774</v>
      </c>
      <c r="T17" s="308">
        <v>-834817.70917581383</v>
      </c>
      <c r="U17" s="308">
        <v>485953.25577408302</v>
      </c>
      <c r="V17" s="308">
        <v>0</v>
      </c>
      <c r="W17" s="308">
        <v>-158999.94924165544</v>
      </c>
      <c r="X17" s="280">
        <f>SUM(E17:W17)</f>
        <v>35134189.027652115</v>
      </c>
      <c r="Y17" s="280">
        <f>SUM(X17,D17)</f>
        <v>150413371.64396083</v>
      </c>
      <c r="AA17" s="281">
        <f t="shared" ref="AA17:AA19" si="10">-W17</f>
        <v>158999.94924165544</v>
      </c>
      <c r="AB17" s="315">
        <v>-179085.90485672478</v>
      </c>
      <c r="AC17" s="283">
        <f>SUM(AA17:AB17)</f>
        <v>-20085.955615069339</v>
      </c>
      <c r="AD17" s="283">
        <f>SUM(Y17,AC17)</f>
        <v>150393285.68834576</v>
      </c>
      <c r="AE17" s="284">
        <f>Y17/C17</f>
        <v>0.10630331423796774</v>
      </c>
      <c r="AF17" s="284">
        <f>AD17/C17</f>
        <v>0.10628911866726694</v>
      </c>
      <c r="AG17" s="285">
        <f>AC17/Y17</f>
        <v>-1.3353836427930241E-4</v>
      </c>
      <c r="AH17" s="286"/>
    </row>
    <row r="18" spans="1:34" x14ac:dyDescent="0.2">
      <c r="A18" s="267">
        <f t="shared" si="0"/>
        <v>11</v>
      </c>
      <c r="B18" s="267">
        <v>35</v>
      </c>
      <c r="C18" s="313">
        <v>4438120.8288705256</v>
      </c>
      <c r="D18" s="308">
        <v>273777.42327501648</v>
      </c>
      <c r="E18" s="308">
        <v>7051.4916143721939</v>
      </c>
      <c r="F18" s="308">
        <v>0</v>
      </c>
      <c r="G18" s="308">
        <v>155.33422901046839</v>
      </c>
      <c r="H18" s="308">
        <v>11645.62905495626</v>
      </c>
      <c r="I18" s="308">
        <v>7362.8424550962027</v>
      </c>
      <c r="J18" s="308">
        <v>0</v>
      </c>
      <c r="K18" s="308">
        <v>0</v>
      </c>
      <c r="L18" s="308">
        <v>0</v>
      </c>
      <c r="M18" s="308">
        <v>7660.1965506305278</v>
      </c>
      <c r="N18" s="308">
        <v>7056.6121179041356</v>
      </c>
      <c r="O18" s="308">
        <v>5524.3981733112478</v>
      </c>
      <c r="P18" s="308">
        <v>6372.6757173062852</v>
      </c>
      <c r="Q18" s="308">
        <v>43075.091006516457</v>
      </c>
      <c r="R18" s="308">
        <v>21635.184161493376</v>
      </c>
      <c r="S18" s="308">
        <v>2627.367530691351</v>
      </c>
      <c r="T18" s="308">
        <v>-4340.4821706353732</v>
      </c>
      <c r="U18" s="308">
        <v>14028.899940059729</v>
      </c>
      <c r="V18" s="308">
        <v>0</v>
      </c>
      <c r="W18" s="308">
        <v>-29686.590224314943</v>
      </c>
      <c r="X18" s="280">
        <f>SUM(E18:W18)</f>
        <v>100168.65015639793</v>
      </c>
      <c r="Y18" s="280">
        <f>SUM(X18,D18)</f>
        <v>373946.07343141444</v>
      </c>
      <c r="AA18" s="281">
        <f t="shared" si="10"/>
        <v>29686.590224314943</v>
      </c>
      <c r="AB18" s="315">
        <v>-33436.802324710538</v>
      </c>
      <c r="AC18" s="283">
        <f>SUM(AA18:AB18)</f>
        <v>-3750.2121003955945</v>
      </c>
      <c r="AD18" s="283">
        <f>SUM(Y18,AC18)</f>
        <v>370195.86133101885</v>
      </c>
      <c r="AE18" s="284">
        <f>Y18/C18</f>
        <v>8.4257749586006972E-2</v>
      </c>
      <c r="AF18" s="284">
        <f>AD18/C18</f>
        <v>8.3412749586006973E-2</v>
      </c>
      <c r="AG18" s="285">
        <f>AC18/Y18</f>
        <v>-1.0028751113717529E-2</v>
      </c>
      <c r="AH18" s="286"/>
    </row>
    <row r="19" spans="1:34" x14ac:dyDescent="0.2">
      <c r="A19" s="267">
        <f t="shared" si="0"/>
        <v>12</v>
      </c>
      <c r="B19" s="267">
        <v>43</v>
      </c>
      <c r="C19" s="313">
        <v>123068391.99987791</v>
      </c>
      <c r="D19" s="308">
        <v>10754317.563636173</v>
      </c>
      <c r="E19" s="308">
        <v>209252.97792271382</v>
      </c>
      <c r="F19" s="308">
        <v>0</v>
      </c>
      <c r="G19" s="308">
        <v>4676.5988959953611</v>
      </c>
      <c r="H19" s="308">
        <v>100300.7394799005</v>
      </c>
      <c r="I19" s="308">
        <v>284534.12230371771</v>
      </c>
      <c r="J19" s="308">
        <v>0</v>
      </c>
      <c r="K19" s="308">
        <v>43677.179999999993</v>
      </c>
      <c r="L19" s="308">
        <v>-14924.789999999999</v>
      </c>
      <c r="M19" s="308">
        <v>188171.57136781333</v>
      </c>
      <c r="N19" s="308">
        <v>196786.35880780479</v>
      </c>
      <c r="O19" s="308">
        <v>97076.772192321063</v>
      </c>
      <c r="P19" s="308">
        <v>51630.2462277331</v>
      </c>
      <c r="Q19" s="308">
        <v>752157.8568472258</v>
      </c>
      <c r="R19" s="308">
        <v>377432.68073561159</v>
      </c>
      <c r="S19" s="308">
        <v>52919.4085599475</v>
      </c>
      <c r="T19" s="308">
        <v>-100054.60269590074</v>
      </c>
      <c r="U19" s="308">
        <v>389019.18711161404</v>
      </c>
      <c r="V19" s="308">
        <v>0</v>
      </c>
      <c r="W19" s="308">
        <v>0</v>
      </c>
      <c r="X19" s="280">
        <f>SUM(E19:W19)</f>
        <v>2632656.3077564975</v>
      </c>
      <c r="Y19" s="280">
        <f>SUM(X19,D19)</f>
        <v>13386973.871392671</v>
      </c>
      <c r="AA19" s="281">
        <f t="shared" si="10"/>
        <v>0</v>
      </c>
      <c r="AB19" s="315">
        <v>0</v>
      </c>
      <c r="AC19" s="283">
        <f>SUM(AA19:AB19)</f>
        <v>0</v>
      </c>
      <c r="AD19" s="283">
        <f>SUM(Y19,AC19)</f>
        <v>13386973.871392671</v>
      </c>
      <c r="AE19" s="284">
        <f>Y19/C19</f>
        <v>0.10877670256231146</v>
      </c>
      <c r="AF19" s="284">
        <f>AD19/C19</f>
        <v>0.10877670256231146</v>
      </c>
      <c r="AG19" s="285">
        <f>AC19/Y19</f>
        <v>0</v>
      </c>
      <c r="AH19" s="286"/>
    </row>
    <row r="20" spans="1:34" x14ac:dyDescent="0.2">
      <c r="A20" s="267">
        <f t="shared" si="0"/>
        <v>13</v>
      </c>
      <c r="B20" s="266" t="s">
        <v>89</v>
      </c>
      <c r="C20" s="287">
        <f t="shared" ref="C20:Y20" si="11">SUM(C17:C19)</f>
        <v>1542451782.6182632</v>
      </c>
      <c r="D20" s="288">
        <f t="shared" si="11"/>
        <v>126307277.60321993</v>
      </c>
      <c r="E20" s="288">
        <f t="shared" si="11"/>
        <v>3229159.3025230686</v>
      </c>
      <c r="F20" s="288">
        <f t="shared" si="11"/>
        <v>0</v>
      </c>
      <c r="G20" s="288">
        <f t="shared" si="11"/>
        <v>74164.251344692049</v>
      </c>
      <c r="H20" s="288">
        <f t="shared" si="11"/>
        <v>5542506.3139870139</v>
      </c>
      <c r="I20" s="288">
        <f t="shared" si="11"/>
        <v>3392042.0508676409</v>
      </c>
      <c r="J20" s="288">
        <f t="shared" ref="J20" si="12">SUM(J17:J19)</f>
        <v>0</v>
      </c>
      <c r="K20" s="288">
        <f t="shared" si="11"/>
        <v>600833.53249099921</v>
      </c>
      <c r="L20" s="288">
        <f t="shared" si="11"/>
        <v>-216299.43947077502</v>
      </c>
      <c r="M20" s="288">
        <f t="shared" si="11"/>
        <v>2638027.3035751465</v>
      </c>
      <c r="N20" s="288">
        <f t="shared" si="11"/>
        <v>2555482.0093158828</v>
      </c>
      <c r="O20" s="288">
        <f t="shared" ref="O20" si="13">SUM(O17:O19)</f>
        <v>1309957.8801973022</v>
      </c>
      <c r="P20" s="288">
        <f t="shared" si="11"/>
        <v>2901443.2559043621</v>
      </c>
      <c r="Q20" s="288">
        <f t="shared" si="11"/>
        <v>10420788.347988071</v>
      </c>
      <c r="R20" s="288">
        <f t="shared" si="11"/>
        <v>5245694.1834465638</v>
      </c>
      <c r="S20" s="288">
        <f t="shared" si="11"/>
        <v>412112.98407759663</v>
      </c>
      <c r="T20" s="288">
        <f t="shared" si="11"/>
        <v>-939212.79404234991</v>
      </c>
      <c r="U20" s="288">
        <f t="shared" si="11"/>
        <v>889001.34282575687</v>
      </c>
      <c r="V20" s="288">
        <f t="shared" si="11"/>
        <v>0</v>
      </c>
      <c r="W20" s="288">
        <f t="shared" si="11"/>
        <v>-188686.53946597039</v>
      </c>
      <c r="X20" s="289">
        <f t="shared" si="11"/>
        <v>37867013.985565014</v>
      </c>
      <c r="Y20" s="289">
        <f t="shared" si="11"/>
        <v>164174291.5887849</v>
      </c>
      <c r="AA20" s="290">
        <f t="shared" ref="AA20:AD20" si="14">SUM(AA17:AA19)</f>
        <v>188686.53946597039</v>
      </c>
      <c r="AB20" s="291">
        <f t="shared" si="14"/>
        <v>-212522.70718143531</v>
      </c>
      <c r="AC20" s="292">
        <f t="shared" si="14"/>
        <v>-23836.167715464933</v>
      </c>
      <c r="AD20" s="292">
        <f t="shared" si="14"/>
        <v>164150455.42106944</v>
      </c>
      <c r="AE20" s="293">
        <f>Y20/C20</f>
        <v>0.10643722769090663</v>
      </c>
      <c r="AF20" s="293">
        <f>AD20/C20</f>
        <v>0.10642177426280984</v>
      </c>
      <c r="AG20" s="294">
        <f>AC20/Y20</f>
        <v>-1.4518818680313547E-4</v>
      </c>
      <c r="AH20" s="286"/>
    </row>
    <row r="21" spans="1:34" x14ac:dyDescent="0.2">
      <c r="A21" s="267">
        <f t="shared" si="0"/>
        <v>14</v>
      </c>
      <c r="B21" s="267"/>
      <c r="C21" s="313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80"/>
      <c r="Y21" s="280"/>
      <c r="AA21" s="281"/>
      <c r="AB21" s="282"/>
      <c r="AC21" s="283"/>
      <c r="AD21" s="283"/>
      <c r="AE21" s="284"/>
      <c r="AF21" s="284"/>
      <c r="AG21" s="285"/>
    </row>
    <row r="22" spans="1:34" x14ac:dyDescent="0.2">
      <c r="A22" s="267">
        <f t="shared" si="0"/>
        <v>15</v>
      </c>
      <c r="B22" s="267">
        <v>46</v>
      </c>
      <c r="C22" s="313">
        <v>97207342.781409889</v>
      </c>
      <c r="D22" s="308">
        <v>6288481.8789643869</v>
      </c>
      <c r="E22" s="308">
        <v>176677.7678474861</v>
      </c>
      <c r="F22" s="308">
        <v>0</v>
      </c>
      <c r="G22" s="308">
        <v>3013.4276262237067</v>
      </c>
      <c r="H22" s="308">
        <v>94582.744526311828</v>
      </c>
      <c r="I22" s="308">
        <v>166224.55615621089</v>
      </c>
      <c r="J22" s="308">
        <v>0</v>
      </c>
      <c r="K22" s="308">
        <v>66112.663426560059</v>
      </c>
      <c r="L22" s="308">
        <v>-26126.360827200006</v>
      </c>
      <c r="M22" s="308">
        <v>92346.975642339399</v>
      </c>
      <c r="N22" s="308">
        <v>168557.53238296477</v>
      </c>
      <c r="O22" s="308">
        <v>43731.427459393351</v>
      </c>
      <c r="P22" s="308">
        <v>55543.21610976095</v>
      </c>
      <c r="Q22" s="308">
        <v>372197.23172262998</v>
      </c>
      <c r="R22" s="308">
        <v>186876.27460356627</v>
      </c>
      <c r="S22" s="308">
        <v>30911.935004488343</v>
      </c>
      <c r="T22" s="308">
        <v>-43743.30425163445</v>
      </c>
      <c r="U22" s="308">
        <v>0</v>
      </c>
      <c r="V22" s="308">
        <v>0</v>
      </c>
      <c r="W22" s="308">
        <v>0</v>
      </c>
      <c r="X22" s="280">
        <f>SUM(E22:W22)</f>
        <v>1386906.0874291009</v>
      </c>
      <c r="Y22" s="280">
        <f>SUM(X22,D22)</f>
        <v>7675387.9663934875</v>
      </c>
      <c r="AA22" s="281">
        <f t="shared" ref="AA22:AA23" si="15">-W22</f>
        <v>0</v>
      </c>
      <c r="AB22" s="315">
        <v>0</v>
      </c>
      <c r="AC22" s="283">
        <f>SUM(AA22:AB22)</f>
        <v>0</v>
      </c>
      <c r="AD22" s="283">
        <f>SUM(Y22,AC22)</f>
        <v>7675387.9663934875</v>
      </c>
      <c r="AE22" s="284">
        <f>Y22/C22</f>
        <v>7.895893197752693E-2</v>
      </c>
      <c r="AF22" s="284">
        <f>AD22/C22</f>
        <v>7.895893197752693E-2</v>
      </c>
      <c r="AG22" s="285">
        <f>AC22/Y22</f>
        <v>0</v>
      </c>
      <c r="AH22" s="286"/>
    </row>
    <row r="23" spans="1:34" x14ac:dyDescent="0.2">
      <c r="A23" s="267">
        <f t="shared" si="0"/>
        <v>16</v>
      </c>
      <c r="B23" s="267">
        <v>49</v>
      </c>
      <c r="C23" s="313">
        <v>536312381.37077546</v>
      </c>
      <c r="D23" s="308">
        <v>34550660.194727682</v>
      </c>
      <c r="E23" s="308">
        <v>1054907.122928445</v>
      </c>
      <c r="F23" s="308">
        <v>0</v>
      </c>
      <c r="G23" s="308">
        <v>25742.994305797223</v>
      </c>
      <c r="H23" s="308">
        <v>1914098.8891122977</v>
      </c>
      <c r="I23" s="308">
        <v>902077.42546564422</v>
      </c>
      <c r="J23" s="308">
        <v>0</v>
      </c>
      <c r="K23" s="308">
        <v>726532.59202114865</v>
      </c>
      <c r="L23" s="308">
        <v>-268768.30364225997</v>
      </c>
      <c r="M23" s="308">
        <v>509496.76230223669</v>
      </c>
      <c r="N23" s="308">
        <v>929965.66929692472</v>
      </c>
      <c r="O23" s="308">
        <v>244086.26830782217</v>
      </c>
      <c r="P23" s="308">
        <v>1029909.3928136828</v>
      </c>
      <c r="Q23" s="308">
        <v>2007812.2773444548</v>
      </c>
      <c r="R23" s="308">
        <v>1001551.7551557152</v>
      </c>
      <c r="S23" s="308">
        <v>117988.7239015706</v>
      </c>
      <c r="T23" s="308">
        <v>-241340.57161684896</v>
      </c>
      <c r="U23" s="308">
        <v>0</v>
      </c>
      <c r="V23" s="308">
        <v>0</v>
      </c>
      <c r="W23" s="308">
        <v>0</v>
      </c>
      <c r="X23" s="280">
        <f>SUM(E23:W23)</f>
        <v>9954060.9976966288</v>
      </c>
      <c r="Y23" s="280">
        <f>SUM(X23,D23)</f>
        <v>44504721.192424312</v>
      </c>
      <c r="AA23" s="281">
        <f t="shared" si="15"/>
        <v>0</v>
      </c>
      <c r="AB23" s="315">
        <v>0</v>
      </c>
      <c r="AC23" s="283">
        <f>SUM(AA23:AB23)</f>
        <v>0</v>
      </c>
      <c r="AD23" s="283">
        <f>SUM(Y23,AC23)</f>
        <v>44504721.192424312</v>
      </c>
      <c r="AE23" s="284">
        <f>Y23/C23</f>
        <v>8.2982833770634715E-2</v>
      </c>
      <c r="AF23" s="284">
        <f>AD23/C23</f>
        <v>8.2982833770634715E-2</v>
      </c>
      <c r="AG23" s="285">
        <f>AC23/Y23</f>
        <v>0</v>
      </c>
      <c r="AH23" s="286"/>
    </row>
    <row r="24" spans="1:34" x14ac:dyDescent="0.2">
      <c r="A24" s="267">
        <f t="shared" si="0"/>
        <v>17</v>
      </c>
      <c r="B24" s="267" t="s">
        <v>90</v>
      </c>
      <c r="C24" s="287">
        <f t="shared" ref="C24:Y24" si="16">SUM(C22:C23)</f>
        <v>633519724.15218532</v>
      </c>
      <c r="D24" s="288">
        <f t="shared" si="16"/>
        <v>40839142.073692068</v>
      </c>
      <c r="E24" s="288">
        <f t="shared" si="16"/>
        <v>1231584.8907759311</v>
      </c>
      <c r="F24" s="288">
        <f t="shared" si="16"/>
        <v>0</v>
      </c>
      <c r="G24" s="288">
        <f t="shared" si="16"/>
        <v>28756.42193202093</v>
      </c>
      <c r="H24" s="288">
        <f t="shared" si="16"/>
        <v>2008681.6336386094</v>
      </c>
      <c r="I24" s="288">
        <f t="shared" si="16"/>
        <v>1068301.9816218552</v>
      </c>
      <c r="J24" s="288">
        <f t="shared" ref="J24" si="17">SUM(J22:J23)</f>
        <v>0</v>
      </c>
      <c r="K24" s="288">
        <f t="shared" si="16"/>
        <v>792645.25544770877</v>
      </c>
      <c r="L24" s="288">
        <f t="shared" si="16"/>
        <v>-294894.66446945997</v>
      </c>
      <c r="M24" s="288">
        <f t="shared" si="16"/>
        <v>601843.73794457607</v>
      </c>
      <c r="N24" s="288">
        <f t="shared" si="16"/>
        <v>1098523.2016798896</v>
      </c>
      <c r="O24" s="288">
        <f t="shared" ref="O24" si="18">SUM(O22:O23)</f>
        <v>287817.69576721551</v>
      </c>
      <c r="P24" s="288">
        <f t="shared" si="16"/>
        <v>1085452.6089234438</v>
      </c>
      <c r="Q24" s="288">
        <f t="shared" si="16"/>
        <v>2380009.5090670846</v>
      </c>
      <c r="R24" s="288">
        <f t="shared" si="16"/>
        <v>1188428.0297592813</v>
      </c>
      <c r="S24" s="288">
        <f t="shared" si="16"/>
        <v>148900.65890605893</v>
      </c>
      <c r="T24" s="288">
        <f t="shared" si="16"/>
        <v>-285083.87586848339</v>
      </c>
      <c r="U24" s="288">
        <f t="shared" si="16"/>
        <v>0</v>
      </c>
      <c r="V24" s="288">
        <f t="shared" si="16"/>
        <v>0</v>
      </c>
      <c r="W24" s="288">
        <f t="shared" si="16"/>
        <v>0</v>
      </c>
      <c r="X24" s="289">
        <f t="shared" si="16"/>
        <v>11340967.085125729</v>
      </c>
      <c r="Y24" s="289">
        <f t="shared" si="16"/>
        <v>52180109.158817798</v>
      </c>
      <c r="AA24" s="290">
        <f t="shared" ref="AA24:AD24" si="19">SUM(AA22:AA23)</f>
        <v>0</v>
      </c>
      <c r="AB24" s="291">
        <f t="shared" si="19"/>
        <v>0</v>
      </c>
      <c r="AC24" s="292">
        <f t="shared" si="19"/>
        <v>0</v>
      </c>
      <c r="AD24" s="292">
        <f t="shared" si="19"/>
        <v>52180109.158817798</v>
      </c>
      <c r="AE24" s="293">
        <f>Y24/C24</f>
        <v>8.2365405794820989E-2</v>
      </c>
      <c r="AF24" s="293">
        <f>AD24/C24</f>
        <v>8.2365405794820989E-2</v>
      </c>
      <c r="AG24" s="294">
        <f>AC24/Y24</f>
        <v>0</v>
      </c>
      <c r="AH24" s="286"/>
    </row>
    <row r="25" spans="1:34" x14ac:dyDescent="0.2">
      <c r="A25" s="267">
        <f t="shared" si="0"/>
        <v>18</v>
      </c>
      <c r="B25" s="267"/>
      <c r="C25" s="19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80"/>
      <c r="Y25" s="280"/>
      <c r="AA25" s="281"/>
      <c r="AB25" s="282"/>
      <c r="AC25" s="283"/>
      <c r="AD25" s="283"/>
      <c r="AE25" s="284"/>
      <c r="AF25" s="284"/>
      <c r="AG25" s="285"/>
    </row>
    <row r="26" spans="1:34" x14ac:dyDescent="0.2">
      <c r="A26" s="267">
        <f t="shared" si="0"/>
        <v>19</v>
      </c>
      <c r="B26" s="267" t="s">
        <v>91</v>
      </c>
      <c r="C26" s="313">
        <v>67591591.906112835</v>
      </c>
      <c r="D26" s="308">
        <v>16867115.293096501</v>
      </c>
      <c r="E26" s="308">
        <v>143999.99020025702</v>
      </c>
      <c r="F26" s="308">
        <v>0</v>
      </c>
      <c r="G26" s="308">
        <v>3514.762779117867</v>
      </c>
      <c r="H26" s="308">
        <v>157015.26799790011</v>
      </c>
      <c r="I26" s="308">
        <v>399804.26612465741</v>
      </c>
      <c r="J26" s="308">
        <v>0</v>
      </c>
      <c r="K26" s="308">
        <v>0</v>
      </c>
      <c r="L26" s="308">
        <v>0</v>
      </c>
      <c r="M26" s="308">
        <v>580408.99969779095</v>
      </c>
      <c r="N26" s="308">
        <v>133831.35197410343</v>
      </c>
      <c r="O26" s="308">
        <v>283276.36167851894</v>
      </c>
      <c r="P26" s="308">
        <v>82664.516901175986</v>
      </c>
      <c r="Q26" s="308">
        <v>2377804.6116651436</v>
      </c>
      <c r="R26" s="308">
        <v>1195086.9364919809</v>
      </c>
      <c r="S26" s="308">
        <v>0</v>
      </c>
      <c r="T26" s="308">
        <v>-169181.75454100044</v>
      </c>
      <c r="U26" s="308">
        <v>0</v>
      </c>
      <c r="V26" s="308">
        <v>0</v>
      </c>
      <c r="W26" s="308">
        <v>-11802.910584456933</v>
      </c>
      <c r="X26" s="280">
        <f>SUM(E26:W26)</f>
        <v>5176422.4003851889</v>
      </c>
      <c r="Y26" s="280">
        <f>SUM(X26,D26)</f>
        <v>22043537.693481691</v>
      </c>
      <c r="AA26" s="281">
        <f t="shared" ref="AA26:AA28" si="20">-W26</f>
        <v>11802.910584456933</v>
      </c>
      <c r="AB26" s="315">
        <v>-13293.934570682992</v>
      </c>
      <c r="AC26" s="283">
        <f>SUM(AA26:AB26)</f>
        <v>-1491.0239862260587</v>
      </c>
      <c r="AD26" s="283">
        <f>SUM(Y26,AC26)</f>
        <v>22042046.669495463</v>
      </c>
      <c r="AE26" s="284">
        <f>Y26/C26</f>
        <v>0.32612839958113371</v>
      </c>
      <c r="AF26" s="284">
        <f>AD26/C26</f>
        <v>0.32610634026955104</v>
      </c>
      <c r="AG26" s="285">
        <f>AC26/Y26</f>
        <v>-6.7639959019234774E-5</v>
      </c>
      <c r="AH26" s="286"/>
    </row>
    <row r="27" spans="1:34" x14ac:dyDescent="0.2">
      <c r="A27" s="267">
        <f t="shared" si="0"/>
        <v>20</v>
      </c>
      <c r="B27" s="267" t="s">
        <v>92</v>
      </c>
      <c r="C27" s="313">
        <v>1978910289.2706318</v>
      </c>
      <c r="D27" s="308">
        <v>9197506</v>
      </c>
      <c r="E27" s="308">
        <v>0</v>
      </c>
      <c r="F27" s="308">
        <v>0</v>
      </c>
      <c r="G27" s="308">
        <v>0</v>
      </c>
      <c r="H27" s="308">
        <v>2673507.8008046234</v>
      </c>
      <c r="I27" s="308">
        <v>233511.41413393454</v>
      </c>
      <c r="J27" s="308">
        <v>0</v>
      </c>
      <c r="K27" s="308">
        <v>0</v>
      </c>
      <c r="L27" s="308">
        <v>0</v>
      </c>
      <c r="M27" s="308">
        <v>33641.474917600739</v>
      </c>
      <c r="N27" s="308">
        <v>0</v>
      </c>
      <c r="O27" s="308">
        <v>0</v>
      </c>
      <c r="P27" s="308">
        <v>0</v>
      </c>
      <c r="Q27" s="308">
        <v>116160</v>
      </c>
      <c r="R27" s="308">
        <v>58320</v>
      </c>
      <c r="S27" s="308">
        <v>0</v>
      </c>
      <c r="T27" s="308">
        <v>0</v>
      </c>
      <c r="U27" s="308">
        <v>0</v>
      </c>
      <c r="V27" s="308">
        <v>0</v>
      </c>
      <c r="W27" s="308">
        <v>0</v>
      </c>
      <c r="X27" s="280">
        <f>SUM(E27:W27)</f>
        <v>3115140.6898561586</v>
      </c>
      <c r="Y27" s="280">
        <f>SUM(X27,D27)</f>
        <v>12312646.689856159</v>
      </c>
      <c r="AA27" s="281">
        <f t="shared" si="20"/>
        <v>0</v>
      </c>
      <c r="AB27" s="315">
        <v>0</v>
      </c>
      <c r="AC27" s="283">
        <f>SUM(AA27:AB27)</f>
        <v>0</v>
      </c>
      <c r="AD27" s="283">
        <f>SUM(Y27,AC27)</f>
        <v>12312646.689856159</v>
      </c>
      <c r="AE27" s="284">
        <f>Y27/C27</f>
        <v>6.2219327256084148E-3</v>
      </c>
      <c r="AF27" s="284">
        <f>AD27/C27</f>
        <v>6.2219327256084148E-3</v>
      </c>
      <c r="AG27" s="285">
        <f>AC27/Y27</f>
        <v>0</v>
      </c>
      <c r="AH27" s="280"/>
    </row>
    <row r="28" spans="1:34" x14ac:dyDescent="0.2">
      <c r="A28" s="267">
        <f t="shared" si="0"/>
        <v>21</v>
      </c>
      <c r="B28" s="266" t="s">
        <v>93</v>
      </c>
      <c r="C28" s="313">
        <v>304641655.46199995</v>
      </c>
      <c r="D28" s="308">
        <v>3315249.3992105001</v>
      </c>
      <c r="E28" s="308">
        <v>0</v>
      </c>
      <c r="F28" s="308">
        <v>0</v>
      </c>
      <c r="G28" s="308">
        <v>0</v>
      </c>
      <c r="H28" s="308">
        <v>1288938.8442597219</v>
      </c>
      <c r="I28" s="308">
        <v>187049.97645366797</v>
      </c>
      <c r="J28" s="308">
        <v>0</v>
      </c>
      <c r="K28" s="308">
        <v>0</v>
      </c>
      <c r="L28" s="308">
        <v>0</v>
      </c>
      <c r="M28" s="308">
        <v>156890.45256293</v>
      </c>
      <c r="N28" s="308">
        <v>0</v>
      </c>
      <c r="O28" s="308">
        <v>0</v>
      </c>
      <c r="P28" s="308">
        <v>0</v>
      </c>
      <c r="Q28" s="308">
        <v>549268.90479798592</v>
      </c>
      <c r="R28" s="308">
        <v>276005.33984857198</v>
      </c>
      <c r="S28" s="308">
        <v>0</v>
      </c>
      <c r="T28" s="308">
        <v>-85604.305184821991</v>
      </c>
      <c r="U28" s="308">
        <v>367397.83648717194</v>
      </c>
      <c r="V28" s="308">
        <v>0</v>
      </c>
      <c r="W28" s="308">
        <v>0</v>
      </c>
      <c r="X28" s="280">
        <f>SUM(E28:W28)</f>
        <v>2739947.0492252279</v>
      </c>
      <c r="Y28" s="280">
        <f>SUM(X28,D28)</f>
        <v>6055196.4484357275</v>
      </c>
      <c r="AA28" s="281">
        <f t="shared" si="20"/>
        <v>0</v>
      </c>
      <c r="AB28" s="315">
        <v>0</v>
      </c>
      <c r="AC28" s="283">
        <f>SUM(AA28:AB28)</f>
        <v>0</v>
      </c>
      <c r="AD28" s="283">
        <f>SUM(Y28,AC28)</f>
        <v>6055196.4484357275</v>
      </c>
      <c r="AE28" s="284">
        <f>Y28/C28</f>
        <v>1.9876455960209399E-2</v>
      </c>
      <c r="AF28" s="284">
        <f>AD28/C28</f>
        <v>1.9876455960209399E-2</v>
      </c>
      <c r="AG28" s="285">
        <f>AC28/Y28</f>
        <v>0</v>
      </c>
      <c r="AH28" s="280"/>
    </row>
    <row r="29" spans="1:34" x14ac:dyDescent="0.2">
      <c r="A29" s="267">
        <f t="shared" si="0"/>
        <v>22</v>
      </c>
      <c r="B29" s="267"/>
      <c r="C29" s="199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80"/>
      <c r="Y29" s="280"/>
      <c r="AA29" s="281"/>
      <c r="AB29" s="282"/>
      <c r="AC29" s="283"/>
      <c r="AD29" s="283"/>
      <c r="AE29" s="284"/>
      <c r="AF29" s="284"/>
      <c r="AG29" s="285"/>
      <c r="AH29" s="280"/>
    </row>
    <row r="30" spans="1:34" ht="12" thickBot="1" x14ac:dyDescent="0.25">
      <c r="A30" s="267">
        <f t="shared" si="0"/>
        <v>23</v>
      </c>
      <c r="B30" s="267" t="s">
        <v>94</v>
      </c>
      <c r="C30" s="203">
        <f t="shared" ref="C30:Y30" si="21">SUM(C9,C15,C20,C24,C26:C28)</f>
        <v>23427567427.921665</v>
      </c>
      <c r="D30" s="296">
        <f t="shared" si="21"/>
        <v>2101517756.5958097</v>
      </c>
      <c r="E30" s="296">
        <f t="shared" si="21"/>
        <v>45639816.346449047</v>
      </c>
      <c r="F30" s="296">
        <f t="shared" si="21"/>
        <v>0</v>
      </c>
      <c r="G30" s="296">
        <f t="shared" si="21"/>
        <v>1073193.0950817112</v>
      </c>
      <c r="H30" s="296">
        <f t="shared" si="21"/>
        <v>100744999.56279926</v>
      </c>
      <c r="I30" s="296">
        <f t="shared" si="21"/>
        <v>54151320.842112705</v>
      </c>
      <c r="J30" s="296">
        <f t="shared" si="21"/>
        <v>0</v>
      </c>
      <c r="K30" s="296">
        <f t="shared" si="21"/>
        <v>3263707.07681177</v>
      </c>
      <c r="L30" s="296">
        <f t="shared" si="21"/>
        <v>-1417531.3423638302</v>
      </c>
      <c r="M30" s="296">
        <f t="shared" si="21"/>
        <v>48317488.58702936</v>
      </c>
      <c r="N30" s="296">
        <f t="shared" si="21"/>
        <v>37650785.942312062</v>
      </c>
      <c r="O30" s="296">
        <f t="shared" si="21"/>
        <v>23412119.153367765</v>
      </c>
      <c r="P30" s="296">
        <f t="shared" si="21"/>
        <v>51559895.690469548</v>
      </c>
      <c r="Q30" s="296">
        <f t="shared" si="21"/>
        <v>187550398.2157996</v>
      </c>
      <c r="R30" s="296">
        <f t="shared" si="21"/>
        <v>94262256.147038117</v>
      </c>
      <c r="S30" s="296">
        <f t="shared" si="21"/>
        <v>6232110.2945798244</v>
      </c>
      <c r="T30" s="296">
        <f t="shared" si="21"/>
        <v>-16476982.907068163</v>
      </c>
      <c r="U30" s="296">
        <f t="shared" si="21"/>
        <v>-30873895.918500379</v>
      </c>
      <c r="V30" s="296">
        <f t="shared" si="21"/>
        <v>0</v>
      </c>
      <c r="W30" s="296">
        <f t="shared" si="21"/>
        <v>-78080662.967138439</v>
      </c>
      <c r="X30" s="296">
        <f t="shared" si="21"/>
        <v>527009017.81878</v>
      </c>
      <c r="Y30" s="296">
        <f t="shared" si="21"/>
        <v>2628526774.4145899</v>
      </c>
      <c r="AA30" s="297">
        <f t="shared" ref="AA30:AD30" si="22">SUM(AA9,AA15,AA20,AA24,AA26:AA28)</f>
        <v>78080662.967138439</v>
      </c>
      <c r="AB30" s="298">
        <f t="shared" si="22"/>
        <v>-87944343.667875797</v>
      </c>
      <c r="AC30" s="299">
        <f t="shared" si="22"/>
        <v>-9863680.7007373422</v>
      </c>
      <c r="AD30" s="299">
        <f t="shared" si="22"/>
        <v>2618663093.7138524</v>
      </c>
      <c r="AE30" s="300">
        <f>Y30/C30</f>
        <v>0.11219802408003463</v>
      </c>
      <c r="AF30" s="300">
        <f>AD30/C30</f>
        <v>0.1117769952757815</v>
      </c>
      <c r="AG30" s="301">
        <f>AC30/Y30</f>
        <v>-3.7525509714216717E-3</v>
      </c>
      <c r="AH30" s="280"/>
    </row>
    <row r="31" spans="1:34" ht="12" thickTop="1" x14ac:dyDescent="0.2">
      <c r="A31" s="267">
        <f t="shared" si="0"/>
        <v>24</v>
      </c>
      <c r="B31" s="267"/>
      <c r="C31" s="199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80"/>
      <c r="Y31" s="280"/>
      <c r="AA31" s="281"/>
      <c r="AB31" s="282"/>
      <c r="AC31" s="283"/>
      <c r="AD31" s="283"/>
      <c r="AE31" s="284"/>
      <c r="AF31" s="284"/>
      <c r="AG31" s="285"/>
      <c r="AH31" s="280"/>
    </row>
    <row r="32" spans="1:34" x14ac:dyDescent="0.2">
      <c r="A32" s="267">
        <f t="shared" si="0"/>
        <v>25</v>
      </c>
      <c r="B32" s="267">
        <v>5</v>
      </c>
      <c r="C32" s="287">
        <v>6789532.8187336121</v>
      </c>
      <c r="D32" s="314">
        <v>310254.59201566299</v>
      </c>
      <c r="E32" s="314">
        <v>13833.899373728984</v>
      </c>
      <c r="F32" s="314">
        <v>0</v>
      </c>
      <c r="G32" s="314">
        <v>346.26617375541423</v>
      </c>
      <c r="H32" s="314">
        <v>0</v>
      </c>
      <c r="I32" s="314">
        <v>0</v>
      </c>
      <c r="J32" s="314">
        <v>0</v>
      </c>
      <c r="K32" s="314">
        <v>0</v>
      </c>
      <c r="L32" s="314">
        <v>0</v>
      </c>
      <c r="M32" s="314">
        <v>0</v>
      </c>
      <c r="N32" s="314">
        <v>11107.67569144819</v>
      </c>
      <c r="O32" s="314">
        <v>6335.5028336206933</v>
      </c>
      <c r="P32" s="314">
        <v>12913.691421231331</v>
      </c>
      <c r="Q32" s="314">
        <v>43644.023191035609</v>
      </c>
      <c r="R32" s="314">
        <v>21910.275522161341</v>
      </c>
      <c r="S32" s="314">
        <v>0</v>
      </c>
      <c r="T32" s="314">
        <v>-5139.0473259869432</v>
      </c>
      <c r="U32" s="314">
        <v>0</v>
      </c>
      <c r="V32" s="314">
        <v>0</v>
      </c>
      <c r="W32" s="314">
        <v>0</v>
      </c>
      <c r="X32" s="288">
        <v>104952.28688099461</v>
      </c>
      <c r="Y32" s="288">
        <v>415206.87889665761</v>
      </c>
      <c r="AA32" s="302">
        <f>-W32</f>
        <v>0</v>
      </c>
      <c r="AB32" s="316">
        <v>0</v>
      </c>
      <c r="AC32" s="292">
        <f>SUM(AA32:AB32)</f>
        <v>0</v>
      </c>
      <c r="AD32" s="292">
        <f>SUM(Y32,AC32)</f>
        <v>415206.87889665761</v>
      </c>
      <c r="AE32" s="293">
        <f>Y32/C32</f>
        <v>6.115396890799657E-2</v>
      </c>
      <c r="AF32" s="293">
        <f>AD32/C32</f>
        <v>6.115396890799657E-2</v>
      </c>
      <c r="AG32" s="294">
        <f>AC32/Y32</f>
        <v>0</v>
      </c>
      <c r="AH32" s="280"/>
    </row>
    <row r="33" spans="1:34" ht="12" thickBot="1" x14ac:dyDescent="0.25">
      <c r="A33" s="267">
        <f t="shared" si="0"/>
        <v>26</v>
      </c>
      <c r="B33" s="267"/>
      <c r="C33" s="199"/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80"/>
      <c r="Y33" s="280"/>
      <c r="AA33" s="281"/>
      <c r="AB33" s="282"/>
      <c r="AC33" s="303"/>
      <c r="AD33" s="303"/>
      <c r="AE33" s="304"/>
      <c r="AF33" s="304"/>
      <c r="AG33" s="305"/>
      <c r="AH33" s="280"/>
    </row>
    <row r="34" spans="1:34" ht="12" thickBot="1" x14ac:dyDescent="0.25">
      <c r="A34" s="267">
        <f t="shared" si="0"/>
        <v>27</v>
      </c>
      <c r="B34" s="267" t="s">
        <v>95</v>
      </c>
      <c r="C34" s="203">
        <f t="shared" ref="C34:Y34" si="23">SUM(C30,C32)</f>
        <v>23434356960.740398</v>
      </c>
      <c r="D34" s="296">
        <f t="shared" si="23"/>
        <v>2101828011.1878254</v>
      </c>
      <c r="E34" s="296">
        <f t="shared" si="23"/>
        <v>45653650.24582278</v>
      </c>
      <c r="F34" s="296">
        <f t="shared" si="23"/>
        <v>0</v>
      </c>
      <c r="G34" s="296">
        <f t="shared" si="23"/>
        <v>1073539.3612554667</v>
      </c>
      <c r="H34" s="296">
        <f t="shared" si="23"/>
        <v>100744999.56279926</v>
      </c>
      <c r="I34" s="296">
        <f t="shared" si="23"/>
        <v>54151320.842112705</v>
      </c>
      <c r="J34" s="296">
        <f t="shared" si="23"/>
        <v>0</v>
      </c>
      <c r="K34" s="296">
        <f t="shared" si="23"/>
        <v>3263707.07681177</v>
      </c>
      <c r="L34" s="296">
        <f t="shared" si="23"/>
        <v>-1417531.3423638302</v>
      </c>
      <c r="M34" s="296">
        <f t="shared" si="23"/>
        <v>48317488.58702936</v>
      </c>
      <c r="N34" s="296">
        <f t="shared" si="23"/>
        <v>37661893.61800351</v>
      </c>
      <c r="O34" s="296">
        <f t="shared" si="23"/>
        <v>23418454.656201385</v>
      </c>
      <c r="P34" s="296">
        <f t="shared" si="23"/>
        <v>51572809.381890781</v>
      </c>
      <c r="Q34" s="296">
        <f t="shared" si="23"/>
        <v>187594042.23899063</v>
      </c>
      <c r="R34" s="296">
        <f t="shared" si="23"/>
        <v>94284166.422560275</v>
      </c>
      <c r="S34" s="296">
        <f t="shared" si="23"/>
        <v>6232110.2945798244</v>
      </c>
      <c r="T34" s="296">
        <f t="shared" si="23"/>
        <v>-16482121.954394151</v>
      </c>
      <c r="U34" s="296">
        <f t="shared" si="23"/>
        <v>-30873895.918500379</v>
      </c>
      <c r="V34" s="296">
        <f t="shared" si="23"/>
        <v>0</v>
      </c>
      <c r="W34" s="296">
        <f t="shared" si="23"/>
        <v>-78080662.967138439</v>
      </c>
      <c r="X34" s="296">
        <f t="shared" si="23"/>
        <v>527113970.10566097</v>
      </c>
      <c r="Y34" s="296">
        <f t="shared" si="23"/>
        <v>2628941981.2934866</v>
      </c>
      <c r="AA34" s="297">
        <f t="shared" ref="AA34:AD34" si="24">SUM(AA30,AA32)</f>
        <v>78080662.967138439</v>
      </c>
      <c r="AB34" s="298">
        <f t="shared" si="24"/>
        <v>-87944343.667875797</v>
      </c>
      <c r="AC34" s="306">
        <f t="shared" si="24"/>
        <v>-9863680.7007373422</v>
      </c>
      <c r="AD34" s="306">
        <f t="shared" si="24"/>
        <v>2619078300.5927491</v>
      </c>
      <c r="AE34" s="304">
        <f>Y34/C34</f>
        <v>0.11218323531120379</v>
      </c>
      <c r="AF34" s="304">
        <f>AD34/C34</f>
        <v>0.11176232848976797</v>
      </c>
      <c r="AG34" s="307">
        <f>AC34/Y34</f>
        <v>-3.7519583052510858E-3</v>
      </c>
      <c r="AH34" s="280"/>
    </row>
    <row r="35" spans="1:34" ht="12" thickTop="1" x14ac:dyDescent="0.2">
      <c r="A35" s="267">
        <f t="shared" si="0"/>
        <v>28</v>
      </c>
      <c r="D35" s="201"/>
    </row>
    <row r="36" spans="1:34" x14ac:dyDescent="0.2">
      <c r="A36" s="267">
        <f t="shared" si="0"/>
        <v>29</v>
      </c>
      <c r="B36" s="198" t="s">
        <v>317</v>
      </c>
      <c r="C36" s="313">
        <v>23434356960.740398</v>
      </c>
      <c r="D36" s="308">
        <v>2101828011.1878254</v>
      </c>
      <c r="E36" s="308">
        <v>45653650.24582278</v>
      </c>
      <c r="F36" s="308">
        <v>0</v>
      </c>
      <c r="G36" s="308">
        <v>1073539.3612554667</v>
      </c>
      <c r="H36" s="308">
        <v>100744999.56279926</v>
      </c>
      <c r="I36" s="308">
        <v>54151320.842112705</v>
      </c>
      <c r="J36" s="308">
        <v>0</v>
      </c>
      <c r="K36" s="308">
        <v>3263707.07681177</v>
      </c>
      <c r="L36" s="308">
        <v>-1417531.3423638302</v>
      </c>
      <c r="M36" s="308">
        <v>48317488.58702936</v>
      </c>
      <c r="N36" s="308">
        <v>37661893.61800351</v>
      </c>
      <c r="O36" s="308">
        <v>23418454.656201385</v>
      </c>
      <c r="P36" s="308">
        <v>51572809.381890781</v>
      </c>
      <c r="Q36" s="308">
        <v>187594042.23899063</v>
      </c>
      <c r="R36" s="308">
        <v>94284166.422560275</v>
      </c>
      <c r="S36" s="308">
        <v>6232110.2945798244</v>
      </c>
      <c r="T36" s="308">
        <v>-16482121.954394151</v>
      </c>
      <c r="U36" s="308">
        <v>-30873895.918500379</v>
      </c>
      <c r="V36" s="308">
        <v>0</v>
      </c>
      <c r="W36" s="308">
        <v>-78080662.967138439</v>
      </c>
      <c r="X36" s="308">
        <v>527113970.10566097</v>
      </c>
      <c r="Y36" s="308">
        <v>2628941981.2934866</v>
      </c>
      <c r="AA36" s="308">
        <v>78080662.967138439</v>
      </c>
      <c r="AB36" s="308">
        <v>-87944343.667875797</v>
      </c>
    </row>
    <row r="37" spans="1:34" x14ac:dyDescent="0.2">
      <c r="A37" s="267">
        <f t="shared" si="0"/>
        <v>30</v>
      </c>
      <c r="B37" s="309" t="s">
        <v>317</v>
      </c>
      <c r="C37" s="310">
        <f t="shared" ref="C37:Y37" si="25">+C36-C34</f>
        <v>0</v>
      </c>
      <c r="D37" s="311">
        <f t="shared" si="25"/>
        <v>0</v>
      </c>
      <c r="E37" s="311">
        <f t="shared" si="25"/>
        <v>0</v>
      </c>
      <c r="F37" s="311">
        <f t="shared" si="25"/>
        <v>0</v>
      </c>
      <c r="G37" s="311">
        <f t="shared" si="25"/>
        <v>0</v>
      </c>
      <c r="H37" s="311">
        <f t="shared" si="25"/>
        <v>0</v>
      </c>
      <c r="I37" s="311">
        <f t="shared" si="25"/>
        <v>0</v>
      </c>
      <c r="J37" s="311">
        <f t="shared" si="25"/>
        <v>0</v>
      </c>
      <c r="K37" s="311">
        <f t="shared" si="25"/>
        <v>0</v>
      </c>
      <c r="L37" s="311">
        <f t="shared" si="25"/>
        <v>0</v>
      </c>
      <c r="M37" s="311">
        <f t="shared" si="25"/>
        <v>0</v>
      </c>
      <c r="N37" s="311">
        <f t="shared" si="25"/>
        <v>0</v>
      </c>
      <c r="O37" s="311">
        <f t="shared" si="25"/>
        <v>0</v>
      </c>
      <c r="P37" s="311">
        <f t="shared" si="25"/>
        <v>0</v>
      </c>
      <c r="Q37" s="311">
        <f t="shared" si="25"/>
        <v>0</v>
      </c>
      <c r="R37" s="311">
        <f t="shared" si="25"/>
        <v>0</v>
      </c>
      <c r="S37" s="311">
        <f t="shared" si="25"/>
        <v>0</v>
      </c>
      <c r="T37" s="311">
        <f t="shared" si="25"/>
        <v>0</v>
      </c>
      <c r="U37" s="311">
        <f t="shared" si="25"/>
        <v>0</v>
      </c>
      <c r="V37" s="311">
        <f t="shared" si="25"/>
        <v>0</v>
      </c>
      <c r="W37" s="311">
        <f t="shared" si="25"/>
        <v>0</v>
      </c>
      <c r="X37" s="311">
        <f t="shared" si="25"/>
        <v>0</v>
      </c>
      <c r="Y37" s="311">
        <f t="shared" si="25"/>
        <v>0</v>
      </c>
      <c r="Z37" s="309"/>
      <c r="AA37" s="311">
        <f>+AA36-AA34</f>
        <v>0</v>
      </c>
      <c r="AB37" s="311">
        <f t="shared" ref="AB37" si="26">+AB36-AB34</f>
        <v>0</v>
      </c>
    </row>
    <row r="38" spans="1:34" x14ac:dyDescent="0.2">
      <c r="AC38" s="309" t="s">
        <v>318</v>
      </c>
    </row>
    <row r="39" spans="1:34" x14ac:dyDescent="0.2">
      <c r="B39" s="320" t="s">
        <v>349</v>
      </c>
      <c r="AB39" s="309"/>
      <c r="AC39" s="312">
        <f>SUM(AA34:AB34)-AC34</f>
        <v>-1.4901161193847656E-8</v>
      </c>
    </row>
    <row r="40" spans="1:34" x14ac:dyDescent="0.2"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</row>
  </sheetData>
  <printOptions horizontalCentered="1"/>
  <pageMargins left="0.75" right="0.75" top="1" bottom="1" header="0.5" footer="0.5"/>
  <pageSetup scale="33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A1:R93"/>
  <sheetViews>
    <sheetView topLeftCell="A12" workbookViewId="0">
      <selection activeCell="E34" sqref="E34"/>
    </sheetView>
  </sheetViews>
  <sheetFormatPr defaultColWidth="8.7109375" defaultRowHeight="11.25" x14ac:dyDescent="0.2"/>
  <cols>
    <col min="1" max="1" width="21.5703125" style="1" customWidth="1"/>
    <col min="2" max="2" width="7.7109375" style="1" bestFit="1" customWidth="1"/>
    <col min="3" max="3" width="12.85546875" style="1" bestFit="1" customWidth="1"/>
    <col min="4" max="4" width="9.7109375" style="1" bestFit="1" customWidth="1"/>
    <col min="5" max="6" width="10" style="1" bestFit="1" customWidth="1"/>
    <col min="7" max="7" width="2" style="1" customWidth="1"/>
    <col min="8" max="8" width="7.140625" style="1" customWidth="1"/>
    <col min="9" max="9" width="9.140625" style="1" bestFit="1" customWidth="1"/>
    <col min="10" max="10" width="7.7109375" style="1" bestFit="1" customWidth="1"/>
    <col min="11" max="11" width="9" style="1" bestFit="1" customWidth="1"/>
    <col min="12" max="12" width="9" style="1" customWidth="1"/>
    <col min="13" max="13" width="8.28515625" style="1" bestFit="1" customWidth="1"/>
    <col min="14" max="14" width="4" style="1" customWidth="1"/>
    <col min="15" max="16384" width="8.7109375" style="1"/>
  </cols>
  <sheetData>
    <row r="1" spans="1:18" s="3" customFormat="1" x14ac:dyDescent="0.2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8" s="3" customFormat="1" x14ac:dyDescent="0.2">
      <c r="A2" s="75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8" x14ac:dyDescent="0.2">
      <c r="A3" s="136" t="s">
        <v>352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5" spans="1:18" x14ac:dyDescent="0.2">
      <c r="C5" s="329" t="s">
        <v>115</v>
      </c>
      <c r="D5" s="329"/>
      <c r="E5" s="329"/>
      <c r="F5" s="329"/>
      <c r="G5" s="78"/>
      <c r="H5" s="329" t="s">
        <v>116</v>
      </c>
      <c r="I5" s="329"/>
      <c r="J5" s="329"/>
      <c r="K5" s="329"/>
      <c r="L5" s="79"/>
      <c r="M5" s="79"/>
      <c r="O5" s="80"/>
      <c r="P5" s="80"/>
      <c r="Q5" s="80"/>
      <c r="R5" s="80"/>
    </row>
    <row r="6" spans="1:18" ht="22.5" x14ac:dyDescent="0.2">
      <c r="A6" s="9" t="s">
        <v>9</v>
      </c>
      <c r="B6" s="9" t="s">
        <v>15</v>
      </c>
      <c r="C6" s="9" t="s">
        <v>117</v>
      </c>
      <c r="D6" s="9" t="s">
        <v>118</v>
      </c>
      <c r="E6" s="9" t="s">
        <v>119</v>
      </c>
      <c r="F6" s="9" t="s">
        <v>120</v>
      </c>
      <c r="G6" s="78"/>
      <c r="H6" s="9" t="s">
        <v>117</v>
      </c>
      <c r="I6" s="9" t="s">
        <v>118</v>
      </c>
      <c r="J6" s="9" t="s">
        <v>119</v>
      </c>
      <c r="K6" s="9" t="s">
        <v>120</v>
      </c>
      <c r="L6" s="10" t="s">
        <v>16</v>
      </c>
      <c r="M6" s="9" t="s">
        <v>17</v>
      </c>
    </row>
    <row r="7" spans="1:18" x14ac:dyDescent="0.2">
      <c r="A7" s="1" t="s">
        <v>18</v>
      </c>
      <c r="B7" s="8">
        <f t="shared" ref="B7:B18" si="0">ROUND(+E79,0)</f>
        <v>963</v>
      </c>
      <c r="C7" s="200">
        <f>ROUND(+$E$27,2)</f>
        <v>7.49</v>
      </c>
      <c r="D7" s="200">
        <f t="shared" ref="D7:D18" si="1">ROUND(IF($B7&gt;600,600*$E$70,$B7*$E$43),2)</f>
        <v>67.209999999999994</v>
      </c>
      <c r="E7" s="200">
        <f t="shared" ref="E7:E18" si="2">ROUND(IF($B7&gt;600,($B7-600)*$E$71,0),2)</f>
        <v>47.71</v>
      </c>
      <c r="F7" s="24">
        <f t="shared" ref="F7:F18" si="3">SUM(C7:E7)</f>
        <v>122.41</v>
      </c>
      <c r="G7" s="78"/>
      <c r="H7" s="200">
        <f>ROUND(+$F$27,2)</f>
        <v>7.49</v>
      </c>
      <c r="I7" s="200">
        <f t="shared" ref="I7:I18" si="4">ROUND(IF($B7&gt;600,600*$F$70,$B7*$F$43),2)</f>
        <v>66.7</v>
      </c>
      <c r="J7" s="200">
        <f t="shared" ref="J7:J18" si="5">ROUND(IF($B7&gt;600,($B7-600)*$F$71,0),2)</f>
        <v>47.4</v>
      </c>
      <c r="K7" s="24">
        <f t="shared" ref="K7:K18" si="6">SUM(H7:J7)</f>
        <v>121.59</v>
      </c>
      <c r="L7" s="24">
        <f>+K7-F7</f>
        <v>-0.81999999999999318</v>
      </c>
      <c r="M7" s="202">
        <f>+L7/F7</f>
        <v>-6.6987991177190854E-3</v>
      </c>
    </row>
    <row r="8" spans="1:18" x14ac:dyDescent="0.2">
      <c r="A8" s="1" t="s">
        <v>19</v>
      </c>
      <c r="B8" s="8">
        <f t="shared" si="0"/>
        <v>1168</v>
      </c>
      <c r="C8" s="200">
        <f t="shared" ref="C8:C18" si="7">ROUND(+$E$27,2)</f>
        <v>7.49</v>
      </c>
      <c r="D8" s="200">
        <f t="shared" si="1"/>
        <v>67.209999999999994</v>
      </c>
      <c r="E8" s="200">
        <f t="shared" si="2"/>
        <v>74.66</v>
      </c>
      <c r="F8" s="24">
        <f t="shared" si="3"/>
        <v>149.35999999999999</v>
      </c>
      <c r="G8" s="78"/>
      <c r="H8" s="200">
        <f t="shared" ref="H8:H18" si="8">ROUND(+$F$27,2)</f>
        <v>7.49</v>
      </c>
      <c r="I8" s="200">
        <f t="shared" si="4"/>
        <v>66.7</v>
      </c>
      <c r="J8" s="200">
        <f t="shared" si="5"/>
        <v>74.180000000000007</v>
      </c>
      <c r="K8" s="24">
        <f t="shared" si="6"/>
        <v>148.37</v>
      </c>
      <c r="L8" s="24">
        <f t="shared" ref="L8:L18" si="9">+K8-F8</f>
        <v>-0.98999999999998067</v>
      </c>
      <c r="M8" s="202">
        <f t="shared" ref="M8:M18" si="10">+L8/F8</f>
        <v>-6.6282806641669838E-3</v>
      </c>
    </row>
    <row r="9" spans="1:18" x14ac:dyDescent="0.2">
      <c r="A9" s="1" t="s">
        <v>20</v>
      </c>
      <c r="B9" s="8">
        <f t="shared" si="0"/>
        <v>1100</v>
      </c>
      <c r="C9" s="200">
        <f t="shared" si="7"/>
        <v>7.49</v>
      </c>
      <c r="D9" s="200">
        <f t="shared" si="1"/>
        <v>67.209999999999994</v>
      </c>
      <c r="E9" s="200">
        <f t="shared" si="2"/>
        <v>65.72</v>
      </c>
      <c r="F9" s="24">
        <f t="shared" si="3"/>
        <v>140.41999999999999</v>
      </c>
      <c r="G9" s="78"/>
      <c r="H9" s="200">
        <f t="shared" si="8"/>
        <v>7.49</v>
      </c>
      <c r="I9" s="200">
        <f t="shared" si="4"/>
        <v>66.7</v>
      </c>
      <c r="J9" s="200">
        <f t="shared" si="5"/>
        <v>65.3</v>
      </c>
      <c r="K9" s="24">
        <f t="shared" si="6"/>
        <v>139.49</v>
      </c>
      <c r="L9" s="24">
        <f t="shared" si="9"/>
        <v>-0.9299999999999784</v>
      </c>
      <c r="M9" s="202">
        <f t="shared" si="10"/>
        <v>-6.6229881783220227E-3</v>
      </c>
    </row>
    <row r="10" spans="1:18" x14ac:dyDescent="0.2">
      <c r="A10" s="1" t="s">
        <v>21</v>
      </c>
      <c r="B10" s="8">
        <f t="shared" si="0"/>
        <v>992</v>
      </c>
      <c r="C10" s="200">
        <f t="shared" si="7"/>
        <v>7.49</v>
      </c>
      <c r="D10" s="200">
        <f t="shared" si="1"/>
        <v>67.209999999999994</v>
      </c>
      <c r="E10" s="200">
        <f t="shared" si="2"/>
        <v>51.52</v>
      </c>
      <c r="F10" s="24">
        <f t="shared" si="3"/>
        <v>126.22</v>
      </c>
      <c r="G10" s="78"/>
      <c r="H10" s="200">
        <f t="shared" si="8"/>
        <v>7.49</v>
      </c>
      <c r="I10" s="200">
        <f t="shared" si="4"/>
        <v>66.7</v>
      </c>
      <c r="J10" s="200">
        <f t="shared" si="5"/>
        <v>51.19</v>
      </c>
      <c r="K10" s="24">
        <f t="shared" si="6"/>
        <v>125.38</v>
      </c>
      <c r="L10" s="24">
        <f t="shared" si="9"/>
        <v>-0.84000000000000341</v>
      </c>
      <c r="M10" s="202">
        <f t="shared" si="10"/>
        <v>-6.6550467437807275E-3</v>
      </c>
    </row>
    <row r="11" spans="1:18" x14ac:dyDescent="0.2">
      <c r="A11" s="1" t="s">
        <v>22</v>
      </c>
      <c r="B11" s="8">
        <f t="shared" si="0"/>
        <v>959</v>
      </c>
      <c r="C11" s="200">
        <f t="shared" si="7"/>
        <v>7.49</v>
      </c>
      <c r="D11" s="200">
        <f t="shared" si="1"/>
        <v>67.209999999999994</v>
      </c>
      <c r="E11" s="200">
        <f t="shared" si="2"/>
        <v>47.19</v>
      </c>
      <c r="F11" s="24">
        <f t="shared" si="3"/>
        <v>121.88999999999999</v>
      </c>
      <c r="G11" s="78"/>
      <c r="H11" s="200">
        <f t="shared" si="8"/>
        <v>7.49</v>
      </c>
      <c r="I11" s="200">
        <f t="shared" si="4"/>
        <v>66.7</v>
      </c>
      <c r="J11" s="200">
        <f t="shared" si="5"/>
        <v>46.88</v>
      </c>
      <c r="K11" s="24">
        <f t="shared" si="6"/>
        <v>121.07</v>
      </c>
      <c r="L11" s="24">
        <f t="shared" si="9"/>
        <v>-0.81999999999999318</v>
      </c>
      <c r="M11" s="202">
        <f t="shared" si="10"/>
        <v>-6.7273771433258942E-3</v>
      </c>
    </row>
    <row r="12" spans="1:18" x14ac:dyDescent="0.2">
      <c r="A12" s="1" t="s">
        <v>23</v>
      </c>
      <c r="B12" s="8">
        <f t="shared" si="0"/>
        <v>803</v>
      </c>
      <c r="C12" s="200">
        <f t="shared" si="7"/>
        <v>7.49</v>
      </c>
      <c r="D12" s="200">
        <f t="shared" si="1"/>
        <v>67.209999999999994</v>
      </c>
      <c r="E12" s="200">
        <f t="shared" si="2"/>
        <v>26.68</v>
      </c>
      <c r="F12" s="24">
        <f t="shared" si="3"/>
        <v>101.38</v>
      </c>
      <c r="G12" s="78"/>
      <c r="H12" s="200">
        <f t="shared" si="8"/>
        <v>7.49</v>
      </c>
      <c r="I12" s="200">
        <f t="shared" si="4"/>
        <v>66.7</v>
      </c>
      <c r="J12" s="200">
        <f t="shared" si="5"/>
        <v>26.51</v>
      </c>
      <c r="K12" s="24">
        <f t="shared" si="6"/>
        <v>100.7</v>
      </c>
      <c r="L12" s="24">
        <f t="shared" si="9"/>
        <v>-0.67999999999999261</v>
      </c>
      <c r="M12" s="202">
        <f t="shared" si="10"/>
        <v>-6.7074373643715981E-3</v>
      </c>
    </row>
    <row r="13" spans="1:18" x14ac:dyDescent="0.2">
      <c r="A13" s="1" t="s">
        <v>24</v>
      </c>
      <c r="B13" s="8">
        <f t="shared" si="0"/>
        <v>700</v>
      </c>
      <c r="C13" s="200">
        <f t="shared" si="7"/>
        <v>7.49</v>
      </c>
      <c r="D13" s="200">
        <f t="shared" si="1"/>
        <v>67.209999999999994</v>
      </c>
      <c r="E13" s="200">
        <f t="shared" si="2"/>
        <v>13.14</v>
      </c>
      <c r="F13" s="24">
        <f t="shared" si="3"/>
        <v>87.839999999999989</v>
      </c>
      <c r="G13" s="78"/>
      <c r="H13" s="200">
        <f t="shared" si="8"/>
        <v>7.49</v>
      </c>
      <c r="I13" s="200">
        <f t="shared" si="4"/>
        <v>66.7</v>
      </c>
      <c r="J13" s="200">
        <f t="shared" si="5"/>
        <v>13.06</v>
      </c>
      <c r="K13" s="24">
        <f t="shared" si="6"/>
        <v>87.25</v>
      </c>
      <c r="L13" s="24">
        <f t="shared" si="9"/>
        <v>-0.5899999999999892</v>
      </c>
      <c r="M13" s="202">
        <f t="shared" si="10"/>
        <v>-6.7167577413477829E-3</v>
      </c>
    </row>
    <row r="14" spans="1:18" x14ac:dyDescent="0.2">
      <c r="A14" s="1" t="s">
        <v>25</v>
      </c>
      <c r="B14" s="8">
        <f t="shared" si="0"/>
        <v>669</v>
      </c>
      <c r="C14" s="200">
        <f t="shared" si="7"/>
        <v>7.49</v>
      </c>
      <c r="D14" s="200">
        <f t="shared" si="1"/>
        <v>67.209999999999994</v>
      </c>
      <c r="E14" s="200">
        <f t="shared" si="2"/>
        <v>9.07</v>
      </c>
      <c r="F14" s="24">
        <f t="shared" si="3"/>
        <v>83.769999999999982</v>
      </c>
      <c r="G14" s="78"/>
      <c r="H14" s="200">
        <f t="shared" si="8"/>
        <v>7.49</v>
      </c>
      <c r="I14" s="200">
        <f t="shared" si="4"/>
        <v>66.7</v>
      </c>
      <c r="J14" s="200">
        <f t="shared" si="5"/>
        <v>9.01</v>
      </c>
      <c r="K14" s="24">
        <f t="shared" si="6"/>
        <v>83.2</v>
      </c>
      <c r="L14" s="24">
        <f t="shared" si="9"/>
        <v>-0.56999999999997897</v>
      </c>
      <c r="M14" s="202">
        <f t="shared" si="10"/>
        <v>-6.8043452309893646E-3</v>
      </c>
    </row>
    <row r="15" spans="1:18" x14ac:dyDescent="0.2">
      <c r="A15" s="1" t="s">
        <v>26</v>
      </c>
      <c r="B15" s="8">
        <f t="shared" si="0"/>
        <v>745</v>
      </c>
      <c r="C15" s="200">
        <f t="shared" si="7"/>
        <v>7.49</v>
      </c>
      <c r="D15" s="200">
        <f t="shared" si="1"/>
        <v>67.209999999999994</v>
      </c>
      <c r="E15" s="200">
        <f t="shared" si="2"/>
        <v>19.059999999999999</v>
      </c>
      <c r="F15" s="24">
        <f t="shared" si="3"/>
        <v>93.759999999999991</v>
      </c>
      <c r="G15" s="78"/>
      <c r="H15" s="200">
        <f t="shared" si="8"/>
        <v>7.49</v>
      </c>
      <c r="I15" s="200">
        <f t="shared" si="4"/>
        <v>66.7</v>
      </c>
      <c r="J15" s="200">
        <f t="shared" si="5"/>
        <v>18.940000000000001</v>
      </c>
      <c r="K15" s="24">
        <f t="shared" si="6"/>
        <v>93.13</v>
      </c>
      <c r="L15" s="24">
        <f t="shared" si="9"/>
        <v>-0.62999999999999545</v>
      </c>
      <c r="M15" s="202">
        <f t="shared" si="10"/>
        <v>-6.7192832764504645E-3</v>
      </c>
    </row>
    <row r="16" spans="1:18" x14ac:dyDescent="0.2">
      <c r="A16" s="1" t="s">
        <v>27</v>
      </c>
      <c r="B16" s="8">
        <f t="shared" si="0"/>
        <v>750</v>
      </c>
      <c r="C16" s="200">
        <f t="shared" si="7"/>
        <v>7.49</v>
      </c>
      <c r="D16" s="200">
        <f t="shared" si="1"/>
        <v>67.209999999999994</v>
      </c>
      <c r="E16" s="200">
        <f t="shared" si="2"/>
        <v>19.72</v>
      </c>
      <c r="F16" s="24">
        <f t="shared" si="3"/>
        <v>94.419999999999987</v>
      </c>
      <c r="G16" s="78"/>
      <c r="H16" s="200">
        <f t="shared" si="8"/>
        <v>7.49</v>
      </c>
      <c r="I16" s="200">
        <f t="shared" si="4"/>
        <v>66.7</v>
      </c>
      <c r="J16" s="200">
        <f t="shared" si="5"/>
        <v>19.59</v>
      </c>
      <c r="K16" s="24">
        <f t="shared" si="6"/>
        <v>93.78</v>
      </c>
      <c r="L16" s="24">
        <f t="shared" si="9"/>
        <v>-0.63999999999998636</v>
      </c>
      <c r="M16" s="202">
        <f t="shared" si="10"/>
        <v>-6.7782249523404619E-3</v>
      </c>
    </row>
    <row r="17" spans="1:13" x14ac:dyDescent="0.2">
      <c r="A17" s="1" t="s">
        <v>28</v>
      </c>
      <c r="B17" s="8">
        <f t="shared" si="0"/>
        <v>685</v>
      </c>
      <c r="C17" s="200">
        <f t="shared" si="7"/>
        <v>7.49</v>
      </c>
      <c r="D17" s="200">
        <f t="shared" si="1"/>
        <v>67.209999999999994</v>
      </c>
      <c r="E17" s="200">
        <f t="shared" si="2"/>
        <v>11.17</v>
      </c>
      <c r="F17" s="24">
        <f t="shared" si="3"/>
        <v>85.86999999999999</v>
      </c>
      <c r="G17" s="78"/>
      <c r="H17" s="200">
        <f t="shared" si="8"/>
        <v>7.49</v>
      </c>
      <c r="I17" s="200">
        <f t="shared" si="4"/>
        <v>66.7</v>
      </c>
      <c r="J17" s="200">
        <f t="shared" si="5"/>
        <v>11.1</v>
      </c>
      <c r="K17" s="24">
        <f t="shared" si="6"/>
        <v>85.289999999999992</v>
      </c>
      <c r="L17" s="24">
        <f t="shared" si="9"/>
        <v>-0.57999999999999829</v>
      </c>
      <c r="M17" s="202">
        <f t="shared" si="10"/>
        <v>-6.7543961802724855E-3</v>
      </c>
    </row>
    <row r="18" spans="1:13" x14ac:dyDescent="0.2">
      <c r="A18" s="1" t="s">
        <v>29</v>
      </c>
      <c r="B18" s="8">
        <f t="shared" si="0"/>
        <v>800</v>
      </c>
      <c r="C18" s="200">
        <f t="shared" si="7"/>
        <v>7.49</v>
      </c>
      <c r="D18" s="200">
        <f t="shared" si="1"/>
        <v>67.209999999999994</v>
      </c>
      <c r="E18" s="200">
        <f t="shared" si="2"/>
        <v>26.29</v>
      </c>
      <c r="F18" s="24">
        <f t="shared" si="3"/>
        <v>100.98999999999998</v>
      </c>
      <c r="G18" s="78"/>
      <c r="H18" s="200">
        <f t="shared" si="8"/>
        <v>7.49</v>
      </c>
      <c r="I18" s="200">
        <f t="shared" si="4"/>
        <v>66.7</v>
      </c>
      <c r="J18" s="200">
        <f t="shared" si="5"/>
        <v>26.12</v>
      </c>
      <c r="K18" s="24">
        <f t="shared" si="6"/>
        <v>100.31</v>
      </c>
      <c r="L18" s="24">
        <f t="shared" si="9"/>
        <v>-0.6799999999999784</v>
      </c>
      <c r="M18" s="202">
        <f t="shared" si="10"/>
        <v>-6.7333399346467824E-3</v>
      </c>
    </row>
    <row r="19" spans="1:13" x14ac:dyDescent="0.2">
      <c r="C19" s="200"/>
      <c r="G19" s="78"/>
      <c r="H19" s="200"/>
      <c r="M19" s="202"/>
    </row>
    <row r="20" spans="1:13" ht="12" thickBot="1" x14ac:dyDescent="0.25">
      <c r="A20" s="12" t="s">
        <v>30</v>
      </c>
      <c r="B20" s="13">
        <f>SUM(B7:B19)</f>
        <v>10334</v>
      </c>
      <c r="C20" s="204">
        <f>SUM(C7:C19)</f>
        <v>89.88</v>
      </c>
      <c r="D20" s="204">
        <f>SUM(D7:D19)</f>
        <v>806.5200000000001</v>
      </c>
      <c r="E20" s="204">
        <f>SUM(E7:E19)</f>
        <v>411.93000000000006</v>
      </c>
      <c r="F20" s="204">
        <f>SUM(F7:F19)</f>
        <v>1308.33</v>
      </c>
      <c r="G20" s="78"/>
      <c r="H20" s="204">
        <f>SUM(H7:H19)</f>
        <v>89.88</v>
      </c>
      <c r="I20" s="204">
        <f>SUM(I7:I19)</f>
        <v>800.4000000000002</v>
      </c>
      <c r="J20" s="204">
        <f>SUM(J7:J19)</f>
        <v>409.28</v>
      </c>
      <c r="K20" s="204">
        <f>SUM(K7:K19)</f>
        <v>1299.5600000000002</v>
      </c>
      <c r="L20" s="204">
        <f t="shared" ref="L20" si="11">+K20-F20</f>
        <v>-8.7699999999997544</v>
      </c>
      <c r="M20" s="205">
        <f t="shared" ref="M20" si="12">+L20/F20</f>
        <v>-6.7032017915967341E-3</v>
      </c>
    </row>
    <row r="21" spans="1:13" ht="12" thickTop="1" x14ac:dyDescent="0.2">
      <c r="G21" s="78"/>
      <c r="M21" s="202"/>
    </row>
    <row r="22" spans="1:13" ht="12" thickBot="1" x14ac:dyDescent="0.25">
      <c r="A22" s="74" t="s">
        <v>68</v>
      </c>
      <c r="B22" s="29">
        <f>ROUND(AVERAGE(B7:B18),-2)</f>
        <v>900</v>
      </c>
      <c r="C22" s="25">
        <f t="shared" ref="C22:C23" si="13">ROUND(+$E$27,2)</f>
        <v>7.49</v>
      </c>
      <c r="D22" s="25">
        <f>ROUND(IF($B22&gt;600,600*$E$70,$B22*$E$43),2)</f>
        <v>67.209999999999994</v>
      </c>
      <c r="E22" s="25">
        <f>ROUND(IF($B22&gt;600,($B22-600)*$E$71,0),2)</f>
        <v>39.43</v>
      </c>
      <c r="F22" s="25">
        <f>SUM(C22:E22)</f>
        <v>114.13</v>
      </c>
      <c r="G22" s="78"/>
      <c r="H22" s="25">
        <f t="shared" ref="H22:H23" si="14">ROUND(+$F$27,2)</f>
        <v>7.49</v>
      </c>
      <c r="I22" s="25">
        <f>ROUND(IF($B22&gt;600,600*$F$70,$B22*$F$43),2)</f>
        <v>66.7</v>
      </c>
      <c r="J22" s="25">
        <f>ROUND(IF($B22&gt;600,($B22-600)*$F$71,0),2)</f>
        <v>39.18</v>
      </c>
      <c r="K22" s="25">
        <f>SUM(H22:J22)</f>
        <v>113.37</v>
      </c>
      <c r="L22" s="25">
        <f t="shared" ref="L22:L23" si="15">+K22-F22</f>
        <v>-0.75999999999999091</v>
      </c>
      <c r="M22" s="205">
        <f t="shared" ref="M22:M23" si="16">+L22/F22</f>
        <v>-6.659072986944633E-3</v>
      </c>
    </row>
    <row r="23" spans="1:13" ht="12.75" thickTop="1" thickBot="1" x14ac:dyDescent="0.25">
      <c r="A23" s="14" t="s">
        <v>68</v>
      </c>
      <c r="B23" s="250">
        <v>800</v>
      </c>
      <c r="C23" s="25">
        <f t="shared" si="13"/>
        <v>7.49</v>
      </c>
      <c r="D23" s="25">
        <f>ROUND(IF($B23&gt;600,600*$E$70,$B23*$E$43),2)</f>
        <v>67.209999999999994</v>
      </c>
      <c r="E23" s="25">
        <f>ROUND(IF($B23&gt;600,($B23-600)*$E$71,0),2)</f>
        <v>26.29</v>
      </c>
      <c r="F23" s="25">
        <f>SUM(C23:E23)</f>
        <v>100.98999999999998</v>
      </c>
      <c r="G23" s="78"/>
      <c r="H23" s="25">
        <f t="shared" si="14"/>
        <v>7.49</v>
      </c>
      <c r="I23" s="25">
        <f>ROUND(IF($B23&gt;600,600*$F$70,$B23*$F$43),2)</f>
        <v>66.7</v>
      </c>
      <c r="J23" s="25">
        <f>ROUND(IF($B23&gt;600,($B23-600)*$F$71,0),2)</f>
        <v>26.12</v>
      </c>
      <c r="K23" s="25">
        <f>SUM(H23:J23)</f>
        <v>100.31</v>
      </c>
      <c r="L23" s="25">
        <f t="shared" si="15"/>
        <v>-0.6799999999999784</v>
      </c>
      <c r="M23" s="205">
        <f t="shared" si="16"/>
        <v>-6.7333399346467824E-3</v>
      </c>
    </row>
    <row r="24" spans="1:13" ht="12" thickTop="1" x14ac:dyDescent="0.2"/>
    <row r="25" spans="1:13" ht="45" x14ac:dyDescent="0.2">
      <c r="A25" s="15" t="s">
        <v>69</v>
      </c>
      <c r="B25" s="16"/>
      <c r="C25" s="16"/>
      <c r="D25" s="16"/>
      <c r="E25" s="248" t="s">
        <v>354</v>
      </c>
      <c r="F25" s="248" t="s">
        <v>355</v>
      </c>
    </row>
    <row r="26" spans="1:13" x14ac:dyDescent="0.2">
      <c r="A26" s="330" t="s">
        <v>31</v>
      </c>
      <c r="B26" s="330"/>
      <c r="C26" s="330"/>
      <c r="D26" s="330"/>
      <c r="E26" s="18"/>
      <c r="F26" s="18"/>
    </row>
    <row r="27" spans="1:13" x14ac:dyDescent="0.2">
      <c r="A27" s="331" t="s">
        <v>70</v>
      </c>
      <c r="B27" s="331"/>
      <c r="C27" s="331"/>
      <c r="D27" s="331"/>
      <c r="E27" s="135">
        <v>7.49</v>
      </c>
      <c r="F27" s="81">
        <f>+E27</f>
        <v>7.49</v>
      </c>
      <c r="G27" s="1" t="s">
        <v>32</v>
      </c>
    </row>
    <row r="28" spans="1:13" ht="12" thickBot="1" x14ac:dyDescent="0.25">
      <c r="A28" s="328" t="s">
        <v>65</v>
      </c>
      <c r="B28" s="328"/>
      <c r="C28" s="328"/>
      <c r="D28" s="328"/>
      <c r="E28" s="20">
        <f>SUM(E27)</f>
        <v>7.49</v>
      </c>
      <c r="F28" s="20">
        <f>SUM(F27:F27)</f>
        <v>7.49</v>
      </c>
    </row>
    <row r="29" spans="1:13" ht="12" thickTop="1" x14ac:dyDescent="0.2">
      <c r="A29" s="330" t="s">
        <v>33</v>
      </c>
      <c r="B29" s="330"/>
      <c r="C29" s="330"/>
      <c r="D29" s="330"/>
      <c r="E29" s="82"/>
      <c r="F29" s="82"/>
    </row>
    <row r="30" spans="1:13" x14ac:dyDescent="0.2">
      <c r="A30" s="331" t="s">
        <v>34</v>
      </c>
      <c r="B30" s="331"/>
      <c r="C30" s="331"/>
      <c r="D30" s="331"/>
      <c r="E30" s="141">
        <v>8.9437000000000003E-2</v>
      </c>
      <c r="F30" s="138">
        <f>+E30</f>
        <v>8.9437000000000003E-2</v>
      </c>
      <c r="G30" s="1" t="s">
        <v>66</v>
      </c>
    </row>
    <row r="31" spans="1:13" x14ac:dyDescent="0.2">
      <c r="A31" s="325" t="s">
        <v>39</v>
      </c>
      <c r="B31" s="325"/>
      <c r="C31" s="325"/>
      <c r="D31" s="325"/>
      <c r="E31" s="141">
        <v>2.6870000000000002E-3</v>
      </c>
      <c r="F31" s="138">
        <f t="shared" ref="F31:F39" si="17">+E31</f>
        <v>2.6870000000000002E-3</v>
      </c>
      <c r="G31" s="5" t="s">
        <v>66</v>
      </c>
      <c r="H31" s="5"/>
    </row>
    <row r="32" spans="1:13" x14ac:dyDescent="0.2">
      <c r="A32" s="326" t="s">
        <v>224</v>
      </c>
      <c r="B32" s="326"/>
      <c r="C32" s="326"/>
      <c r="D32" s="326"/>
      <c r="E32" s="141">
        <v>0</v>
      </c>
      <c r="F32" s="138"/>
      <c r="G32" s="5" t="s">
        <v>66</v>
      </c>
      <c r="H32" s="5"/>
    </row>
    <row r="33" spans="1:7" s="5" customFormat="1" x14ac:dyDescent="0.2">
      <c r="A33" s="326" t="s">
        <v>59</v>
      </c>
      <c r="B33" s="326"/>
      <c r="C33" s="326"/>
      <c r="D33" s="326"/>
      <c r="E33" s="141">
        <v>2.6120000000000002E-3</v>
      </c>
      <c r="F33" s="138">
        <f t="shared" si="17"/>
        <v>2.6120000000000002E-3</v>
      </c>
      <c r="G33" s="5" t="s">
        <v>66</v>
      </c>
    </row>
    <row r="34" spans="1:7" s="5" customFormat="1" x14ac:dyDescent="0.2">
      <c r="A34" s="326" t="s">
        <v>225</v>
      </c>
      <c r="B34" s="326"/>
      <c r="C34" s="326"/>
      <c r="D34" s="326"/>
      <c r="E34" s="141">
        <v>1.828E-3</v>
      </c>
      <c r="F34" s="138">
        <f t="shared" si="17"/>
        <v>1.828E-3</v>
      </c>
      <c r="G34" s="5" t="s">
        <v>66</v>
      </c>
    </row>
    <row r="35" spans="1:7" s="5" customFormat="1" x14ac:dyDescent="0.2">
      <c r="A35" s="326" t="s">
        <v>226</v>
      </c>
      <c r="B35" s="326"/>
      <c r="C35" s="326"/>
      <c r="D35" s="326"/>
      <c r="E35" s="141">
        <v>1.25E-3</v>
      </c>
      <c r="F35" s="138">
        <f t="shared" si="17"/>
        <v>1.25E-3</v>
      </c>
      <c r="G35" s="5" t="s">
        <v>66</v>
      </c>
    </row>
    <row r="36" spans="1:7" s="5" customFormat="1" x14ac:dyDescent="0.2">
      <c r="A36" s="326" t="s">
        <v>227</v>
      </c>
      <c r="B36" s="326"/>
      <c r="C36" s="326"/>
      <c r="D36" s="326"/>
      <c r="E36" s="141">
        <v>2.6689999999999999E-3</v>
      </c>
      <c r="F36" s="138">
        <f t="shared" si="17"/>
        <v>2.6689999999999999E-3</v>
      </c>
      <c r="G36" s="5" t="s">
        <v>66</v>
      </c>
    </row>
    <row r="37" spans="1:7" s="5" customFormat="1" x14ac:dyDescent="0.2">
      <c r="A37" s="326" t="s">
        <v>228</v>
      </c>
      <c r="B37" s="326"/>
      <c r="C37" s="326"/>
      <c r="D37" s="326"/>
      <c r="E37" s="141">
        <v>1.0007E-2</v>
      </c>
      <c r="F37" s="138">
        <f t="shared" si="17"/>
        <v>1.0007E-2</v>
      </c>
      <c r="G37" s="5" t="s">
        <v>66</v>
      </c>
    </row>
    <row r="38" spans="1:7" s="5" customFormat="1" x14ac:dyDescent="0.2">
      <c r="A38" s="326" t="s">
        <v>229</v>
      </c>
      <c r="B38" s="326"/>
      <c r="C38" s="326"/>
      <c r="D38" s="326"/>
      <c r="E38" s="141">
        <v>5.0289999999999996E-3</v>
      </c>
      <c r="F38" s="138">
        <f t="shared" si="17"/>
        <v>5.0289999999999996E-3</v>
      </c>
      <c r="G38" s="5" t="s">
        <v>66</v>
      </c>
    </row>
    <row r="39" spans="1:7" s="5" customFormat="1" x14ac:dyDescent="0.2">
      <c r="A39" s="326" t="s">
        <v>230</v>
      </c>
      <c r="B39" s="326"/>
      <c r="C39" s="326"/>
      <c r="D39" s="326"/>
      <c r="E39" s="141">
        <v>3.19E-4</v>
      </c>
      <c r="F39" s="138">
        <f t="shared" si="17"/>
        <v>3.19E-4</v>
      </c>
      <c r="G39" s="5" t="s">
        <v>66</v>
      </c>
    </row>
    <row r="40" spans="1:7" s="5" customFormat="1" x14ac:dyDescent="0.2">
      <c r="A40" s="325" t="s">
        <v>121</v>
      </c>
      <c r="B40" s="325"/>
      <c r="C40" s="325"/>
      <c r="D40" s="332"/>
      <c r="E40" s="141">
        <v>-8.8400000000000002E-4</v>
      </c>
      <c r="F40" s="138">
        <f>E40</f>
        <v>-8.8400000000000002E-4</v>
      </c>
      <c r="G40" s="5" t="s">
        <v>66</v>
      </c>
    </row>
    <row r="41" spans="1:7" s="5" customFormat="1" x14ac:dyDescent="0.2">
      <c r="A41" s="325" t="s">
        <v>60</v>
      </c>
      <c r="B41" s="325"/>
      <c r="C41" s="325"/>
      <c r="D41" s="325"/>
      <c r="E41" s="141">
        <v>-3.4759999999999999E-3</v>
      </c>
      <c r="F41" s="138">
        <f>E41</f>
        <v>-3.4759999999999999E-3</v>
      </c>
      <c r="G41" s="5" t="s">
        <v>66</v>
      </c>
    </row>
    <row r="42" spans="1:7" s="5" customFormat="1" x14ac:dyDescent="0.2">
      <c r="A42" s="325" t="s">
        <v>122</v>
      </c>
      <c r="B42" s="325"/>
      <c r="C42" s="325"/>
      <c r="D42" s="325"/>
      <c r="E42" s="141">
        <v>0</v>
      </c>
      <c r="F42" s="139">
        <f>E42</f>
        <v>0</v>
      </c>
      <c r="G42" s="5" t="s">
        <v>66</v>
      </c>
    </row>
    <row r="43" spans="1:7" s="5" customFormat="1" ht="12" thickBot="1" x14ac:dyDescent="0.25">
      <c r="A43" s="333" t="s">
        <v>231</v>
      </c>
      <c r="B43" s="333"/>
      <c r="C43" s="333"/>
      <c r="D43" s="334"/>
      <c r="E43" s="140">
        <f>SUM(E30:E42)</f>
        <v>0.11147800000000002</v>
      </c>
      <c r="F43" s="85">
        <f>SUM(F30:F42)</f>
        <v>0.11147800000000002</v>
      </c>
      <c r="G43" s="5" t="s">
        <v>66</v>
      </c>
    </row>
    <row r="44" spans="1:7" s="5" customFormat="1" ht="12" thickTop="1" x14ac:dyDescent="0.2">
      <c r="A44" s="327"/>
      <c r="B44" s="327"/>
      <c r="C44" s="327"/>
      <c r="D44" s="327"/>
      <c r="E44" s="21"/>
      <c r="F44" s="21"/>
    </row>
    <row r="45" spans="1:7" s="5" customFormat="1" x14ac:dyDescent="0.2">
      <c r="A45" s="327" t="s">
        <v>35</v>
      </c>
      <c r="B45" s="327"/>
      <c r="C45" s="327"/>
      <c r="D45" s="327"/>
      <c r="E45" s="141">
        <v>0.10885400000000001</v>
      </c>
      <c r="F45" s="21">
        <f>+E45</f>
        <v>0.10885400000000001</v>
      </c>
      <c r="G45" s="5" t="s">
        <v>66</v>
      </c>
    </row>
    <row r="46" spans="1:7" s="5" customFormat="1" x14ac:dyDescent="0.2">
      <c r="A46" s="325" t="s">
        <v>39</v>
      </c>
      <c r="B46" s="325"/>
      <c r="C46" s="325"/>
      <c r="D46" s="325"/>
      <c r="E46" s="141">
        <v>2.6870000000000002E-3</v>
      </c>
      <c r="F46" s="21">
        <f>F31</f>
        <v>2.6870000000000002E-3</v>
      </c>
      <c r="G46" s="5" t="s">
        <v>66</v>
      </c>
    </row>
    <row r="47" spans="1:7" s="5" customFormat="1" x14ac:dyDescent="0.2">
      <c r="A47" s="325" t="s">
        <v>224</v>
      </c>
      <c r="B47" s="325"/>
      <c r="C47" s="325"/>
      <c r="D47" s="325"/>
      <c r="E47" s="141">
        <v>0</v>
      </c>
      <c r="F47" s="21">
        <f t="shared" ref="F47:F56" si="18">F32</f>
        <v>0</v>
      </c>
      <c r="G47" s="5" t="s">
        <v>66</v>
      </c>
    </row>
    <row r="48" spans="1:7" s="5" customFormat="1" x14ac:dyDescent="0.2">
      <c r="A48" s="325" t="s">
        <v>59</v>
      </c>
      <c r="B48" s="325"/>
      <c r="C48" s="325"/>
      <c r="D48" s="325"/>
      <c r="E48" s="141">
        <v>2.6120000000000002E-3</v>
      </c>
      <c r="F48" s="21">
        <f t="shared" si="18"/>
        <v>2.6120000000000002E-3</v>
      </c>
      <c r="G48" s="5" t="s">
        <v>66</v>
      </c>
    </row>
    <row r="49" spans="1:8" s="5" customFormat="1" x14ac:dyDescent="0.2">
      <c r="A49" s="325" t="s">
        <v>225</v>
      </c>
      <c r="B49" s="325"/>
      <c r="C49" s="325"/>
      <c r="D49" s="325"/>
      <c r="E49" s="141">
        <v>1.828E-3</v>
      </c>
      <c r="F49" s="21">
        <f t="shared" si="18"/>
        <v>1.828E-3</v>
      </c>
      <c r="G49" s="5" t="s">
        <v>66</v>
      </c>
    </row>
    <row r="50" spans="1:8" s="5" customFormat="1" x14ac:dyDescent="0.2">
      <c r="A50" s="325" t="s">
        <v>226</v>
      </c>
      <c r="B50" s="325"/>
      <c r="C50" s="325"/>
      <c r="D50" s="325"/>
      <c r="E50" s="141">
        <v>1.25E-3</v>
      </c>
      <c r="F50" s="21">
        <f t="shared" si="18"/>
        <v>1.25E-3</v>
      </c>
      <c r="G50" s="5" t="s">
        <v>66</v>
      </c>
    </row>
    <row r="51" spans="1:8" s="5" customFormat="1" x14ac:dyDescent="0.2">
      <c r="A51" s="325" t="s">
        <v>227</v>
      </c>
      <c r="B51" s="325"/>
      <c r="C51" s="325"/>
      <c r="D51" s="325"/>
      <c r="E51" s="141">
        <v>2.6689999999999999E-3</v>
      </c>
      <c r="F51" s="21">
        <f t="shared" si="18"/>
        <v>2.6689999999999999E-3</v>
      </c>
      <c r="G51" s="5" t="s">
        <v>66</v>
      </c>
    </row>
    <row r="52" spans="1:8" s="5" customFormat="1" x14ac:dyDescent="0.2">
      <c r="A52" s="325" t="s">
        <v>228</v>
      </c>
      <c r="B52" s="325"/>
      <c r="C52" s="325"/>
      <c r="D52" s="325"/>
      <c r="E52" s="141">
        <v>1.0007E-2</v>
      </c>
      <c r="F52" s="21">
        <f t="shared" si="18"/>
        <v>1.0007E-2</v>
      </c>
      <c r="G52" s="5" t="s">
        <v>66</v>
      </c>
    </row>
    <row r="53" spans="1:8" s="5" customFormat="1" x14ac:dyDescent="0.2">
      <c r="A53" s="325" t="s">
        <v>229</v>
      </c>
      <c r="B53" s="325"/>
      <c r="C53" s="325"/>
      <c r="D53" s="325"/>
      <c r="E53" s="141">
        <v>5.0289999999999996E-3</v>
      </c>
      <c r="F53" s="21">
        <f t="shared" si="18"/>
        <v>5.0289999999999996E-3</v>
      </c>
      <c r="G53" s="5" t="s">
        <v>66</v>
      </c>
    </row>
    <row r="54" spans="1:8" s="5" customFormat="1" x14ac:dyDescent="0.2">
      <c r="A54" s="325" t="s">
        <v>230</v>
      </c>
      <c r="B54" s="325"/>
      <c r="C54" s="325"/>
      <c r="D54" s="325"/>
      <c r="E54" s="141">
        <v>3.19E-4</v>
      </c>
      <c r="F54" s="21">
        <f t="shared" si="18"/>
        <v>3.19E-4</v>
      </c>
      <c r="G54" s="5" t="s">
        <v>66</v>
      </c>
    </row>
    <row r="55" spans="1:8" s="5" customFormat="1" x14ac:dyDescent="0.2">
      <c r="A55" s="325" t="s">
        <v>121</v>
      </c>
      <c r="B55" s="325"/>
      <c r="C55" s="325"/>
      <c r="D55" s="325"/>
      <c r="E55" s="141">
        <v>-8.8400000000000002E-4</v>
      </c>
      <c r="F55" s="21">
        <f t="shared" si="18"/>
        <v>-8.8400000000000002E-4</v>
      </c>
      <c r="G55" s="5" t="s">
        <v>66</v>
      </c>
    </row>
    <row r="56" spans="1:8" s="5" customFormat="1" x14ac:dyDescent="0.2">
      <c r="A56" s="325" t="s">
        <v>60</v>
      </c>
      <c r="B56" s="325"/>
      <c r="C56" s="325"/>
      <c r="D56" s="325"/>
      <c r="E56" s="141">
        <v>-3.4759999999999999E-3</v>
      </c>
      <c r="F56" s="21">
        <f t="shared" si="18"/>
        <v>-3.4759999999999999E-3</v>
      </c>
      <c r="G56" s="5" t="s">
        <v>66</v>
      </c>
    </row>
    <row r="57" spans="1:8" s="5" customFormat="1" x14ac:dyDescent="0.2">
      <c r="A57" s="325" t="s">
        <v>122</v>
      </c>
      <c r="B57" s="325"/>
      <c r="C57" s="325"/>
      <c r="D57" s="325"/>
      <c r="E57" s="141">
        <v>0</v>
      </c>
      <c r="F57" s="21">
        <f>F42</f>
        <v>0</v>
      </c>
      <c r="G57" s="5" t="s">
        <v>66</v>
      </c>
    </row>
    <row r="58" spans="1:8" s="5" customFormat="1" ht="12" thickBot="1" x14ac:dyDescent="0.25">
      <c r="A58" s="335" t="s">
        <v>67</v>
      </c>
      <c r="B58" s="335"/>
      <c r="C58" s="335"/>
      <c r="D58" s="335"/>
      <c r="E58" s="85">
        <f>SUM(E45:E57)</f>
        <v>0.13089500000000001</v>
      </c>
      <c r="F58" s="85">
        <f>SUM(F45:F57)</f>
        <v>0.13089500000000001</v>
      </c>
      <c r="G58" s="5" t="s">
        <v>66</v>
      </c>
    </row>
    <row r="59" spans="1:8" s="5" customFormat="1" ht="12" thickTop="1" x14ac:dyDescent="0.2">
      <c r="A59" s="327"/>
      <c r="B59" s="327"/>
      <c r="C59" s="327"/>
      <c r="D59" s="327"/>
      <c r="E59" s="21"/>
      <c r="F59" s="21"/>
    </row>
    <row r="60" spans="1:8" s="5" customFormat="1" x14ac:dyDescent="0.2">
      <c r="A60" s="336" t="s">
        <v>40</v>
      </c>
      <c r="B60" s="336"/>
      <c r="C60" s="336"/>
      <c r="D60" s="336"/>
      <c r="E60" s="249">
        <v>-6.6889999999999996E-3</v>
      </c>
      <c r="F60" s="83">
        <f>'Sch 194 Summary'!D18</f>
        <v>-7.5339999999999999E-3</v>
      </c>
      <c r="G60" s="84" t="s">
        <v>66</v>
      </c>
      <c r="H60" s="84"/>
    </row>
    <row r="61" spans="1:8" s="5" customFormat="1" x14ac:dyDescent="0.2">
      <c r="A61" s="327"/>
      <c r="B61" s="327"/>
      <c r="C61" s="327"/>
      <c r="D61" s="327"/>
      <c r="E61" s="21"/>
      <c r="F61" s="21"/>
    </row>
    <row r="62" spans="1:8" s="5" customFormat="1" x14ac:dyDescent="0.2">
      <c r="A62" s="327" t="s">
        <v>71</v>
      </c>
      <c r="B62" s="327"/>
      <c r="C62" s="327"/>
      <c r="D62" s="327"/>
      <c r="E62" s="21"/>
      <c r="F62" s="21"/>
      <c r="G62" s="5" t="s">
        <v>66</v>
      </c>
    </row>
    <row r="63" spans="1:8" s="5" customFormat="1" x14ac:dyDescent="0.2">
      <c r="A63" s="325" t="s">
        <v>36</v>
      </c>
      <c r="B63" s="325"/>
      <c r="C63" s="325"/>
      <c r="D63" s="325"/>
      <c r="E63" s="141">
        <v>0</v>
      </c>
      <c r="F63" s="21">
        <f>+E63</f>
        <v>0</v>
      </c>
      <c r="G63" s="5" t="s">
        <v>66</v>
      </c>
    </row>
    <row r="64" spans="1:8" s="5" customFormat="1" x14ac:dyDescent="0.2">
      <c r="A64" s="325" t="s">
        <v>123</v>
      </c>
      <c r="B64" s="325"/>
      <c r="C64" s="325"/>
      <c r="D64" s="325"/>
      <c r="E64" s="141">
        <v>2.1350000000000002E-3</v>
      </c>
      <c r="F64" s="21">
        <f>+E64</f>
        <v>2.1350000000000002E-3</v>
      </c>
      <c r="G64" s="5" t="s">
        <v>66</v>
      </c>
    </row>
    <row r="65" spans="1:14" s="5" customFormat="1" x14ac:dyDescent="0.2">
      <c r="A65" s="325" t="s">
        <v>37</v>
      </c>
      <c r="B65" s="325"/>
      <c r="C65" s="325"/>
      <c r="D65" s="325"/>
      <c r="E65" s="141">
        <v>5.1E-5</v>
      </c>
      <c r="F65" s="21">
        <f t="shared" ref="F65:F67" si="19">+E65</f>
        <v>5.1E-5</v>
      </c>
      <c r="G65" s="5" t="s">
        <v>66</v>
      </c>
    </row>
    <row r="66" spans="1:14" s="5" customFormat="1" x14ac:dyDescent="0.2">
      <c r="A66" s="325" t="s">
        <v>38</v>
      </c>
      <c r="B66" s="325"/>
      <c r="C66" s="325"/>
      <c r="D66" s="325"/>
      <c r="E66" s="141">
        <v>5.0439999999999999E-3</v>
      </c>
      <c r="F66" s="21">
        <f t="shared" si="19"/>
        <v>5.0439999999999999E-3</v>
      </c>
      <c r="G66" s="5" t="s">
        <v>66</v>
      </c>
    </row>
    <row r="67" spans="1:14" s="5" customFormat="1" x14ac:dyDescent="0.2">
      <c r="A67" s="325" t="s">
        <v>57</v>
      </c>
      <c r="B67" s="325"/>
      <c r="C67" s="325"/>
      <c r="D67" s="325"/>
      <c r="E67" s="141">
        <v>0</v>
      </c>
      <c r="F67" s="21">
        <f t="shared" si="19"/>
        <v>0</v>
      </c>
      <c r="G67" s="5" t="s">
        <v>66</v>
      </c>
    </row>
    <row r="68" spans="1:14" ht="12" thickBot="1" x14ac:dyDescent="0.25">
      <c r="A68" s="328" t="s">
        <v>72</v>
      </c>
      <c r="B68" s="328"/>
      <c r="C68" s="328"/>
      <c r="D68" s="328"/>
      <c r="E68" s="85">
        <f>SUM(E63:E67)</f>
        <v>7.2300000000000003E-3</v>
      </c>
      <c r="F68" s="85">
        <f>SUM(F63:F67)</f>
        <v>7.2300000000000003E-3</v>
      </c>
      <c r="G68" s="5" t="s">
        <v>66</v>
      </c>
    </row>
    <row r="69" spans="1:14" ht="12" thickTop="1" x14ac:dyDescent="0.2">
      <c r="A69" s="330"/>
      <c r="B69" s="330"/>
      <c r="C69" s="330"/>
      <c r="D69" s="330"/>
      <c r="E69" s="22"/>
      <c r="F69" s="22"/>
    </row>
    <row r="70" spans="1:14" x14ac:dyDescent="0.2">
      <c r="A70" s="328" t="s">
        <v>73</v>
      </c>
      <c r="B70" s="328"/>
      <c r="C70" s="328"/>
      <c r="D70" s="328"/>
      <c r="E70" s="22">
        <f>SUM(E43,E60:E60,E68)</f>
        <v>0.11201900000000002</v>
      </c>
      <c r="F70" s="22">
        <f>SUM(F43,F60:F60,F68)</f>
        <v>0.11117400000000002</v>
      </c>
      <c r="G70" s="5" t="s">
        <v>66</v>
      </c>
      <c r="I70" s="86"/>
    </row>
    <row r="71" spans="1:14" x14ac:dyDescent="0.2">
      <c r="A71" s="328" t="s">
        <v>74</v>
      </c>
      <c r="B71" s="328"/>
      <c r="C71" s="328"/>
      <c r="D71" s="328"/>
      <c r="E71" s="23">
        <f>SUM(E58,E60:E60,E68)</f>
        <v>0.131436</v>
      </c>
      <c r="F71" s="23">
        <f>SUM(F58,F60:F60,F68)</f>
        <v>0.13059100000000001</v>
      </c>
      <c r="G71" s="5" t="s">
        <v>66</v>
      </c>
      <c r="I71" s="86"/>
    </row>
    <row r="73" spans="1:14" x14ac:dyDescent="0.2">
      <c r="F73" s="24"/>
    </row>
    <row r="74" spans="1:14" x14ac:dyDescent="0.2">
      <c r="F74" s="24"/>
    </row>
    <row r="76" spans="1:14" ht="12" thickBot="1" x14ac:dyDescent="0.25"/>
    <row r="77" spans="1:14" ht="12" thickBot="1" x14ac:dyDescent="0.25">
      <c r="A77" s="251" t="s">
        <v>356</v>
      </c>
      <c r="B77" s="252"/>
      <c r="C77" s="252"/>
      <c r="D77" s="252"/>
      <c r="E77" s="253"/>
    </row>
    <row r="78" spans="1:14" ht="34.5" thickBot="1" x14ac:dyDescent="0.25">
      <c r="A78" s="254" t="s">
        <v>63</v>
      </c>
      <c r="B78" s="254" t="s">
        <v>124</v>
      </c>
      <c r="C78" s="254" t="s">
        <v>75</v>
      </c>
      <c r="D78" s="254" t="s">
        <v>76</v>
      </c>
      <c r="E78" s="255" t="s">
        <v>77</v>
      </c>
      <c r="F78" s="7"/>
      <c r="G78" s="7"/>
      <c r="H78" s="7"/>
      <c r="I78" s="7"/>
      <c r="J78" s="7"/>
      <c r="K78" s="7"/>
      <c r="L78" s="7"/>
      <c r="M78" s="7"/>
      <c r="N78" s="7"/>
    </row>
    <row r="79" spans="1:14" x14ac:dyDescent="0.2">
      <c r="A79" s="256">
        <v>2023</v>
      </c>
      <c r="B79" s="256">
        <v>11</v>
      </c>
      <c r="C79" s="257">
        <v>1041166324.80314</v>
      </c>
      <c r="D79" s="257">
        <v>1081722</v>
      </c>
      <c r="E79" s="258">
        <f>ROUND(+C79/D79,0)</f>
        <v>963</v>
      </c>
    </row>
    <row r="80" spans="1:14" x14ac:dyDescent="0.2">
      <c r="A80" s="256">
        <v>2023</v>
      </c>
      <c r="B80" s="256">
        <v>12</v>
      </c>
      <c r="C80" s="257">
        <v>1264875204.4405499</v>
      </c>
      <c r="D80" s="257">
        <v>1082935</v>
      </c>
      <c r="E80" s="258">
        <f t="shared" ref="E80:E90" si="20">ROUND(+C80/D80,0)</f>
        <v>1168</v>
      </c>
    </row>
    <row r="81" spans="1:5" x14ac:dyDescent="0.2">
      <c r="A81" s="256">
        <v>2023</v>
      </c>
      <c r="B81" s="256">
        <v>1</v>
      </c>
      <c r="C81" s="257">
        <v>1192691743.2576599</v>
      </c>
      <c r="D81" s="257">
        <v>1083811</v>
      </c>
      <c r="E81" s="258">
        <f t="shared" si="20"/>
        <v>1100</v>
      </c>
    </row>
    <row r="82" spans="1:5" x14ac:dyDescent="0.2">
      <c r="A82" s="256">
        <v>2024</v>
      </c>
      <c r="B82" s="256">
        <v>2</v>
      </c>
      <c r="C82" s="257">
        <v>1075657420.9360201</v>
      </c>
      <c r="D82" s="257">
        <v>1084492</v>
      </c>
      <c r="E82" s="258">
        <f t="shared" si="20"/>
        <v>992</v>
      </c>
    </row>
    <row r="83" spans="1:5" x14ac:dyDescent="0.2">
      <c r="A83" s="256">
        <v>2024</v>
      </c>
      <c r="B83" s="256">
        <v>3</v>
      </c>
      <c r="C83" s="257">
        <v>1040534573.62798</v>
      </c>
      <c r="D83" s="257">
        <v>1085188</v>
      </c>
      <c r="E83" s="258">
        <f t="shared" si="20"/>
        <v>959</v>
      </c>
    </row>
    <row r="84" spans="1:5" x14ac:dyDescent="0.2">
      <c r="A84" s="256">
        <v>2024</v>
      </c>
      <c r="B84" s="256">
        <v>4</v>
      </c>
      <c r="C84" s="257">
        <v>871564901.43307793</v>
      </c>
      <c r="D84" s="257">
        <v>1085582</v>
      </c>
      <c r="E84" s="258">
        <f t="shared" si="20"/>
        <v>803</v>
      </c>
    </row>
    <row r="85" spans="1:5" x14ac:dyDescent="0.2">
      <c r="A85" s="256">
        <v>2024</v>
      </c>
      <c r="B85" s="256">
        <v>5</v>
      </c>
      <c r="C85" s="257">
        <v>760468027.59418297</v>
      </c>
      <c r="D85" s="257">
        <v>1086150</v>
      </c>
      <c r="E85" s="258">
        <f t="shared" si="20"/>
        <v>700</v>
      </c>
    </row>
    <row r="86" spans="1:5" x14ac:dyDescent="0.2">
      <c r="A86" s="256">
        <v>2024</v>
      </c>
      <c r="B86" s="256">
        <v>6</v>
      </c>
      <c r="C86" s="257">
        <v>726612130.99855494</v>
      </c>
      <c r="D86" s="257">
        <v>1086798</v>
      </c>
      <c r="E86" s="258">
        <f t="shared" si="20"/>
        <v>669</v>
      </c>
    </row>
    <row r="87" spans="1:5" x14ac:dyDescent="0.2">
      <c r="A87" s="256">
        <v>2024</v>
      </c>
      <c r="B87" s="256">
        <v>7</v>
      </c>
      <c r="C87" s="257">
        <v>810211528.78052795</v>
      </c>
      <c r="D87" s="257">
        <v>1087219</v>
      </c>
      <c r="E87" s="258">
        <f t="shared" si="20"/>
        <v>745</v>
      </c>
    </row>
    <row r="88" spans="1:5" x14ac:dyDescent="0.2">
      <c r="A88" s="256">
        <v>2024</v>
      </c>
      <c r="B88" s="256">
        <v>8</v>
      </c>
      <c r="C88" s="257">
        <v>816258861.42774105</v>
      </c>
      <c r="D88" s="257">
        <v>1088254</v>
      </c>
      <c r="E88" s="258">
        <f t="shared" si="20"/>
        <v>750</v>
      </c>
    </row>
    <row r="89" spans="1:5" x14ac:dyDescent="0.2">
      <c r="A89" s="256">
        <v>2024</v>
      </c>
      <c r="B89" s="256">
        <v>9</v>
      </c>
      <c r="C89" s="257">
        <v>745804121.61066496</v>
      </c>
      <c r="D89" s="257">
        <v>1089539</v>
      </c>
      <c r="E89" s="258">
        <f t="shared" si="20"/>
        <v>685</v>
      </c>
    </row>
    <row r="90" spans="1:5" x14ac:dyDescent="0.2">
      <c r="A90" s="256">
        <v>2024</v>
      </c>
      <c r="B90" s="256">
        <v>10</v>
      </c>
      <c r="C90" s="257">
        <v>873182303.91732109</v>
      </c>
      <c r="D90" s="257">
        <v>1090984</v>
      </c>
      <c r="E90" s="258">
        <f t="shared" si="20"/>
        <v>800</v>
      </c>
    </row>
    <row r="91" spans="1:5" ht="12" thickBot="1" x14ac:dyDescent="0.25">
      <c r="A91" s="259"/>
      <c r="B91" s="260" t="s">
        <v>13</v>
      </c>
      <c r="C91" s="261">
        <f>SUM(C79:C90)</f>
        <v>11219027142.827419</v>
      </c>
      <c r="D91" s="261">
        <f>SUM(D79:D90)</f>
        <v>13032674</v>
      </c>
      <c r="E91" s="262">
        <f>SUM(E79:E90)</f>
        <v>10334</v>
      </c>
    </row>
    <row r="92" spans="1:5" ht="12" thickTop="1" x14ac:dyDescent="0.2">
      <c r="A92" s="259"/>
      <c r="B92" s="259"/>
      <c r="C92" s="259"/>
      <c r="D92" s="259"/>
      <c r="E92" s="258"/>
    </row>
    <row r="93" spans="1:5" ht="12" thickBot="1" x14ac:dyDescent="0.25">
      <c r="A93" s="263"/>
      <c r="B93" s="263" t="s">
        <v>58</v>
      </c>
      <c r="C93" s="264"/>
      <c r="D93" s="264"/>
      <c r="E93" s="265">
        <f>ROUND(AVERAGE(E79:E90),0)</f>
        <v>861</v>
      </c>
    </row>
  </sheetData>
  <mergeCells count="48">
    <mergeCell ref="A60:D60"/>
    <mergeCell ref="A67:D67"/>
    <mergeCell ref="A68:D68"/>
    <mergeCell ref="A69:D69"/>
    <mergeCell ref="A66:D66"/>
    <mergeCell ref="A61:D61"/>
    <mergeCell ref="A62:D62"/>
    <mergeCell ref="A63:D63"/>
    <mergeCell ref="A64:D64"/>
    <mergeCell ref="A65:D65"/>
    <mergeCell ref="A57:D57"/>
    <mergeCell ref="A58:D58"/>
    <mergeCell ref="A55:D55"/>
    <mergeCell ref="A56:D56"/>
    <mergeCell ref="A59:D59"/>
    <mergeCell ref="A70:D70"/>
    <mergeCell ref="A71:D71"/>
    <mergeCell ref="C5:F5"/>
    <mergeCell ref="H5:K5"/>
    <mergeCell ref="A26:D26"/>
    <mergeCell ref="A27:D27"/>
    <mergeCell ref="A28:D28"/>
    <mergeCell ref="A29:D29"/>
    <mergeCell ref="A30:D30"/>
    <mergeCell ref="A31:D31"/>
    <mergeCell ref="A33:D33"/>
    <mergeCell ref="A44:D44"/>
    <mergeCell ref="A40:D40"/>
    <mergeCell ref="A41:D41"/>
    <mergeCell ref="A42:D42"/>
    <mergeCell ref="A43:D43"/>
    <mergeCell ref="A32:D32"/>
    <mergeCell ref="A34:D34"/>
    <mergeCell ref="A35:D35"/>
    <mergeCell ref="A36:D36"/>
    <mergeCell ref="A37:D37"/>
    <mergeCell ref="A51:D51"/>
    <mergeCell ref="A52:D52"/>
    <mergeCell ref="A53:D53"/>
    <mergeCell ref="A54:D54"/>
    <mergeCell ref="A38:D38"/>
    <mergeCell ref="A39:D39"/>
    <mergeCell ref="A47:D47"/>
    <mergeCell ref="A45:D45"/>
    <mergeCell ref="A46:D46"/>
    <mergeCell ref="A48:D48"/>
    <mergeCell ref="A49:D49"/>
    <mergeCell ref="A50:D50"/>
  </mergeCells>
  <printOptions horizontalCentered="1"/>
  <pageMargins left="0.75" right="0.75" top="1" bottom="1" header="0.5" footer="0.5"/>
  <pageSetup scale="41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  <pageSetUpPr fitToPage="1"/>
  </sheetPr>
  <dimension ref="A1:H41"/>
  <sheetViews>
    <sheetView workbookViewId="0">
      <selection activeCell="B40" sqref="B40:F40"/>
    </sheetView>
  </sheetViews>
  <sheetFormatPr defaultColWidth="8.7109375" defaultRowHeight="11.25" x14ac:dyDescent="0.2"/>
  <cols>
    <col min="1" max="1" width="7.7109375" style="17" bestFit="1" customWidth="1"/>
    <col min="2" max="2" width="18.42578125" style="17" customWidth="1"/>
    <col min="3" max="3" width="21" style="17" bestFit="1" customWidth="1"/>
    <col min="4" max="4" width="16.28515625" style="17" customWidth="1"/>
    <col min="5" max="5" width="12" style="17" bestFit="1" customWidth="1"/>
    <col min="6" max="6" width="11.7109375" style="17" customWidth="1"/>
    <col min="7" max="7" width="11.5703125" style="17" bestFit="1" customWidth="1"/>
    <col min="8" max="8" width="13.28515625" style="17" bestFit="1" customWidth="1"/>
    <col min="9" max="9" width="10" style="17" bestFit="1" customWidth="1"/>
    <col min="10" max="10" width="11.28515625" style="17" bestFit="1" customWidth="1"/>
    <col min="11" max="16384" width="8.7109375" style="17"/>
  </cols>
  <sheetData>
    <row r="1" spans="1:8" x14ac:dyDescent="0.2">
      <c r="A1" s="337" t="s">
        <v>0</v>
      </c>
      <c r="B1" s="337"/>
      <c r="C1" s="337"/>
      <c r="D1" s="337"/>
      <c r="E1" s="337"/>
      <c r="F1" s="337"/>
      <c r="G1" s="337"/>
      <c r="H1" s="337"/>
    </row>
    <row r="2" spans="1:8" x14ac:dyDescent="0.2">
      <c r="A2" s="338" t="s">
        <v>125</v>
      </c>
      <c r="B2" s="337"/>
      <c r="C2" s="337"/>
      <c r="D2" s="337"/>
      <c r="E2" s="337"/>
      <c r="F2" s="337"/>
      <c r="G2" s="337"/>
      <c r="H2" s="337"/>
    </row>
    <row r="3" spans="1:8" x14ac:dyDescent="0.2">
      <c r="A3" s="337" t="s">
        <v>232</v>
      </c>
      <c r="B3" s="337"/>
      <c r="C3" s="337"/>
      <c r="D3" s="337"/>
      <c r="E3" s="337"/>
      <c r="F3" s="337"/>
      <c r="G3" s="337"/>
      <c r="H3" s="337"/>
    </row>
    <row r="4" spans="1:8" x14ac:dyDescent="0.2">
      <c r="A4" s="337"/>
      <c r="B4" s="337"/>
      <c r="C4" s="337"/>
      <c r="D4" s="337"/>
      <c r="E4" s="337"/>
      <c r="F4" s="337"/>
      <c r="G4" s="337"/>
      <c r="H4" s="337"/>
    </row>
    <row r="5" spans="1:8" x14ac:dyDescent="0.2">
      <c r="A5" s="185"/>
      <c r="B5" s="184"/>
      <c r="C5" s="184"/>
      <c r="D5" s="184"/>
      <c r="E5" s="184"/>
      <c r="F5" s="184"/>
      <c r="G5" s="87"/>
      <c r="H5" s="87" t="s">
        <v>126</v>
      </c>
    </row>
    <row r="6" spans="1:8" ht="56.25" x14ac:dyDescent="0.2">
      <c r="A6" s="88" t="s">
        <v>3</v>
      </c>
      <c r="B6" s="88" t="s">
        <v>82</v>
      </c>
      <c r="C6" s="88" t="s">
        <v>4</v>
      </c>
      <c r="D6" s="89" t="s">
        <v>322</v>
      </c>
      <c r="E6" s="90" t="s">
        <v>301</v>
      </c>
      <c r="F6" s="90" t="s">
        <v>127</v>
      </c>
      <c r="G6" s="90" t="s">
        <v>233</v>
      </c>
      <c r="H6" s="90" t="s">
        <v>128</v>
      </c>
    </row>
    <row r="7" spans="1:8" x14ac:dyDescent="0.2">
      <c r="A7" s="91">
        <v>1</v>
      </c>
      <c r="B7" s="318" t="s">
        <v>348</v>
      </c>
      <c r="C7" s="19"/>
      <c r="D7" s="105">
        <v>11219027142.827419</v>
      </c>
      <c r="E7" s="142">
        <v>-6.6889999999999996E-3</v>
      </c>
      <c r="F7" s="94">
        <f>ROUND(D7*E7,-3)</f>
        <v>-75044000</v>
      </c>
      <c r="G7" s="93">
        <f>'Sch 194 Summary'!$D$18</f>
        <v>-7.5339999999999999E-3</v>
      </c>
      <c r="H7" s="94">
        <f>ROUND(D7*G7,-3)</f>
        <v>-84524000</v>
      </c>
    </row>
    <row r="8" spans="1:8" x14ac:dyDescent="0.2">
      <c r="A8" s="91">
        <f t="shared" ref="A8:A38" si="0">+A7+1</f>
        <v>2</v>
      </c>
      <c r="B8" s="95" t="s">
        <v>129</v>
      </c>
      <c r="C8" s="19"/>
      <c r="D8" s="105">
        <v>2499149.8928571427</v>
      </c>
      <c r="E8" s="99">
        <f>$E$7</f>
        <v>-6.6889999999999996E-3</v>
      </c>
      <c r="F8" s="94">
        <f>ROUND(D8*E8,-3)</f>
        <v>-17000</v>
      </c>
      <c r="G8" s="99">
        <f>$G$7</f>
        <v>-7.5339999999999999E-3</v>
      </c>
      <c r="H8" s="94">
        <f>ROUND(D8*G8,-3)</f>
        <v>-19000</v>
      </c>
    </row>
    <row r="9" spans="1:8" x14ac:dyDescent="0.2">
      <c r="A9" s="91">
        <f t="shared" si="0"/>
        <v>3</v>
      </c>
      <c r="B9" s="91"/>
      <c r="C9" s="19" t="s">
        <v>83</v>
      </c>
      <c r="D9" s="96">
        <f>SUM(D7:D8)</f>
        <v>11221526292.720276</v>
      </c>
      <c r="E9" s="97"/>
      <c r="F9" s="98">
        <f>SUM(F7:F8)</f>
        <v>-75061000</v>
      </c>
      <c r="G9" s="97"/>
      <c r="H9" s="98">
        <f>SUM(H7:H8)</f>
        <v>-84543000</v>
      </c>
    </row>
    <row r="10" spans="1:8" x14ac:dyDescent="0.2">
      <c r="A10" s="91">
        <f t="shared" si="0"/>
        <v>4</v>
      </c>
      <c r="B10" s="91"/>
      <c r="C10" s="19"/>
      <c r="D10" s="92"/>
      <c r="E10" s="99"/>
      <c r="F10" s="94"/>
      <c r="G10" s="99"/>
      <c r="H10" s="94"/>
    </row>
    <row r="11" spans="1:8" x14ac:dyDescent="0.2">
      <c r="A11" s="91">
        <f t="shared" si="0"/>
        <v>5</v>
      </c>
      <c r="B11" s="91">
        <v>8</v>
      </c>
      <c r="C11" s="19"/>
      <c r="D11" s="105">
        <v>257233870.0169687</v>
      </c>
      <c r="E11" s="99">
        <f>$E$7</f>
        <v>-6.6889999999999996E-3</v>
      </c>
      <c r="F11" s="94">
        <f t="shared" ref="F11:F17" si="1">ROUND(D11*E11,-3)</f>
        <v>-1721000</v>
      </c>
      <c r="G11" s="99">
        <f>$G$7</f>
        <v>-7.5339999999999999E-3</v>
      </c>
      <c r="H11" s="94">
        <f t="shared" ref="H11:H17" si="2">ROUND(D11*G11,-3)</f>
        <v>-1938000</v>
      </c>
    </row>
    <row r="12" spans="1:8" x14ac:dyDescent="0.2">
      <c r="A12" s="91">
        <f t="shared" si="0"/>
        <v>6</v>
      </c>
      <c r="B12" s="318" t="s">
        <v>345</v>
      </c>
      <c r="C12" s="19"/>
      <c r="D12" s="105">
        <v>2499131824.0742149</v>
      </c>
      <c r="E12" s="100">
        <v>0</v>
      </c>
      <c r="F12" s="94">
        <f t="shared" si="1"/>
        <v>0</v>
      </c>
      <c r="G12" s="100">
        <v>0</v>
      </c>
      <c r="H12" s="94">
        <f t="shared" si="2"/>
        <v>0</v>
      </c>
    </row>
    <row r="13" spans="1:8" x14ac:dyDescent="0.2">
      <c r="A13" s="91">
        <f t="shared" si="0"/>
        <v>7</v>
      </c>
      <c r="B13" s="95">
        <v>11</v>
      </c>
      <c r="C13" s="19"/>
      <c r="D13" s="105">
        <v>132249585.64413519</v>
      </c>
      <c r="E13" s="99">
        <f>$E$7</f>
        <v>-6.6889999999999996E-3</v>
      </c>
      <c r="F13" s="94">
        <f t="shared" si="1"/>
        <v>-885000</v>
      </c>
      <c r="G13" s="99">
        <f>$G$7</f>
        <v>-7.5339999999999999E-3</v>
      </c>
      <c r="H13" s="94">
        <f t="shared" si="2"/>
        <v>-996000</v>
      </c>
    </row>
    <row r="14" spans="1:8" x14ac:dyDescent="0.2">
      <c r="A14" s="91">
        <f t="shared" si="0"/>
        <v>8</v>
      </c>
      <c r="B14" s="95">
        <v>25</v>
      </c>
      <c r="C14" s="19"/>
      <c r="D14" s="105">
        <v>2820128941.8006926</v>
      </c>
      <c r="E14" s="100">
        <v>0</v>
      </c>
      <c r="F14" s="94">
        <f t="shared" si="1"/>
        <v>0</v>
      </c>
      <c r="G14" s="100">
        <v>0</v>
      </c>
      <c r="H14" s="94">
        <f t="shared" si="2"/>
        <v>0</v>
      </c>
    </row>
    <row r="15" spans="1:8" x14ac:dyDescent="0.2">
      <c r="A15" s="91">
        <f t="shared" si="0"/>
        <v>9</v>
      </c>
      <c r="B15" s="91">
        <v>12</v>
      </c>
      <c r="C15" s="19"/>
      <c r="D15" s="105">
        <v>16975873.10363473</v>
      </c>
      <c r="E15" s="99">
        <f>$E$7</f>
        <v>-6.6889999999999996E-3</v>
      </c>
      <c r="F15" s="94">
        <f t="shared" si="1"/>
        <v>-114000</v>
      </c>
      <c r="G15" s="99">
        <f>$G$7</f>
        <v>-7.5339999999999999E-3</v>
      </c>
      <c r="H15" s="94">
        <f t="shared" si="2"/>
        <v>-128000</v>
      </c>
    </row>
    <row r="16" spans="1:8" x14ac:dyDescent="0.2">
      <c r="A16" s="91">
        <f t="shared" si="0"/>
        <v>10</v>
      </c>
      <c r="B16" s="91" t="s">
        <v>130</v>
      </c>
      <c r="C16" s="19"/>
      <c r="D16" s="105">
        <v>1938169714.4533768</v>
      </c>
      <c r="E16" s="100">
        <v>0</v>
      </c>
      <c r="F16" s="94">
        <f t="shared" si="1"/>
        <v>0</v>
      </c>
      <c r="G16" s="100">
        <v>0</v>
      </c>
      <c r="H16" s="94">
        <f t="shared" si="2"/>
        <v>0</v>
      </c>
    </row>
    <row r="17" spans="1:8" x14ac:dyDescent="0.2">
      <c r="A17" s="91">
        <f t="shared" si="0"/>
        <v>11</v>
      </c>
      <c r="B17" s="91">
        <v>29</v>
      </c>
      <c r="C17" s="19"/>
      <c r="D17" s="105">
        <v>15036282.699173195</v>
      </c>
      <c r="E17" s="99">
        <f>$E$7</f>
        <v>-6.6889999999999996E-3</v>
      </c>
      <c r="F17" s="94">
        <f t="shared" si="1"/>
        <v>-101000</v>
      </c>
      <c r="G17" s="99">
        <f>$G$7</f>
        <v>-7.5339999999999999E-3</v>
      </c>
      <c r="H17" s="94">
        <f t="shared" si="2"/>
        <v>-113000</v>
      </c>
    </row>
    <row r="18" spans="1:8" x14ac:dyDescent="0.2">
      <c r="A18" s="91">
        <f t="shared" si="0"/>
        <v>12</v>
      </c>
      <c r="B18" s="91"/>
      <c r="C18" s="101" t="s">
        <v>131</v>
      </c>
      <c r="D18" s="96">
        <f>SUM(D11:D17)</f>
        <v>7678926091.7921953</v>
      </c>
      <c r="E18" s="97"/>
      <c r="F18" s="98">
        <f>SUM(F11:F17)</f>
        <v>-2821000</v>
      </c>
      <c r="G18" s="97"/>
      <c r="H18" s="98">
        <f>SUM(H11:H17)</f>
        <v>-3175000</v>
      </c>
    </row>
    <row r="19" spans="1:8" x14ac:dyDescent="0.2">
      <c r="A19" s="91">
        <f t="shared" si="0"/>
        <v>13</v>
      </c>
      <c r="B19" s="91"/>
      <c r="C19" s="19"/>
      <c r="D19" s="92"/>
      <c r="E19" s="99"/>
      <c r="F19" s="94"/>
      <c r="G19" s="99"/>
      <c r="H19" s="94"/>
    </row>
    <row r="20" spans="1:8" x14ac:dyDescent="0.2">
      <c r="A20" s="91">
        <f t="shared" si="0"/>
        <v>14</v>
      </c>
      <c r="B20" s="91">
        <v>10</v>
      </c>
      <c r="C20" s="19"/>
      <c r="D20" s="105">
        <v>23770361.674638279</v>
      </c>
      <c r="E20" s="99">
        <f>$E$7</f>
        <v>-6.6889999999999996E-3</v>
      </c>
      <c r="F20" s="94">
        <f t="shared" ref="F20:F23" si="3">ROUND(D20*E20,-3)</f>
        <v>-159000</v>
      </c>
      <c r="G20" s="99">
        <f>$G$7</f>
        <v>-7.5339999999999999E-3</v>
      </c>
      <c r="H20" s="94">
        <f>ROUND(D20*G20,-3)</f>
        <v>-179000</v>
      </c>
    </row>
    <row r="21" spans="1:8" x14ac:dyDescent="0.2">
      <c r="A21" s="91">
        <f t="shared" si="0"/>
        <v>15</v>
      </c>
      <c r="B21" s="91">
        <v>31</v>
      </c>
      <c r="C21" s="19"/>
      <c r="D21" s="105">
        <v>1391174908.1148765</v>
      </c>
      <c r="E21" s="100">
        <v>0</v>
      </c>
      <c r="F21" s="94">
        <f t="shared" si="3"/>
        <v>0</v>
      </c>
      <c r="G21" s="100">
        <v>0</v>
      </c>
      <c r="H21" s="94">
        <f>ROUND(D21*G21,-3)</f>
        <v>0</v>
      </c>
    </row>
    <row r="22" spans="1:8" x14ac:dyDescent="0.2">
      <c r="A22" s="91">
        <f t="shared" si="0"/>
        <v>16</v>
      </c>
      <c r="B22" s="91">
        <v>35</v>
      </c>
      <c r="C22" s="19"/>
      <c r="D22" s="105">
        <v>4438120.8288705256</v>
      </c>
      <c r="E22" s="99">
        <f>$E$7</f>
        <v>-6.6889999999999996E-3</v>
      </c>
      <c r="F22" s="94">
        <f t="shared" si="3"/>
        <v>-30000</v>
      </c>
      <c r="G22" s="99">
        <f>$G$7</f>
        <v>-7.5339999999999999E-3</v>
      </c>
      <c r="H22" s="94">
        <f>ROUND(D22*G22,-3)</f>
        <v>-33000</v>
      </c>
    </row>
    <row r="23" spans="1:8" x14ac:dyDescent="0.2">
      <c r="A23" s="91">
        <f t="shared" si="0"/>
        <v>17</v>
      </c>
      <c r="B23" s="91">
        <v>43</v>
      </c>
      <c r="C23" s="19"/>
      <c r="D23" s="105">
        <v>123068391.99987791</v>
      </c>
      <c r="E23" s="100">
        <v>0</v>
      </c>
      <c r="F23" s="94">
        <f t="shared" si="3"/>
        <v>0</v>
      </c>
      <c r="G23" s="100">
        <v>0</v>
      </c>
      <c r="H23" s="94">
        <f>ROUND(D23*G23,-3)</f>
        <v>0</v>
      </c>
    </row>
    <row r="24" spans="1:8" x14ac:dyDescent="0.2">
      <c r="A24" s="91">
        <f t="shared" si="0"/>
        <v>18</v>
      </c>
      <c r="B24" s="91"/>
      <c r="C24" s="19" t="s">
        <v>132</v>
      </c>
      <c r="D24" s="96">
        <f>SUM(D20:D23)</f>
        <v>1542451782.6182632</v>
      </c>
      <c r="E24" s="97"/>
      <c r="F24" s="98">
        <f>SUM(F20:F23)</f>
        <v>-189000</v>
      </c>
      <c r="G24" s="97"/>
      <c r="H24" s="98">
        <f>SUM(H20:H23)</f>
        <v>-212000</v>
      </c>
    </row>
    <row r="25" spans="1:8" x14ac:dyDescent="0.2">
      <c r="A25" s="91">
        <f t="shared" si="0"/>
        <v>19</v>
      </c>
      <c r="B25" s="91"/>
      <c r="C25" s="19"/>
      <c r="D25" s="92"/>
      <c r="E25" s="99"/>
      <c r="F25" s="94"/>
      <c r="G25" s="99"/>
      <c r="H25" s="94"/>
    </row>
    <row r="26" spans="1:8" x14ac:dyDescent="0.2">
      <c r="A26" s="91">
        <f t="shared" si="0"/>
        <v>20</v>
      </c>
      <c r="B26" s="91">
        <v>46</v>
      </c>
      <c r="C26" s="19"/>
      <c r="D26" s="105">
        <v>97207342.781409889</v>
      </c>
      <c r="E26" s="100">
        <v>0</v>
      </c>
      <c r="F26" s="94">
        <f t="shared" ref="F26:F27" si="4">ROUND(D26*E26,-3)</f>
        <v>0</v>
      </c>
      <c r="G26" s="100">
        <v>0</v>
      </c>
      <c r="H26" s="94">
        <f>ROUND(D26*G26,-3)</f>
        <v>0</v>
      </c>
    </row>
    <row r="27" spans="1:8" x14ac:dyDescent="0.2">
      <c r="A27" s="91">
        <f t="shared" si="0"/>
        <v>21</v>
      </c>
      <c r="B27" s="91">
        <v>49</v>
      </c>
      <c r="C27" s="19"/>
      <c r="D27" s="105">
        <v>536312381.37077546</v>
      </c>
      <c r="E27" s="100">
        <v>0</v>
      </c>
      <c r="F27" s="94">
        <f t="shared" si="4"/>
        <v>0</v>
      </c>
      <c r="G27" s="100">
        <v>0</v>
      </c>
      <c r="H27" s="94">
        <f>ROUND(D27*G27,-3)</f>
        <v>0</v>
      </c>
    </row>
    <row r="28" spans="1:8" x14ac:dyDescent="0.2">
      <c r="A28" s="91">
        <f t="shared" si="0"/>
        <v>22</v>
      </c>
      <c r="B28" s="91"/>
      <c r="C28" s="19" t="s">
        <v>90</v>
      </c>
      <c r="D28" s="96">
        <f>SUM(D26:D27)</f>
        <v>633519724.15218532</v>
      </c>
      <c r="E28" s="97"/>
      <c r="F28" s="98">
        <f>SUM(F26:F27)</f>
        <v>0</v>
      </c>
      <c r="G28" s="97"/>
      <c r="H28" s="98">
        <f>SUM(H26:H27)</f>
        <v>0</v>
      </c>
    </row>
    <row r="29" spans="1:8" x14ac:dyDescent="0.2">
      <c r="A29" s="91">
        <f t="shared" si="0"/>
        <v>23</v>
      </c>
      <c r="B29" s="91"/>
      <c r="C29" s="19"/>
      <c r="D29" s="92"/>
      <c r="E29" s="99"/>
      <c r="F29" s="94"/>
      <c r="G29" s="99"/>
      <c r="H29" s="94"/>
    </row>
    <row r="30" spans="1:8" x14ac:dyDescent="0.2">
      <c r="A30" s="91">
        <f t="shared" si="0"/>
        <v>24</v>
      </c>
      <c r="B30" s="91" t="s">
        <v>133</v>
      </c>
      <c r="C30" s="19"/>
      <c r="D30" s="105">
        <v>65827066.478626378</v>
      </c>
      <c r="E30" s="100">
        <v>0</v>
      </c>
      <c r="F30" s="94">
        <f t="shared" ref="F30:F31" si="5">ROUND(D30*E30,-3)</f>
        <v>0</v>
      </c>
      <c r="G30" s="100">
        <v>0</v>
      </c>
      <c r="H30" s="94">
        <f>ROUND(D30*G30,-3)</f>
        <v>0</v>
      </c>
    </row>
    <row r="31" spans="1:8" x14ac:dyDescent="0.2">
      <c r="A31" s="91">
        <f t="shared" si="0"/>
        <v>25</v>
      </c>
      <c r="B31" s="91" t="s">
        <v>134</v>
      </c>
      <c r="C31" s="19"/>
      <c r="D31" s="105">
        <v>1764525.4274864604</v>
      </c>
      <c r="E31" s="99">
        <f>$E$7</f>
        <v>-6.6889999999999996E-3</v>
      </c>
      <c r="F31" s="94">
        <f t="shared" si="5"/>
        <v>-12000</v>
      </c>
      <c r="G31" s="99">
        <f>$G$7</f>
        <v>-7.5339999999999999E-3</v>
      </c>
      <c r="H31" s="94">
        <f>ROUND(D31*G31,-3)</f>
        <v>-13000</v>
      </c>
    </row>
    <row r="32" spans="1:8" x14ac:dyDescent="0.2">
      <c r="A32" s="91">
        <f t="shared" si="0"/>
        <v>26</v>
      </c>
      <c r="B32" s="91"/>
      <c r="C32" s="19" t="s">
        <v>135</v>
      </c>
      <c r="D32" s="96">
        <f>SUM(D30:D31)</f>
        <v>67591591.906112835</v>
      </c>
      <c r="E32" s="97"/>
      <c r="F32" s="98">
        <f>SUM(F30:F31)</f>
        <v>-12000</v>
      </c>
      <c r="G32" s="97"/>
      <c r="H32" s="98">
        <f>SUM(H30:H31)</f>
        <v>-13000</v>
      </c>
    </row>
    <row r="33" spans="1:8" x14ac:dyDescent="0.2">
      <c r="A33" s="91">
        <f t="shared" si="0"/>
        <v>27</v>
      </c>
      <c r="B33" s="91"/>
      <c r="C33" s="19"/>
      <c r="D33" s="92"/>
      <c r="E33" s="19"/>
      <c r="F33" s="94"/>
      <c r="G33" s="19"/>
      <c r="H33" s="94"/>
    </row>
    <row r="34" spans="1:8" x14ac:dyDescent="0.2">
      <c r="A34" s="91">
        <f t="shared" si="0"/>
        <v>28</v>
      </c>
      <c r="B34" s="91" t="s">
        <v>136</v>
      </c>
      <c r="C34" s="19" t="s">
        <v>137</v>
      </c>
      <c r="D34" s="105">
        <v>1978910289.2706318</v>
      </c>
      <c r="E34" s="100">
        <v>0</v>
      </c>
      <c r="F34" s="94">
        <f t="shared" ref="F34:F36" si="6">ROUND(D34*E34,-3)</f>
        <v>0</v>
      </c>
      <c r="G34" s="100">
        <v>0</v>
      </c>
      <c r="H34" s="94">
        <f>ROUND(D34*G34,-3)</f>
        <v>0</v>
      </c>
    </row>
    <row r="35" spans="1:8" x14ac:dyDescent="0.2">
      <c r="A35" s="91">
        <f t="shared" si="0"/>
        <v>29</v>
      </c>
      <c r="B35" s="91" t="s">
        <v>114</v>
      </c>
      <c r="C35" s="19" t="s">
        <v>93</v>
      </c>
      <c r="D35" s="105">
        <v>304641655.46199995</v>
      </c>
      <c r="E35" s="100">
        <v>0</v>
      </c>
      <c r="F35" s="94">
        <f t="shared" si="6"/>
        <v>0</v>
      </c>
      <c r="G35" s="100">
        <v>0</v>
      </c>
      <c r="H35" s="94">
        <f>ROUND(D35*G35,-3)</f>
        <v>0</v>
      </c>
    </row>
    <row r="36" spans="1:8" x14ac:dyDescent="0.2">
      <c r="A36" s="91">
        <f t="shared" si="0"/>
        <v>30</v>
      </c>
      <c r="B36" s="91">
        <v>5</v>
      </c>
      <c r="C36" s="19" t="s">
        <v>138</v>
      </c>
      <c r="D36" s="105">
        <v>6789532.8187336121</v>
      </c>
      <c r="E36" s="100">
        <v>0</v>
      </c>
      <c r="F36" s="94">
        <f t="shared" si="6"/>
        <v>0</v>
      </c>
      <c r="G36" s="100">
        <v>0</v>
      </c>
      <c r="H36" s="94">
        <f>ROUND(D36*G36,-3)</f>
        <v>0</v>
      </c>
    </row>
    <row r="37" spans="1:8" x14ac:dyDescent="0.2">
      <c r="A37" s="91">
        <f t="shared" si="0"/>
        <v>31</v>
      </c>
      <c r="B37" s="91"/>
      <c r="C37" s="19"/>
      <c r="D37" s="92"/>
      <c r="E37" s="19"/>
      <c r="F37" s="94"/>
      <c r="G37" s="19"/>
      <c r="H37" s="94"/>
    </row>
    <row r="38" spans="1:8" ht="12" thickBot="1" x14ac:dyDescent="0.25">
      <c r="A38" s="91">
        <f t="shared" si="0"/>
        <v>32</v>
      </c>
      <c r="B38" s="91"/>
      <c r="C38" s="101" t="s">
        <v>95</v>
      </c>
      <c r="D38" s="102">
        <f>SUM(D34:D36,D32,D28,D24,D18,D9)</f>
        <v>23434356960.740398</v>
      </c>
      <c r="E38" s="19"/>
      <c r="F38" s="103">
        <f>SUM(F34:F36,F32,F28,F24,F18,F9)</f>
        <v>-78083000</v>
      </c>
      <c r="G38" s="19"/>
      <c r="H38" s="103">
        <f>SUM(H34:H36,H32,H28,H24,H18,H9)</f>
        <v>-87943000</v>
      </c>
    </row>
    <row r="39" spans="1:8" ht="12" thickTop="1" x14ac:dyDescent="0.2">
      <c r="D39" s="19"/>
      <c r="E39" s="19"/>
      <c r="F39" s="19"/>
    </row>
    <row r="40" spans="1:8" x14ac:dyDescent="0.2">
      <c r="B40" s="320" t="s">
        <v>349</v>
      </c>
      <c r="D40" s="104"/>
      <c r="E40" s="104"/>
      <c r="F40" s="104"/>
    </row>
    <row r="41" spans="1:8" x14ac:dyDescent="0.2">
      <c r="D41" s="104"/>
      <c r="E41" s="104"/>
      <c r="F41" s="104"/>
    </row>
  </sheetData>
  <mergeCells count="4">
    <mergeCell ref="A1:H1"/>
    <mergeCell ref="A2:H2"/>
    <mergeCell ref="A3:H3"/>
    <mergeCell ref="A4:H4"/>
  </mergeCells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4" tint="0.79998168889431442"/>
    <pageSetUpPr fitToPage="1"/>
  </sheetPr>
  <dimension ref="A1:C14"/>
  <sheetViews>
    <sheetView topLeftCell="A8" workbookViewId="0">
      <selection activeCell="A4" sqref="A4:C4"/>
    </sheetView>
  </sheetViews>
  <sheetFormatPr defaultColWidth="9.140625" defaultRowHeight="11.25" x14ac:dyDescent="0.2"/>
  <cols>
    <col min="1" max="1" width="4.42578125" style="5" bestFit="1" customWidth="1"/>
    <col min="2" max="2" width="35.5703125" style="5" bestFit="1" customWidth="1"/>
    <col min="3" max="3" width="23.5703125" style="5" bestFit="1" customWidth="1"/>
    <col min="4" max="16384" width="9.140625" style="5"/>
  </cols>
  <sheetData>
    <row r="1" spans="1:3" x14ac:dyDescent="0.2">
      <c r="A1" s="339" t="str">
        <f>'Sch 194 Summary'!A1:D1</f>
        <v>Puget Sound Energy</v>
      </c>
      <c r="B1" s="339"/>
      <c r="C1" s="339"/>
    </row>
    <row r="2" spans="1:3" x14ac:dyDescent="0.2">
      <c r="A2" s="339" t="str">
        <f>'Sch 194 Summary'!A3:D3</f>
        <v>BPA Residential and Farm Energy Exchange Benefits</v>
      </c>
      <c r="B2" s="339"/>
      <c r="C2" s="339"/>
    </row>
    <row r="3" spans="1:3" x14ac:dyDescent="0.2">
      <c r="A3" s="340" t="s">
        <v>107</v>
      </c>
      <c r="B3" s="341"/>
      <c r="C3" s="341"/>
    </row>
    <row r="4" spans="1:3" x14ac:dyDescent="0.2">
      <c r="A4" s="342">
        <v>45169</v>
      </c>
      <c r="B4" s="342"/>
      <c r="C4" s="342"/>
    </row>
    <row r="6" spans="1:3" x14ac:dyDescent="0.2">
      <c r="C6" s="63" t="s">
        <v>96</v>
      </c>
    </row>
    <row r="7" spans="1:3" s="11" customFormat="1" ht="22.5" x14ac:dyDescent="0.2">
      <c r="A7" s="64" t="s">
        <v>3</v>
      </c>
      <c r="B7" s="65" t="s">
        <v>9</v>
      </c>
      <c r="C7" s="66" t="s">
        <v>10</v>
      </c>
    </row>
    <row r="8" spans="1:3" s="11" customFormat="1" ht="22.5" x14ac:dyDescent="0.2">
      <c r="A8" s="67" t="s">
        <v>11</v>
      </c>
      <c r="B8" s="68" t="s">
        <v>12</v>
      </c>
      <c r="C8" s="69" t="s">
        <v>47</v>
      </c>
    </row>
    <row r="9" spans="1:3" s="11" customFormat="1" x14ac:dyDescent="0.2">
      <c r="A9" s="70"/>
      <c r="B9" s="71"/>
      <c r="C9" s="70"/>
    </row>
    <row r="10" spans="1:3" s="11" customFormat="1" x14ac:dyDescent="0.2">
      <c r="A10" s="72">
        <v>1</v>
      </c>
      <c r="B10" s="106" t="s">
        <v>139</v>
      </c>
      <c r="C10" s="107">
        <v>16321373.789999999</v>
      </c>
    </row>
    <row r="11" spans="1:3" s="11" customFormat="1" x14ac:dyDescent="0.2">
      <c r="A11" s="5">
        <f t="shared" ref="A11:A14" si="0">+A10+1</f>
        <v>2</v>
      </c>
      <c r="B11" s="106" t="s">
        <v>140</v>
      </c>
      <c r="C11" s="107">
        <v>0</v>
      </c>
    </row>
    <row r="12" spans="1:3" ht="12" thickBot="1" x14ac:dyDescent="0.25">
      <c r="A12" s="5">
        <f t="shared" si="0"/>
        <v>3</v>
      </c>
      <c r="B12" s="108" t="s">
        <v>300</v>
      </c>
      <c r="C12" s="109">
        <f>SUM(C10:C11)</f>
        <v>16321373.789999999</v>
      </c>
    </row>
    <row r="13" spans="1:3" ht="12" thickTop="1" x14ac:dyDescent="0.2">
      <c r="A13" s="5">
        <f t="shared" si="0"/>
        <v>4</v>
      </c>
    </row>
    <row r="14" spans="1:3" x14ac:dyDescent="0.2">
      <c r="A14" s="5">
        <f t="shared" si="0"/>
        <v>5</v>
      </c>
      <c r="B14" s="26" t="s">
        <v>78</v>
      </c>
      <c r="C14" s="73">
        <f>+C12/2</f>
        <v>8160686.8949999996</v>
      </c>
    </row>
  </sheetData>
  <mergeCells count="4">
    <mergeCell ref="A1:C1"/>
    <mergeCell ref="A2:C2"/>
    <mergeCell ref="A3:C3"/>
    <mergeCell ref="A4:C4"/>
  </mergeCells>
  <phoneticPr fontId="11" type="noConversion"/>
  <printOptions horizontalCentered="1"/>
  <pageMargins left="0.75" right="0.75" top="1" bottom="1" header="0.5" footer="0.5"/>
  <pageSetup scale="74" orientation="landscape" cellComments="asDisplayed" horizontalDpi="300" verticalDpi="300" r:id="rId1"/>
  <headerFooter alignWithMargins="0">
    <oddHeader>&amp;C2019 BPA Res Exchange Workpapers</oddHeader>
    <oddFooter>&amp;CPage &amp;P of &amp;N&amp;R&amp;F
&amp;A</oddFooter>
  </headerFooter>
  <customProperties>
    <customPr name="_pios_id" r:id="rId2"/>
    <customPr name="EpmWorksheetKeyString_GUID" r:id="rId3"/>
  </customPropertie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4" tint="0.79998168889431442"/>
    <pageSetUpPr fitToPage="1"/>
  </sheetPr>
  <dimension ref="A1:N37"/>
  <sheetViews>
    <sheetView workbookViewId="0">
      <pane ySplit="7" topLeftCell="A8" activePane="bottomLeft" state="frozen"/>
      <selection pane="bottomLeft" activeCell="B37" sqref="B37"/>
    </sheetView>
  </sheetViews>
  <sheetFormatPr defaultColWidth="11.42578125" defaultRowHeight="11.25" x14ac:dyDescent="0.2"/>
  <cols>
    <col min="1" max="1" width="4.42578125" style="5" bestFit="1" customWidth="1"/>
    <col min="2" max="2" width="19.7109375" style="5" customWidth="1"/>
    <col min="3" max="3" width="12" style="5" bestFit="1" customWidth="1"/>
    <col min="4" max="4" width="10.7109375" style="5" bestFit="1" customWidth="1"/>
    <col min="5" max="5" width="9.85546875" style="5" bestFit="1" customWidth="1"/>
    <col min="6" max="12" width="10.42578125" style="5" bestFit="1" customWidth="1"/>
    <col min="13" max="13" width="14.28515625" style="5" bestFit="1" customWidth="1"/>
    <col min="14" max="14" width="12.28515625" style="5" customWidth="1"/>
    <col min="15" max="16384" width="11.42578125" style="5"/>
  </cols>
  <sheetData>
    <row r="1" spans="1:14" x14ac:dyDescent="0.2">
      <c r="A1" s="339" t="str">
        <f>'Sch 194 Summary'!A1:D1</f>
        <v>Puget Sound Energy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</row>
    <row r="2" spans="1:14" x14ac:dyDescent="0.2">
      <c r="A2" s="339" t="str">
        <f>'Sch 194 Summary'!A2:D2</f>
        <v>Proposed Schedule 194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14" x14ac:dyDescent="0.2">
      <c r="A3" s="340" t="s">
        <v>302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14" x14ac:dyDescent="0.2">
      <c r="A4" s="343" t="s">
        <v>311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6" spans="1:14" x14ac:dyDescent="0.2">
      <c r="B6" s="31"/>
      <c r="C6" s="31" t="s">
        <v>48</v>
      </c>
      <c r="D6" s="32"/>
      <c r="E6" s="33"/>
      <c r="F6" s="33"/>
      <c r="G6" s="33"/>
      <c r="H6" s="33"/>
      <c r="I6" s="33"/>
      <c r="J6" s="33"/>
      <c r="K6" s="33"/>
      <c r="L6" s="33"/>
      <c r="M6" s="34"/>
    </row>
    <row r="7" spans="1:14" s="37" customFormat="1" ht="33.75" x14ac:dyDescent="0.2">
      <c r="A7" s="35" t="s">
        <v>3</v>
      </c>
      <c r="B7" s="35" t="s">
        <v>79</v>
      </c>
      <c r="C7" s="317" t="s">
        <v>350</v>
      </c>
      <c r="D7" s="36" t="s">
        <v>64</v>
      </c>
      <c r="E7" s="36" t="s">
        <v>49</v>
      </c>
      <c r="F7" s="36" t="s">
        <v>50</v>
      </c>
      <c r="G7" s="36" t="s">
        <v>51</v>
      </c>
      <c r="H7" s="36" t="s">
        <v>52</v>
      </c>
      <c r="I7" s="36" t="s">
        <v>53</v>
      </c>
      <c r="J7" s="36" t="s">
        <v>54</v>
      </c>
      <c r="K7" s="36" t="s">
        <v>55</v>
      </c>
      <c r="L7" s="36" t="s">
        <v>56</v>
      </c>
      <c r="M7" s="240" t="s">
        <v>309</v>
      </c>
    </row>
    <row r="8" spans="1:14" x14ac:dyDescent="0.2">
      <c r="A8" s="38">
        <f>1</f>
        <v>1</v>
      </c>
      <c r="B8" s="39" t="s">
        <v>274</v>
      </c>
      <c r="C8" s="40">
        <f>'F2023 Electric Delivered Sales'!E18</f>
        <v>1041166324.80314</v>
      </c>
      <c r="D8" s="40">
        <f>'F2023 Electric Delivered Sales'!F18</f>
        <v>196629.25</v>
      </c>
      <c r="E8" s="40">
        <f>'F2023 Electric Delivered Sales'!G18</f>
        <v>20860062.5425064</v>
      </c>
      <c r="F8" s="40">
        <f>'F2023 Electric Delivered Sales'!H18</f>
        <v>1846462.0251818702</v>
      </c>
      <c r="G8" s="40">
        <f>'F2023 Electric Delivered Sales'!I18</f>
        <v>11217472.865198901</v>
      </c>
      <c r="H8" s="40">
        <f>'F2023 Electric Delivered Sales'!J18</f>
        <v>1263976.1997577299</v>
      </c>
      <c r="I8" s="40">
        <f>'F2023 Electric Delivered Sales'!Q18</f>
        <v>371452.91631802003</v>
      </c>
      <c r="J8" s="40">
        <f>'F2023 Electric Delivered Sales'!T18</f>
        <v>304713.71278100001</v>
      </c>
      <c r="K8" s="40">
        <f>'F2023 Electric Delivered Sales'!AH18</f>
        <v>135968.75708559802</v>
      </c>
      <c r="L8" s="40">
        <f>'F2023 Electric Delivered Sales'!AK18</f>
        <v>6713.6567894797799</v>
      </c>
      <c r="M8" s="41">
        <f t="shared" ref="M8:M18" si="0">SUM(C8:L8)</f>
        <v>1077369776.7287591</v>
      </c>
    </row>
    <row r="9" spans="1:14" x14ac:dyDescent="0.2">
      <c r="A9" s="38">
        <f t="shared" ref="A9:A35" si="1">+A8+1</f>
        <v>2</v>
      </c>
      <c r="B9" s="39" t="s">
        <v>275</v>
      </c>
      <c r="C9" s="40">
        <f>'F2023 Electric Delivered Sales'!E19</f>
        <v>1264875204.4405499</v>
      </c>
      <c r="D9" s="40">
        <f>'F2023 Electric Delivered Sales'!F19</f>
        <v>242994.14285714302</v>
      </c>
      <c r="E9" s="40">
        <f>'F2023 Electric Delivered Sales'!G19</f>
        <v>26865212.337403797</v>
      </c>
      <c r="F9" s="40">
        <f>'F2023 Electric Delivered Sales'!H19</f>
        <v>2332558.74283766</v>
      </c>
      <c r="G9" s="40">
        <f>'F2023 Electric Delivered Sales'!I19</f>
        <v>13205755.8671859</v>
      </c>
      <c r="H9" s="40">
        <f>'F2023 Electric Delivered Sales'!J19</f>
        <v>1498910.6558940101</v>
      </c>
      <c r="I9" s="40">
        <f>'F2023 Electric Delivered Sales'!Q19</f>
        <v>265815.494744892</v>
      </c>
      <c r="J9" s="40">
        <f>'F2023 Electric Delivered Sales'!T19</f>
        <v>0</v>
      </c>
      <c r="K9" s="40">
        <f>'F2023 Electric Delivered Sales'!AH19</f>
        <v>144069.47767498801</v>
      </c>
      <c r="L9" s="40">
        <f>'F2023 Electric Delivered Sales'!AK19</f>
        <v>6659.3235988671204</v>
      </c>
      <c r="M9" s="41">
        <f t="shared" si="0"/>
        <v>1309437180.4827468</v>
      </c>
    </row>
    <row r="10" spans="1:14" x14ac:dyDescent="0.2">
      <c r="A10" s="38">
        <f t="shared" si="1"/>
        <v>3</v>
      </c>
      <c r="B10" s="39" t="s">
        <v>276</v>
      </c>
      <c r="C10" s="40">
        <f>'F2023 Electric Delivered Sales'!E20</f>
        <v>1192691743.2576599</v>
      </c>
      <c r="D10" s="40">
        <f>'F2023 Electric Delivered Sales'!F20</f>
        <v>259810</v>
      </c>
      <c r="E10" s="40">
        <f>'F2023 Electric Delivered Sales'!G20</f>
        <v>27813780.3325046</v>
      </c>
      <c r="F10" s="40">
        <f>'F2023 Electric Delivered Sales'!H20</f>
        <v>2530274.5451644901</v>
      </c>
      <c r="G10" s="40">
        <f>'F2023 Electric Delivered Sales'!I20</f>
        <v>13479396.110401299</v>
      </c>
      <c r="H10" s="40">
        <f>'F2023 Electric Delivered Sales'!J20</f>
        <v>1601832.4549668401</v>
      </c>
      <c r="I10" s="40">
        <f>'F2023 Electric Delivered Sales'!Q20</f>
        <v>292842.62111573998</v>
      </c>
      <c r="J10" s="40">
        <f>'F2023 Electric Delivered Sales'!T20</f>
        <v>0</v>
      </c>
      <c r="K10" s="40">
        <f>'F2023 Electric Delivered Sales'!AH20</f>
        <v>136964.33891802499</v>
      </c>
      <c r="L10" s="40">
        <f>'F2023 Electric Delivered Sales'!AK20</f>
        <v>6868.2446770475199</v>
      </c>
      <c r="M10" s="41">
        <f t="shared" si="0"/>
        <v>1238813511.9054079</v>
      </c>
    </row>
    <row r="11" spans="1:14" x14ac:dyDescent="0.2">
      <c r="A11" s="38">
        <f t="shared" si="1"/>
        <v>4</v>
      </c>
      <c r="B11" s="39" t="s">
        <v>277</v>
      </c>
      <c r="C11" s="40">
        <f>'F2023 Electric Delivered Sales'!E21</f>
        <v>1075657420.9360201</v>
      </c>
      <c r="D11" s="40">
        <f>'F2023 Electric Delivered Sales'!F21</f>
        <v>233365.535</v>
      </c>
      <c r="E11" s="40">
        <f>'F2023 Electric Delivered Sales'!G21</f>
        <v>25058783.476412997</v>
      </c>
      <c r="F11" s="40">
        <f>'F2023 Electric Delivered Sales'!H21</f>
        <v>2224874.4670955599</v>
      </c>
      <c r="G11" s="40">
        <f>'F2023 Electric Delivered Sales'!I21</f>
        <v>11962045.125668699</v>
      </c>
      <c r="H11" s="40">
        <f>'F2023 Electric Delivered Sales'!J21</f>
        <v>1452586.84664902</v>
      </c>
      <c r="I11" s="40">
        <f>'F2023 Electric Delivered Sales'!Q21</f>
        <v>272938.94646606996</v>
      </c>
      <c r="J11" s="40">
        <f>'F2023 Electric Delivered Sales'!T21</f>
        <v>0</v>
      </c>
      <c r="K11" s="40">
        <f>'F2023 Electric Delivered Sales'!AH21</f>
        <v>146989.31541398901</v>
      </c>
      <c r="L11" s="40">
        <f>'F2023 Electric Delivered Sales'!AK21</f>
        <v>6818.1894288571102</v>
      </c>
      <c r="M11" s="41">
        <f t="shared" si="0"/>
        <v>1117015822.8381553</v>
      </c>
    </row>
    <row r="12" spans="1:14" x14ac:dyDescent="0.2">
      <c r="A12" s="38">
        <f t="shared" si="1"/>
        <v>5</v>
      </c>
      <c r="B12" s="39" t="s">
        <v>278</v>
      </c>
      <c r="C12" s="40">
        <f>'F2023 Electric Delivered Sales'!E22</f>
        <v>1040534573.62798</v>
      </c>
      <c r="D12" s="40">
        <f>'F2023 Electric Delivered Sales'!F22</f>
        <v>213526.34</v>
      </c>
      <c r="E12" s="40">
        <f>'F2023 Electric Delivered Sales'!G22</f>
        <v>25054948.374284398</v>
      </c>
      <c r="F12" s="40">
        <f>'F2023 Electric Delivered Sales'!H22</f>
        <v>2395675.3372626398</v>
      </c>
      <c r="G12" s="40">
        <f>'F2023 Electric Delivered Sales'!I22</f>
        <v>12274940.531071002</v>
      </c>
      <c r="H12" s="40">
        <f>'F2023 Electric Delivered Sales'!J22</f>
        <v>1520844.35934021</v>
      </c>
      <c r="I12" s="40">
        <f>'F2023 Electric Delivered Sales'!Q22</f>
        <v>289071.68331469805</v>
      </c>
      <c r="J12" s="40">
        <f>'F2023 Electric Delivered Sales'!T22</f>
        <v>0</v>
      </c>
      <c r="K12" s="40">
        <f>'F2023 Electric Delivered Sales'!AH22</f>
        <v>134882.261993263</v>
      </c>
      <c r="L12" s="40">
        <f>'F2023 Electric Delivered Sales'!AK22</f>
        <v>6765.3108617423704</v>
      </c>
      <c r="M12" s="41">
        <f t="shared" si="0"/>
        <v>1082425227.826108</v>
      </c>
    </row>
    <row r="13" spans="1:14" x14ac:dyDescent="0.2">
      <c r="A13" s="38">
        <f t="shared" si="1"/>
        <v>6</v>
      </c>
      <c r="B13" s="39" t="s">
        <v>279</v>
      </c>
      <c r="C13" s="40">
        <f>'F2023 Electric Delivered Sales'!E23</f>
        <v>871564901.43307793</v>
      </c>
      <c r="D13" s="40">
        <f>'F2023 Electric Delivered Sales'!F23</f>
        <v>180149.25</v>
      </c>
      <c r="E13" s="40">
        <f>'F2023 Electric Delivered Sales'!G23</f>
        <v>21480881.678410102</v>
      </c>
      <c r="F13" s="40">
        <f>'F2023 Electric Delivered Sales'!H23</f>
        <v>2103417.0861166799</v>
      </c>
      <c r="G13" s="40">
        <f>'F2023 Electric Delivered Sales'!I23</f>
        <v>10580555.434001701</v>
      </c>
      <c r="H13" s="40">
        <f>'F2023 Electric Delivered Sales'!J23</f>
        <v>1318577.1699655999</v>
      </c>
      <c r="I13" s="40">
        <f>'F2023 Electric Delivered Sales'!Q23</f>
        <v>312653.89300032897</v>
      </c>
      <c r="J13" s="40">
        <f>'F2023 Electric Delivered Sales'!T23</f>
        <v>0</v>
      </c>
      <c r="K13" s="40">
        <f>'F2023 Electric Delivered Sales'!AH23</f>
        <v>148748.19078699203</v>
      </c>
      <c r="L13" s="40">
        <f>'F2023 Electric Delivered Sales'!AK23</f>
        <v>6932.3430759208695</v>
      </c>
      <c r="M13" s="41">
        <f t="shared" si="0"/>
        <v>907696816.47843516</v>
      </c>
    </row>
    <row r="14" spans="1:14" x14ac:dyDescent="0.2">
      <c r="A14" s="38">
        <f t="shared" si="1"/>
        <v>7</v>
      </c>
      <c r="B14" s="39" t="s">
        <v>280</v>
      </c>
      <c r="C14" s="40">
        <f>'F2023 Electric Delivered Sales'!E24</f>
        <v>760468027.59418297</v>
      </c>
      <c r="D14" s="40">
        <f>'F2023 Electric Delivered Sales'!F24</f>
        <v>165744.375</v>
      </c>
      <c r="E14" s="40">
        <f>'F2023 Electric Delivered Sales'!G24</f>
        <v>19415259.8975964</v>
      </c>
      <c r="F14" s="40">
        <f>'F2023 Electric Delivered Sales'!H24</f>
        <v>1893678.3046021</v>
      </c>
      <c r="G14" s="40">
        <f>'F2023 Electric Delivered Sales'!I24</f>
        <v>10197043.6305339</v>
      </c>
      <c r="H14" s="40">
        <f>'F2023 Electric Delivered Sales'!J24</f>
        <v>1201630.68127393</v>
      </c>
      <c r="I14" s="40">
        <f>'F2023 Electric Delivered Sales'!Q24</f>
        <v>744003.92852254794</v>
      </c>
      <c r="J14" s="40">
        <f>'F2023 Electric Delivered Sales'!T24</f>
        <v>301084.39127305296</v>
      </c>
      <c r="K14" s="40">
        <f>'F2023 Electric Delivered Sales'!AH24</f>
        <v>137767.42488057102</v>
      </c>
      <c r="L14" s="40">
        <f>'F2023 Electric Delivered Sales'!AK24</f>
        <v>6880.9230592756503</v>
      </c>
      <c r="M14" s="41">
        <f t="shared" si="0"/>
        <v>794531121.1509248</v>
      </c>
    </row>
    <row r="15" spans="1:14" x14ac:dyDescent="0.2">
      <c r="A15" s="38">
        <f t="shared" si="1"/>
        <v>8</v>
      </c>
      <c r="B15" s="39" t="s">
        <v>281</v>
      </c>
      <c r="C15" s="40">
        <f>'F2023 Electric Delivered Sales'!E25</f>
        <v>726612130.99855494</v>
      </c>
      <c r="D15" s="40">
        <f>'F2023 Electric Delivered Sales'!F25</f>
        <v>183269.5</v>
      </c>
      <c r="E15" s="40">
        <f>'F2023 Electric Delivered Sales'!G25</f>
        <v>18239780.9002074</v>
      </c>
      <c r="F15" s="40">
        <f>'F2023 Electric Delivered Sales'!H25</f>
        <v>1707275.1889347802</v>
      </c>
      <c r="G15" s="40">
        <f>'F2023 Electric Delivered Sales'!I25</f>
        <v>9584836.5130796693</v>
      </c>
      <c r="H15" s="40">
        <f>'F2023 Electric Delivered Sales'!J25</f>
        <v>1078382.4487224298</v>
      </c>
      <c r="I15" s="40">
        <f>'F2023 Electric Delivered Sales'!Q25</f>
        <v>1488830.41626154</v>
      </c>
      <c r="J15" s="40">
        <f>'F2023 Electric Delivered Sales'!T25</f>
        <v>647045.46438459598</v>
      </c>
      <c r="K15" s="40">
        <f>'F2023 Electric Delivered Sales'!AH25</f>
        <v>136516.57149326301</v>
      </c>
      <c r="L15" s="40">
        <f>'F2023 Electric Delivered Sales'!AK25</f>
        <v>6338.3251910737099</v>
      </c>
      <c r="M15" s="41">
        <f t="shared" si="0"/>
        <v>759684406.32682967</v>
      </c>
    </row>
    <row r="16" spans="1:14" x14ac:dyDescent="0.2">
      <c r="A16" s="38">
        <f t="shared" si="1"/>
        <v>9</v>
      </c>
      <c r="B16" s="39" t="s">
        <v>282</v>
      </c>
      <c r="C16" s="40">
        <f>'F2023 Electric Delivered Sales'!E26</f>
        <v>810211528.78052795</v>
      </c>
      <c r="D16" s="40">
        <f>'F2023 Electric Delivered Sales'!F26</f>
        <v>214898.875</v>
      </c>
      <c r="E16" s="40">
        <f>'F2023 Electric Delivered Sales'!G26</f>
        <v>18581880.699023999</v>
      </c>
      <c r="F16" s="40">
        <f>'F2023 Electric Delivered Sales'!H26</f>
        <v>1815292.47742907</v>
      </c>
      <c r="G16" s="40">
        <f>'F2023 Electric Delivered Sales'!I26</f>
        <v>10277261.0837349</v>
      </c>
      <c r="H16" s="40">
        <f>'F2023 Electric Delivered Sales'!J26</f>
        <v>1405833.31632713</v>
      </c>
      <c r="I16" s="40">
        <f>'F2023 Electric Delivered Sales'!Q26</f>
        <v>2721659.3945365697</v>
      </c>
      <c r="J16" s="40">
        <f>'F2023 Electric Delivered Sales'!T26</f>
        <v>678186.54845952301</v>
      </c>
      <c r="K16" s="40">
        <f>'F2023 Electric Delivered Sales'!AH26</f>
        <v>139316.18516582099</v>
      </c>
      <c r="L16" s="40">
        <f>'F2023 Electric Delivered Sales'!AK26</f>
        <v>6990.0659674155404</v>
      </c>
      <c r="M16" s="41">
        <f t="shared" si="0"/>
        <v>846052847.42617226</v>
      </c>
    </row>
    <row r="17" spans="1:14" x14ac:dyDescent="0.2">
      <c r="A17" s="38">
        <f t="shared" si="1"/>
        <v>10</v>
      </c>
      <c r="B17" s="39" t="s">
        <v>283</v>
      </c>
      <c r="C17" s="40">
        <f>'F2023 Electric Delivered Sales'!E27</f>
        <v>816258861.42774105</v>
      </c>
      <c r="D17" s="40">
        <f>'F2023 Electric Delivered Sales'!F27</f>
        <v>236361</v>
      </c>
      <c r="E17" s="40">
        <f>'F2023 Electric Delivered Sales'!G27</f>
        <v>18478795.1982724</v>
      </c>
      <c r="F17" s="40">
        <f>'F2023 Electric Delivered Sales'!H27</f>
        <v>1711328.4095407701</v>
      </c>
      <c r="G17" s="40">
        <f>'F2023 Electric Delivered Sales'!I27</f>
        <v>10175857.7615043</v>
      </c>
      <c r="H17" s="40">
        <f>'F2023 Electric Delivered Sales'!J27</f>
        <v>2103449.09483353</v>
      </c>
      <c r="I17" s="40">
        <f>'F2023 Electric Delivered Sales'!Q27</f>
        <v>4057346.98817913</v>
      </c>
      <c r="J17" s="40">
        <f>'F2023 Electric Delivered Sales'!T27</f>
        <v>959669.78716265806</v>
      </c>
      <c r="K17" s="40">
        <f>'F2023 Electric Delivered Sales'!AH27</f>
        <v>139417.60836336701</v>
      </c>
      <c r="L17" s="40">
        <f>'F2023 Electric Delivered Sales'!AK27</f>
        <v>6536.6357817179696</v>
      </c>
      <c r="M17" s="187">
        <f t="shared" si="0"/>
        <v>854127623.91137886</v>
      </c>
    </row>
    <row r="18" spans="1:14" x14ac:dyDescent="0.2">
      <c r="A18" s="186">
        <f t="shared" si="1"/>
        <v>11</v>
      </c>
      <c r="B18" s="39" t="s">
        <v>284</v>
      </c>
      <c r="C18" s="40">
        <f>'F2023 Electric Delivered Sales'!E28</f>
        <v>745804121.61066496</v>
      </c>
      <c r="D18" s="40">
        <f>'F2023 Electric Delivered Sales'!F28</f>
        <v>198473.625</v>
      </c>
      <c r="E18" s="40">
        <f>'F2023 Electric Delivered Sales'!G28</f>
        <v>16773447.0354285</v>
      </c>
      <c r="F18" s="40">
        <f>'F2023 Electric Delivered Sales'!H28</f>
        <v>1550913.61818637</v>
      </c>
      <c r="G18" s="40">
        <f>'F2023 Electric Delivered Sales'!I28</f>
        <v>9182128.3450871315</v>
      </c>
      <c r="H18" s="40">
        <f>'F2023 Electric Delivered Sales'!J28</f>
        <v>1366151.08242826</v>
      </c>
      <c r="I18" s="40">
        <f>'F2023 Electric Delivered Sales'!Q28</f>
        <v>2912174.73607131</v>
      </c>
      <c r="J18" s="40">
        <f>'F2023 Electric Delivered Sales'!T28</f>
        <v>768919.17535173404</v>
      </c>
      <c r="K18" s="40">
        <f>'F2023 Electric Delivered Sales'!AH28</f>
        <v>135881.672422198</v>
      </c>
      <c r="L18" s="40">
        <f>'F2023 Electric Delivered Sales'!AK28</f>
        <v>6885.2319438045506</v>
      </c>
      <c r="M18" s="187">
        <f t="shared" si="0"/>
        <v>778699096.13258433</v>
      </c>
    </row>
    <row r="19" spans="1:14" x14ac:dyDescent="0.2">
      <c r="A19" s="186">
        <f t="shared" si="1"/>
        <v>12</v>
      </c>
      <c r="B19" s="42" t="s">
        <v>285</v>
      </c>
      <c r="C19" s="43">
        <f>'F2023 Electric Delivered Sales'!E29</f>
        <v>873182303.91732109</v>
      </c>
      <c r="D19" s="43">
        <f>'F2023 Electric Delivered Sales'!F29</f>
        <v>173928</v>
      </c>
      <c r="E19" s="43">
        <f>'F2023 Electric Delivered Sales'!G29</f>
        <v>18611037.544917703</v>
      </c>
      <c r="F19" s="43">
        <f>'F2023 Electric Delivered Sales'!H29</f>
        <v>1658611.47228629</v>
      </c>
      <c r="G19" s="43">
        <f>'F2023 Electric Delivered Sales'!I29</f>
        <v>10112292.376667799</v>
      </c>
      <c r="H19" s="43">
        <f>'F2023 Electric Delivered Sales'!J29</f>
        <v>1163698.79347604</v>
      </c>
      <c r="I19" s="43">
        <f>'F2023 Electric Delivered Sales'!Q29</f>
        <v>1307491.6806423501</v>
      </c>
      <c r="J19" s="43">
        <f>'F2023 Electric Delivered Sales'!T29</f>
        <v>778501.74945796095</v>
      </c>
      <c r="K19" s="43">
        <f>'F2023 Electric Delivered Sales'!AH29</f>
        <v>146748.646796774</v>
      </c>
      <c r="L19" s="43">
        <f>'F2023 Electric Delivered Sales'!AK29</f>
        <v>6866.7261164091196</v>
      </c>
      <c r="M19" s="188">
        <f t="shared" ref="M19:M28" si="2">SUM(C19:L19)</f>
        <v>907141480.90768254</v>
      </c>
    </row>
    <row r="20" spans="1:14" x14ac:dyDescent="0.2">
      <c r="A20" s="38">
        <f t="shared" si="1"/>
        <v>13</v>
      </c>
      <c r="B20" s="39" t="s">
        <v>286</v>
      </c>
      <c r="C20" s="40">
        <f>'F2023 Electric Delivered Sales'!E30</f>
        <v>1052963379.7510201</v>
      </c>
      <c r="D20" s="40">
        <f>'F2023 Electric Delivered Sales'!F30</f>
        <v>196629.25</v>
      </c>
      <c r="E20" s="40">
        <f>'F2023 Electric Delivered Sales'!G30</f>
        <v>21006959.040017098</v>
      </c>
      <c r="F20" s="40">
        <f>'F2023 Electric Delivered Sales'!H30</f>
        <v>1822916.87958263</v>
      </c>
      <c r="G20" s="40">
        <f>'F2023 Electric Delivered Sales'!I30</f>
        <v>11365771.424581101</v>
      </c>
      <c r="H20" s="40">
        <f>'F2023 Electric Delivered Sales'!J30</f>
        <v>1247858.61745633</v>
      </c>
      <c r="I20" s="40">
        <f>'F2023 Electric Delivered Sales'!Q30</f>
        <v>374068.68663443602</v>
      </c>
      <c r="J20" s="40">
        <f>'F2023 Electric Delivered Sales'!T30</f>
        <v>306859.50582739402</v>
      </c>
      <c r="K20" s="40">
        <f>'F2023 Electric Delivered Sales'!AH30</f>
        <v>133123.49648750501</v>
      </c>
      <c r="L20" s="40">
        <f>'F2023 Electric Delivered Sales'!AK30</f>
        <v>6698.1700633358096</v>
      </c>
      <c r="M20" s="187">
        <f t="shared" si="2"/>
        <v>1089424264.8216701</v>
      </c>
    </row>
    <row r="21" spans="1:14" x14ac:dyDescent="0.2">
      <c r="A21" s="38">
        <f t="shared" si="1"/>
        <v>14</v>
      </c>
      <c r="B21" s="39" t="s">
        <v>287</v>
      </c>
      <c r="C21" s="40">
        <f>'F2023 Electric Delivered Sales'!E31</f>
        <v>1265288171.70892</v>
      </c>
      <c r="D21" s="40">
        <f>'F2023 Electric Delivered Sales'!F31</f>
        <v>242994.14285714302</v>
      </c>
      <c r="E21" s="40">
        <f>'F2023 Electric Delivered Sales'!G31</f>
        <v>27034537.902284998</v>
      </c>
      <c r="F21" s="40">
        <f>'F2023 Electric Delivered Sales'!H31</f>
        <v>2311067.11146989</v>
      </c>
      <c r="G21" s="40">
        <f>'F2023 Electric Delivered Sales'!I31</f>
        <v>13353551.751944</v>
      </c>
      <c r="H21" s="40">
        <f>'F2023 Electric Delivered Sales'!J31</f>
        <v>1485100.0561101499</v>
      </c>
      <c r="I21" s="40">
        <f>'F2023 Electric Delivered Sales'!Q31</f>
        <v>267490.87174309196</v>
      </c>
      <c r="J21" s="40">
        <f>'F2023 Electric Delivered Sales'!T31</f>
        <v>0</v>
      </c>
      <c r="K21" s="40">
        <f>'F2023 Electric Delivered Sales'!AH31</f>
        <v>141754.712436731</v>
      </c>
      <c r="L21" s="40">
        <f>'F2023 Electric Delivered Sales'!AK31</f>
        <v>6671.0590822899603</v>
      </c>
      <c r="M21" s="41">
        <f t="shared" si="2"/>
        <v>1310131339.3168485</v>
      </c>
    </row>
    <row r="22" spans="1:14" x14ac:dyDescent="0.2">
      <c r="A22" s="38">
        <f t="shared" si="1"/>
        <v>15</v>
      </c>
      <c r="B22" s="39" t="s">
        <v>288</v>
      </c>
      <c r="C22" s="40">
        <f>'F2023 Electric Delivered Sales'!E32</f>
        <v>1193134476.79845</v>
      </c>
      <c r="D22" s="40">
        <f>'F2023 Electric Delivered Sales'!F32</f>
        <v>259810</v>
      </c>
      <c r="E22" s="40">
        <f>'F2023 Electric Delivered Sales'!G32</f>
        <v>27901132.006822202</v>
      </c>
      <c r="F22" s="40">
        <f>'F2023 Electric Delivered Sales'!H32</f>
        <v>2498174.45429334</v>
      </c>
      <c r="G22" s="40">
        <f>'F2023 Electric Delivered Sales'!I32</f>
        <v>13576990.570782799</v>
      </c>
      <c r="H22" s="40">
        <f>'F2023 Electric Delivered Sales'!J32</f>
        <v>1581510.95765618</v>
      </c>
      <c r="I22" s="40">
        <f>'F2023 Electric Delivered Sales'!Q32</f>
        <v>293762.31965941796</v>
      </c>
      <c r="J22" s="40">
        <f>'F2023 Electric Delivered Sales'!T32</f>
        <v>0</v>
      </c>
      <c r="K22" s="40">
        <f>'F2023 Electric Delivered Sales'!AH32</f>
        <v>134512.82856656701</v>
      </c>
      <c r="L22" s="40">
        <f>'F2023 Electric Delivered Sales'!AK32</f>
        <v>6874.3989347454408</v>
      </c>
      <c r="M22" s="41">
        <f t="shared" si="2"/>
        <v>1239387244.3351653</v>
      </c>
    </row>
    <row r="23" spans="1:14" x14ac:dyDescent="0.2">
      <c r="A23" s="38">
        <f t="shared" si="1"/>
        <v>16</v>
      </c>
      <c r="B23" s="39" t="s">
        <v>289</v>
      </c>
      <c r="C23" s="40">
        <f>'F2023 Electric Delivered Sales'!E33</f>
        <v>1039625336.6286</v>
      </c>
      <c r="D23" s="40">
        <f>'F2023 Electric Delivered Sales'!F33</f>
        <v>233365.535</v>
      </c>
      <c r="E23" s="40">
        <f>'F2023 Electric Delivered Sales'!G33</f>
        <v>24191293.2037948</v>
      </c>
      <c r="F23" s="40">
        <f>'F2023 Electric Delivered Sales'!H33</f>
        <v>2118489.01382179</v>
      </c>
      <c r="G23" s="40">
        <f>'F2023 Electric Delivered Sales'!I33</f>
        <v>11485087.9021779</v>
      </c>
      <c r="H23" s="40">
        <f>'F2023 Electric Delivered Sales'!J33</f>
        <v>1383129.3952800799</v>
      </c>
      <c r="I23" s="40">
        <f>'F2023 Electric Delivered Sales'!Q33</f>
        <v>263490.288222111</v>
      </c>
      <c r="J23" s="40">
        <f>'F2023 Electric Delivered Sales'!T33</f>
        <v>0</v>
      </c>
      <c r="K23" s="40">
        <f>'F2023 Electric Delivered Sales'!AH33</f>
        <v>139465.92022323501</v>
      </c>
      <c r="L23" s="40">
        <f>'F2023 Electric Delivered Sales'!AK33</f>
        <v>6586.8405854835501</v>
      </c>
      <c r="M23" s="41">
        <f t="shared" si="2"/>
        <v>1079446244.7277055</v>
      </c>
    </row>
    <row r="24" spans="1:14" x14ac:dyDescent="0.2">
      <c r="A24" s="38">
        <f t="shared" si="1"/>
        <v>17</v>
      </c>
      <c r="B24" s="39" t="s">
        <v>290</v>
      </c>
      <c r="C24" s="40">
        <f>'F2023 Electric Delivered Sales'!E34</f>
        <v>1042450629.13098</v>
      </c>
      <c r="D24" s="40">
        <f>'F2023 Electric Delivered Sales'!F34</f>
        <v>213526.34</v>
      </c>
      <c r="E24" s="40">
        <f>'F2023 Electric Delivered Sales'!G34</f>
        <v>25020289.608244099</v>
      </c>
      <c r="F24" s="40">
        <f>'F2023 Electric Delivered Sales'!H34</f>
        <v>2362356.6267520599</v>
      </c>
      <c r="G24" s="40">
        <f>'F2023 Electric Delivered Sales'!I34</f>
        <v>12299469.159732999</v>
      </c>
      <c r="H24" s="40">
        <f>'F2023 Electric Delivered Sales'!J34</f>
        <v>1499692.67315288</v>
      </c>
      <c r="I24" s="40">
        <f>'F2023 Electric Delivered Sales'!Q34</f>
        <v>288671.80750209501</v>
      </c>
      <c r="J24" s="40">
        <f>'F2023 Electric Delivered Sales'!T34</f>
        <v>0</v>
      </c>
      <c r="K24" s="40">
        <f>'F2023 Electric Delivered Sales'!AH34</f>
        <v>132405.67360035999</v>
      </c>
      <c r="L24" s="40">
        <f>'F2023 Electric Delivered Sales'!AK34</f>
        <v>6768.2839616787396</v>
      </c>
      <c r="M24" s="41">
        <f t="shared" si="2"/>
        <v>1084273809.3039262</v>
      </c>
    </row>
    <row r="25" spans="1:14" x14ac:dyDescent="0.2">
      <c r="A25" s="38">
        <f t="shared" si="1"/>
        <v>18</v>
      </c>
      <c r="B25" s="39" t="s">
        <v>291</v>
      </c>
      <c r="C25" s="40">
        <f>'F2023 Electric Delivered Sales'!E35</f>
        <v>877511591.48910809</v>
      </c>
      <c r="D25" s="40">
        <f>'F2023 Electric Delivered Sales'!F35</f>
        <v>180149.25</v>
      </c>
      <c r="E25" s="40">
        <f>'F2023 Electric Delivered Sales'!G35</f>
        <v>21411649.458347499</v>
      </c>
      <c r="F25" s="40">
        <f>'F2023 Electric Delivered Sales'!H35</f>
        <v>2073061.9912543301</v>
      </c>
      <c r="G25" s="40">
        <f>'F2023 Electric Delivered Sales'!I35</f>
        <v>10585101.780778101</v>
      </c>
      <c r="H25" s="40">
        <f>'F2023 Electric Delivered Sales'!J35</f>
        <v>1299548.35473831</v>
      </c>
      <c r="I25" s="40">
        <f>'F2023 Electric Delivered Sales'!Q35</f>
        <v>311646.21913257602</v>
      </c>
      <c r="J25" s="40">
        <f>'F2023 Electric Delivered Sales'!T35</f>
        <v>0</v>
      </c>
      <c r="K25" s="40">
        <f>'F2023 Electric Delivered Sales'!AH35</f>
        <v>145885.18655273502</v>
      </c>
      <c r="L25" s="40">
        <f>'F2023 Electric Delivered Sales'!AK35</f>
        <v>6922.68973100925</v>
      </c>
      <c r="M25" s="41">
        <f t="shared" si="2"/>
        <v>913525556.41964269</v>
      </c>
    </row>
    <row r="26" spans="1:14" x14ac:dyDescent="0.2">
      <c r="A26" s="38">
        <f t="shared" si="1"/>
        <v>19</v>
      </c>
      <c r="B26" s="39" t="s">
        <v>292</v>
      </c>
      <c r="C26" s="40">
        <f>'F2023 Electric Delivered Sales'!E36</f>
        <v>767554271.0998131</v>
      </c>
      <c r="D26" s="40">
        <f>'F2023 Electric Delivered Sales'!F36</f>
        <v>165744.375</v>
      </c>
      <c r="E26" s="40">
        <f>'F2023 Electric Delivered Sales'!G36</f>
        <v>19339546.206479698</v>
      </c>
      <c r="F26" s="40">
        <f>'F2023 Electric Delivered Sales'!H36</f>
        <v>1867431.36092584</v>
      </c>
      <c r="G26" s="40">
        <f>'F2023 Electric Delivered Sales'!I36</f>
        <v>10199718.670936801</v>
      </c>
      <c r="H26" s="40">
        <f>'F2023 Electric Delivered Sales'!J36</f>
        <v>1184975.72317761</v>
      </c>
      <c r="I26" s="40">
        <f>'F2023 Electric Delivered Sales'!Q36</f>
        <v>741102.53632224398</v>
      </c>
      <c r="J26" s="40">
        <f>'F2023 Electric Delivered Sales'!T36</f>
        <v>299910.25243993104</v>
      </c>
      <c r="K26" s="40">
        <f>'F2023 Electric Delivered Sales'!AH36</f>
        <v>134767.930240474</v>
      </c>
      <c r="L26" s="40">
        <f>'F2023 Electric Delivered Sales'!AK36</f>
        <v>6860.1110005933197</v>
      </c>
      <c r="M26" s="41">
        <f t="shared" si="2"/>
        <v>801494328.2663362</v>
      </c>
    </row>
    <row r="27" spans="1:14" x14ac:dyDescent="0.2">
      <c r="A27" s="38">
        <f t="shared" si="1"/>
        <v>20</v>
      </c>
      <c r="B27" s="39" t="s">
        <v>293</v>
      </c>
      <c r="C27" s="40">
        <f>'F2023 Electric Delivered Sales'!E37</f>
        <v>737657927.116436</v>
      </c>
      <c r="D27" s="40">
        <f>'F2023 Electric Delivered Sales'!F37</f>
        <v>183269.5</v>
      </c>
      <c r="E27" s="40">
        <f>'F2023 Electric Delivered Sales'!G37</f>
        <v>18138742.423426598</v>
      </c>
      <c r="F27" s="40">
        <f>'F2023 Electric Delivered Sales'!H37</f>
        <v>1683078.4039176202</v>
      </c>
      <c r="G27" s="40">
        <f>'F2023 Electric Delivered Sales'!I37</f>
        <v>9571117.8531286903</v>
      </c>
      <c r="H27" s="40">
        <f>'F2023 Electric Delivered Sales'!J37</f>
        <v>1063098.8035039399</v>
      </c>
      <c r="I27" s="40">
        <f>'F2023 Electric Delivered Sales'!Q37</f>
        <v>1480583.1046152599</v>
      </c>
      <c r="J27" s="40">
        <f>'F2023 Electric Delivered Sales'!T37</f>
        <v>643461.18404224794</v>
      </c>
      <c r="K27" s="40">
        <f>'F2023 Electric Delivered Sales'!AH37</f>
        <v>133469.323135226</v>
      </c>
      <c r="L27" s="40">
        <f>'F2023 Electric Delivered Sales'!AK37</f>
        <v>6309.5493432162802</v>
      </c>
      <c r="M27" s="41">
        <f t="shared" si="2"/>
        <v>770561057.26154888</v>
      </c>
    </row>
    <row r="28" spans="1:14" x14ac:dyDescent="0.2">
      <c r="A28" s="38">
        <f t="shared" si="1"/>
        <v>21</v>
      </c>
      <c r="B28" s="39" t="s">
        <v>294</v>
      </c>
      <c r="C28" s="40">
        <f>'F2023 Electric Delivered Sales'!E38</f>
        <v>822013176.04654789</v>
      </c>
      <c r="D28" s="40">
        <f>'F2023 Electric Delivered Sales'!F38</f>
        <v>214898.875</v>
      </c>
      <c r="E28" s="40">
        <f>'F2023 Electric Delivered Sales'!G38</f>
        <v>18456126.325851399</v>
      </c>
      <c r="F28" s="40">
        <f>'F2023 Electric Delivered Sales'!H38</f>
        <v>1788522.4567229501</v>
      </c>
      <c r="G28" s="40">
        <f>'F2023 Electric Delivered Sales'!I38</f>
        <v>10243834.1953147</v>
      </c>
      <c r="H28" s="40">
        <f>'F2023 Electric Delivered Sales'!J38</f>
        <v>1385101.56788694</v>
      </c>
      <c r="I28" s="40">
        <f>'F2023 Electric Delivered Sales'!Q38</f>
        <v>2703240.3455343302</v>
      </c>
      <c r="J28" s="40">
        <f>'F2023 Electric Delivered Sales'!T38</f>
        <v>673596.86640973703</v>
      </c>
      <c r="K28" s="40">
        <f>'F2023 Electric Delivered Sales'!AH38</f>
        <v>136331.842819093</v>
      </c>
      <c r="L28" s="40">
        <f>'F2023 Electric Delivered Sales'!AK38</f>
        <v>6971.4859579096192</v>
      </c>
      <c r="M28" s="41">
        <f t="shared" si="2"/>
        <v>857621800.00804496</v>
      </c>
    </row>
    <row r="29" spans="1:14" x14ac:dyDescent="0.2">
      <c r="A29" s="38">
        <f t="shared" si="1"/>
        <v>22</v>
      </c>
      <c r="B29" s="39" t="s">
        <v>295</v>
      </c>
      <c r="C29" s="40">
        <f>'F2023 Electric Delivered Sales'!E39</f>
        <v>830658355.40461993</v>
      </c>
      <c r="D29" s="40">
        <f>'F2023 Electric Delivered Sales'!F39</f>
        <v>236361</v>
      </c>
      <c r="E29" s="40">
        <f>'F2023 Electric Delivered Sales'!G39</f>
        <v>18357623.586616099</v>
      </c>
      <c r="F29" s="40">
        <f>'F2023 Electric Delivered Sales'!H39</f>
        <v>1689543.42946536</v>
      </c>
      <c r="G29" s="40">
        <f>'F2023 Electric Delivered Sales'!I39</f>
        <v>10144136.611567799</v>
      </c>
      <c r="H29" s="40">
        <f>'F2023 Electric Delivered Sales'!J39</f>
        <v>2076672.4712672399</v>
      </c>
      <c r="I29" s="40">
        <f>'F2023 Electric Delivered Sales'!Q39</f>
        <v>4030741.6132977302</v>
      </c>
      <c r="J29" s="40">
        <f>'F2023 Electric Delivered Sales'!T39</f>
        <v>953376.91289674002</v>
      </c>
      <c r="K29" s="40">
        <f>'F2023 Electric Delivered Sales'!AH39</f>
        <v>136601.33687633398</v>
      </c>
      <c r="L29" s="40">
        <f>'F2023 Electric Delivered Sales'!AK39</f>
        <v>6521.94769436344</v>
      </c>
      <c r="M29" s="41">
        <f t="shared" ref="M29:M31" si="3">SUM(C29:L29)</f>
        <v>868289934.31430173</v>
      </c>
    </row>
    <row r="30" spans="1:14" x14ac:dyDescent="0.2">
      <c r="A30" s="38"/>
      <c r="B30" s="39" t="s">
        <v>296</v>
      </c>
      <c r="C30" s="40">
        <f>'F2023 Electric Delivered Sales'!E40</f>
        <v>756916021.87698495</v>
      </c>
      <c r="D30" s="40">
        <f>'F2023 Electric Delivered Sales'!F40</f>
        <v>198473.625</v>
      </c>
      <c r="E30" s="40">
        <f>'F2023 Electric Delivered Sales'!G40</f>
        <v>16619578.5002794</v>
      </c>
      <c r="F30" s="40">
        <f>'F2023 Electric Delivered Sales'!H40</f>
        <v>1528937.6751025601</v>
      </c>
      <c r="G30" s="40">
        <f>'F2023 Electric Delivered Sales'!I40</f>
        <v>9118463.4699794296</v>
      </c>
      <c r="H30" s="40">
        <f>'F2023 Electric Delivered Sales'!J40</f>
        <v>1346793.1645666398</v>
      </c>
      <c r="I30" s="40">
        <f>'F2023 Electric Delivered Sales'!Q40</f>
        <v>2885460.3666402199</v>
      </c>
      <c r="J30" s="40">
        <f>'F2023 Electric Delivered Sales'!T40</f>
        <v>761865.61820814305</v>
      </c>
      <c r="K30" s="40">
        <f>'F2023 Electric Delivered Sales'!AH40</f>
        <v>133365.09094338899</v>
      </c>
      <c r="L30" s="40">
        <f>'F2023 Electric Delivered Sales'!AK40</f>
        <v>6888.1925323934602</v>
      </c>
      <c r="M30" s="41">
        <f t="shared" si="3"/>
        <v>789515847.58023715</v>
      </c>
    </row>
    <row r="31" spans="1:14" x14ac:dyDescent="0.2">
      <c r="A31" s="186">
        <f>+A29+1</f>
        <v>23</v>
      </c>
      <c r="B31" s="42" t="s">
        <v>305</v>
      </c>
      <c r="C31" s="43">
        <f>'F2023 Electric Delivered Sales'!E41</f>
        <v>881188992.76768494</v>
      </c>
      <c r="D31" s="43">
        <f>'F2023 Electric Delivered Sales'!F41</f>
        <v>173928</v>
      </c>
      <c r="E31" s="43">
        <f>'F2023 Electric Delivered Sales'!G41</f>
        <v>18427848.7248124</v>
      </c>
      <c r="F31" s="43">
        <f>'F2023 Electric Delivered Sales'!H41</f>
        <v>1635781.4968052502</v>
      </c>
      <c r="G31" s="43">
        <f>'F2023 Electric Delivered Sales'!I41</f>
        <v>10031291.786978999</v>
      </c>
      <c r="H31" s="43">
        <f>'F2023 Electric Delivered Sales'!J41</f>
        <v>1147681.0488949399</v>
      </c>
      <c r="I31" s="43">
        <f>'F2023 Electric Delivered Sales'!Q41</f>
        <v>1294622.0135055101</v>
      </c>
      <c r="J31" s="43">
        <f>'F2023 Electric Delivered Sales'!T41</f>
        <v>770838.94094505999</v>
      </c>
      <c r="K31" s="43">
        <f>'F2023 Electric Delivered Sales'!AH41</f>
        <v>144167.89269799902</v>
      </c>
      <c r="L31" s="43">
        <f>'F2023 Electric Delivered Sales'!AK41</f>
        <v>6869.84538536729</v>
      </c>
      <c r="M31" s="237">
        <f t="shared" si="3"/>
        <v>914822022.51771021</v>
      </c>
    </row>
    <row r="32" spans="1:14" ht="12" thickBot="1" x14ac:dyDescent="0.25">
      <c r="A32" s="38">
        <f t="shared" si="1"/>
        <v>24</v>
      </c>
      <c r="B32" s="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133" t="s">
        <v>112</v>
      </c>
    </row>
    <row r="33" spans="1:14" ht="12" thickBot="1" x14ac:dyDescent="0.25">
      <c r="A33" s="38">
        <f t="shared" si="1"/>
        <v>25</v>
      </c>
      <c r="B33" s="238" t="s">
        <v>307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239">
        <f>SUM(M8:M19)</f>
        <v>11672994912.115185</v>
      </c>
      <c r="N33" s="134">
        <f>M33-'F2023 Electric Delivered Sales'!B81</f>
        <v>0</v>
      </c>
    </row>
    <row r="34" spans="1:14" ht="12" thickBot="1" x14ac:dyDescent="0.25">
      <c r="A34" s="38">
        <f t="shared" si="1"/>
        <v>26</v>
      </c>
      <c r="B34" s="45" t="s">
        <v>306</v>
      </c>
      <c r="C34" s="44"/>
      <c r="D34" s="44"/>
      <c r="E34" s="44"/>
      <c r="F34" s="44"/>
      <c r="G34" s="44"/>
      <c r="H34" s="44"/>
      <c r="I34" s="44"/>
      <c r="J34" s="44"/>
      <c r="K34" s="46"/>
      <c r="L34" s="46"/>
      <c r="M34" s="239">
        <f>SUM(M20:M31)</f>
        <v>11718493448.873137</v>
      </c>
      <c r="N34" s="134">
        <f>M34-'F2023 Electric Delivered Sales'!B82</f>
        <v>0</v>
      </c>
    </row>
    <row r="35" spans="1:14" ht="12" thickBot="1" x14ac:dyDescent="0.25">
      <c r="A35" s="38">
        <f t="shared" si="1"/>
        <v>27</v>
      </c>
      <c r="B35" s="45" t="s">
        <v>220</v>
      </c>
      <c r="C35" s="44"/>
      <c r="D35" s="44"/>
      <c r="E35" s="44"/>
      <c r="F35" s="44"/>
      <c r="G35" s="44"/>
      <c r="H35" s="44"/>
      <c r="I35" s="44"/>
      <c r="J35" s="44"/>
      <c r="K35" s="46"/>
      <c r="L35" s="46"/>
      <c r="M35" s="239">
        <f>AVERAGE(M33:M34)</f>
        <v>11695744180.49416</v>
      </c>
    </row>
    <row r="36" spans="1:14" x14ac:dyDescent="0.2">
      <c r="M36" s="137"/>
    </row>
    <row r="37" spans="1:14" x14ac:dyDescent="0.2">
      <c r="B37" s="320" t="s">
        <v>349</v>
      </c>
      <c r="C37" s="17"/>
      <c r="D37" s="104"/>
      <c r="E37" s="104"/>
      <c r="F37" s="104"/>
    </row>
  </sheetData>
  <mergeCells count="4">
    <mergeCell ref="A1:N1"/>
    <mergeCell ref="A3:N3"/>
    <mergeCell ref="A4:N4"/>
    <mergeCell ref="A2:N2"/>
  </mergeCells>
  <phoneticPr fontId="0" type="noConversion"/>
  <printOptions horizontalCentered="1"/>
  <pageMargins left="0.75" right="0.75" top="1" bottom="1" header="0.5" footer="0.5"/>
  <pageSetup scale="77" orientation="landscape" cellComments="asDisplayed" horizontalDpi="300" verticalDpi="300" r:id="rId1"/>
  <headerFooter alignWithMargins="0">
    <oddFooter>&amp;CPage &amp;P of &amp;N&amp;R&amp;F
&amp;A</oddFooter>
  </headerFooter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1:AQ8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2" sqref="G12"/>
    </sheetView>
  </sheetViews>
  <sheetFormatPr defaultRowHeight="11.25" x14ac:dyDescent="0.2"/>
  <cols>
    <col min="1" max="1" width="8" style="143" customWidth="1"/>
    <col min="2" max="2" width="12.85546875" style="143" bestFit="1" customWidth="1"/>
    <col min="3" max="3" width="7.42578125" style="143" bestFit="1" customWidth="1"/>
    <col min="4" max="4" width="7.85546875" style="143" bestFit="1" customWidth="1"/>
    <col min="5" max="5" width="11.7109375" style="143" bestFit="1" customWidth="1"/>
    <col min="6" max="6" width="7.85546875" style="143" bestFit="1" customWidth="1"/>
    <col min="7" max="7" width="9.5703125" style="143" bestFit="1" customWidth="1"/>
    <col min="8" max="8" width="8.7109375" style="143" bestFit="1" customWidth="1"/>
    <col min="9" max="9" width="9.5703125" style="143" bestFit="1" customWidth="1"/>
    <col min="10" max="10" width="8.7109375" style="143" bestFit="1" customWidth="1"/>
    <col min="11" max="11" width="9.5703125" style="143" bestFit="1" customWidth="1"/>
    <col min="12" max="12" width="7.85546875" style="143" bestFit="1" customWidth="1"/>
    <col min="13" max="13" width="9.5703125" style="143" bestFit="1" customWidth="1"/>
    <col min="14" max="14" width="8.7109375" style="143" bestFit="1" customWidth="1"/>
    <col min="15" max="15" width="9.5703125" style="143" bestFit="1" customWidth="1"/>
    <col min="16" max="19" width="8.7109375" style="143" bestFit="1" customWidth="1"/>
    <col min="20" max="20" width="7.85546875" style="143" bestFit="1" customWidth="1"/>
    <col min="21" max="21" width="11.85546875" style="143" customWidth="1"/>
    <col min="22" max="22" width="8.42578125" style="143" bestFit="1" customWidth="1"/>
    <col min="23" max="23" width="7.85546875" style="143" bestFit="1" customWidth="1"/>
    <col min="24" max="24" width="8.7109375" style="143" bestFit="1" customWidth="1"/>
    <col min="25" max="25" width="7.85546875" style="143" bestFit="1" customWidth="1"/>
    <col min="26" max="27" width="8.28515625" style="143" bestFit="1" customWidth="1"/>
    <col min="28" max="29" width="7.42578125" style="143" bestFit="1" customWidth="1"/>
    <col min="30" max="31" width="7.85546875" style="143" bestFit="1" customWidth="1"/>
    <col min="32" max="33" width="7.42578125" style="143" bestFit="1" customWidth="1"/>
    <col min="34" max="34" width="7.85546875" style="143" bestFit="1" customWidth="1"/>
    <col min="35" max="37" width="7.42578125" style="143" bestFit="1" customWidth="1"/>
    <col min="38" max="38" width="10.85546875" style="143" bestFit="1" customWidth="1"/>
    <col min="39" max="39" width="9.28515625" style="143" bestFit="1" customWidth="1"/>
    <col min="40" max="40" width="9.5703125" style="143" bestFit="1" customWidth="1"/>
    <col min="41" max="41" width="8.7109375" style="143" bestFit="1" customWidth="1"/>
    <col min="42" max="42" width="12.42578125" style="143" bestFit="1" customWidth="1"/>
    <col min="43" max="43" width="8.7109375" style="143" bestFit="1" customWidth="1"/>
    <col min="44" max="16384" width="9.140625" style="143"/>
  </cols>
  <sheetData>
    <row r="1" spans="1:43" x14ac:dyDescent="0.2">
      <c r="A1" s="167" t="s">
        <v>113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</row>
    <row r="2" spans="1:43" x14ac:dyDescent="0.2">
      <c r="A2" s="168" t="s">
        <v>273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</row>
    <row r="3" spans="1:43" x14ac:dyDescent="0.2">
      <c r="A3" s="167" t="s">
        <v>272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</row>
    <row r="4" spans="1:43" x14ac:dyDescent="0.2">
      <c r="A4" s="166" t="s">
        <v>62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</row>
    <row r="5" spans="1:43" x14ac:dyDescent="0.2">
      <c r="A5" s="165"/>
      <c r="B5" s="166"/>
      <c r="C5" s="166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</row>
    <row r="6" spans="1:43" x14ac:dyDescent="0.2">
      <c r="A6" s="165"/>
      <c r="B6" s="166"/>
      <c r="C6" s="166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5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</row>
    <row r="7" spans="1:43" x14ac:dyDescent="0.2">
      <c r="A7" s="163" t="s">
        <v>63</v>
      </c>
      <c r="B7" s="163" t="s">
        <v>9</v>
      </c>
      <c r="C7" s="163" t="s">
        <v>271</v>
      </c>
      <c r="D7" s="162" t="s">
        <v>270</v>
      </c>
      <c r="E7" s="162" t="s">
        <v>269</v>
      </c>
      <c r="F7" s="162" t="s">
        <v>268</v>
      </c>
      <c r="G7" s="162" t="s">
        <v>267</v>
      </c>
      <c r="H7" s="162" t="s">
        <v>266</v>
      </c>
      <c r="I7" s="162" t="s">
        <v>265</v>
      </c>
      <c r="J7" s="162" t="s">
        <v>264</v>
      </c>
      <c r="K7" s="162" t="s">
        <v>263</v>
      </c>
      <c r="L7" s="162" t="s">
        <v>262</v>
      </c>
      <c r="M7" s="162" t="s">
        <v>261</v>
      </c>
      <c r="N7" s="162" t="s">
        <v>260</v>
      </c>
      <c r="O7" s="162" t="s">
        <v>259</v>
      </c>
      <c r="P7" s="162" t="s">
        <v>258</v>
      </c>
      <c r="Q7" s="162" t="s">
        <v>257</v>
      </c>
      <c r="R7" s="162" t="s">
        <v>256</v>
      </c>
      <c r="S7" s="162" t="s">
        <v>255</v>
      </c>
      <c r="T7" s="162" t="s">
        <v>254</v>
      </c>
      <c r="U7" s="162" t="s">
        <v>253</v>
      </c>
      <c r="V7" s="162" t="s">
        <v>252</v>
      </c>
      <c r="W7" s="162" t="s">
        <v>251</v>
      </c>
      <c r="X7" s="162" t="s">
        <v>250</v>
      </c>
      <c r="Y7" s="162" t="s">
        <v>249</v>
      </c>
      <c r="Z7" s="162" t="s">
        <v>248</v>
      </c>
      <c r="AA7" s="162" t="s">
        <v>247</v>
      </c>
      <c r="AB7" s="162" t="s">
        <v>246</v>
      </c>
      <c r="AC7" s="162" t="s">
        <v>245</v>
      </c>
      <c r="AD7" s="162" t="s">
        <v>244</v>
      </c>
      <c r="AE7" s="162" t="s">
        <v>243</v>
      </c>
      <c r="AF7" s="162" t="s">
        <v>242</v>
      </c>
      <c r="AG7" s="162" t="s">
        <v>241</v>
      </c>
      <c r="AH7" s="162" t="s">
        <v>240</v>
      </c>
      <c r="AI7" s="162" t="s">
        <v>239</v>
      </c>
      <c r="AJ7" s="162" t="s">
        <v>238</v>
      </c>
      <c r="AK7" s="161" t="s">
        <v>237</v>
      </c>
      <c r="AL7" s="160" t="s">
        <v>84</v>
      </c>
      <c r="AM7" s="163" t="s">
        <v>236</v>
      </c>
      <c r="AN7" s="162" t="s">
        <v>235</v>
      </c>
      <c r="AO7" s="161" t="s">
        <v>234</v>
      </c>
      <c r="AP7" s="160" t="s">
        <v>85</v>
      </c>
      <c r="AQ7" s="159" t="s">
        <v>310</v>
      </c>
    </row>
    <row r="8" spans="1:43" x14ac:dyDescent="0.2">
      <c r="A8" s="155">
        <v>2023</v>
      </c>
      <c r="B8" s="155">
        <v>1</v>
      </c>
      <c r="C8" s="158">
        <v>589.99999999999795</v>
      </c>
      <c r="D8" s="157">
        <v>1128752.0423596499</v>
      </c>
      <c r="E8" s="157">
        <v>1233199002.9924099</v>
      </c>
      <c r="F8" s="157">
        <v>259810</v>
      </c>
      <c r="G8" s="157">
        <v>28130227.939986799</v>
      </c>
      <c r="H8" s="157">
        <v>2513339.4479685198</v>
      </c>
      <c r="I8" s="157">
        <v>13600102.910411401</v>
      </c>
      <c r="J8" s="157">
        <v>1591111.4095497101</v>
      </c>
      <c r="K8" s="157">
        <v>230797445.61287183</v>
      </c>
      <c r="L8" s="157">
        <v>7809305.72320069</v>
      </c>
      <c r="M8" s="157">
        <v>238605858.01642036</v>
      </c>
      <c r="N8" s="157">
        <v>12643159.830638601</v>
      </c>
      <c r="O8" s="157">
        <v>139163264.56060171</v>
      </c>
      <c r="P8" s="157">
        <v>14994628.9150798</v>
      </c>
      <c r="Q8" s="157">
        <v>296174.39931032696</v>
      </c>
      <c r="R8" s="157">
        <v>73707072.323089898</v>
      </c>
      <c r="S8" s="157">
        <v>40702299.566143006</v>
      </c>
      <c r="T8" s="157">
        <v>0</v>
      </c>
      <c r="U8" s="157">
        <v>14912253.1083757</v>
      </c>
      <c r="V8" s="157">
        <v>1665891.3208457099</v>
      </c>
      <c r="W8" s="157">
        <v>5743500.3832223201</v>
      </c>
      <c r="X8" s="157">
        <v>37477645.3857731</v>
      </c>
      <c r="Y8" s="157">
        <v>8836603.0415333007</v>
      </c>
      <c r="Z8" s="157">
        <v>1031144.3761902599</v>
      </c>
      <c r="AA8" s="157">
        <v>110190.418926181</v>
      </c>
      <c r="AB8" s="157">
        <v>4414.6576666666597</v>
      </c>
      <c r="AC8" s="157">
        <v>281535.50104048202</v>
      </c>
      <c r="AD8" s="157">
        <v>1026785.31151821</v>
      </c>
      <c r="AE8" s="157">
        <v>2958319.33400374</v>
      </c>
      <c r="AF8" s="157">
        <v>495673.46594475</v>
      </c>
      <c r="AG8" s="157">
        <v>175884.82296912</v>
      </c>
      <c r="AH8" s="157">
        <v>142410.655380854</v>
      </c>
      <c r="AI8" s="157">
        <v>341484.28502584499</v>
      </c>
      <c r="AJ8" s="157">
        <v>175873.251738886</v>
      </c>
      <c r="AK8" s="157">
        <v>7009.7274291333997</v>
      </c>
      <c r="AL8" s="156">
        <v>2114528764.7376266</v>
      </c>
      <c r="AM8" s="157">
        <v>5697625.5414347295</v>
      </c>
      <c r="AN8" s="157">
        <v>137759413.152055</v>
      </c>
      <c r="AO8" s="157">
        <v>26363693.724510599</v>
      </c>
      <c r="AP8" s="156">
        <v>2284349497.1556268</v>
      </c>
      <c r="AQ8" s="156">
        <v>26645815.232999999</v>
      </c>
    </row>
    <row r="9" spans="1:43" x14ac:dyDescent="0.2">
      <c r="A9" s="154"/>
      <c r="B9" s="153">
        <v>2</v>
      </c>
      <c r="C9" s="152">
        <v>589.99999999999795</v>
      </c>
      <c r="D9" s="151">
        <v>563351.8966776341</v>
      </c>
      <c r="E9" s="151">
        <v>1057608977.9159799</v>
      </c>
      <c r="F9" s="151">
        <v>233365.535</v>
      </c>
      <c r="G9" s="151">
        <v>25849612.583047301</v>
      </c>
      <c r="H9" s="151">
        <v>2246213.3721839702</v>
      </c>
      <c r="I9" s="151">
        <v>12376435.177844699</v>
      </c>
      <c r="J9" s="151">
        <v>1466518.6946304301</v>
      </c>
      <c r="K9" s="151">
        <v>210946038.45547074</v>
      </c>
      <c r="L9" s="151">
        <v>7327017.9328255095</v>
      </c>
      <c r="M9" s="151">
        <v>223546072.81592259</v>
      </c>
      <c r="N9" s="151">
        <v>12677694.418908801</v>
      </c>
      <c r="O9" s="151">
        <v>131815311.54591902</v>
      </c>
      <c r="P9" s="151">
        <v>15228962.782524001</v>
      </c>
      <c r="Q9" s="151">
        <v>281552.61533801001</v>
      </c>
      <c r="R9" s="151">
        <v>70052274.216486305</v>
      </c>
      <c r="S9" s="151">
        <v>40057548.094161995</v>
      </c>
      <c r="T9" s="151">
        <v>0</v>
      </c>
      <c r="U9" s="151">
        <v>14292758.158922002</v>
      </c>
      <c r="V9" s="151">
        <v>1573650.17495946</v>
      </c>
      <c r="W9" s="151">
        <v>5615582.1954502696</v>
      </c>
      <c r="X9" s="151">
        <v>33996090.921648696</v>
      </c>
      <c r="Y9" s="151">
        <v>8248323.1831336198</v>
      </c>
      <c r="Z9" s="151">
        <v>774450.37054681103</v>
      </c>
      <c r="AA9" s="151">
        <v>107716.87058862101</v>
      </c>
      <c r="AB9" s="151">
        <v>4414.6576666666597</v>
      </c>
      <c r="AC9" s="151">
        <v>237270.25680660599</v>
      </c>
      <c r="AD9" s="151">
        <v>859069.83980116504</v>
      </c>
      <c r="AE9" s="151">
        <v>2467359.69648202</v>
      </c>
      <c r="AF9" s="151">
        <v>413412.00675331801</v>
      </c>
      <c r="AG9" s="151">
        <v>176893.648260313</v>
      </c>
      <c r="AH9" s="151">
        <v>148737.43418252899</v>
      </c>
      <c r="AI9" s="151">
        <v>182676.65692077301</v>
      </c>
      <c r="AJ9" s="151">
        <v>174567.62818458999</v>
      </c>
      <c r="AK9" s="151">
        <v>6778.2306747869297</v>
      </c>
      <c r="AL9" s="150">
        <v>1881557289.9839029</v>
      </c>
      <c r="AM9" s="151">
        <v>5071180.0543486802</v>
      </c>
      <c r="AN9" s="151">
        <v>122592334.507975</v>
      </c>
      <c r="AO9" s="151">
        <v>22807057.313676801</v>
      </c>
      <c r="AP9" s="150">
        <v>2032027861.8599036</v>
      </c>
      <c r="AQ9" s="150">
        <v>23421842.578000002</v>
      </c>
    </row>
    <row r="10" spans="1:43" x14ac:dyDescent="0.2">
      <c r="A10" s="154"/>
      <c r="B10" s="153">
        <v>3</v>
      </c>
      <c r="C10" s="152">
        <v>589.99999999999795</v>
      </c>
      <c r="D10" s="151">
        <v>713246.47284271894</v>
      </c>
      <c r="E10" s="151">
        <v>1051469810.0270702</v>
      </c>
      <c r="F10" s="151">
        <v>213526.34</v>
      </c>
      <c r="G10" s="151">
        <v>26539446.2658455</v>
      </c>
      <c r="H10" s="151">
        <v>2476151.0115753398</v>
      </c>
      <c r="I10" s="151">
        <v>13134476.824901599</v>
      </c>
      <c r="J10" s="151">
        <v>1571932.65725724</v>
      </c>
      <c r="K10" s="151">
        <v>226374514.60268098</v>
      </c>
      <c r="L10" s="151">
        <v>8488071.3361407109</v>
      </c>
      <c r="M10" s="151">
        <v>239940786.9660387</v>
      </c>
      <c r="N10" s="151">
        <v>14354808.527404401</v>
      </c>
      <c r="O10" s="151">
        <v>138791704.77696228</v>
      </c>
      <c r="P10" s="151">
        <v>17312985.9532151</v>
      </c>
      <c r="Q10" s="151">
        <v>306199.09056296502</v>
      </c>
      <c r="R10" s="151">
        <v>75656229.357290298</v>
      </c>
      <c r="S10" s="151">
        <v>45273296.864469305</v>
      </c>
      <c r="T10" s="151">
        <v>0</v>
      </c>
      <c r="U10" s="151">
        <v>15316459.196919601</v>
      </c>
      <c r="V10" s="151">
        <v>1623053.14736792</v>
      </c>
      <c r="W10" s="151">
        <v>6358117.9854570096</v>
      </c>
      <c r="X10" s="151">
        <v>36824874.562698103</v>
      </c>
      <c r="Y10" s="151">
        <v>8079935.6270586103</v>
      </c>
      <c r="Z10" s="151">
        <v>745235.32773482706</v>
      </c>
      <c r="AA10" s="151">
        <v>103698.75067091201</v>
      </c>
      <c r="AB10" s="151">
        <v>4414.6576666666597</v>
      </c>
      <c r="AC10" s="151">
        <v>255123.54914789199</v>
      </c>
      <c r="AD10" s="151">
        <v>914238.72827574704</v>
      </c>
      <c r="AE10" s="151">
        <v>2625811.8800127502</v>
      </c>
      <c r="AF10" s="151">
        <v>439961.04833055002</v>
      </c>
      <c r="AG10" s="151">
        <v>176142.173036308</v>
      </c>
      <c r="AH10" s="151">
        <v>143292.05613411198</v>
      </c>
      <c r="AI10" s="151">
        <v>206670.77353742</v>
      </c>
      <c r="AJ10" s="151">
        <v>176531.25794217401</v>
      </c>
      <c r="AK10" s="151">
        <v>7054.5508786228702</v>
      </c>
      <c r="AL10" s="150">
        <v>1936618392.3471262</v>
      </c>
      <c r="AM10" s="151">
        <v>5388739.3331968198</v>
      </c>
      <c r="AN10" s="151">
        <v>132004692.358606</v>
      </c>
      <c r="AO10" s="151">
        <v>24606694.322740298</v>
      </c>
      <c r="AP10" s="150">
        <v>2098618518.3616695</v>
      </c>
      <c r="AQ10" s="150">
        <v>24943829.895999998</v>
      </c>
    </row>
    <row r="11" spans="1:43" x14ac:dyDescent="0.2">
      <c r="A11" s="154"/>
      <c r="B11" s="153">
        <v>4</v>
      </c>
      <c r="C11" s="152">
        <v>589.99999999999795</v>
      </c>
      <c r="D11" s="151">
        <v>656943.41295584105</v>
      </c>
      <c r="E11" s="151">
        <v>908664822.91687799</v>
      </c>
      <c r="F11" s="151">
        <v>180149.25</v>
      </c>
      <c r="G11" s="151">
        <v>22590575.923502401</v>
      </c>
      <c r="H11" s="151">
        <v>2187593.2449459601</v>
      </c>
      <c r="I11" s="151">
        <v>11217736.7762124</v>
      </c>
      <c r="J11" s="151">
        <v>1371345.0028506198</v>
      </c>
      <c r="K11" s="151">
        <v>197947201.274602</v>
      </c>
      <c r="L11" s="151">
        <v>6972592.9121889202</v>
      </c>
      <c r="M11" s="151">
        <v>216616863.51228803</v>
      </c>
      <c r="N11" s="151">
        <v>12512164.9500762</v>
      </c>
      <c r="O11" s="151">
        <v>131921457.44438006</v>
      </c>
      <c r="P11" s="151">
        <v>16030910.5184479</v>
      </c>
      <c r="Q11" s="151">
        <v>328805.47518221405</v>
      </c>
      <c r="R11" s="151">
        <v>72158290.673677504</v>
      </c>
      <c r="S11" s="151">
        <v>40877358.341230102</v>
      </c>
      <c r="T11" s="151">
        <v>0</v>
      </c>
      <c r="U11" s="151">
        <v>11757227.23356</v>
      </c>
      <c r="V11" s="151">
        <v>1656515.4808095999</v>
      </c>
      <c r="W11" s="151">
        <v>5973250.8915920695</v>
      </c>
      <c r="X11" s="151">
        <v>35322282.504987501</v>
      </c>
      <c r="Y11" s="151">
        <v>8932599.3507242687</v>
      </c>
      <c r="Z11" s="151">
        <v>647306.870972228</v>
      </c>
      <c r="AA11" s="151">
        <v>87227.212893670498</v>
      </c>
      <c r="AB11" s="151">
        <v>4414.6576666666597</v>
      </c>
      <c r="AC11" s="151">
        <v>270289.83926885598</v>
      </c>
      <c r="AD11" s="151">
        <v>958756.55170598999</v>
      </c>
      <c r="AE11" s="151">
        <v>2753672.8270718497</v>
      </c>
      <c r="AF11" s="151">
        <v>461384.45521542599</v>
      </c>
      <c r="AG11" s="151">
        <v>179622.88159845301</v>
      </c>
      <c r="AH11" s="151">
        <v>151408.86464513899</v>
      </c>
      <c r="AI11" s="151">
        <v>193854.52962117901</v>
      </c>
      <c r="AJ11" s="151">
        <v>177348.895016589</v>
      </c>
      <c r="AK11" s="151">
        <v>6932.3934050272101</v>
      </c>
      <c r="AL11" s="150">
        <v>1711769497.0701733</v>
      </c>
      <c r="AM11" s="151">
        <v>5084113.6330665108</v>
      </c>
      <c r="AN11" s="151">
        <v>122346229.387835</v>
      </c>
      <c r="AO11" s="151">
        <v>22461336.832989097</v>
      </c>
      <c r="AP11" s="150">
        <v>1861661176.9240637</v>
      </c>
      <c r="AQ11" s="150">
        <v>23819517.236000001</v>
      </c>
    </row>
    <row r="12" spans="1:43" x14ac:dyDescent="0.2">
      <c r="A12" s="154"/>
      <c r="B12" s="153">
        <v>5</v>
      </c>
      <c r="C12" s="152">
        <v>589.99999999999795</v>
      </c>
      <c r="D12" s="151">
        <v>453745.342042048</v>
      </c>
      <c r="E12" s="151">
        <v>757191217.76400399</v>
      </c>
      <c r="F12" s="151">
        <v>165744.375</v>
      </c>
      <c r="G12" s="151">
        <v>19565438.9751615</v>
      </c>
      <c r="H12" s="151">
        <v>1930744.64081693</v>
      </c>
      <c r="I12" s="151">
        <v>10229924.2554047</v>
      </c>
      <c r="J12" s="151">
        <v>1225151.0684114401</v>
      </c>
      <c r="K12" s="151">
        <v>189403188.58174917</v>
      </c>
      <c r="L12" s="151">
        <v>6775219.7839183304</v>
      </c>
      <c r="M12" s="151">
        <v>213189376.40076461</v>
      </c>
      <c r="N12" s="151">
        <v>12618192.0586622</v>
      </c>
      <c r="O12" s="151">
        <v>136865851.34382427</v>
      </c>
      <c r="P12" s="151">
        <v>16911006.724389803</v>
      </c>
      <c r="Q12" s="151">
        <v>749758.87717014307</v>
      </c>
      <c r="R12" s="151">
        <v>73130332.094532102</v>
      </c>
      <c r="S12" s="151">
        <v>42941294.693591297</v>
      </c>
      <c r="T12" s="151">
        <v>303413.31071008998</v>
      </c>
      <c r="U12" s="151">
        <v>9755253.9106863495</v>
      </c>
      <c r="V12" s="151">
        <v>1661218.4553394599</v>
      </c>
      <c r="W12" s="151">
        <v>6698608.93353887</v>
      </c>
      <c r="X12" s="151">
        <v>35803297.517822698</v>
      </c>
      <c r="Y12" s="151">
        <v>8961780.3936379291</v>
      </c>
      <c r="Z12" s="151">
        <v>563281.33774756198</v>
      </c>
      <c r="AA12" s="151">
        <v>67729.112893822705</v>
      </c>
      <c r="AB12" s="151">
        <v>4414.6576666666597</v>
      </c>
      <c r="AC12" s="151">
        <v>277115.46839902096</v>
      </c>
      <c r="AD12" s="151">
        <v>973091.52977183391</v>
      </c>
      <c r="AE12" s="151">
        <v>2794844.7382377698</v>
      </c>
      <c r="AF12" s="151">
        <v>468282.90720896597</v>
      </c>
      <c r="AG12" s="151">
        <v>174516.84109720303</v>
      </c>
      <c r="AH12" s="151">
        <v>142318.08331236901</v>
      </c>
      <c r="AI12" s="151">
        <v>387241.800342909</v>
      </c>
      <c r="AJ12" s="151">
        <v>174883.92849483099</v>
      </c>
      <c r="AK12" s="151">
        <v>6977.0112039926507</v>
      </c>
      <c r="AL12" s="150">
        <v>1552565046.9175549</v>
      </c>
      <c r="AM12" s="151">
        <v>5606209.0855913805</v>
      </c>
      <c r="AN12" s="151">
        <v>125180723.93655699</v>
      </c>
      <c r="AO12" s="151">
        <v>24346770.437794197</v>
      </c>
      <c r="AP12" s="150">
        <v>1707698750.3774974</v>
      </c>
      <c r="AQ12" s="150">
        <v>23775373.113000002</v>
      </c>
    </row>
    <row r="13" spans="1:43" x14ac:dyDescent="0.2">
      <c r="A13" s="154"/>
      <c r="B13" s="153">
        <v>6</v>
      </c>
      <c r="C13" s="152">
        <v>589.99999999999795</v>
      </c>
      <c r="D13" s="151">
        <v>316191.35604183102</v>
      </c>
      <c r="E13" s="151">
        <v>721696398.09395695</v>
      </c>
      <c r="F13" s="151">
        <v>183269.5</v>
      </c>
      <c r="G13" s="151">
        <v>18362213.9415312</v>
      </c>
      <c r="H13" s="151">
        <v>1739820.99422476</v>
      </c>
      <c r="I13" s="151">
        <v>9602265.3454274498</v>
      </c>
      <c r="J13" s="151">
        <v>1098939.6649414201</v>
      </c>
      <c r="K13" s="151">
        <v>185799540.57507527</v>
      </c>
      <c r="L13" s="151">
        <v>6489788.4310320793</v>
      </c>
      <c r="M13" s="151">
        <v>213989535.35029462</v>
      </c>
      <c r="N13" s="151">
        <v>12575709.1773942</v>
      </c>
      <c r="O13" s="151">
        <v>139215981.0542897</v>
      </c>
      <c r="P13" s="151">
        <v>17229147.837166402</v>
      </c>
      <c r="Q13" s="151">
        <v>1498824.0689745701</v>
      </c>
      <c r="R13" s="151">
        <v>72668315.429375097</v>
      </c>
      <c r="S13" s="151">
        <v>43585648.252616405</v>
      </c>
      <c r="T13" s="151">
        <v>651388.70427946304</v>
      </c>
      <c r="U13" s="151">
        <v>8222085.0154746091</v>
      </c>
      <c r="V13" s="151">
        <v>1812664.7680647899</v>
      </c>
      <c r="W13" s="151">
        <v>7360954.3233088097</v>
      </c>
      <c r="X13" s="151">
        <v>34952092.003897697</v>
      </c>
      <c r="Y13" s="151">
        <v>8479419.1271246392</v>
      </c>
      <c r="Z13" s="151">
        <v>480564.676238699</v>
      </c>
      <c r="AA13" s="151">
        <v>63429.272893754896</v>
      </c>
      <c r="AB13" s="151">
        <v>4414.6576666666597</v>
      </c>
      <c r="AC13" s="151">
        <v>265680.17519129702</v>
      </c>
      <c r="AD13" s="151">
        <v>923655.92019121698</v>
      </c>
      <c r="AE13" s="151">
        <v>2652859.2732626898</v>
      </c>
      <c r="AF13" s="151">
        <v>444492.90363192605</v>
      </c>
      <c r="AG13" s="151">
        <v>166947.482775126</v>
      </c>
      <c r="AH13" s="151">
        <v>140879.92774350999</v>
      </c>
      <c r="AI13" s="151">
        <v>214173.011846104</v>
      </c>
      <c r="AJ13" s="151">
        <v>164335.14179346399</v>
      </c>
      <c r="AK13" s="151">
        <v>6426.1242582339701</v>
      </c>
      <c r="AL13" s="150">
        <v>1513058641.5819845</v>
      </c>
      <c r="AM13" s="151">
        <v>5265028.1725273598</v>
      </c>
      <c r="AN13" s="151">
        <v>137885013.77633601</v>
      </c>
      <c r="AO13" s="151">
        <v>26380775.3105556</v>
      </c>
      <c r="AP13" s="150">
        <v>1682589458.8414035</v>
      </c>
      <c r="AQ13" s="150">
        <v>23957451.417000003</v>
      </c>
    </row>
    <row r="14" spans="1:43" x14ac:dyDescent="0.2">
      <c r="A14" s="154"/>
      <c r="B14" s="153">
        <v>7</v>
      </c>
      <c r="C14" s="152">
        <v>589.99999999999795</v>
      </c>
      <c r="D14" s="151">
        <v>275197.79103856999</v>
      </c>
      <c r="E14" s="151">
        <v>798904951.02388203</v>
      </c>
      <c r="F14" s="151">
        <v>214898.875</v>
      </c>
      <c r="G14" s="151">
        <v>18654252.715044599</v>
      </c>
      <c r="H14" s="151">
        <v>1840700.9375428499</v>
      </c>
      <c r="I14" s="151">
        <v>10258874.619038301</v>
      </c>
      <c r="J14" s="151">
        <v>1425510.6191247001</v>
      </c>
      <c r="K14" s="151">
        <v>199934647.79025263</v>
      </c>
      <c r="L14" s="151">
        <v>6166278.1126185497</v>
      </c>
      <c r="M14" s="151">
        <v>228966214.52481517</v>
      </c>
      <c r="N14" s="151">
        <v>11973758.545846099</v>
      </c>
      <c r="O14" s="151">
        <v>153335820.37333423</v>
      </c>
      <c r="P14" s="151">
        <v>16446560.756704701</v>
      </c>
      <c r="Q14" s="151">
        <v>2732259.6120546199</v>
      </c>
      <c r="R14" s="151">
        <v>77373046.258655995</v>
      </c>
      <c r="S14" s="151">
        <v>41854319.298057899</v>
      </c>
      <c r="T14" s="151">
        <v>680827.92413860792</v>
      </c>
      <c r="U14" s="151">
        <v>6414380.8076003799</v>
      </c>
      <c r="V14" s="151">
        <v>2139442.0753497104</v>
      </c>
      <c r="W14" s="151">
        <v>8001020.5980756599</v>
      </c>
      <c r="X14" s="151">
        <v>36280944.901534505</v>
      </c>
      <c r="Y14" s="151">
        <v>9229246.6473782007</v>
      </c>
      <c r="Z14" s="151">
        <v>535251.10777351307</v>
      </c>
      <c r="AA14" s="151">
        <v>63472.684004793104</v>
      </c>
      <c r="AB14" s="151">
        <v>4414.6576666666597</v>
      </c>
      <c r="AC14" s="151">
        <v>324412.13138295501</v>
      </c>
      <c r="AD14" s="151">
        <v>1116732.81827599</v>
      </c>
      <c r="AE14" s="151">
        <v>3207401.0981350397</v>
      </c>
      <c r="AF14" s="151">
        <v>537407.71008515405</v>
      </c>
      <c r="AG14" s="151">
        <v>175584.24496549901</v>
      </c>
      <c r="AH14" s="151">
        <v>143502.13366683101</v>
      </c>
      <c r="AI14" s="151">
        <v>224014.69597048001</v>
      </c>
      <c r="AJ14" s="151">
        <v>175857.29005364998</v>
      </c>
      <c r="AK14" s="151">
        <v>7067.1360055552996</v>
      </c>
      <c r="AL14" s="150">
        <v>1639618862.515074</v>
      </c>
      <c r="AM14" s="151">
        <v>5369402.4264000896</v>
      </c>
      <c r="AN14" s="151">
        <v>144132432.180509</v>
      </c>
      <c r="AO14" s="151">
        <v>27238283.712629501</v>
      </c>
      <c r="AP14" s="150">
        <v>1816358980.8346128</v>
      </c>
      <c r="AQ14" s="150">
        <v>26489769.160999998</v>
      </c>
    </row>
    <row r="15" spans="1:43" x14ac:dyDescent="0.2">
      <c r="A15" s="154"/>
      <c r="B15" s="153">
        <v>8</v>
      </c>
      <c r="C15" s="152">
        <v>589.99999999999795</v>
      </c>
      <c r="D15" s="151">
        <v>266824.141981186</v>
      </c>
      <c r="E15" s="151">
        <v>804454489.60931396</v>
      </c>
      <c r="F15" s="151">
        <v>236361</v>
      </c>
      <c r="G15" s="151">
        <v>18515819.072619699</v>
      </c>
      <c r="H15" s="151">
        <v>1740220.09492414</v>
      </c>
      <c r="I15" s="151">
        <v>10135139.410012299</v>
      </c>
      <c r="J15" s="151">
        <v>2138960.7997342702</v>
      </c>
      <c r="K15" s="151">
        <v>200053977.90249625</v>
      </c>
      <c r="L15" s="151">
        <v>6717218.3554034196</v>
      </c>
      <c r="M15" s="151">
        <v>229315431.96608537</v>
      </c>
      <c r="N15" s="151">
        <v>13219558.5866496</v>
      </c>
      <c r="O15" s="151">
        <v>155837008.74575475</v>
      </c>
      <c r="P15" s="151">
        <v>18173464.929486599</v>
      </c>
      <c r="Q15" s="151">
        <v>4065476.2359716301</v>
      </c>
      <c r="R15" s="151">
        <v>76655904.065023705</v>
      </c>
      <c r="S15" s="151">
        <v>45412476.606486507</v>
      </c>
      <c r="T15" s="151">
        <v>961592.569099118</v>
      </c>
      <c r="U15" s="151">
        <v>5306053.5468998998</v>
      </c>
      <c r="V15" s="151">
        <v>2130391.7373395404</v>
      </c>
      <c r="W15" s="151">
        <v>7413057.2073120903</v>
      </c>
      <c r="X15" s="151">
        <v>36343566.889940903</v>
      </c>
      <c r="Y15" s="151">
        <v>9307884.2317324709</v>
      </c>
      <c r="Z15" s="151">
        <v>513554.46984143899</v>
      </c>
      <c r="AA15" s="151">
        <v>66369.617323953091</v>
      </c>
      <c r="AB15" s="151">
        <v>4414.6576666666597</v>
      </c>
      <c r="AC15" s="151">
        <v>300703.69394773501</v>
      </c>
      <c r="AD15" s="151">
        <v>1025024.42861538</v>
      </c>
      <c r="AE15" s="151">
        <v>2944002.7409884003</v>
      </c>
      <c r="AF15" s="151">
        <v>493274.68661120295</v>
      </c>
      <c r="AG15" s="151">
        <v>170842.68307012701</v>
      </c>
      <c r="AH15" s="151">
        <v>143475.45878101399</v>
      </c>
      <c r="AI15" s="151">
        <v>207522.51861285602</v>
      </c>
      <c r="AJ15" s="151">
        <v>168030.10369354099</v>
      </c>
      <c r="AK15" s="151">
        <v>6607.9874943494397</v>
      </c>
      <c r="AL15" s="150">
        <v>1654445290.7509141</v>
      </c>
      <c r="AM15" s="151">
        <v>5390473.9787382297</v>
      </c>
      <c r="AN15" s="151">
        <v>143434554.101513</v>
      </c>
      <c r="AO15" s="151">
        <v>28301388.411624599</v>
      </c>
      <c r="AP15" s="150">
        <v>1831571707.24279</v>
      </c>
      <c r="AQ15" s="150">
        <v>27146373.211999997</v>
      </c>
    </row>
    <row r="16" spans="1:43" x14ac:dyDescent="0.2">
      <c r="A16" s="154"/>
      <c r="B16" s="153">
        <v>9</v>
      </c>
      <c r="C16" s="152">
        <v>589.99999999999795</v>
      </c>
      <c r="D16" s="151">
        <v>303455.82264052099</v>
      </c>
      <c r="E16" s="151">
        <v>736809003.36971402</v>
      </c>
      <c r="F16" s="151">
        <v>198473.625</v>
      </c>
      <c r="G16" s="151">
        <v>16754962.1927948</v>
      </c>
      <c r="H16" s="151">
        <v>1579167.65324026</v>
      </c>
      <c r="I16" s="151">
        <v>9115549.4936294705</v>
      </c>
      <c r="J16" s="151">
        <v>1391039.1742724602</v>
      </c>
      <c r="K16" s="151">
        <v>180364086.48515782</v>
      </c>
      <c r="L16" s="151">
        <v>6200883.2516812896</v>
      </c>
      <c r="M16" s="151">
        <v>207564496.04435828</v>
      </c>
      <c r="N16" s="151">
        <v>12139560.4959794</v>
      </c>
      <c r="O16" s="151">
        <v>135528107.2425991</v>
      </c>
      <c r="P16" s="151">
        <v>16122099.325843999</v>
      </c>
      <c r="Q16" s="151">
        <v>2908965.43200851</v>
      </c>
      <c r="R16" s="151">
        <v>68309899.629993603</v>
      </c>
      <c r="S16" s="151">
        <v>41692309.681951001</v>
      </c>
      <c r="T16" s="151">
        <v>768071.80331637594</v>
      </c>
      <c r="U16" s="151">
        <v>5857837.7568670399</v>
      </c>
      <c r="V16" s="151">
        <v>1842640.6470208899</v>
      </c>
      <c r="W16" s="151">
        <v>6311600.0385459606</v>
      </c>
      <c r="X16" s="151">
        <v>35615760.647003196</v>
      </c>
      <c r="Y16" s="151">
        <v>8121573.0012063105</v>
      </c>
      <c r="Z16" s="151">
        <v>617127.21844573691</v>
      </c>
      <c r="AA16" s="151">
        <v>67440.283997858001</v>
      </c>
      <c r="AB16" s="151">
        <v>4414.6576666666597</v>
      </c>
      <c r="AC16" s="151">
        <v>307211.19924169499</v>
      </c>
      <c r="AD16" s="151">
        <v>1037091.49715146</v>
      </c>
      <c r="AE16" s="151">
        <v>2978660.9226416098</v>
      </c>
      <c r="AF16" s="151">
        <v>499081.74767656199</v>
      </c>
      <c r="AG16" s="151">
        <v>171052.05903961998</v>
      </c>
      <c r="AH16" s="151">
        <v>139371.066309063</v>
      </c>
      <c r="AI16" s="151">
        <v>261256.78160813497</v>
      </c>
      <c r="AJ16" s="151">
        <v>171392.71377139702</v>
      </c>
      <c r="AK16" s="151">
        <v>6930.7582406155498</v>
      </c>
      <c r="AL16" s="150">
        <v>1501761163.7206142</v>
      </c>
      <c r="AM16" s="151">
        <v>4818825.13771779</v>
      </c>
      <c r="AN16" s="151">
        <v>135023900.66299102</v>
      </c>
      <c r="AO16" s="151">
        <v>26166092.633272201</v>
      </c>
      <c r="AP16" s="150">
        <v>1667769982.1545951</v>
      </c>
      <c r="AQ16" s="150">
        <v>24716404.288999997</v>
      </c>
    </row>
    <row r="17" spans="1:43" x14ac:dyDescent="0.2">
      <c r="A17" s="154"/>
      <c r="B17" s="153">
        <v>10</v>
      </c>
      <c r="C17" s="152">
        <v>589.99999999999795</v>
      </c>
      <c r="D17" s="151">
        <v>478271.99885301699</v>
      </c>
      <c r="E17" s="151">
        <v>867518030.40715706</v>
      </c>
      <c r="F17" s="151">
        <v>173928</v>
      </c>
      <c r="G17" s="151">
        <v>18566108.1225692</v>
      </c>
      <c r="H17" s="151">
        <v>1686777.0923750401</v>
      </c>
      <c r="I17" s="151">
        <v>10023494.608096</v>
      </c>
      <c r="J17" s="151">
        <v>1183460.0809520101</v>
      </c>
      <c r="K17" s="151">
        <v>187981541.13079706</v>
      </c>
      <c r="L17" s="151">
        <v>6036210.89665116</v>
      </c>
      <c r="M17" s="151">
        <v>218959338.91443035</v>
      </c>
      <c r="N17" s="151">
        <v>11980474.493404001</v>
      </c>
      <c r="O17" s="151">
        <v>141133997.41740409</v>
      </c>
      <c r="P17" s="151">
        <v>16176318.423478801</v>
      </c>
      <c r="Q17" s="151">
        <v>1304335.2286823299</v>
      </c>
      <c r="R17" s="151">
        <v>72512305.720277905</v>
      </c>
      <c r="S17" s="151">
        <v>41821146.708410196</v>
      </c>
      <c r="T17" s="151">
        <v>776622.34677468601</v>
      </c>
      <c r="U17" s="151">
        <v>8443600.0467555895</v>
      </c>
      <c r="V17" s="151">
        <v>1495149.9074860602</v>
      </c>
      <c r="W17" s="151">
        <v>6089253.5935778292</v>
      </c>
      <c r="X17" s="151">
        <v>36126638.345194399</v>
      </c>
      <c r="Y17" s="151">
        <v>8512271.8611972202</v>
      </c>
      <c r="Z17" s="151">
        <v>788433.63075596909</v>
      </c>
      <c r="AA17" s="151">
        <v>71363.639537717099</v>
      </c>
      <c r="AB17" s="151">
        <v>4414.6576666666597</v>
      </c>
      <c r="AC17" s="151">
        <v>348631.844184888</v>
      </c>
      <c r="AD17" s="151">
        <v>1165660.77900666</v>
      </c>
      <c r="AE17" s="151">
        <v>3347928.5299511296</v>
      </c>
      <c r="AF17" s="151">
        <v>560953.41672606801</v>
      </c>
      <c r="AG17" s="151">
        <v>178415.257420749</v>
      </c>
      <c r="AH17" s="151">
        <v>150284.78470434499</v>
      </c>
      <c r="AI17" s="151">
        <v>470927.78701069998</v>
      </c>
      <c r="AJ17" s="151">
        <v>175810.17030969702</v>
      </c>
      <c r="AK17" s="151">
        <v>6907.6302323764494</v>
      </c>
      <c r="AL17" s="150">
        <v>1666249597.4720311</v>
      </c>
      <c r="AM17" s="151">
        <v>4632547.1605164399</v>
      </c>
      <c r="AN17" s="151">
        <v>135212902.273498</v>
      </c>
      <c r="AO17" s="151">
        <v>26580174.0093465</v>
      </c>
      <c r="AP17" s="150">
        <v>1832675220.9153922</v>
      </c>
      <c r="AQ17" s="150">
        <v>24706922.309999999</v>
      </c>
    </row>
    <row r="18" spans="1:43" x14ac:dyDescent="0.2">
      <c r="A18" s="154"/>
      <c r="B18" s="153">
        <v>11</v>
      </c>
      <c r="C18" s="152">
        <v>589.99999999999795</v>
      </c>
      <c r="D18" s="151">
        <v>659269.24182298209</v>
      </c>
      <c r="E18" s="151">
        <v>1041166324.80314</v>
      </c>
      <c r="F18" s="151">
        <v>196629.25</v>
      </c>
      <c r="G18" s="151">
        <v>20860062.5425064</v>
      </c>
      <c r="H18" s="151">
        <v>1846462.0251818702</v>
      </c>
      <c r="I18" s="151">
        <v>11217472.865198901</v>
      </c>
      <c r="J18" s="151">
        <v>1263976.1997577299</v>
      </c>
      <c r="K18" s="151">
        <v>196046689.71377233</v>
      </c>
      <c r="L18" s="151">
        <v>6348753.0046168501</v>
      </c>
      <c r="M18" s="151">
        <v>219249569.75122797</v>
      </c>
      <c r="N18" s="151">
        <v>11723665.7342117</v>
      </c>
      <c r="O18" s="151">
        <v>141334357.70957687</v>
      </c>
      <c r="P18" s="151">
        <v>15047811.489871299</v>
      </c>
      <c r="Q18" s="151">
        <v>371452.91631802003</v>
      </c>
      <c r="R18" s="151">
        <v>73167281.216016203</v>
      </c>
      <c r="S18" s="151">
        <v>39616399.313086897</v>
      </c>
      <c r="T18" s="151">
        <v>304713.71278100001</v>
      </c>
      <c r="U18" s="151">
        <v>10886017.8272804</v>
      </c>
      <c r="V18" s="151">
        <v>1510244.9906027301</v>
      </c>
      <c r="W18" s="151">
        <v>5067116.1127085499</v>
      </c>
      <c r="X18" s="151">
        <v>35671902.207028598</v>
      </c>
      <c r="Y18" s="151">
        <v>8268489.6238106191</v>
      </c>
      <c r="Z18" s="151">
        <v>801839.70367950597</v>
      </c>
      <c r="AA18" s="151">
        <v>89630.050449432907</v>
      </c>
      <c r="AB18" s="151">
        <v>4414.6576666666597</v>
      </c>
      <c r="AC18" s="151">
        <v>307863.27126220299</v>
      </c>
      <c r="AD18" s="151">
        <v>1019595.3897286</v>
      </c>
      <c r="AE18" s="151">
        <v>2928409.8390853703</v>
      </c>
      <c r="AF18" s="151">
        <v>490662.05867696798</v>
      </c>
      <c r="AG18" s="151">
        <v>166827.258140669</v>
      </c>
      <c r="AH18" s="151">
        <v>135968.75708559802</v>
      </c>
      <c r="AI18" s="151">
        <v>235261.040398988</v>
      </c>
      <c r="AJ18" s="151">
        <v>167317.27486508299</v>
      </c>
      <c r="AK18" s="151">
        <v>6713.6567894797799</v>
      </c>
      <c r="AL18" s="150">
        <v>1848179755.2083461</v>
      </c>
      <c r="AM18" s="151">
        <v>4543039.3524747398</v>
      </c>
      <c r="AN18" s="151">
        <v>133598389.742828</v>
      </c>
      <c r="AO18" s="151">
        <v>25053034.379129898</v>
      </c>
      <c r="AP18" s="150">
        <v>2011374218.6827786</v>
      </c>
      <c r="AQ18" s="150">
        <v>26143386.014999997</v>
      </c>
    </row>
    <row r="19" spans="1:43" x14ac:dyDescent="0.2">
      <c r="A19" s="149"/>
      <c r="B19" s="148">
        <v>12</v>
      </c>
      <c r="C19" s="147">
        <v>589.99999999999795</v>
      </c>
      <c r="D19" s="146">
        <v>874904.36358921393</v>
      </c>
      <c r="E19" s="146">
        <v>1264875204.4405499</v>
      </c>
      <c r="F19" s="146">
        <v>242994.14285714302</v>
      </c>
      <c r="G19" s="146">
        <v>26865212.337403797</v>
      </c>
      <c r="H19" s="146">
        <v>2332558.74283766</v>
      </c>
      <c r="I19" s="146">
        <v>13205755.8671859</v>
      </c>
      <c r="J19" s="146">
        <v>1498910.6558940101</v>
      </c>
      <c r="K19" s="146">
        <v>226891228.54564685</v>
      </c>
      <c r="L19" s="146">
        <v>6608397.7475512</v>
      </c>
      <c r="M19" s="146">
        <v>246225186.78545767</v>
      </c>
      <c r="N19" s="146">
        <v>11516133.623682899</v>
      </c>
      <c r="O19" s="146">
        <v>149730683.21682566</v>
      </c>
      <c r="P19" s="146">
        <v>14029631.416329999</v>
      </c>
      <c r="Q19" s="146">
        <v>265815.494744892</v>
      </c>
      <c r="R19" s="146">
        <v>77578207.501966402</v>
      </c>
      <c r="S19" s="146">
        <v>37409466.097286597</v>
      </c>
      <c r="T19" s="146">
        <v>0</v>
      </c>
      <c r="U19" s="146">
        <v>14082056.989842201</v>
      </c>
      <c r="V19" s="146">
        <v>1679278.6233675098</v>
      </c>
      <c r="W19" s="146">
        <v>5441203.4557413999</v>
      </c>
      <c r="X19" s="146">
        <v>36704096.082566701</v>
      </c>
      <c r="Y19" s="146">
        <v>8748192.4385786802</v>
      </c>
      <c r="Z19" s="146">
        <v>1002423.9429419501</v>
      </c>
      <c r="AA19" s="146">
        <v>108908.459927082</v>
      </c>
      <c r="AB19" s="146">
        <v>4414.6576666666597</v>
      </c>
      <c r="AC19" s="146">
        <v>336276.14637464599</v>
      </c>
      <c r="AD19" s="146">
        <v>1103239.74600515</v>
      </c>
      <c r="AE19" s="146">
        <v>3168647.2493088599</v>
      </c>
      <c r="AF19" s="146">
        <v>530914.41020857496</v>
      </c>
      <c r="AG19" s="146">
        <v>171710.31484651699</v>
      </c>
      <c r="AH19" s="146">
        <v>144069.47767498801</v>
      </c>
      <c r="AI19" s="146">
        <v>240249.62879934401</v>
      </c>
      <c r="AJ19" s="146">
        <v>168803.11864394203</v>
      </c>
      <c r="AK19" s="146">
        <v>6659.3235988671204</v>
      </c>
      <c r="AL19" s="145">
        <v>2153792025.0459032</v>
      </c>
      <c r="AM19" s="146">
        <v>4946969.8740437599</v>
      </c>
      <c r="AN19" s="146">
        <v>136573465.93939802</v>
      </c>
      <c r="AO19" s="146">
        <v>25657466.181662902</v>
      </c>
      <c r="AP19" s="145">
        <v>2320969927.041008</v>
      </c>
      <c r="AQ19" s="145">
        <v>28874971.001999997</v>
      </c>
    </row>
    <row r="20" spans="1:43" x14ac:dyDescent="0.2">
      <c r="A20" s="155">
        <f>A8+1</f>
        <v>2024</v>
      </c>
      <c r="B20" s="155">
        <v>1</v>
      </c>
      <c r="C20" s="158">
        <v>589.99999999999795</v>
      </c>
      <c r="D20" s="157">
        <v>855565.87971811299</v>
      </c>
      <c r="E20" s="157">
        <v>1192691743.2576599</v>
      </c>
      <c r="F20" s="157">
        <v>259810</v>
      </c>
      <c r="G20" s="157">
        <v>27813780.3325046</v>
      </c>
      <c r="H20" s="157">
        <v>2530274.5451644901</v>
      </c>
      <c r="I20" s="157">
        <v>13479396.110401299</v>
      </c>
      <c r="J20" s="157">
        <v>1601832.4549668401</v>
      </c>
      <c r="K20" s="157">
        <v>229541221.56578368</v>
      </c>
      <c r="L20" s="157">
        <v>7655008.4437875701</v>
      </c>
      <c r="M20" s="157">
        <v>237440044.67140436</v>
      </c>
      <c r="N20" s="157">
        <v>12393354.632302301</v>
      </c>
      <c r="O20" s="157">
        <v>149106082.16658735</v>
      </c>
      <c r="P20" s="157">
        <v>14698363.0843629</v>
      </c>
      <c r="Q20" s="157">
        <v>292842.62111573998</v>
      </c>
      <c r="R20" s="157">
        <v>78560131.171277002</v>
      </c>
      <c r="S20" s="157">
        <v>39898098.231028698</v>
      </c>
      <c r="T20" s="157">
        <v>0</v>
      </c>
      <c r="U20" s="157">
        <v>14744499.515039001</v>
      </c>
      <c r="V20" s="157">
        <v>1657929.91103097</v>
      </c>
      <c r="W20" s="157">
        <v>5700654.6769037796</v>
      </c>
      <c r="X20" s="157">
        <v>37302025.238667399</v>
      </c>
      <c r="Y20" s="157">
        <v>8771915.997836709</v>
      </c>
      <c r="Z20" s="157">
        <v>997452.93988059903</v>
      </c>
      <c r="AA20" s="157">
        <v>110190.418926181</v>
      </c>
      <c r="AB20" s="157">
        <v>4414.6576666666597</v>
      </c>
      <c r="AC20" s="157">
        <v>327649.49862566905</v>
      </c>
      <c r="AD20" s="157">
        <v>1064940.81676492</v>
      </c>
      <c r="AE20" s="157">
        <v>3058647.77074767</v>
      </c>
      <c r="AF20" s="157">
        <v>512483.73500599305</v>
      </c>
      <c r="AG20" s="157">
        <v>172334.80350611199</v>
      </c>
      <c r="AH20" s="157">
        <v>136964.33891802499</v>
      </c>
      <c r="AI20" s="157">
        <v>353065.38247379899</v>
      </c>
      <c r="AJ20" s="157">
        <v>169043.05064750201</v>
      </c>
      <c r="AK20" s="157">
        <v>6868.2446770475199</v>
      </c>
      <c r="AL20" s="156">
        <v>2083909220.1653833</v>
      </c>
      <c r="AM20" s="157">
        <v>5679938.9346383195</v>
      </c>
      <c r="AN20" s="157">
        <v>137331779.472866</v>
      </c>
      <c r="AO20" s="157">
        <v>26281855.3725137</v>
      </c>
      <c r="AP20" s="156">
        <v>2253202793.9454012</v>
      </c>
      <c r="AQ20" s="156">
        <v>26645815.232999999</v>
      </c>
    </row>
    <row r="21" spans="1:43" x14ac:dyDescent="0.2">
      <c r="A21" s="154"/>
      <c r="B21" s="153">
        <v>2</v>
      </c>
      <c r="C21" s="152">
        <v>589.99999999999795</v>
      </c>
      <c r="D21" s="151">
        <v>885131.02685962501</v>
      </c>
      <c r="E21" s="151">
        <v>1075657420.9360201</v>
      </c>
      <c r="F21" s="151">
        <v>233365.535</v>
      </c>
      <c r="G21" s="151">
        <v>25058783.476412997</v>
      </c>
      <c r="H21" s="151">
        <v>2224874.4670955599</v>
      </c>
      <c r="I21" s="151">
        <v>11962045.125668699</v>
      </c>
      <c r="J21" s="151">
        <v>1452586.84664902</v>
      </c>
      <c r="K21" s="151">
        <v>205829197.09850881</v>
      </c>
      <c r="L21" s="151">
        <v>7206852.9477127902</v>
      </c>
      <c r="M21" s="151">
        <v>218228566.87651831</v>
      </c>
      <c r="N21" s="151">
        <v>12469776.958479701</v>
      </c>
      <c r="O21" s="151">
        <v>139152253.45427388</v>
      </c>
      <c r="P21" s="151">
        <v>14979203.862480201</v>
      </c>
      <c r="Q21" s="151">
        <v>272938.94646606996</v>
      </c>
      <c r="R21" s="151">
        <v>73539440.461367995</v>
      </c>
      <c r="S21" s="151">
        <v>39400593.967050798</v>
      </c>
      <c r="T21" s="151">
        <v>0</v>
      </c>
      <c r="U21" s="151">
        <v>13855493.223912001</v>
      </c>
      <c r="V21" s="151">
        <v>1626111.00776819</v>
      </c>
      <c r="W21" s="151">
        <v>5791233.8177327104</v>
      </c>
      <c r="X21" s="151">
        <v>35132278.661460899</v>
      </c>
      <c r="Y21" s="151">
        <v>8507334.01460867</v>
      </c>
      <c r="Z21" s="151">
        <v>793306.544258793</v>
      </c>
      <c r="AA21" s="151">
        <v>107716.87058862101</v>
      </c>
      <c r="AB21" s="151">
        <v>4414.6576666666597</v>
      </c>
      <c r="AC21" s="151">
        <v>292911.59281819302</v>
      </c>
      <c r="AD21" s="151">
        <v>943261.73618003307</v>
      </c>
      <c r="AE21" s="151">
        <v>2709169.7127010599</v>
      </c>
      <c r="AF21" s="151">
        <v>453927.85217330302</v>
      </c>
      <c r="AG21" s="151">
        <v>177936.46461262502</v>
      </c>
      <c r="AH21" s="151">
        <v>146989.31541398901</v>
      </c>
      <c r="AI21" s="151">
        <v>200579.618307325</v>
      </c>
      <c r="AJ21" s="151">
        <v>172248.69473933298</v>
      </c>
      <c r="AK21" s="151">
        <v>6818.1894288571102</v>
      </c>
      <c r="AL21" s="150">
        <v>1899475353.9609361</v>
      </c>
      <c r="AM21" s="151">
        <v>5324543.6320088999</v>
      </c>
      <c r="AN21" s="151">
        <v>128717226.965308</v>
      </c>
      <c r="AO21" s="151">
        <v>23946531.277323499</v>
      </c>
      <c r="AP21" s="150">
        <v>2057463655.8355763</v>
      </c>
      <c r="AQ21" s="150">
        <v>23421842.578000002</v>
      </c>
    </row>
    <row r="22" spans="1:43" x14ac:dyDescent="0.2">
      <c r="A22" s="154"/>
      <c r="B22" s="153">
        <v>3</v>
      </c>
      <c r="C22" s="152">
        <v>589.99999999999795</v>
      </c>
      <c r="D22" s="151">
        <v>836527.18470560608</v>
      </c>
      <c r="E22" s="151">
        <v>1040534573.62798</v>
      </c>
      <c r="F22" s="151">
        <v>213526.34</v>
      </c>
      <c r="G22" s="151">
        <v>25054948.374284398</v>
      </c>
      <c r="H22" s="151">
        <v>2395675.3372626398</v>
      </c>
      <c r="I22" s="151">
        <v>12274940.531071002</v>
      </c>
      <c r="J22" s="151">
        <v>1520844.35934021</v>
      </c>
      <c r="K22" s="151">
        <v>215154712.62799975</v>
      </c>
      <c r="L22" s="151">
        <v>7737487.4062884599</v>
      </c>
      <c r="M22" s="151">
        <v>228140776.75055701</v>
      </c>
      <c r="N22" s="151">
        <v>13085440.2374727</v>
      </c>
      <c r="O22" s="151">
        <v>144567583.82284072</v>
      </c>
      <c r="P22" s="151">
        <v>15782031.685793899</v>
      </c>
      <c r="Q22" s="151">
        <v>289071.68331469805</v>
      </c>
      <c r="R22" s="151">
        <v>78322645.436249986</v>
      </c>
      <c r="S22" s="151">
        <v>41269865.727738097</v>
      </c>
      <c r="T22" s="151">
        <v>0</v>
      </c>
      <c r="U22" s="151">
        <v>14459724.9924359</v>
      </c>
      <c r="V22" s="151">
        <v>1623152.1569568699</v>
      </c>
      <c r="W22" s="151">
        <v>6530820.1685013399</v>
      </c>
      <c r="X22" s="151">
        <v>36830507.285405703</v>
      </c>
      <c r="Y22" s="151">
        <v>8300206.2346096206</v>
      </c>
      <c r="Z22" s="151">
        <v>849308.99452865799</v>
      </c>
      <c r="AA22" s="151">
        <v>103698.75067091201</v>
      </c>
      <c r="AB22" s="151">
        <v>4414.6576666666597</v>
      </c>
      <c r="AC22" s="151">
        <v>351359.30021873099</v>
      </c>
      <c r="AD22" s="151">
        <v>1121149.8872611502</v>
      </c>
      <c r="AE22" s="151">
        <v>3220087.4915871499</v>
      </c>
      <c r="AF22" s="151">
        <v>539533.34559058095</v>
      </c>
      <c r="AG22" s="151">
        <v>168920.258278166</v>
      </c>
      <c r="AH22" s="151">
        <v>134882.261993263</v>
      </c>
      <c r="AI22" s="151">
        <v>253444.64994242199</v>
      </c>
      <c r="AJ22" s="151">
        <v>166060.39959492101</v>
      </c>
      <c r="AK22" s="151">
        <v>6765.3108617423704</v>
      </c>
      <c r="AL22" s="150">
        <v>1901845277.2790034</v>
      </c>
      <c r="AM22" s="151">
        <v>5487793.3634467497</v>
      </c>
      <c r="AN22" s="151">
        <v>134431159.103708</v>
      </c>
      <c r="AO22" s="151">
        <v>25059006.467211701</v>
      </c>
      <c r="AP22" s="150">
        <v>2066823236.2133698</v>
      </c>
      <c r="AQ22" s="150">
        <v>24943829.895999998</v>
      </c>
    </row>
    <row r="23" spans="1:43" x14ac:dyDescent="0.2">
      <c r="A23" s="154"/>
      <c r="B23" s="153">
        <v>4</v>
      </c>
      <c r="C23" s="152">
        <v>589.99999999999795</v>
      </c>
      <c r="D23" s="151">
        <v>595879.39488679206</v>
      </c>
      <c r="E23" s="151">
        <v>871564901.43307793</v>
      </c>
      <c r="F23" s="151">
        <v>180149.25</v>
      </c>
      <c r="G23" s="151">
        <v>21480881.678410102</v>
      </c>
      <c r="H23" s="151">
        <v>2103417.0861166799</v>
      </c>
      <c r="I23" s="151">
        <v>10580555.434001701</v>
      </c>
      <c r="J23" s="151">
        <v>1318577.1699655999</v>
      </c>
      <c r="K23" s="151">
        <v>189627771.8440989</v>
      </c>
      <c r="L23" s="151">
        <v>6697552.9346463401</v>
      </c>
      <c r="M23" s="151">
        <v>207549985.29733142</v>
      </c>
      <c r="N23" s="151">
        <v>12018611.7468106</v>
      </c>
      <c r="O23" s="151">
        <v>137205974.4827503</v>
      </c>
      <c r="P23" s="151">
        <v>15398557.3430211</v>
      </c>
      <c r="Q23" s="151">
        <v>312653.89300032897</v>
      </c>
      <c r="R23" s="151">
        <v>74564592.722236499</v>
      </c>
      <c r="S23" s="151">
        <v>39264915.472162299</v>
      </c>
      <c r="T23" s="151">
        <v>0</v>
      </c>
      <c r="U23" s="151">
        <v>11179688.730623901</v>
      </c>
      <c r="V23" s="151">
        <v>1657572.3812251799</v>
      </c>
      <c r="W23" s="151">
        <v>5971796.7435941696</v>
      </c>
      <c r="X23" s="151">
        <v>35347754.669139303</v>
      </c>
      <c r="Y23" s="151">
        <v>8931508.7397258505</v>
      </c>
      <c r="Z23" s="151">
        <v>636154.30507681798</v>
      </c>
      <c r="AA23" s="151">
        <v>87227.212893670498</v>
      </c>
      <c r="AB23" s="151">
        <v>4414.6576666666597</v>
      </c>
      <c r="AC23" s="151">
        <v>324705.65778555197</v>
      </c>
      <c r="AD23" s="151">
        <v>1026726.69111553</v>
      </c>
      <c r="AE23" s="151">
        <v>2948891.8590683402</v>
      </c>
      <c r="AF23" s="151">
        <v>494093.87001586205</v>
      </c>
      <c r="AG23" s="151">
        <v>179621.57753814</v>
      </c>
      <c r="AH23" s="151">
        <v>148748.19078699203</v>
      </c>
      <c r="AI23" s="151">
        <v>207597.66324574401</v>
      </c>
      <c r="AJ23" s="151">
        <v>173955.40700542601</v>
      </c>
      <c r="AK23" s="151">
        <v>6932.3430759208695</v>
      </c>
      <c r="AL23" s="150">
        <v>1659792957.8820999</v>
      </c>
      <c r="AM23" s="151">
        <v>5060993.6281540906</v>
      </c>
      <c r="AN23" s="151">
        <v>121789859.95382701</v>
      </c>
      <c r="AO23" s="151">
        <v>22359193.911843397</v>
      </c>
      <c r="AP23" s="150">
        <v>1809003005.3759241</v>
      </c>
      <c r="AQ23" s="150">
        <v>23819517.236000001</v>
      </c>
    </row>
    <row r="24" spans="1:43" x14ac:dyDescent="0.2">
      <c r="A24" s="154"/>
      <c r="B24" s="153">
        <v>5</v>
      </c>
      <c r="C24" s="152">
        <v>589.99999999999795</v>
      </c>
      <c r="D24" s="151">
        <v>443812.32013172796</v>
      </c>
      <c r="E24" s="151">
        <v>760468027.59418297</v>
      </c>
      <c r="F24" s="151">
        <v>165744.375</v>
      </c>
      <c r="G24" s="151">
        <v>19415259.8975964</v>
      </c>
      <c r="H24" s="151">
        <v>1893678.3046021</v>
      </c>
      <c r="I24" s="151">
        <v>10197043.6305339</v>
      </c>
      <c r="J24" s="151">
        <v>1201630.68127393</v>
      </c>
      <c r="K24" s="151">
        <v>189312815.77678013</v>
      </c>
      <c r="L24" s="151">
        <v>6372790.2025750997</v>
      </c>
      <c r="M24" s="151">
        <v>213071768.07107151</v>
      </c>
      <c r="N24" s="151">
        <v>11868705.8560849</v>
      </c>
      <c r="O24" s="151">
        <v>141787922.98531237</v>
      </c>
      <c r="P24" s="151">
        <v>15906539.0357781</v>
      </c>
      <c r="Q24" s="151">
        <v>744003.92852254794</v>
      </c>
      <c r="R24" s="151">
        <v>75257372.171823397</v>
      </c>
      <c r="S24" s="151">
        <v>40390698.875741102</v>
      </c>
      <c r="T24" s="151">
        <v>301084.39127305296</v>
      </c>
      <c r="U24" s="151">
        <v>9680375.1903274208</v>
      </c>
      <c r="V24" s="151">
        <v>1660876.3075976898</v>
      </c>
      <c r="W24" s="151">
        <v>6697075.7458707504</v>
      </c>
      <c r="X24" s="151">
        <v>35799057.709833197</v>
      </c>
      <c r="Y24" s="151">
        <v>8960630.5028868392</v>
      </c>
      <c r="Z24" s="151">
        <v>513380.71132470894</v>
      </c>
      <c r="AA24" s="151">
        <v>67729.112893822705</v>
      </c>
      <c r="AB24" s="151">
        <v>4414.6576666666597</v>
      </c>
      <c r="AC24" s="151">
        <v>312189.66808522999</v>
      </c>
      <c r="AD24" s="151">
        <v>978299.53507913498</v>
      </c>
      <c r="AE24" s="151">
        <v>2809802.8031109101</v>
      </c>
      <c r="AF24" s="151">
        <v>470789.16668348201</v>
      </c>
      <c r="AG24" s="151">
        <v>172113.376491426</v>
      </c>
      <c r="AH24" s="151">
        <v>137767.42488057102</v>
      </c>
      <c r="AI24" s="151">
        <v>389314.32619447703</v>
      </c>
      <c r="AJ24" s="151">
        <v>169171.133562823</v>
      </c>
      <c r="AK24" s="151">
        <v>6880.9230592756503</v>
      </c>
      <c r="AL24" s="150">
        <v>1557629356.3938315</v>
      </c>
      <c r="AM24" s="151">
        <v>5568087.4846516596</v>
      </c>
      <c r="AN24" s="151">
        <v>124329508.876541</v>
      </c>
      <c r="AO24" s="151">
        <v>24181215.0950251</v>
      </c>
      <c r="AP24" s="150">
        <v>1711708167.850049</v>
      </c>
      <c r="AQ24" s="150">
        <v>23775373.113000002</v>
      </c>
    </row>
    <row r="25" spans="1:43" x14ac:dyDescent="0.2">
      <c r="A25" s="154"/>
      <c r="B25" s="153">
        <v>6</v>
      </c>
      <c r="C25" s="152">
        <v>589.99999999999795</v>
      </c>
      <c r="D25" s="151">
        <v>317417.07008727704</v>
      </c>
      <c r="E25" s="151">
        <v>726612130.99855494</v>
      </c>
      <c r="F25" s="151">
        <v>183269.5</v>
      </c>
      <c r="G25" s="151">
        <v>18239780.9002074</v>
      </c>
      <c r="H25" s="151">
        <v>1707275.1889347802</v>
      </c>
      <c r="I25" s="151">
        <v>9584836.5130796693</v>
      </c>
      <c r="J25" s="151">
        <v>1078382.4487224298</v>
      </c>
      <c r="K25" s="151">
        <v>185894249.09023002</v>
      </c>
      <c r="L25" s="151">
        <v>6256261.0046211807</v>
      </c>
      <c r="M25" s="151">
        <v>214040952.30100906</v>
      </c>
      <c r="N25" s="151">
        <v>12123187.029608</v>
      </c>
      <c r="O25" s="151">
        <v>143769851.87637344</v>
      </c>
      <c r="P25" s="151">
        <v>16609177.156084199</v>
      </c>
      <c r="Q25" s="151">
        <v>1488830.41626154</v>
      </c>
      <c r="R25" s="151">
        <v>74554464.042835891</v>
      </c>
      <c r="S25" s="151">
        <v>42017269.811153799</v>
      </c>
      <c r="T25" s="151">
        <v>647045.46438459598</v>
      </c>
      <c r="U25" s="151">
        <v>8167262.9293321995</v>
      </c>
      <c r="V25" s="151">
        <v>1812803.0818630601</v>
      </c>
      <c r="W25" s="151">
        <v>7359453.2189156199</v>
      </c>
      <c r="X25" s="151">
        <v>34957388.323225997</v>
      </c>
      <c r="Y25" s="151">
        <v>8478293.2988297511</v>
      </c>
      <c r="Z25" s="151">
        <v>433120.71433570597</v>
      </c>
      <c r="AA25" s="151">
        <v>63429.272893754896</v>
      </c>
      <c r="AB25" s="151">
        <v>4414.6576666666597</v>
      </c>
      <c r="AC25" s="151">
        <v>298459.14419071301</v>
      </c>
      <c r="AD25" s="151">
        <v>926960.98073046899</v>
      </c>
      <c r="AE25" s="151">
        <v>2662351.8346251901</v>
      </c>
      <c r="AF25" s="151">
        <v>446083.40494703403</v>
      </c>
      <c r="AG25" s="151">
        <v>164666.50707914101</v>
      </c>
      <c r="AH25" s="151">
        <v>136516.57149326301</v>
      </c>
      <c r="AI25" s="151">
        <v>214939.37381548202</v>
      </c>
      <c r="AJ25" s="151">
        <v>158979.583601911</v>
      </c>
      <c r="AK25" s="151">
        <v>6338.3251910737099</v>
      </c>
      <c r="AL25" s="150">
        <v>1521416432.0348856</v>
      </c>
      <c r="AM25" s="151">
        <v>5240502.06098055</v>
      </c>
      <c r="AN25" s="151">
        <v>137242703.20976499</v>
      </c>
      <c r="AO25" s="151">
        <v>26257885.5905472</v>
      </c>
      <c r="AP25" s="150">
        <v>1690157522.8961782</v>
      </c>
      <c r="AQ25" s="150">
        <v>23957451.417000003</v>
      </c>
    </row>
    <row r="26" spans="1:43" x14ac:dyDescent="0.2">
      <c r="A26" s="154"/>
      <c r="B26" s="153">
        <v>7</v>
      </c>
      <c r="C26" s="152">
        <v>589.99999999999795</v>
      </c>
      <c r="D26" s="151">
        <v>274419.21978482901</v>
      </c>
      <c r="E26" s="151">
        <v>810211528.78052795</v>
      </c>
      <c r="F26" s="151">
        <v>214898.875</v>
      </c>
      <c r="G26" s="151">
        <v>18581880.699023999</v>
      </c>
      <c r="H26" s="151">
        <v>1815292.47742907</v>
      </c>
      <c r="I26" s="151">
        <v>10277261.0837349</v>
      </c>
      <c r="J26" s="151">
        <v>1405833.31632713</v>
      </c>
      <c r="K26" s="151">
        <v>200533601.91777909</v>
      </c>
      <c r="L26" s="151">
        <v>5923761.80937202</v>
      </c>
      <c r="M26" s="151">
        <v>229594754.94596413</v>
      </c>
      <c r="N26" s="151">
        <v>11502837.253379101</v>
      </c>
      <c r="O26" s="151">
        <v>158512357.27757815</v>
      </c>
      <c r="P26" s="151">
        <v>15799726.630349999</v>
      </c>
      <c r="Q26" s="151">
        <v>2721659.3945365697</v>
      </c>
      <c r="R26" s="151">
        <v>79458049.513137504</v>
      </c>
      <c r="S26" s="151">
        <v>40208212.0992449</v>
      </c>
      <c r="T26" s="151">
        <v>678186.54845952301</v>
      </c>
      <c r="U26" s="151">
        <v>6389495.2398072705</v>
      </c>
      <c r="V26" s="151">
        <v>2141931.6198215303</v>
      </c>
      <c r="W26" s="151">
        <v>7999494.9017698001</v>
      </c>
      <c r="X26" s="151">
        <v>36325321.960728794</v>
      </c>
      <c r="Y26" s="151">
        <v>9228102.3751488104</v>
      </c>
      <c r="Z26" s="151">
        <v>477062.39697190101</v>
      </c>
      <c r="AA26" s="151">
        <v>63472.684004793104</v>
      </c>
      <c r="AB26" s="151">
        <v>4414.6576666666597</v>
      </c>
      <c r="AC26" s="151">
        <v>362907.70679979102</v>
      </c>
      <c r="AD26" s="151">
        <v>1117198.38262472</v>
      </c>
      <c r="AE26" s="151">
        <v>3208738.2591631101</v>
      </c>
      <c r="AF26" s="151">
        <v>537631.75460722193</v>
      </c>
      <c r="AG26" s="151">
        <v>173669.42622625298</v>
      </c>
      <c r="AH26" s="151">
        <v>139316.18516582099</v>
      </c>
      <c r="AI26" s="151">
        <v>224108.08738365298</v>
      </c>
      <c r="AJ26" s="151">
        <v>170596.49585382</v>
      </c>
      <c r="AK26" s="151">
        <v>6990.0659674155404</v>
      </c>
      <c r="AL26" s="150">
        <v>1656285304.0413404</v>
      </c>
      <c r="AM26" s="151">
        <v>5350636.3153667096</v>
      </c>
      <c r="AN26" s="151">
        <v>143628687.99986899</v>
      </c>
      <c r="AO26" s="151">
        <v>27143085.659677301</v>
      </c>
      <c r="AP26" s="150">
        <v>1832407714.0162532</v>
      </c>
      <c r="AQ26" s="150">
        <v>26489769.160999998</v>
      </c>
    </row>
    <row r="27" spans="1:43" x14ac:dyDescent="0.2">
      <c r="A27" s="154"/>
      <c r="B27" s="153">
        <v>8</v>
      </c>
      <c r="C27" s="152">
        <v>589.99999999999795</v>
      </c>
      <c r="D27" s="151">
        <v>267056.67004226596</v>
      </c>
      <c r="E27" s="151">
        <v>816258861.42774105</v>
      </c>
      <c r="F27" s="151">
        <v>236361</v>
      </c>
      <c r="G27" s="151">
        <v>18478795.1982724</v>
      </c>
      <c r="H27" s="151">
        <v>1711328.4095407701</v>
      </c>
      <c r="I27" s="151">
        <v>10175857.7615043</v>
      </c>
      <c r="J27" s="151">
        <v>2103449.09483353</v>
      </c>
      <c r="K27" s="151">
        <v>201055416.18079945</v>
      </c>
      <c r="L27" s="151">
        <v>6481924.98946412</v>
      </c>
      <c r="M27" s="151">
        <v>230397495.57365611</v>
      </c>
      <c r="N27" s="151">
        <v>12756498.690199699</v>
      </c>
      <c r="O27" s="151">
        <v>160452742.12923893</v>
      </c>
      <c r="P27" s="151">
        <v>17536877.653653998</v>
      </c>
      <c r="Q27" s="151">
        <v>4057346.98817913</v>
      </c>
      <c r="R27" s="151">
        <v>78370903.069637597</v>
      </c>
      <c r="S27" s="151">
        <v>43821750.518538997</v>
      </c>
      <c r="T27" s="151">
        <v>959669.78716265806</v>
      </c>
      <c r="U27" s="151">
        <v>5295443.6646673204</v>
      </c>
      <c r="V27" s="151">
        <v>2131285.4149712096</v>
      </c>
      <c r="W27" s="151">
        <v>7411510.4028264508</v>
      </c>
      <c r="X27" s="151">
        <v>36360969.817442305</v>
      </c>
      <c r="Y27" s="151">
        <v>9306724.1283682398</v>
      </c>
      <c r="Z27" s="151">
        <v>459597.48252791096</v>
      </c>
      <c r="AA27" s="151">
        <v>66369.617323953091</v>
      </c>
      <c r="AB27" s="151">
        <v>4414.6576666666597</v>
      </c>
      <c r="AC27" s="151">
        <v>335230.16790697101</v>
      </c>
      <c r="AD27" s="151">
        <v>1022983.06312587</v>
      </c>
      <c r="AE27" s="151">
        <v>2938139.6752616703</v>
      </c>
      <c r="AF27" s="151">
        <v>492292.31595350499</v>
      </c>
      <c r="AG27" s="151">
        <v>168997.95832783097</v>
      </c>
      <c r="AH27" s="151">
        <v>139417.60836336701</v>
      </c>
      <c r="AI27" s="151">
        <v>207109.23157699101</v>
      </c>
      <c r="AJ27" s="151">
        <v>163016.07127281098</v>
      </c>
      <c r="AK27" s="151">
        <v>6536.6357817179696</v>
      </c>
      <c r="AL27" s="150">
        <v>1671632963.0558298</v>
      </c>
      <c r="AM27" s="151">
        <v>5374130.1058770595</v>
      </c>
      <c r="AN27" s="151">
        <v>142999661.71071801</v>
      </c>
      <c r="AO27" s="151">
        <v>28215578.8342444</v>
      </c>
      <c r="AP27" s="150">
        <v>1848222333.7066693</v>
      </c>
      <c r="AQ27" s="150">
        <v>27146373.211999997</v>
      </c>
    </row>
    <row r="28" spans="1:43" x14ac:dyDescent="0.2">
      <c r="A28" s="154"/>
      <c r="B28" s="153">
        <v>9</v>
      </c>
      <c r="C28" s="152">
        <v>589.99999999999795</v>
      </c>
      <c r="D28" s="151">
        <v>303388.61603868898</v>
      </c>
      <c r="E28" s="151">
        <v>745804121.61066496</v>
      </c>
      <c r="F28" s="151">
        <v>198473.625</v>
      </c>
      <c r="G28" s="151">
        <v>16773447.0354285</v>
      </c>
      <c r="H28" s="151">
        <v>1550913.61818637</v>
      </c>
      <c r="I28" s="151">
        <v>9182128.3450871315</v>
      </c>
      <c r="J28" s="151">
        <v>1366151.08242826</v>
      </c>
      <c r="K28" s="151">
        <v>181933038.70160294</v>
      </c>
      <c r="L28" s="151">
        <v>5927134.0136877401</v>
      </c>
      <c r="M28" s="151">
        <v>209303913.38826051</v>
      </c>
      <c r="N28" s="151">
        <v>11603637.5797642</v>
      </c>
      <c r="O28" s="151">
        <v>139916579.03782952</v>
      </c>
      <c r="P28" s="151">
        <v>15410360.009657102</v>
      </c>
      <c r="Q28" s="151">
        <v>2912174.73607131</v>
      </c>
      <c r="R28" s="151">
        <v>69913440.313533887</v>
      </c>
      <c r="S28" s="151">
        <v>39851727.051640898</v>
      </c>
      <c r="T28" s="151">
        <v>768919.17535173404</v>
      </c>
      <c r="U28" s="151">
        <v>5864300.3921068702</v>
      </c>
      <c r="V28" s="151">
        <v>1842875.7305316899</v>
      </c>
      <c r="W28" s="151">
        <v>6310173.8976047402</v>
      </c>
      <c r="X28" s="151">
        <v>35622607.650770798</v>
      </c>
      <c r="Y28" s="151">
        <v>8120503.3955003899</v>
      </c>
      <c r="Z28" s="151">
        <v>560944.46463221405</v>
      </c>
      <c r="AA28" s="151">
        <v>67440.283997858001</v>
      </c>
      <c r="AB28" s="151">
        <v>4414.6576666666597</v>
      </c>
      <c r="AC28" s="151">
        <v>341046.28750129504</v>
      </c>
      <c r="AD28" s="151">
        <v>1031722.8031105899</v>
      </c>
      <c r="AE28" s="151">
        <v>2963241.3389413399</v>
      </c>
      <c r="AF28" s="151">
        <v>496498.15962090995</v>
      </c>
      <c r="AG28" s="151">
        <v>169928.46382252901</v>
      </c>
      <c r="AH28" s="151">
        <v>135881.672422198</v>
      </c>
      <c r="AI28" s="151">
        <v>259904.33803839301</v>
      </c>
      <c r="AJ28" s="151">
        <v>166983.95225271699</v>
      </c>
      <c r="AK28" s="151">
        <v>6885.2319438045506</v>
      </c>
      <c r="AL28" s="150">
        <v>1516685490.6606989</v>
      </c>
      <c r="AM28" s="151">
        <v>4805229.9789600903</v>
      </c>
      <c r="AN28" s="151">
        <v>134642963.12881199</v>
      </c>
      <c r="AO28" s="151">
        <v>26092271.281957</v>
      </c>
      <c r="AP28" s="150">
        <v>1682225955.0504279</v>
      </c>
      <c r="AQ28" s="150">
        <v>24716404.288999997</v>
      </c>
    </row>
    <row r="29" spans="1:43" x14ac:dyDescent="0.2">
      <c r="A29" s="154"/>
      <c r="B29" s="153">
        <v>10</v>
      </c>
      <c r="C29" s="152">
        <v>589.99999999999795</v>
      </c>
      <c r="D29" s="151">
        <v>476161.83106648998</v>
      </c>
      <c r="E29" s="151">
        <v>873182303.91732109</v>
      </c>
      <c r="F29" s="151">
        <v>173928</v>
      </c>
      <c r="G29" s="151">
        <v>18611037.544917703</v>
      </c>
      <c r="H29" s="151">
        <v>1658611.47228629</v>
      </c>
      <c r="I29" s="151">
        <v>10112292.376667799</v>
      </c>
      <c r="J29" s="151">
        <v>1163698.79347604</v>
      </c>
      <c r="K29" s="151">
        <v>189989832.77320379</v>
      </c>
      <c r="L29" s="151">
        <v>5860265.3101684097</v>
      </c>
      <c r="M29" s="151">
        <v>221185638.2396341</v>
      </c>
      <c r="N29" s="151">
        <v>11631263.432496101</v>
      </c>
      <c r="O29" s="151">
        <v>145730241.49067718</v>
      </c>
      <c r="P29" s="151">
        <v>15704805.436129401</v>
      </c>
      <c r="Q29" s="151">
        <v>1307491.6806423501</v>
      </c>
      <c r="R29" s="151">
        <v>74137254.033623099</v>
      </c>
      <c r="S29" s="151">
        <v>40602129.296497904</v>
      </c>
      <c r="T29" s="151">
        <v>778501.74945796095</v>
      </c>
      <c r="U29" s="151">
        <v>8464033.3045034204</v>
      </c>
      <c r="V29" s="151">
        <v>1494974.24730683</v>
      </c>
      <c r="W29" s="151">
        <v>6087774.1661971305</v>
      </c>
      <c r="X29" s="151">
        <v>36125408.723939799</v>
      </c>
      <c r="Y29" s="151">
        <v>8511162.2906617001</v>
      </c>
      <c r="Z29" s="151">
        <v>721266.22335820901</v>
      </c>
      <c r="AA29" s="151">
        <v>71363.639537717099</v>
      </c>
      <c r="AB29" s="151">
        <v>4414.6576666666597</v>
      </c>
      <c r="AC29" s="151">
        <v>384591.61868426099</v>
      </c>
      <c r="AD29" s="151">
        <v>1153470.2947331499</v>
      </c>
      <c r="AE29" s="151">
        <v>3312915.8823367804</v>
      </c>
      <c r="AF29" s="151">
        <v>555086.96404280793</v>
      </c>
      <c r="AG29" s="151">
        <v>177358.75640167602</v>
      </c>
      <c r="AH29" s="151">
        <v>146748.646796774</v>
      </c>
      <c r="AI29" s="151">
        <v>466002.82266008703</v>
      </c>
      <c r="AJ29" s="151">
        <v>171393.93630203401</v>
      </c>
      <c r="AK29" s="151">
        <v>6866.7261164091196</v>
      </c>
      <c r="AL29" s="150">
        <v>1680160880.2795112</v>
      </c>
      <c r="AM29" s="151">
        <v>4620585.41996988</v>
      </c>
      <c r="AN29" s="151">
        <v>134863767.855757</v>
      </c>
      <c r="AO29" s="151">
        <v>26511541.1095258</v>
      </c>
      <c r="AP29" s="150">
        <v>1846156774.6647639</v>
      </c>
      <c r="AQ29" s="150">
        <v>24706922.309999999</v>
      </c>
    </row>
    <row r="30" spans="1:43" x14ac:dyDescent="0.2">
      <c r="A30" s="154"/>
      <c r="B30" s="153">
        <v>11</v>
      </c>
      <c r="C30" s="152">
        <v>589.99999999999795</v>
      </c>
      <c r="D30" s="151">
        <v>660652.97025576292</v>
      </c>
      <c r="E30" s="151">
        <v>1052963379.7510201</v>
      </c>
      <c r="F30" s="151">
        <v>196629.25</v>
      </c>
      <c r="G30" s="151">
        <v>21006959.040017098</v>
      </c>
      <c r="H30" s="151">
        <v>1822916.87958263</v>
      </c>
      <c r="I30" s="151">
        <v>11365771.424581101</v>
      </c>
      <c r="J30" s="151">
        <v>1247858.61745633</v>
      </c>
      <c r="K30" s="151">
        <v>199022729.16167739</v>
      </c>
      <c r="L30" s="151">
        <v>6165113.0434870403</v>
      </c>
      <c r="M30" s="151">
        <v>222529728.18771353</v>
      </c>
      <c r="N30" s="151">
        <v>11384554.4917104</v>
      </c>
      <c r="O30" s="151">
        <v>146382107.75415617</v>
      </c>
      <c r="P30" s="151">
        <v>14612548.137354799</v>
      </c>
      <c r="Q30" s="151">
        <v>374068.68663443602</v>
      </c>
      <c r="R30" s="151">
        <v>74951049.434316993</v>
      </c>
      <c r="S30" s="151">
        <v>38470480.732750304</v>
      </c>
      <c r="T30" s="151">
        <v>306859.50582739402</v>
      </c>
      <c r="U30" s="151">
        <v>10962677.131988101</v>
      </c>
      <c r="V30" s="151">
        <v>1510098.2364163499</v>
      </c>
      <c r="W30" s="151">
        <v>5065745.0794735793</v>
      </c>
      <c r="X30" s="151">
        <v>35670874.927723996</v>
      </c>
      <c r="Y30" s="151">
        <v>8267461.3488843897</v>
      </c>
      <c r="Z30" s="151">
        <v>738315.53294799407</v>
      </c>
      <c r="AA30" s="151">
        <v>89630.050449432907</v>
      </c>
      <c r="AB30" s="151">
        <v>4414.6576666666597</v>
      </c>
      <c r="AC30" s="151">
        <v>337549.37225839804</v>
      </c>
      <c r="AD30" s="151">
        <v>1003766.70368178</v>
      </c>
      <c r="AE30" s="151">
        <v>2882947.8053940902</v>
      </c>
      <c r="AF30" s="151">
        <v>483044.78641374799</v>
      </c>
      <c r="AG30" s="151">
        <v>166442.42940408198</v>
      </c>
      <c r="AH30" s="151">
        <v>133123.49648750501</v>
      </c>
      <c r="AI30" s="151">
        <v>231608.73558764899</v>
      </c>
      <c r="AJ30" s="151">
        <v>163702.324028445</v>
      </c>
      <c r="AK30" s="151">
        <v>6698.1700633358096</v>
      </c>
      <c r="AL30" s="150">
        <v>1871182097.8574111</v>
      </c>
      <c r="AM30" s="151">
        <v>4533723.8016141299</v>
      </c>
      <c r="AN30" s="151">
        <v>133324444.813457</v>
      </c>
      <c r="AO30" s="151">
        <v>25001662.863749001</v>
      </c>
      <c r="AP30" s="150">
        <v>2034041929.3362312</v>
      </c>
      <c r="AQ30" s="150">
        <v>26143386.014999997</v>
      </c>
    </row>
    <row r="31" spans="1:43" x14ac:dyDescent="0.2">
      <c r="A31" s="149"/>
      <c r="B31" s="148">
        <v>12</v>
      </c>
      <c r="C31" s="147">
        <v>589.99999999999795</v>
      </c>
      <c r="D31" s="146">
        <v>866567.87496696599</v>
      </c>
      <c r="E31" s="146">
        <v>1265288171.70892</v>
      </c>
      <c r="F31" s="146">
        <v>242994.14285714302</v>
      </c>
      <c r="G31" s="146">
        <v>27034537.902284998</v>
      </c>
      <c r="H31" s="146">
        <v>2311067.11146989</v>
      </c>
      <c r="I31" s="146">
        <v>13353551.751944</v>
      </c>
      <c r="J31" s="146">
        <v>1485100.0561101499</v>
      </c>
      <c r="K31" s="146">
        <v>230058566.98506287</v>
      </c>
      <c r="L31" s="146">
        <v>6464702.86213037</v>
      </c>
      <c r="M31" s="146">
        <v>249651109.98013258</v>
      </c>
      <c r="N31" s="146">
        <v>11265723.529623499</v>
      </c>
      <c r="O31" s="146">
        <v>155200335.09772936</v>
      </c>
      <c r="P31" s="146">
        <v>13724567.1093862</v>
      </c>
      <c r="Q31" s="146">
        <v>267490.87174309196</v>
      </c>
      <c r="R31" s="146">
        <v>79447397.915696502</v>
      </c>
      <c r="S31" s="146">
        <v>36596023.996817403</v>
      </c>
      <c r="T31" s="146">
        <v>0</v>
      </c>
      <c r="U31" s="146">
        <v>14170813.1189414</v>
      </c>
      <c r="V31" s="146">
        <v>1679159.2473222299</v>
      </c>
      <c r="W31" s="146">
        <v>5439820.2960245796</v>
      </c>
      <c r="X31" s="146">
        <v>36703260.450249799</v>
      </c>
      <c r="Y31" s="146">
        <v>8747155.0687910691</v>
      </c>
      <c r="Z31" s="146">
        <v>931765.94306284701</v>
      </c>
      <c r="AA31" s="146">
        <v>108908.459927082</v>
      </c>
      <c r="AB31" s="146">
        <v>4414.6576666666597</v>
      </c>
      <c r="AC31" s="146">
        <v>368355.02891623403</v>
      </c>
      <c r="AD31" s="146">
        <v>1086131.50036263</v>
      </c>
      <c r="AE31" s="146">
        <v>3119510.1549538397</v>
      </c>
      <c r="AF31" s="146">
        <v>522681.37275874405</v>
      </c>
      <c r="AG31" s="146">
        <v>172012.913680092</v>
      </c>
      <c r="AH31" s="146">
        <v>141754.712436731</v>
      </c>
      <c r="AI31" s="146">
        <v>236524.01097247901</v>
      </c>
      <c r="AJ31" s="146">
        <v>165824.36053353501</v>
      </c>
      <c r="AK31" s="146">
        <v>6671.0590822899603</v>
      </c>
      <c r="AL31" s="145">
        <v>2166863261.2525578</v>
      </c>
      <c r="AM31" s="146">
        <v>4938946.4883926501</v>
      </c>
      <c r="AN31" s="146">
        <v>136351960.32791501</v>
      </c>
      <c r="AO31" s="146">
        <v>25615852.880743802</v>
      </c>
      <c r="AP31" s="145">
        <v>2333770020.9496098</v>
      </c>
      <c r="AQ31" s="145">
        <v>28874971.001999997</v>
      </c>
    </row>
    <row r="32" spans="1:43" x14ac:dyDescent="0.2">
      <c r="A32" s="155">
        <f>A20+1</f>
        <v>2025</v>
      </c>
      <c r="B32" s="155">
        <v>1</v>
      </c>
      <c r="C32" s="158">
        <v>589.99999999999795</v>
      </c>
      <c r="D32" s="157">
        <v>848153.47058506799</v>
      </c>
      <c r="E32" s="157">
        <v>1193134476.79845</v>
      </c>
      <c r="F32" s="157">
        <v>259810</v>
      </c>
      <c r="G32" s="157">
        <v>27901132.006822202</v>
      </c>
      <c r="H32" s="157">
        <v>2498174.45429334</v>
      </c>
      <c r="I32" s="157">
        <v>13576990.570782799</v>
      </c>
      <c r="J32" s="157">
        <v>1581510.95765618</v>
      </c>
      <c r="K32" s="157">
        <v>232069185.2242004</v>
      </c>
      <c r="L32" s="157">
        <v>7472577.70266423</v>
      </c>
      <c r="M32" s="157">
        <v>240020093.22592279</v>
      </c>
      <c r="N32" s="157">
        <v>12098001.741815301</v>
      </c>
      <c r="O32" s="157">
        <v>154014957.87307191</v>
      </c>
      <c r="P32" s="157">
        <v>14348078.2622793</v>
      </c>
      <c r="Q32" s="157">
        <v>293762.31965941796</v>
      </c>
      <c r="R32" s="157">
        <v>80065159.31247969</v>
      </c>
      <c r="S32" s="157">
        <v>38947264.579681702</v>
      </c>
      <c r="T32" s="157">
        <v>0</v>
      </c>
      <c r="U32" s="157">
        <v>14790805.939560099</v>
      </c>
      <c r="V32" s="157">
        <v>1657793.9029065201</v>
      </c>
      <c r="W32" s="157">
        <v>5699197.2792171799</v>
      </c>
      <c r="X32" s="157">
        <v>37301073.181796201</v>
      </c>
      <c r="Y32" s="157">
        <v>8770822.9495717604</v>
      </c>
      <c r="Z32" s="157">
        <v>934504.61214399699</v>
      </c>
      <c r="AA32" s="157">
        <v>110190.418926181</v>
      </c>
      <c r="AB32" s="157">
        <v>4414.6576666666597</v>
      </c>
      <c r="AC32" s="157">
        <v>360734.185857773</v>
      </c>
      <c r="AD32" s="157">
        <v>1054761.6911132499</v>
      </c>
      <c r="AE32" s="157">
        <v>3029412.0052548801</v>
      </c>
      <c r="AF32" s="157">
        <v>507585.21271166502</v>
      </c>
      <c r="AG32" s="157">
        <v>172489.22328015399</v>
      </c>
      <c r="AH32" s="157">
        <v>134512.82856656701</v>
      </c>
      <c r="AI32" s="157">
        <v>349690.64386403002</v>
      </c>
      <c r="AJ32" s="157">
        <v>165911.16628243099</v>
      </c>
      <c r="AK32" s="157">
        <v>6874.3989347454408</v>
      </c>
      <c r="AL32" s="156">
        <v>2094180692.7980187</v>
      </c>
      <c r="AM32" s="157">
        <v>5672974.5299722403</v>
      </c>
      <c r="AN32" s="157">
        <v>137163391.37983</v>
      </c>
      <c r="AO32" s="157">
        <v>26249630.118281998</v>
      </c>
      <c r="AP32" s="156">
        <v>2263266688.8261027</v>
      </c>
      <c r="AQ32" s="156">
        <v>26657308.277561836</v>
      </c>
    </row>
    <row r="33" spans="1:43" x14ac:dyDescent="0.2">
      <c r="A33" s="154"/>
      <c r="B33" s="153">
        <v>2</v>
      </c>
      <c r="C33" s="152">
        <v>589.99999999999795</v>
      </c>
      <c r="D33" s="151">
        <v>849012.18672609294</v>
      </c>
      <c r="E33" s="151">
        <v>1039625336.6286</v>
      </c>
      <c r="F33" s="151">
        <v>233365.535</v>
      </c>
      <c r="G33" s="151">
        <v>24191293.2037948</v>
      </c>
      <c r="H33" s="151">
        <v>2118489.01382179</v>
      </c>
      <c r="I33" s="151">
        <v>11485087.9021779</v>
      </c>
      <c r="J33" s="151">
        <v>1383129.3952800799</v>
      </c>
      <c r="K33" s="151">
        <v>200339962.92622516</v>
      </c>
      <c r="L33" s="151">
        <v>6875050.3390254695</v>
      </c>
      <c r="M33" s="151">
        <v>212331378.97776636</v>
      </c>
      <c r="N33" s="151">
        <v>11895669.9863254</v>
      </c>
      <c r="O33" s="151">
        <v>138362890.96520808</v>
      </c>
      <c r="P33" s="151">
        <v>14289563.1894028</v>
      </c>
      <c r="Q33" s="151">
        <v>263490.288222111</v>
      </c>
      <c r="R33" s="151">
        <v>72156297.346693307</v>
      </c>
      <c r="S33" s="151">
        <v>37586595.546804599</v>
      </c>
      <c r="T33" s="151">
        <v>0</v>
      </c>
      <c r="U33" s="151">
        <v>13375840.825566901</v>
      </c>
      <c r="V33" s="151">
        <v>1569901.38061768</v>
      </c>
      <c r="W33" s="151">
        <v>5590221.8069829298</v>
      </c>
      <c r="X33" s="151">
        <v>33919862.940128498</v>
      </c>
      <c r="Y33" s="151">
        <v>8212991.9496046407</v>
      </c>
      <c r="Z33" s="151">
        <v>739123.34761408798</v>
      </c>
      <c r="AA33" s="151">
        <v>107716.87058862101</v>
      </c>
      <c r="AB33" s="151">
        <v>4414.6576666666597</v>
      </c>
      <c r="AC33" s="151">
        <v>322470.72605151404</v>
      </c>
      <c r="AD33" s="151">
        <v>935058.93112661596</v>
      </c>
      <c r="AE33" s="151">
        <v>2685610.1955940598</v>
      </c>
      <c r="AF33" s="151">
        <v>449980.39884526597</v>
      </c>
      <c r="AG33" s="151">
        <v>171898.88004392901</v>
      </c>
      <c r="AH33" s="151">
        <v>139465.92022323501</v>
      </c>
      <c r="AI33" s="151">
        <v>198835.335205874</v>
      </c>
      <c r="AJ33" s="151">
        <v>163169.66775161002</v>
      </c>
      <c r="AK33" s="151">
        <v>6586.8405854835501</v>
      </c>
      <c r="AL33" s="150">
        <v>1842580354.1052718</v>
      </c>
      <c r="AM33" s="151">
        <v>5136216.7238414604</v>
      </c>
      <c r="AN33" s="151">
        <v>124164551.83338901</v>
      </c>
      <c r="AO33" s="151">
        <v>23099552.3607301</v>
      </c>
      <c r="AP33" s="150">
        <v>1994980675.0232325</v>
      </c>
      <c r="AQ33" s="150">
        <v>23431945.037921585</v>
      </c>
    </row>
    <row r="34" spans="1:43" x14ac:dyDescent="0.2">
      <c r="A34" s="154"/>
      <c r="B34" s="153">
        <v>3</v>
      </c>
      <c r="C34" s="152">
        <v>589.99999999999795</v>
      </c>
      <c r="D34" s="151">
        <v>830134.40910549602</v>
      </c>
      <c r="E34" s="151">
        <v>1042450629.13098</v>
      </c>
      <c r="F34" s="151">
        <v>213526.34</v>
      </c>
      <c r="G34" s="151">
        <v>25020289.608244099</v>
      </c>
      <c r="H34" s="151">
        <v>2362356.6267520599</v>
      </c>
      <c r="I34" s="151">
        <v>12299469.159732999</v>
      </c>
      <c r="J34" s="151">
        <v>1499692.67315288</v>
      </c>
      <c r="K34" s="151">
        <v>216753840.90051311</v>
      </c>
      <c r="L34" s="151">
        <v>7552526.1024724394</v>
      </c>
      <c r="M34" s="151">
        <v>229735641.58352154</v>
      </c>
      <c r="N34" s="151">
        <v>12772638.424656499</v>
      </c>
      <c r="O34" s="151">
        <v>149131720.25600636</v>
      </c>
      <c r="P34" s="151">
        <v>15404769.015860701</v>
      </c>
      <c r="Q34" s="151">
        <v>288671.80750209501</v>
      </c>
      <c r="R34" s="151">
        <v>79663639.986897394</v>
      </c>
      <c r="S34" s="151">
        <v>40283327.362957001</v>
      </c>
      <c r="T34" s="151">
        <v>0</v>
      </c>
      <c r="U34" s="151">
        <v>14439722.7071374</v>
      </c>
      <c r="V34" s="151">
        <v>1623004.48112367</v>
      </c>
      <c r="W34" s="151">
        <v>6529334.4671592601</v>
      </c>
      <c r="X34" s="151">
        <v>36829473.554573193</v>
      </c>
      <c r="Y34" s="151">
        <v>8299091.9586030599</v>
      </c>
      <c r="Z34" s="151">
        <v>787461.49045736506</v>
      </c>
      <c r="AA34" s="151">
        <v>103698.75067091201</v>
      </c>
      <c r="AB34" s="151">
        <v>4414.6576666666597</v>
      </c>
      <c r="AC34" s="151">
        <v>387292.364374255</v>
      </c>
      <c r="AD34" s="151">
        <v>1113779.3469933399</v>
      </c>
      <c r="AE34" s="151">
        <v>3198918.3465938899</v>
      </c>
      <c r="AF34" s="151">
        <v>535986.40481603693</v>
      </c>
      <c r="AG34" s="151">
        <v>168994.49238498</v>
      </c>
      <c r="AH34" s="151">
        <v>132405.67360035999</v>
      </c>
      <c r="AI34" s="151">
        <v>251778.48200244698</v>
      </c>
      <c r="AJ34" s="151">
        <v>162898.96520451101</v>
      </c>
      <c r="AK34" s="151">
        <v>6768.2839616787396</v>
      </c>
      <c r="AL34" s="150">
        <v>1910838487.8156781</v>
      </c>
      <c r="AM34" s="151">
        <v>5484023.5988551406</v>
      </c>
      <c r="AN34" s="151">
        <v>134338813.457647</v>
      </c>
      <c r="AO34" s="151">
        <v>25041792.525464103</v>
      </c>
      <c r="AP34" s="150">
        <v>2075703117.3976445</v>
      </c>
      <c r="AQ34" s="150">
        <v>24954588.829289552</v>
      </c>
    </row>
    <row r="35" spans="1:43" x14ac:dyDescent="0.2">
      <c r="A35" s="154"/>
      <c r="B35" s="153">
        <v>4</v>
      </c>
      <c r="C35" s="152">
        <v>589.99999999999795</v>
      </c>
      <c r="D35" s="151">
        <v>592266.12904024299</v>
      </c>
      <c r="E35" s="151">
        <v>877511591.48910809</v>
      </c>
      <c r="F35" s="151">
        <v>180149.25</v>
      </c>
      <c r="G35" s="151">
        <v>21411649.458347499</v>
      </c>
      <c r="H35" s="151">
        <v>2073061.9912543301</v>
      </c>
      <c r="I35" s="151">
        <v>10585101.780778101</v>
      </c>
      <c r="J35" s="151">
        <v>1299548.35473831</v>
      </c>
      <c r="K35" s="151">
        <v>190868482.62953398</v>
      </c>
      <c r="L35" s="151">
        <v>6595373.1374048702</v>
      </c>
      <c r="M35" s="151">
        <v>208743664.37170663</v>
      </c>
      <c r="N35" s="151">
        <v>11835252.3432499</v>
      </c>
      <c r="O35" s="151">
        <v>141471366.0658173</v>
      </c>
      <c r="P35" s="151">
        <v>15163632.515629001</v>
      </c>
      <c r="Q35" s="151">
        <v>311646.21913257602</v>
      </c>
      <c r="R35" s="151">
        <v>75786980.599461794</v>
      </c>
      <c r="S35" s="151">
        <v>38665878.6088783</v>
      </c>
      <c r="T35" s="151">
        <v>0</v>
      </c>
      <c r="U35" s="151">
        <v>11143656.9381669</v>
      </c>
      <c r="V35" s="151">
        <v>1657416.06647457</v>
      </c>
      <c r="W35" s="151">
        <v>5970388.8446817398</v>
      </c>
      <c r="X35" s="151">
        <v>35346660.465884998</v>
      </c>
      <c r="Y35" s="151">
        <v>8930452.8155415189</v>
      </c>
      <c r="Z35" s="151">
        <v>581834.42567383207</v>
      </c>
      <c r="AA35" s="151">
        <v>87227.212893670498</v>
      </c>
      <c r="AB35" s="151">
        <v>4414.6576666666597</v>
      </c>
      <c r="AC35" s="151">
        <v>358424.61092286604</v>
      </c>
      <c r="AD35" s="151">
        <v>1022348.5708243899</v>
      </c>
      <c r="AE35" s="151">
        <v>2936317.3313032798</v>
      </c>
      <c r="AF35" s="151">
        <v>491986.97787332599</v>
      </c>
      <c r="AG35" s="151">
        <v>179371.453009889</v>
      </c>
      <c r="AH35" s="151">
        <v>145885.18655273502</v>
      </c>
      <c r="AI35" s="151">
        <v>206712.434927717</v>
      </c>
      <c r="AJ35" s="151">
        <v>170325.69587352601</v>
      </c>
      <c r="AK35" s="151">
        <v>6922.68973100925</v>
      </c>
      <c r="AL35" s="150">
        <v>1672336581.322084</v>
      </c>
      <c r="AM35" s="151">
        <v>5062130.9366103997</v>
      </c>
      <c r="AN35" s="151">
        <v>121817228.61851901</v>
      </c>
      <c r="AO35" s="151">
        <v>22364218.478594698</v>
      </c>
      <c r="AP35" s="150">
        <v>1821580159.3558083</v>
      </c>
      <c r="AQ35" s="150">
        <v>23829791.223515149</v>
      </c>
    </row>
    <row r="36" spans="1:43" x14ac:dyDescent="0.2">
      <c r="A36" s="154"/>
      <c r="B36" s="153">
        <v>5</v>
      </c>
      <c r="C36" s="152">
        <v>589.99999999999795</v>
      </c>
      <c r="D36" s="151">
        <v>442329.94441616395</v>
      </c>
      <c r="E36" s="151">
        <v>767554271.0998131</v>
      </c>
      <c r="F36" s="151">
        <v>165744.375</v>
      </c>
      <c r="G36" s="151">
        <v>19339546.206479698</v>
      </c>
      <c r="H36" s="151">
        <v>1867431.36092584</v>
      </c>
      <c r="I36" s="151">
        <v>10199718.670936801</v>
      </c>
      <c r="J36" s="151">
        <v>1184975.72317761</v>
      </c>
      <c r="K36" s="151">
        <v>190411825.23424414</v>
      </c>
      <c r="L36" s="151">
        <v>6284993.7577957902</v>
      </c>
      <c r="M36" s="151">
        <v>214085645.3909218</v>
      </c>
      <c r="N36" s="151">
        <v>11705193.4627419</v>
      </c>
      <c r="O36" s="151">
        <v>146297234.46339956</v>
      </c>
      <c r="P36" s="151">
        <v>15687398.3561555</v>
      </c>
      <c r="Q36" s="151">
        <v>741102.53632224398</v>
      </c>
      <c r="R36" s="151">
        <v>76554890.841276094</v>
      </c>
      <c r="S36" s="151">
        <v>39834245.634583294</v>
      </c>
      <c r="T36" s="151">
        <v>299910.25243993104</v>
      </c>
      <c r="U36" s="151">
        <v>9642624.6301536188</v>
      </c>
      <c r="V36" s="151">
        <v>1661023.9665256699</v>
      </c>
      <c r="W36" s="151">
        <v>6695629.3479345208</v>
      </c>
      <c r="X36" s="151">
        <v>35804703.256822094</v>
      </c>
      <c r="Y36" s="151">
        <v>8959545.7044346686</v>
      </c>
      <c r="Z36" s="151">
        <v>462777.27117958397</v>
      </c>
      <c r="AA36" s="151">
        <v>67729.112893822705</v>
      </c>
      <c r="AB36" s="151">
        <v>4414.6576666666597</v>
      </c>
      <c r="AC36" s="151">
        <v>344852.33380682702</v>
      </c>
      <c r="AD36" s="151">
        <v>975672.84283020301</v>
      </c>
      <c r="AE36" s="151">
        <v>2802258.6032219003</v>
      </c>
      <c r="AF36" s="151">
        <v>469525.117984012</v>
      </c>
      <c r="AG36" s="151">
        <v>171592.801902712</v>
      </c>
      <c r="AH36" s="151">
        <v>134767.930240474</v>
      </c>
      <c r="AI36" s="151">
        <v>388269.03394364304</v>
      </c>
      <c r="AJ36" s="151">
        <v>165365.177449251</v>
      </c>
      <c r="AK36" s="151">
        <v>6860.1110005933197</v>
      </c>
      <c r="AL36" s="150">
        <v>1571414659.2106194</v>
      </c>
      <c r="AM36" s="151">
        <v>5568934.46821154</v>
      </c>
      <c r="AN36" s="151">
        <v>124348421.124295</v>
      </c>
      <c r="AO36" s="151">
        <v>24184893.394207697</v>
      </c>
      <c r="AP36" s="150">
        <v>1725516908.1973338</v>
      </c>
      <c r="AQ36" s="150">
        <v>23785628.059987836</v>
      </c>
    </row>
    <row r="37" spans="1:43" x14ac:dyDescent="0.2">
      <c r="A37" s="154"/>
      <c r="B37" s="153">
        <v>6</v>
      </c>
      <c r="C37" s="152">
        <v>589.99999999999795</v>
      </c>
      <c r="D37" s="151">
        <v>317417.071357865</v>
      </c>
      <c r="E37" s="151">
        <v>737657927.116436</v>
      </c>
      <c r="F37" s="151">
        <v>183269.5</v>
      </c>
      <c r="G37" s="151">
        <v>18138742.423426598</v>
      </c>
      <c r="H37" s="151">
        <v>1683078.4039176202</v>
      </c>
      <c r="I37" s="151">
        <v>9571117.8531286903</v>
      </c>
      <c r="J37" s="151">
        <v>1063098.8035039399</v>
      </c>
      <c r="K37" s="151">
        <v>186664506.34793228</v>
      </c>
      <c r="L37" s="151">
        <v>6174456.0659597497</v>
      </c>
      <c r="M37" s="151">
        <v>214649298.80665922</v>
      </c>
      <c r="N37" s="151">
        <v>11964667.9763579</v>
      </c>
      <c r="O37" s="151">
        <v>148046186.90619311</v>
      </c>
      <c r="P37" s="151">
        <v>16392000.6799962</v>
      </c>
      <c r="Q37" s="151">
        <v>1480583.1046152599</v>
      </c>
      <c r="R37" s="151">
        <v>75731615.558733806</v>
      </c>
      <c r="S37" s="151">
        <v>41467864.954629496</v>
      </c>
      <c r="T37" s="151">
        <v>643461.18404224794</v>
      </c>
      <c r="U37" s="151">
        <v>8122020.7298582597</v>
      </c>
      <c r="V37" s="151">
        <v>1814243.8144395901</v>
      </c>
      <c r="W37" s="151">
        <v>7358053.9601916401</v>
      </c>
      <c r="X37" s="151">
        <v>34987382.815867506</v>
      </c>
      <c r="Y37" s="151">
        <v>8477243.8547867611</v>
      </c>
      <c r="Z37" s="151">
        <v>384815.00268465799</v>
      </c>
      <c r="AA37" s="151">
        <v>63429.272893754896</v>
      </c>
      <c r="AB37" s="151">
        <v>4414.6576666666597</v>
      </c>
      <c r="AC37" s="151">
        <v>328957.29020345403</v>
      </c>
      <c r="AD37" s="151">
        <v>923227.86022684106</v>
      </c>
      <c r="AE37" s="151">
        <v>2651629.8296774998</v>
      </c>
      <c r="AF37" s="151">
        <v>444286.90742453397</v>
      </c>
      <c r="AG37" s="151">
        <v>163918.924995218</v>
      </c>
      <c r="AH37" s="151">
        <v>133469.323135226</v>
      </c>
      <c r="AI37" s="151">
        <v>214073.755304986</v>
      </c>
      <c r="AJ37" s="151">
        <v>155161.66611457002</v>
      </c>
      <c r="AK37" s="151">
        <v>6309.5493432162802</v>
      </c>
      <c r="AL37" s="150">
        <v>1538062521.971704</v>
      </c>
      <c r="AM37" s="151">
        <v>5239551.0849824008</v>
      </c>
      <c r="AN37" s="151">
        <v>137217798.245478</v>
      </c>
      <c r="AO37" s="151">
        <v>26253120.661792599</v>
      </c>
      <c r="AP37" s="150">
        <v>1706772991.9639568</v>
      </c>
      <c r="AQ37" s="150">
        <v>23967784.899174068</v>
      </c>
    </row>
    <row r="38" spans="1:43" x14ac:dyDescent="0.2">
      <c r="A38" s="154"/>
      <c r="B38" s="153">
        <v>7</v>
      </c>
      <c r="C38" s="152">
        <v>589.99999999999795</v>
      </c>
      <c r="D38" s="151">
        <v>274419.219392706</v>
      </c>
      <c r="E38" s="151">
        <v>822013176.04654789</v>
      </c>
      <c r="F38" s="151">
        <v>214898.875</v>
      </c>
      <c r="G38" s="151">
        <v>18456126.325851399</v>
      </c>
      <c r="H38" s="151">
        <v>1788522.4567229501</v>
      </c>
      <c r="I38" s="151">
        <v>10243834.1953147</v>
      </c>
      <c r="J38" s="151">
        <v>1385101.56788694</v>
      </c>
      <c r="K38" s="151">
        <v>201029355.72432807</v>
      </c>
      <c r="L38" s="151">
        <v>5843413.3700805493</v>
      </c>
      <c r="M38" s="151">
        <v>229882586.04242882</v>
      </c>
      <c r="N38" s="151">
        <v>11346815.6153601</v>
      </c>
      <c r="O38" s="151">
        <v>162849950.5739533</v>
      </c>
      <c r="P38" s="151">
        <v>15585423.048127702</v>
      </c>
      <c r="Q38" s="151">
        <v>2703240.3455343302</v>
      </c>
      <c r="R38" s="151">
        <v>80550201.991970897</v>
      </c>
      <c r="S38" s="151">
        <v>39662837.8602328</v>
      </c>
      <c r="T38" s="151">
        <v>673596.86640973703</v>
      </c>
      <c r="U38" s="151">
        <v>6346253.8165205</v>
      </c>
      <c r="V38" s="151">
        <v>2141273.88263486</v>
      </c>
      <c r="W38" s="151">
        <v>7998083.7957150601</v>
      </c>
      <c r="X38" s="151">
        <v>36315961.874323599</v>
      </c>
      <c r="Y38" s="151">
        <v>9227044.0456077512</v>
      </c>
      <c r="Z38" s="151">
        <v>417817.89733763901</v>
      </c>
      <c r="AA38" s="151">
        <v>63472.684004793104</v>
      </c>
      <c r="AB38" s="151">
        <v>4414.6576666666597</v>
      </c>
      <c r="AC38" s="151">
        <v>398487.14156377898</v>
      </c>
      <c r="AD38" s="151">
        <v>1109455.9021401301</v>
      </c>
      <c r="AE38" s="151">
        <v>3186500.8537585898</v>
      </c>
      <c r="AF38" s="151">
        <v>533905.82425082591</v>
      </c>
      <c r="AG38" s="151">
        <v>173207.802601353</v>
      </c>
      <c r="AH38" s="151">
        <v>136331.842819093</v>
      </c>
      <c r="AI38" s="151">
        <v>222554.959022575</v>
      </c>
      <c r="AJ38" s="151">
        <v>166808.92835504402</v>
      </c>
      <c r="AK38" s="151">
        <v>6971.4859579096192</v>
      </c>
      <c r="AL38" s="150">
        <v>1672952637.5194232</v>
      </c>
      <c r="AM38" s="151">
        <v>5346183.1896778503</v>
      </c>
      <c r="AN38" s="151">
        <v>143509151.45085099</v>
      </c>
      <c r="AO38" s="151">
        <v>27120495.529288698</v>
      </c>
      <c r="AP38" s="150">
        <v>1848928467.6892409</v>
      </c>
      <c r="AQ38" s="150">
        <v>26501194.898765493</v>
      </c>
    </row>
    <row r="39" spans="1:43" x14ac:dyDescent="0.2">
      <c r="A39" s="154"/>
      <c r="B39" s="153">
        <v>8</v>
      </c>
      <c r="C39" s="152">
        <v>589.99999999999795</v>
      </c>
      <c r="D39" s="151">
        <v>267056.67015937698</v>
      </c>
      <c r="E39" s="151">
        <v>830658355.40461993</v>
      </c>
      <c r="F39" s="151">
        <v>236361</v>
      </c>
      <c r="G39" s="151">
        <v>18357623.586616099</v>
      </c>
      <c r="H39" s="151">
        <v>1689543.42946536</v>
      </c>
      <c r="I39" s="151">
        <v>10144136.611567799</v>
      </c>
      <c r="J39" s="151">
        <v>2076672.4712672399</v>
      </c>
      <c r="K39" s="151">
        <v>201621493.41880351</v>
      </c>
      <c r="L39" s="151">
        <v>6367276.0653132703</v>
      </c>
      <c r="M39" s="151">
        <v>230754789.90722033</v>
      </c>
      <c r="N39" s="151">
        <v>12530868.3638475</v>
      </c>
      <c r="O39" s="151">
        <v>165214434.89131993</v>
      </c>
      <c r="P39" s="151">
        <v>17226694.4659089</v>
      </c>
      <c r="Q39" s="151">
        <v>4030741.6132977302</v>
      </c>
      <c r="R39" s="151">
        <v>79591825.9573735</v>
      </c>
      <c r="S39" s="151">
        <v>43046654.145235695</v>
      </c>
      <c r="T39" s="151">
        <v>953376.91289674002</v>
      </c>
      <c r="U39" s="151">
        <v>5260719.6777191302</v>
      </c>
      <c r="V39" s="151">
        <v>2132451.5112004899</v>
      </c>
      <c r="W39" s="151">
        <v>7410048.0363303404</v>
      </c>
      <c r="X39" s="151">
        <v>36382668.357429698</v>
      </c>
      <c r="Y39" s="151">
        <v>9305627.3534961604</v>
      </c>
      <c r="Z39" s="151">
        <v>404574.572026218</v>
      </c>
      <c r="AA39" s="151">
        <v>66369.617323953091</v>
      </c>
      <c r="AB39" s="151">
        <v>4414.6576666666597</v>
      </c>
      <c r="AC39" s="151">
        <v>367219.93209872395</v>
      </c>
      <c r="AD39" s="151">
        <v>1014322.1015277699</v>
      </c>
      <c r="AE39" s="151">
        <v>2913264.27329798</v>
      </c>
      <c r="AF39" s="151">
        <v>488124.38297670096</v>
      </c>
      <c r="AG39" s="151">
        <v>168618.21301884501</v>
      </c>
      <c r="AH39" s="151">
        <v>136601.33687633398</v>
      </c>
      <c r="AI39" s="151">
        <v>205355.76647482198</v>
      </c>
      <c r="AJ39" s="151">
        <v>159457.27997196</v>
      </c>
      <c r="AK39" s="151">
        <v>6521.94769436344</v>
      </c>
      <c r="AL39" s="150">
        <v>1691194853.9320428</v>
      </c>
      <c r="AM39" s="151">
        <v>5373046.0698584504</v>
      </c>
      <c r="AN39" s="151">
        <v>142970816.71052498</v>
      </c>
      <c r="AO39" s="151">
        <v>28209887.363599099</v>
      </c>
      <c r="AP39" s="150">
        <v>1867748604.0760255</v>
      </c>
      <c r="AQ39" s="150">
        <v>27158082.160451736</v>
      </c>
    </row>
    <row r="40" spans="1:43" x14ac:dyDescent="0.2">
      <c r="A40" s="154"/>
      <c r="B40" s="153">
        <v>9</v>
      </c>
      <c r="C40" s="152">
        <v>589.99999999999795</v>
      </c>
      <c r="D40" s="151">
        <v>303110.67138244299</v>
      </c>
      <c r="E40" s="151">
        <v>756916021.87698495</v>
      </c>
      <c r="F40" s="151">
        <v>198473.625</v>
      </c>
      <c r="G40" s="151">
        <v>16619578.5002794</v>
      </c>
      <c r="H40" s="151">
        <v>1528937.6751025601</v>
      </c>
      <c r="I40" s="151">
        <v>9118463.4699794296</v>
      </c>
      <c r="J40" s="151">
        <v>1346793.1645666398</v>
      </c>
      <c r="K40" s="151">
        <v>182102344.55639723</v>
      </c>
      <c r="L40" s="151">
        <v>5822270.8241533404</v>
      </c>
      <c r="M40" s="151">
        <v>209219868.22361597</v>
      </c>
      <c r="N40" s="151">
        <v>11398345.368721701</v>
      </c>
      <c r="O40" s="151">
        <v>144676141.33859101</v>
      </c>
      <c r="P40" s="151">
        <v>15137719.0505099</v>
      </c>
      <c r="Q40" s="151">
        <v>2885460.3666402199</v>
      </c>
      <c r="R40" s="151">
        <v>71114545.3168661</v>
      </c>
      <c r="S40" s="151">
        <v>39146668.047164403</v>
      </c>
      <c r="T40" s="151">
        <v>761865.61820814305</v>
      </c>
      <c r="U40" s="151">
        <v>5810505.1698665302</v>
      </c>
      <c r="V40" s="151">
        <v>1843280.40016838</v>
      </c>
      <c r="W40" s="151">
        <v>6308812.7442337796</v>
      </c>
      <c r="X40" s="151">
        <v>35632375.563817099</v>
      </c>
      <c r="Y40" s="151">
        <v>8119482.5304721696</v>
      </c>
      <c r="Z40" s="151">
        <v>503509.50680557499</v>
      </c>
      <c r="AA40" s="151">
        <v>67440.283997858001</v>
      </c>
      <c r="AB40" s="151">
        <v>4414.6576666666597</v>
      </c>
      <c r="AC40" s="151">
        <v>372452.66703658004</v>
      </c>
      <c r="AD40" s="151">
        <v>1020708.5915068099</v>
      </c>
      <c r="AE40" s="151">
        <v>2931607.0985797201</v>
      </c>
      <c r="AF40" s="151">
        <v>491197.76713713101</v>
      </c>
      <c r="AG40" s="151">
        <v>170001.53155285801</v>
      </c>
      <c r="AH40" s="151">
        <v>133365.09094338899</v>
      </c>
      <c r="AI40" s="151">
        <v>257129.71546800499</v>
      </c>
      <c r="AJ40" s="151">
        <v>163771.41360727799</v>
      </c>
      <c r="AK40" s="151">
        <v>6888.1925323934602</v>
      </c>
      <c r="AL40" s="150">
        <v>1532134140.6195557</v>
      </c>
      <c r="AM40" s="151">
        <v>4801904.1280527702</v>
      </c>
      <c r="AN40" s="151">
        <v>134549772.49630401</v>
      </c>
      <c r="AO40" s="151">
        <v>26074211.999779601</v>
      </c>
      <c r="AP40" s="150">
        <v>1697560029.2436922</v>
      </c>
      <c r="AQ40" s="150">
        <v>24727065.127612658</v>
      </c>
    </row>
    <row r="41" spans="1:43" x14ac:dyDescent="0.2">
      <c r="A41" s="154"/>
      <c r="B41" s="153">
        <v>10</v>
      </c>
      <c r="C41" s="152">
        <v>589.99999999999795</v>
      </c>
      <c r="D41" s="151">
        <v>474772.107964947</v>
      </c>
      <c r="E41" s="151">
        <v>881188992.76768494</v>
      </c>
      <c r="F41" s="151">
        <v>173928</v>
      </c>
      <c r="G41" s="151">
        <v>18427848.7248124</v>
      </c>
      <c r="H41" s="151">
        <v>1635781.4968052502</v>
      </c>
      <c r="I41" s="151">
        <v>10031291.786978999</v>
      </c>
      <c r="J41" s="151">
        <v>1147681.0488949399</v>
      </c>
      <c r="K41" s="151">
        <v>190211381.93083814</v>
      </c>
      <c r="L41" s="151">
        <v>5741410.8005457297</v>
      </c>
      <c r="M41" s="151">
        <v>221085247.44642177</v>
      </c>
      <c r="N41" s="151">
        <v>11395364.8786947</v>
      </c>
      <c r="O41" s="151">
        <v>150945989.63569167</v>
      </c>
      <c r="P41" s="151">
        <v>15386289.6608126</v>
      </c>
      <c r="Q41" s="151">
        <v>1294622.0135055101</v>
      </c>
      <c r="R41" s="151">
        <v>75413146.833616003</v>
      </c>
      <c r="S41" s="151">
        <v>39778660.406992503</v>
      </c>
      <c r="T41" s="151">
        <v>770838.94094505999</v>
      </c>
      <c r="U41" s="151">
        <v>8380721.6529825488</v>
      </c>
      <c r="V41" s="151">
        <v>1494876.8527957799</v>
      </c>
      <c r="W41" s="151">
        <v>6086310.7405262804</v>
      </c>
      <c r="X41" s="151">
        <v>36125701.927531399</v>
      </c>
      <c r="Y41" s="151">
        <v>8510064.7214085497</v>
      </c>
      <c r="Z41" s="151">
        <v>653495.96069293597</v>
      </c>
      <c r="AA41" s="151">
        <v>71363.639537717099</v>
      </c>
      <c r="AB41" s="151">
        <v>4414.6576666666597</v>
      </c>
      <c r="AC41" s="151">
        <v>418032.13794914098</v>
      </c>
      <c r="AD41" s="151">
        <v>1136705.8569888701</v>
      </c>
      <c r="AE41" s="151">
        <v>3264766.2487354199</v>
      </c>
      <c r="AF41" s="151">
        <v>547019.37799933099</v>
      </c>
      <c r="AG41" s="151">
        <v>177439.32313084599</v>
      </c>
      <c r="AH41" s="151">
        <v>144167.89269799902</v>
      </c>
      <c r="AI41" s="151">
        <v>459229.97784144402</v>
      </c>
      <c r="AJ41" s="151">
        <v>168095.101033866</v>
      </c>
      <c r="AK41" s="151">
        <v>6869.84538536729</v>
      </c>
      <c r="AL41" s="150">
        <v>1692753114.3961096</v>
      </c>
      <c r="AM41" s="151">
        <v>4615913.6654481199</v>
      </c>
      <c r="AN41" s="151">
        <v>134727410.58497098</v>
      </c>
      <c r="AO41" s="151">
        <v>26484735.975370802</v>
      </c>
      <c r="AP41" s="150">
        <v>1858581174.6218996</v>
      </c>
      <c r="AQ41" s="150">
        <v>24717579.058784436</v>
      </c>
    </row>
    <row r="42" spans="1:43" x14ac:dyDescent="0.2">
      <c r="A42" s="154"/>
      <c r="B42" s="153">
        <v>11</v>
      </c>
      <c r="C42" s="152">
        <v>589.99999999999795</v>
      </c>
      <c r="D42" s="151">
        <v>656669.09733170806</v>
      </c>
      <c r="E42" s="151">
        <v>1059308217.9364599</v>
      </c>
      <c r="F42" s="151">
        <v>196629.25</v>
      </c>
      <c r="G42" s="151">
        <v>20825605.567074701</v>
      </c>
      <c r="H42" s="151">
        <v>1802816.37081693</v>
      </c>
      <c r="I42" s="151">
        <v>11281760.0057292</v>
      </c>
      <c r="J42" s="151">
        <v>1234099.0251460802</v>
      </c>
      <c r="K42" s="151">
        <v>199449053.79797482</v>
      </c>
      <c r="L42" s="151">
        <v>6063555.1743765203</v>
      </c>
      <c r="M42" s="151">
        <v>222733521.80415848</v>
      </c>
      <c r="N42" s="151">
        <v>11197016.7958409</v>
      </c>
      <c r="O42" s="151">
        <v>152201462.22259325</v>
      </c>
      <c r="P42" s="151">
        <v>14371835.722085699</v>
      </c>
      <c r="Q42" s="151">
        <v>370839.34461920499</v>
      </c>
      <c r="R42" s="151">
        <v>76420074.828350097</v>
      </c>
      <c r="S42" s="151">
        <v>37836756.741103001</v>
      </c>
      <c r="T42" s="151">
        <v>304210.38193558296</v>
      </c>
      <c r="U42" s="151">
        <v>10868036.133886199</v>
      </c>
      <c r="V42" s="151">
        <v>1509967.8745148401</v>
      </c>
      <c r="W42" s="151">
        <v>5064387.5395080708</v>
      </c>
      <c r="X42" s="151">
        <v>35669962.394413397</v>
      </c>
      <c r="Y42" s="151">
        <v>8266443.1939102709</v>
      </c>
      <c r="Z42" s="151">
        <v>675864.35823980696</v>
      </c>
      <c r="AA42" s="151">
        <v>89630.050449432907</v>
      </c>
      <c r="AB42" s="151">
        <v>4414.6576666666597</v>
      </c>
      <c r="AC42" s="151">
        <v>365595.57111913804</v>
      </c>
      <c r="AD42" s="151">
        <v>986446.16485388298</v>
      </c>
      <c r="AE42" s="151">
        <v>2833200.9775515599</v>
      </c>
      <c r="AF42" s="151">
        <v>474709.58666264801</v>
      </c>
      <c r="AG42" s="151">
        <v>167044.37367906398</v>
      </c>
      <c r="AH42" s="151">
        <v>131064.17142952001</v>
      </c>
      <c r="AI42" s="151">
        <v>227612.20125062598</v>
      </c>
      <c r="AJ42" s="151">
        <v>161053.68912203598</v>
      </c>
      <c r="AK42" s="151">
        <v>6722.3942058030398</v>
      </c>
      <c r="AL42" s="150">
        <v>1883756869.3980589</v>
      </c>
      <c r="AM42" s="151">
        <v>4528884.3870075094</v>
      </c>
      <c r="AN42" s="151">
        <v>133182130.83627599</v>
      </c>
      <c r="AO42" s="151">
        <v>24974975.439074099</v>
      </c>
      <c r="AP42" s="150">
        <v>2046442860.0604165</v>
      </c>
      <c r="AQ42" s="150">
        <v>26154662.348557077</v>
      </c>
    </row>
    <row r="43" spans="1:43" x14ac:dyDescent="0.2">
      <c r="A43" s="149"/>
      <c r="B43" s="148">
        <v>12</v>
      </c>
      <c r="C43" s="147">
        <v>589.99999999999795</v>
      </c>
      <c r="D43" s="146">
        <v>859619.25940795196</v>
      </c>
      <c r="E43" s="146">
        <v>1270186855.0996799</v>
      </c>
      <c r="F43" s="146">
        <v>242994.14285714302</v>
      </c>
      <c r="G43" s="146">
        <v>26873719.8754966</v>
      </c>
      <c r="H43" s="146">
        <v>2289304.87447643</v>
      </c>
      <c r="I43" s="146">
        <v>13289575.0196367</v>
      </c>
      <c r="J43" s="146">
        <v>1471115.5641758</v>
      </c>
      <c r="K43" s="146">
        <v>231012537.56538981</v>
      </c>
      <c r="L43" s="146">
        <v>6337408.2628627298</v>
      </c>
      <c r="M43" s="146">
        <v>250443937.35652453</v>
      </c>
      <c r="N43" s="146">
        <v>11043893.417281602</v>
      </c>
      <c r="O43" s="146">
        <v>161558252.27460113</v>
      </c>
      <c r="P43" s="146">
        <v>13454320.617386499</v>
      </c>
      <c r="Q43" s="146">
        <v>265899.67183676705</v>
      </c>
      <c r="R43" s="146">
        <v>80989514.5057825</v>
      </c>
      <c r="S43" s="146">
        <v>35875422.244685397</v>
      </c>
      <c r="T43" s="146">
        <v>0</v>
      </c>
      <c r="U43" s="146">
        <v>14086516.423654301</v>
      </c>
      <c r="V43" s="146">
        <v>1679046.4112939301</v>
      </c>
      <c r="W43" s="146">
        <v>5438437.9359549405</v>
      </c>
      <c r="X43" s="146">
        <v>36702470.598051704</v>
      </c>
      <c r="Y43" s="146">
        <v>8746118.298738841</v>
      </c>
      <c r="Z43" s="146">
        <v>862750.37856237101</v>
      </c>
      <c r="AA43" s="146">
        <v>108908.459927082</v>
      </c>
      <c r="AB43" s="146">
        <v>4414.6576666666597</v>
      </c>
      <c r="AC43" s="146">
        <v>399042.11335168901</v>
      </c>
      <c r="AD43" s="146">
        <v>1068442.4090053898</v>
      </c>
      <c r="AE43" s="146">
        <v>3068704.7965765302</v>
      </c>
      <c r="AF43" s="146">
        <v>514168.81368982105</v>
      </c>
      <c r="AG43" s="146">
        <v>173066.413562328</v>
      </c>
      <c r="AH43" s="146">
        <v>140038.50931876901</v>
      </c>
      <c r="AI43" s="146">
        <v>232671.90389623999</v>
      </c>
      <c r="AJ43" s="146">
        <v>163543.659256996</v>
      </c>
      <c r="AK43" s="146">
        <v>6711.9162470645206</v>
      </c>
      <c r="AL43" s="145">
        <v>2179590013.4508367</v>
      </c>
      <c r="AM43" s="146">
        <v>4933232.1417644601</v>
      </c>
      <c r="AN43" s="146">
        <v>136194201.50898901</v>
      </c>
      <c r="AO43" s="146">
        <v>25586215.413951799</v>
      </c>
      <c r="AP43" s="145">
        <v>2346303662.515542</v>
      </c>
      <c r="AQ43" s="145">
        <v>28887425.540378567</v>
      </c>
    </row>
    <row r="44" spans="1:43" x14ac:dyDescent="0.2">
      <c r="A44" s="155">
        <f>A32+1</f>
        <v>2026</v>
      </c>
      <c r="B44" s="155">
        <v>1</v>
      </c>
      <c r="C44" s="158">
        <v>589.99999999999795</v>
      </c>
      <c r="D44" s="157">
        <v>853249.12199541705</v>
      </c>
      <c r="E44" s="157">
        <v>1214040343.43752</v>
      </c>
      <c r="F44" s="157">
        <v>259810</v>
      </c>
      <c r="G44" s="157">
        <v>27833973.042642999</v>
      </c>
      <c r="H44" s="157">
        <v>2479364.3647743501</v>
      </c>
      <c r="I44" s="157">
        <v>13577687.235211601</v>
      </c>
      <c r="J44" s="157">
        <v>1569602.91711176</v>
      </c>
      <c r="K44" s="157">
        <v>233885961.66370198</v>
      </c>
      <c r="L44" s="157">
        <v>7271461.9377455302</v>
      </c>
      <c r="M44" s="157">
        <v>241657615.77479783</v>
      </c>
      <c r="N44" s="157">
        <v>11772398.0517492</v>
      </c>
      <c r="O44" s="157">
        <v>160555453.89372543</v>
      </c>
      <c r="P44" s="157">
        <v>13961916.371476499</v>
      </c>
      <c r="Q44" s="157">
        <v>293055.22386494098</v>
      </c>
      <c r="R44" s="157">
        <v>81581168.856273696</v>
      </c>
      <c r="S44" s="157">
        <v>37899044.110239096</v>
      </c>
      <c r="T44" s="157">
        <v>0</v>
      </c>
      <c r="U44" s="157">
        <v>14755203.9716531</v>
      </c>
      <c r="V44" s="157">
        <v>1657664.11291561</v>
      </c>
      <c r="W44" s="157">
        <v>5697739.6445186595</v>
      </c>
      <c r="X44" s="157">
        <v>37300164.651859902</v>
      </c>
      <c r="Y44" s="157">
        <v>8769729.7235478703</v>
      </c>
      <c r="Z44" s="157">
        <v>872351.715543636</v>
      </c>
      <c r="AA44" s="157">
        <v>110190.418926181</v>
      </c>
      <c r="AB44" s="157">
        <v>4414.6576666666597</v>
      </c>
      <c r="AC44" s="157">
        <v>392895.52437462402</v>
      </c>
      <c r="AD44" s="157">
        <v>1043986.50039374</v>
      </c>
      <c r="AE44" s="157">
        <v>2998464.2637890903</v>
      </c>
      <c r="AF44" s="157">
        <v>502399.844756559</v>
      </c>
      <c r="AG44" s="157">
        <v>173478.11337212802</v>
      </c>
      <c r="AH44" s="157">
        <v>132695.00309495299</v>
      </c>
      <c r="AI44" s="157">
        <v>346118.288693938</v>
      </c>
      <c r="AJ44" s="157">
        <v>163560.165786103</v>
      </c>
      <c r="AK44" s="157">
        <v>6913.8102374667005</v>
      </c>
      <c r="AL44" s="156">
        <v>2124420666.4139609</v>
      </c>
      <c r="AM44" s="157">
        <v>5665993.2603046503</v>
      </c>
      <c r="AN44" s="157">
        <v>136994595.51820901</v>
      </c>
      <c r="AO44" s="157">
        <v>26217326.8273784</v>
      </c>
      <c r="AP44" s="156">
        <v>2293298582.0198531</v>
      </c>
      <c r="AQ44" s="156">
        <v>26657308.277561836</v>
      </c>
    </row>
    <row r="45" spans="1:43" x14ac:dyDescent="0.2">
      <c r="A45" s="154"/>
      <c r="B45" s="153">
        <v>2</v>
      </c>
      <c r="C45" s="152">
        <v>589.99999999999795</v>
      </c>
      <c r="D45" s="151">
        <v>849382.77955603099</v>
      </c>
      <c r="E45" s="151">
        <v>1053225509.23622</v>
      </c>
      <c r="F45" s="151">
        <v>233365.535</v>
      </c>
      <c r="G45" s="151">
        <v>24075470.931393899</v>
      </c>
      <c r="H45" s="151">
        <v>2097916.8383842697</v>
      </c>
      <c r="I45" s="151">
        <v>11452386.792209199</v>
      </c>
      <c r="J45" s="151">
        <v>1369698.13347657</v>
      </c>
      <c r="K45" s="151">
        <v>201562139.46438837</v>
      </c>
      <c r="L45" s="151">
        <v>6680744.0639489498</v>
      </c>
      <c r="M45" s="151">
        <v>213350289.15346244</v>
      </c>
      <c r="N45" s="151">
        <v>11559468.3280681</v>
      </c>
      <c r="O45" s="151">
        <v>143632903.04041654</v>
      </c>
      <c r="P45" s="151">
        <v>13885704.067085901</v>
      </c>
      <c r="Q45" s="151">
        <v>262228.75814679201</v>
      </c>
      <c r="R45" s="151">
        <v>73215067.316073611</v>
      </c>
      <c r="S45" s="151">
        <v>36524303.488803104</v>
      </c>
      <c r="T45" s="151">
        <v>0</v>
      </c>
      <c r="U45" s="151">
        <v>13311800.417861499</v>
      </c>
      <c r="V45" s="151">
        <v>1569777.9967467601</v>
      </c>
      <c r="W45" s="151">
        <v>5588955.6929596104</v>
      </c>
      <c r="X45" s="151">
        <v>33918999.253032103</v>
      </c>
      <c r="Y45" s="151">
        <v>8212042.3640871504</v>
      </c>
      <c r="Z45" s="151">
        <v>685651.86512669805</v>
      </c>
      <c r="AA45" s="151">
        <v>107716.87058862101</v>
      </c>
      <c r="AB45" s="151">
        <v>4414.6576666666597</v>
      </c>
      <c r="AC45" s="151">
        <v>351320.67905099702</v>
      </c>
      <c r="AD45" s="151">
        <v>926471.43969894701</v>
      </c>
      <c r="AE45" s="151">
        <v>2660945.80946287</v>
      </c>
      <c r="AF45" s="151">
        <v>445847.82207489398</v>
      </c>
      <c r="AG45" s="151">
        <v>172861.079371322</v>
      </c>
      <c r="AH45" s="151">
        <v>137696.50016861799</v>
      </c>
      <c r="AI45" s="151">
        <v>197009.250581945</v>
      </c>
      <c r="AJ45" s="151">
        <v>160830.46603374899</v>
      </c>
      <c r="AK45" s="151">
        <v>6623.7102473416107</v>
      </c>
      <c r="AL45" s="150">
        <v>1862436133.8013926</v>
      </c>
      <c r="AM45" s="151">
        <v>5129396.4606075594</v>
      </c>
      <c r="AN45" s="151">
        <v>123999676.60063401</v>
      </c>
      <c r="AO45" s="151">
        <v>23068879.0001311</v>
      </c>
      <c r="AP45" s="150">
        <v>2014634085.8627653</v>
      </c>
      <c r="AQ45" s="150">
        <v>23431945.037921585</v>
      </c>
    </row>
    <row r="46" spans="1:43" x14ac:dyDescent="0.2">
      <c r="A46" s="154"/>
      <c r="B46" s="153">
        <v>3</v>
      </c>
      <c r="C46" s="152">
        <v>589.99999999999795</v>
      </c>
      <c r="D46" s="151">
        <v>830319.70552040299</v>
      </c>
      <c r="E46" s="151">
        <v>1057124444.24268</v>
      </c>
      <c r="F46" s="151">
        <v>213526.34</v>
      </c>
      <c r="G46" s="151">
        <v>24874167.107802</v>
      </c>
      <c r="H46" s="151">
        <v>2337079.6171123805</v>
      </c>
      <c r="I46" s="151">
        <v>12253180.561729399</v>
      </c>
      <c r="J46" s="151">
        <v>1483646.0924941599</v>
      </c>
      <c r="K46" s="151">
        <v>217975009.50952119</v>
      </c>
      <c r="L46" s="151">
        <v>7376559.9988246802</v>
      </c>
      <c r="M46" s="151">
        <v>230700931.76862478</v>
      </c>
      <c r="N46" s="151">
        <v>12475049.0636409</v>
      </c>
      <c r="O46" s="151">
        <v>154531461.96041876</v>
      </c>
      <c r="P46" s="151">
        <v>15045853.714604501</v>
      </c>
      <c r="Q46" s="151">
        <v>286985.91789091198</v>
      </c>
      <c r="R46" s="151">
        <v>80611235.397937894</v>
      </c>
      <c r="S46" s="151">
        <v>39344767.1962194</v>
      </c>
      <c r="T46" s="151">
        <v>0</v>
      </c>
      <c r="U46" s="151">
        <v>14355392.4127765</v>
      </c>
      <c r="V46" s="151">
        <v>1622861.3355014899</v>
      </c>
      <c r="W46" s="151">
        <v>6527848.0111315306</v>
      </c>
      <c r="X46" s="151">
        <v>36828471.535218</v>
      </c>
      <c r="Y46" s="151">
        <v>8297977.1165822605</v>
      </c>
      <c r="Z46" s="151">
        <v>726209.23508725292</v>
      </c>
      <c r="AA46" s="151">
        <v>103698.75067091201</v>
      </c>
      <c r="AB46" s="151">
        <v>4414.6576666666597</v>
      </c>
      <c r="AC46" s="151">
        <v>422549.377599417</v>
      </c>
      <c r="AD46" s="151">
        <v>1105964.1211081902</v>
      </c>
      <c r="AE46" s="151">
        <v>3176472.0069896597</v>
      </c>
      <c r="AF46" s="151">
        <v>532225.46703575307</v>
      </c>
      <c r="AG46" s="151">
        <v>169703.31553200199</v>
      </c>
      <c r="AH46" s="151">
        <v>130414.52980040401</v>
      </c>
      <c r="AI46" s="151">
        <v>250011.78942084999</v>
      </c>
      <c r="AJ46" s="151">
        <v>160334.24356500601</v>
      </c>
      <c r="AK46" s="151">
        <v>6796.6725574841494</v>
      </c>
      <c r="AL46" s="150">
        <v>1931886152.7732651</v>
      </c>
      <c r="AM46" s="151">
        <v>5476025.4478914402</v>
      </c>
      <c r="AN46" s="151">
        <v>134142887.58479999</v>
      </c>
      <c r="AO46" s="151">
        <v>25005270.429340702</v>
      </c>
      <c r="AP46" s="150">
        <v>2096510336.2352972</v>
      </c>
      <c r="AQ46" s="150">
        <v>24954588.829289552</v>
      </c>
    </row>
    <row r="47" spans="1:43" x14ac:dyDescent="0.2">
      <c r="A47" s="154"/>
      <c r="B47" s="153">
        <v>4</v>
      </c>
      <c r="C47" s="152">
        <v>589.99999999999795</v>
      </c>
      <c r="D47" s="151">
        <v>590135.22026853403</v>
      </c>
      <c r="E47" s="151">
        <v>888886669.94300294</v>
      </c>
      <c r="F47" s="151">
        <v>180149.25</v>
      </c>
      <c r="G47" s="151">
        <v>21227397.6154068</v>
      </c>
      <c r="H47" s="151">
        <v>2043487.3877159201</v>
      </c>
      <c r="I47" s="151">
        <v>10514816.421212599</v>
      </c>
      <c r="J47" s="151">
        <v>1281008.8091132799</v>
      </c>
      <c r="K47" s="151">
        <v>191652353.16837284</v>
      </c>
      <c r="L47" s="151">
        <v>6427224.0190884201</v>
      </c>
      <c r="M47" s="151">
        <v>209196661.55378795</v>
      </c>
      <c r="N47" s="151">
        <v>11533512.4408805</v>
      </c>
      <c r="O47" s="151">
        <v>145900985.06643313</v>
      </c>
      <c r="P47" s="151">
        <v>14777035.520302599</v>
      </c>
      <c r="Q47" s="151">
        <v>308964.43647345097</v>
      </c>
      <c r="R47" s="151">
        <v>76290569.093501195</v>
      </c>
      <c r="S47" s="151">
        <v>37680091.563693404</v>
      </c>
      <c r="T47" s="151">
        <v>0</v>
      </c>
      <c r="U47" s="151">
        <v>11047763.3764892</v>
      </c>
      <c r="V47" s="151">
        <v>1657267.0994923101</v>
      </c>
      <c r="W47" s="151">
        <v>5968981.2163917702</v>
      </c>
      <c r="X47" s="151">
        <v>35345617.697009094</v>
      </c>
      <c r="Y47" s="151">
        <v>8929397.0943240393</v>
      </c>
      <c r="Z47" s="151">
        <v>527924.07170744007</v>
      </c>
      <c r="AA47" s="151">
        <v>87227.212893670498</v>
      </c>
      <c r="AB47" s="151">
        <v>4414.6576666666597</v>
      </c>
      <c r="AC47" s="151">
        <v>391749.10252597695</v>
      </c>
      <c r="AD47" s="151">
        <v>1017726.7524074001</v>
      </c>
      <c r="AE47" s="151">
        <v>2923042.87099959</v>
      </c>
      <c r="AF47" s="151">
        <v>489762.81036319898</v>
      </c>
      <c r="AG47" s="151">
        <v>179937.00258703</v>
      </c>
      <c r="AH47" s="151">
        <v>143680.91055399599</v>
      </c>
      <c r="AI47" s="151">
        <v>205777.932385205</v>
      </c>
      <c r="AJ47" s="151">
        <v>167464.56726833599</v>
      </c>
      <c r="AK47" s="151">
        <v>6944.5166392734</v>
      </c>
      <c r="AL47" s="150">
        <v>1687586330.4009578</v>
      </c>
      <c r="AM47" s="151">
        <v>5053713.9063199004</v>
      </c>
      <c r="AN47" s="151">
        <v>121614677.693617</v>
      </c>
      <c r="AO47" s="151">
        <v>22327032.497687601</v>
      </c>
      <c r="AP47" s="150">
        <v>1836581754.4985824</v>
      </c>
      <c r="AQ47" s="150">
        <v>23829791.223515149</v>
      </c>
    </row>
    <row r="48" spans="1:43" x14ac:dyDescent="0.2">
      <c r="A48" s="154"/>
      <c r="B48" s="153">
        <v>5</v>
      </c>
      <c r="C48" s="152">
        <v>589.99999999999795</v>
      </c>
      <c r="D48" s="151">
        <v>440199.03564444598</v>
      </c>
      <c r="E48" s="151">
        <v>778160010.17170501</v>
      </c>
      <c r="F48" s="151">
        <v>165744.375</v>
      </c>
      <c r="G48" s="151">
        <v>19166420.529314</v>
      </c>
      <c r="H48" s="151">
        <v>1837641.2549014301</v>
      </c>
      <c r="I48" s="151">
        <v>10133294.249761499</v>
      </c>
      <c r="J48" s="151">
        <v>1166072.4568148199</v>
      </c>
      <c r="K48" s="151">
        <v>191099851.00844046</v>
      </c>
      <c r="L48" s="151">
        <v>6093532.4070678595</v>
      </c>
      <c r="M48" s="151">
        <v>214384167.97618529</v>
      </c>
      <c r="N48" s="151">
        <v>11348615.2007304</v>
      </c>
      <c r="O48" s="151">
        <v>150269402.67398638</v>
      </c>
      <c r="P48" s="151">
        <v>15209509.1816513</v>
      </c>
      <c r="Q48" s="151">
        <v>734468.26077719592</v>
      </c>
      <c r="R48" s="151">
        <v>76772883.147121206</v>
      </c>
      <c r="S48" s="151">
        <v>38620764.958494194</v>
      </c>
      <c r="T48" s="151">
        <v>297225.48595222598</v>
      </c>
      <c r="U48" s="151">
        <v>9556304.8219778705</v>
      </c>
      <c r="V48" s="151">
        <v>1660860.58411482</v>
      </c>
      <c r="W48" s="151">
        <v>6694186.7191888001</v>
      </c>
      <c r="X48" s="151">
        <v>35803559.579946101</v>
      </c>
      <c r="Y48" s="151">
        <v>8958463.7328753788</v>
      </c>
      <c r="Z48" s="151">
        <v>412440.02312881296</v>
      </c>
      <c r="AA48" s="151">
        <v>67729.112893822705</v>
      </c>
      <c r="AB48" s="151">
        <v>4414.6576666666597</v>
      </c>
      <c r="AC48" s="151">
        <v>377276.856708445</v>
      </c>
      <c r="AD48" s="151">
        <v>972897.19857574906</v>
      </c>
      <c r="AE48" s="151">
        <v>2794286.59390681</v>
      </c>
      <c r="AF48" s="151">
        <v>468189.38879401702</v>
      </c>
      <c r="AG48" s="151">
        <v>171756.478136647</v>
      </c>
      <c r="AH48" s="151">
        <v>132311.21399323602</v>
      </c>
      <c r="AI48" s="151">
        <v>387164.46623821999</v>
      </c>
      <c r="AJ48" s="151">
        <v>162225.49043776401</v>
      </c>
      <c r="AK48" s="151">
        <v>6866.6546150136001</v>
      </c>
      <c r="AL48" s="150">
        <v>1584531325.9467454</v>
      </c>
      <c r="AM48" s="151">
        <v>5559173.1601370005</v>
      </c>
      <c r="AN48" s="151">
        <v>124130461.43126899</v>
      </c>
      <c r="AO48" s="151">
        <v>24142501.7667755</v>
      </c>
      <c r="AP48" s="150">
        <v>1738363462.3049269</v>
      </c>
      <c r="AQ48" s="150">
        <v>23785628.059987836</v>
      </c>
    </row>
    <row r="49" spans="1:43" x14ac:dyDescent="0.2">
      <c r="A49" s="154"/>
      <c r="B49" s="153">
        <v>6</v>
      </c>
      <c r="C49" s="152">
        <v>589.99999999999795</v>
      </c>
      <c r="D49" s="151">
        <v>317139.12673546799</v>
      </c>
      <c r="E49" s="151">
        <v>751631159.57672608</v>
      </c>
      <c r="F49" s="151">
        <v>183269.5</v>
      </c>
      <c r="G49" s="151">
        <v>17996459.068880003</v>
      </c>
      <c r="H49" s="151">
        <v>1656566.4338974899</v>
      </c>
      <c r="I49" s="151">
        <v>9529643.5284302998</v>
      </c>
      <c r="J49" s="151">
        <v>1046352.7959850201</v>
      </c>
      <c r="K49" s="151">
        <v>187528899.76367775</v>
      </c>
      <c r="L49" s="151">
        <v>5994164.6132515697</v>
      </c>
      <c r="M49" s="151">
        <v>215096084.46829641</v>
      </c>
      <c r="N49" s="151">
        <v>11615304.8344738</v>
      </c>
      <c r="O49" s="151">
        <v>151488229.49344936</v>
      </c>
      <c r="P49" s="151">
        <v>15913361.3336605</v>
      </c>
      <c r="Q49" s="151">
        <v>1468969.1610522501</v>
      </c>
      <c r="R49" s="151">
        <v>75730134.497674301</v>
      </c>
      <c r="S49" s="151">
        <v>40257021.192278698</v>
      </c>
      <c r="T49" s="151">
        <v>638413.76599920902</v>
      </c>
      <c r="U49" s="151">
        <v>8058310.2295289598</v>
      </c>
      <c r="V49" s="151">
        <v>1814834.9197180001</v>
      </c>
      <c r="W49" s="151">
        <v>7356651.0228625899</v>
      </c>
      <c r="X49" s="151">
        <v>35001042.4228452</v>
      </c>
      <c r="Y49" s="151">
        <v>8476191.6517899707</v>
      </c>
      <c r="Z49" s="151">
        <v>336903.05874819303</v>
      </c>
      <c r="AA49" s="151">
        <v>63429.272893754896</v>
      </c>
      <c r="AB49" s="151">
        <v>4414.6576666666597</v>
      </c>
      <c r="AC49" s="151">
        <v>359171.05524435401</v>
      </c>
      <c r="AD49" s="151">
        <v>919423.015999628</v>
      </c>
      <c r="AE49" s="151">
        <v>2640701.82491855</v>
      </c>
      <c r="AF49" s="151">
        <v>442455.89414193603</v>
      </c>
      <c r="AG49" s="151">
        <v>163575.78211304999</v>
      </c>
      <c r="AH49" s="151">
        <v>130767.537783558</v>
      </c>
      <c r="AI49" s="151">
        <v>213191.50583314997</v>
      </c>
      <c r="AJ49" s="151">
        <v>151747.182902734</v>
      </c>
      <c r="AK49" s="151">
        <v>6296.3411249042301</v>
      </c>
      <c r="AL49" s="150">
        <v>1554230870.5305836</v>
      </c>
      <c r="AM49" s="151">
        <v>5234708.4113377295</v>
      </c>
      <c r="AN49" s="151">
        <v>137090974.20953199</v>
      </c>
      <c r="AO49" s="151">
        <v>26228856.122052997</v>
      </c>
      <c r="AP49" s="150">
        <v>1722785409.2735062</v>
      </c>
      <c r="AQ49" s="150">
        <v>23967784.899174068</v>
      </c>
    </row>
    <row r="50" spans="1:43" x14ac:dyDescent="0.2">
      <c r="A50" s="154"/>
      <c r="B50" s="153">
        <v>7</v>
      </c>
      <c r="C50" s="152">
        <v>589.99999999999795</v>
      </c>
      <c r="D50" s="151">
        <v>274419.219392706</v>
      </c>
      <c r="E50" s="151">
        <v>839048557.09608102</v>
      </c>
      <c r="F50" s="151">
        <v>214898.875</v>
      </c>
      <c r="G50" s="151">
        <v>18354393.220690601</v>
      </c>
      <c r="H50" s="151">
        <v>1763552.3108360402</v>
      </c>
      <c r="I50" s="151">
        <v>10229921.012628499</v>
      </c>
      <c r="J50" s="151">
        <v>1365763.7127270401</v>
      </c>
      <c r="K50" s="151">
        <v>202289775.5463554</v>
      </c>
      <c r="L50" s="151">
        <v>5672603.0260639302</v>
      </c>
      <c r="M50" s="151">
        <v>230775521.5396755</v>
      </c>
      <c r="N50" s="151">
        <v>11015133.881413899</v>
      </c>
      <c r="O50" s="151">
        <v>166296142.5133256</v>
      </c>
      <c r="P50" s="151">
        <v>15129841.4721046</v>
      </c>
      <c r="Q50" s="151">
        <v>2688339.6545934603</v>
      </c>
      <c r="R50" s="151">
        <v>80438328.581497386</v>
      </c>
      <c r="S50" s="151">
        <v>38503443.076651394</v>
      </c>
      <c r="T50" s="151">
        <v>669883.893295196</v>
      </c>
      <c r="U50" s="151">
        <v>6311272.2556287702</v>
      </c>
      <c r="V50" s="151">
        <v>2142678.7081020302</v>
      </c>
      <c r="W50" s="151">
        <v>7996673.0639520101</v>
      </c>
      <c r="X50" s="151">
        <v>36341648.739588805</v>
      </c>
      <c r="Y50" s="151">
        <v>9225985.99678546</v>
      </c>
      <c r="Z50" s="151">
        <v>359347.73262919299</v>
      </c>
      <c r="AA50" s="151">
        <v>63472.684004793104</v>
      </c>
      <c r="AB50" s="151">
        <v>4414.6576666666597</v>
      </c>
      <c r="AC50" s="151">
        <v>433482.126019291</v>
      </c>
      <c r="AD50" s="151">
        <v>1101579.3567149001</v>
      </c>
      <c r="AE50" s="151">
        <v>3163878.3965038504</v>
      </c>
      <c r="AF50" s="151">
        <v>530115.37753780396</v>
      </c>
      <c r="AG50" s="151">
        <v>173125.05811910701</v>
      </c>
      <c r="AH50" s="151">
        <v>133653.93174393501</v>
      </c>
      <c r="AI50" s="151">
        <v>220974.93746338401</v>
      </c>
      <c r="AJ50" s="151">
        <v>163396.72159043999</v>
      </c>
      <c r="AK50" s="151">
        <v>6968.1555536933502</v>
      </c>
      <c r="AL50" s="150">
        <v>1693103776.5319364</v>
      </c>
      <c r="AM50" s="151">
        <v>5342229.7698565898</v>
      </c>
      <c r="AN50" s="151">
        <v>143403028.651885</v>
      </c>
      <c r="AO50" s="151">
        <v>27100440.342104901</v>
      </c>
      <c r="AP50" s="150">
        <v>1868949475.295783</v>
      </c>
      <c r="AQ50" s="150">
        <v>26501194.898765493</v>
      </c>
    </row>
    <row r="51" spans="1:43" x14ac:dyDescent="0.2">
      <c r="A51" s="154"/>
      <c r="B51" s="153">
        <v>8</v>
      </c>
      <c r="C51" s="152">
        <v>589.99999999999795</v>
      </c>
      <c r="D51" s="151">
        <v>267056.67015937698</v>
      </c>
      <c r="E51" s="151">
        <v>849033644.425331</v>
      </c>
      <c r="F51" s="151">
        <v>236361</v>
      </c>
      <c r="G51" s="151">
        <v>18263637.211213898</v>
      </c>
      <c r="H51" s="151">
        <v>1664111.82775977</v>
      </c>
      <c r="I51" s="151">
        <v>10137118.543373501</v>
      </c>
      <c r="J51" s="151">
        <v>2045413.6671186199</v>
      </c>
      <c r="K51" s="151">
        <v>202983641.56836569</v>
      </c>
      <c r="L51" s="151">
        <v>6215793.9822375998</v>
      </c>
      <c r="M51" s="151">
        <v>231752071.56767827</v>
      </c>
      <c r="N51" s="151">
        <v>12232749.9811935</v>
      </c>
      <c r="O51" s="151">
        <v>168279591.35897446</v>
      </c>
      <c r="P51" s="151">
        <v>16816858.998522799</v>
      </c>
      <c r="Q51" s="151">
        <v>4010105.2388438503</v>
      </c>
      <c r="R51" s="151">
        <v>79220471.459224701</v>
      </c>
      <c r="S51" s="151">
        <v>42022543.242477603</v>
      </c>
      <c r="T51" s="151">
        <v>948495.86497610202</v>
      </c>
      <c r="U51" s="151">
        <v>5233786.1276230095</v>
      </c>
      <c r="V51" s="151">
        <v>2133837.78023544</v>
      </c>
      <c r="W51" s="151">
        <v>7408585.0174952</v>
      </c>
      <c r="X51" s="151">
        <v>36408296.789359704</v>
      </c>
      <c r="Y51" s="151">
        <v>9304530.0893697999</v>
      </c>
      <c r="Z51" s="151">
        <v>350410.67918859399</v>
      </c>
      <c r="AA51" s="151">
        <v>66369.617323953091</v>
      </c>
      <c r="AB51" s="151">
        <v>4414.6576666666597</v>
      </c>
      <c r="AC51" s="151">
        <v>398571.05406953004</v>
      </c>
      <c r="AD51" s="151">
        <v>1005550.45199046</v>
      </c>
      <c r="AE51" s="151">
        <v>2888070.9612559499</v>
      </c>
      <c r="AF51" s="151">
        <v>483903.18340741697</v>
      </c>
      <c r="AG51" s="151">
        <v>168438.912543591</v>
      </c>
      <c r="AH51" s="151">
        <v>133955.748734992</v>
      </c>
      <c r="AI51" s="151">
        <v>203579.89191656501</v>
      </c>
      <c r="AJ51" s="151">
        <v>156098.627992155</v>
      </c>
      <c r="AK51" s="151">
        <v>6515.0125697393396</v>
      </c>
      <c r="AL51" s="150">
        <v>1712485171.2101934</v>
      </c>
      <c r="AM51" s="151">
        <v>5370289.5788920494</v>
      </c>
      <c r="AN51" s="151">
        <v>142897469.53285301</v>
      </c>
      <c r="AO51" s="151">
        <v>28195415.0701048</v>
      </c>
      <c r="AP51" s="150">
        <v>1888948345.3920434</v>
      </c>
      <c r="AQ51" s="150">
        <v>27158082.160451736</v>
      </c>
    </row>
    <row r="52" spans="1:43" x14ac:dyDescent="0.2">
      <c r="A52" s="154"/>
      <c r="B52" s="153">
        <v>9</v>
      </c>
      <c r="C52" s="152">
        <v>589.99999999999795</v>
      </c>
      <c r="D52" s="151">
        <v>303203.31958990899</v>
      </c>
      <c r="E52" s="151">
        <v>772444236.68675399</v>
      </c>
      <c r="F52" s="151">
        <v>198473.625</v>
      </c>
      <c r="G52" s="151">
        <v>16521085.685495498</v>
      </c>
      <c r="H52" s="151">
        <v>1502511.8132150802</v>
      </c>
      <c r="I52" s="151">
        <v>9100877.4486321304</v>
      </c>
      <c r="J52" s="151">
        <v>1323515.45303045</v>
      </c>
      <c r="K52" s="151">
        <v>183331371.79763627</v>
      </c>
      <c r="L52" s="151">
        <v>5676387.47249314</v>
      </c>
      <c r="M52" s="151">
        <v>210103790.62511027</v>
      </c>
      <c r="N52" s="151">
        <v>11112747.381958298</v>
      </c>
      <c r="O52" s="151">
        <v>147485494.11133379</v>
      </c>
      <c r="P52" s="151">
        <v>14758426.973882701</v>
      </c>
      <c r="Q52" s="151">
        <v>2868360.2269794503</v>
      </c>
      <c r="R52" s="151">
        <v>70539923.616823405</v>
      </c>
      <c r="S52" s="151">
        <v>38165805.542905994</v>
      </c>
      <c r="T52" s="151">
        <v>757350.56451871502</v>
      </c>
      <c r="U52" s="151">
        <v>5776070.3008060902</v>
      </c>
      <c r="V52" s="151">
        <v>1843799.8137729801</v>
      </c>
      <c r="W52" s="151">
        <v>6307451.6346506299</v>
      </c>
      <c r="X52" s="151">
        <v>35644680.491035998</v>
      </c>
      <c r="Y52" s="151">
        <v>8118461.6982848104</v>
      </c>
      <c r="Z52" s="151">
        <v>447172.17909536901</v>
      </c>
      <c r="AA52" s="151">
        <v>67440.283997858001</v>
      </c>
      <c r="AB52" s="151">
        <v>4414.6576666666597</v>
      </c>
      <c r="AC52" s="151">
        <v>403075.450874259</v>
      </c>
      <c r="AD52" s="151">
        <v>1009626.18973893</v>
      </c>
      <c r="AE52" s="151">
        <v>2899777.0072467299</v>
      </c>
      <c r="AF52" s="151">
        <v>485864.55935560004</v>
      </c>
      <c r="AG52" s="151">
        <v>170140.38617767498</v>
      </c>
      <c r="AH52" s="151">
        <v>130896.90887037599</v>
      </c>
      <c r="AI52" s="151">
        <v>254337.91491201002</v>
      </c>
      <c r="AJ52" s="151">
        <v>160618.15670766699</v>
      </c>
      <c r="AK52" s="151">
        <v>6893.8187016462707</v>
      </c>
      <c r="AL52" s="150">
        <v>1549924873.7972546</v>
      </c>
      <c r="AM52" s="151">
        <v>4796338.3551306995</v>
      </c>
      <c r="AN52" s="151">
        <v>134393819.053574</v>
      </c>
      <c r="AO52" s="151">
        <v>26043990.000497099</v>
      </c>
      <c r="AP52" s="150">
        <v>1715159021.2064564</v>
      </c>
      <c r="AQ52" s="150">
        <v>24727065.127612658</v>
      </c>
    </row>
    <row r="53" spans="1:43" x14ac:dyDescent="0.2">
      <c r="A53" s="154"/>
      <c r="B53" s="153">
        <v>10</v>
      </c>
      <c r="C53" s="152">
        <v>589.99999999999795</v>
      </c>
      <c r="D53" s="151">
        <v>473938.27409775299</v>
      </c>
      <c r="E53" s="151">
        <v>893474914.26502991</v>
      </c>
      <c r="F53" s="151">
        <v>173928</v>
      </c>
      <c r="G53" s="151">
        <v>18313635.3410444</v>
      </c>
      <c r="H53" s="151">
        <v>1605531.7737752199</v>
      </c>
      <c r="I53" s="151">
        <v>10010214.8950231</v>
      </c>
      <c r="J53" s="151">
        <v>1126457.5334537302</v>
      </c>
      <c r="K53" s="151">
        <v>191649749.28819314</v>
      </c>
      <c r="L53" s="151">
        <v>5599136.8240082804</v>
      </c>
      <c r="M53" s="151">
        <v>222112359.68206534</v>
      </c>
      <c r="N53" s="151">
        <v>11112984.130876899</v>
      </c>
      <c r="O53" s="151">
        <v>153739078.50618771</v>
      </c>
      <c r="P53" s="151">
        <v>15005012.533944601</v>
      </c>
      <c r="Q53" s="151">
        <v>1286598.1164640801</v>
      </c>
      <c r="R53" s="151">
        <v>74532851.0100196</v>
      </c>
      <c r="S53" s="151">
        <v>38792932.613938898</v>
      </c>
      <c r="T53" s="151">
        <v>766061.38252789399</v>
      </c>
      <c r="U53" s="151">
        <v>8328779.0419540508</v>
      </c>
      <c r="V53" s="151">
        <v>1494687.78861742</v>
      </c>
      <c r="W53" s="151">
        <v>6084850.9742999505</v>
      </c>
      <c r="X53" s="151">
        <v>36124378.478282906</v>
      </c>
      <c r="Y53" s="151">
        <v>8508969.8967388105</v>
      </c>
      <c r="Z53" s="151">
        <v>587378.42717266001</v>
      </c>
      <c r="AA53" s="151">
        <v>71363.639537717099</v>
      </c>
      <c r="AB53" s="151">
        <v>4414.6576666666597</v>
      </c>
      <c r="AC53" s="151">
        <v>450282.32192826696</v>
      </c>
      <c r="AD53" s="151">
        <v>1119844.22381547</v>
      </c>
      <c r="AE53" s="151">
        <v>3216337.4572898503</v>
      </c>
      <c r="AF53" s="151">
        <v>538905.01839270594</v>
      </c>
      <c r="AG53" s="151">
        <v>177232.64112936801</v>
      </c>
      <c r="AH53" s="151">
        <v>141355.63318163803</v>
      </c>
      <c r="AI53" s="151">
        <v>452417.866000037</v>
      </c>
      <c r="AJ53" s="151">
        <v>164526.543975337</v>
      </c>
      <c r="AK53" s="151">
        <v>6861.8433632166198</v>
      </c>
      <c r="AL53" s="150">
        <v>1707248560.6239965</v>
      </c>
      <c r="AM53" s="151">
        <v>4608365.2063105898</v>
      </c>
      <c r="AN53" s="151">
        <v>134507089.22993401</v>
      </c>
      <c r="AO53" s="151">
        <v>26441425.1680707</v>
      </c>
      <c r="AP53" s="150">
        <v>1872805440.2283118</v>
      </c>
      <c r="AQ53" s="150">
        <v>24717579.058784436</v>
      </c>
    </row>
    <row r="54" spans="1:43" x14ac:dyDescent="0.2">
      <c r="A54" s="154"/>
      <c r="B54" s="153">
        <v>11</v>
      </c>
      <c r="C54" s="152">
        <v>589.99999999999795</v>
      </c>
      <c r="D54" s="151">
        <v>653982.29931519495</v>
      </c>
      <c r="E54" s="151">
        <v>1069067320.8275601</v>
      </c>
      <c r="F54" s="151">
        <v>196629.25</v>
      </c>
      <c r="G54" s="151">
        <v>20732489.9626971</v>
      </c>
      <c r="H54" s="151">
        <v>1773474.61053023</v>
      </c>
      <c r="I54" s="151">
        <v>11272191.9242256</v>
      </c>
      <c r="J54" s="151">
        <v>1214013.43109887</v>
      </c>
      <c r="K54" s="151">
        <v>201214999.29770541</v>
      </c>
      <c r="L54" s="151">
        <v>5918987.5623924695</v>
      </c>
      <c r="M54" s="151">
        <v>224167357.05097854</v>
      </c>
      <c r="N54" s="151">
        <v>10930056.912906101</v>
      </c>
      <c r="O54" s="151">
        <v>155292028.5414702</v>
      </c>
      <c r="P54" s="151">
        <v>14029181.633779701</v>
      </c>
      <c r="Q54" s="151">
        <v>369181.24495002703</v>
      </c>
      <c r="R54" s="151">
        <v>75493038.709204003</v>
      </c>
      <c r="S54" s="151">
        <v>36934650.730688803</v>
      </c>
      <c r="T54" s="151">
        <v>302850.19418591005</v>
      </c>
      <c r="U54" s="151">
        <v>10819442.888914499</v>
      </c>
      <c r="V54" s="151">
        <v>1509794.4681444301</v>
      </c>
      <c r="W54" s="151">
        <v>5063031.7180273794</v>
      </c>
      <c r="X54" s="151">
        <v>35668748.549820498</v>
      </c>
      <c r="Y54" s="151">
        <v>8265426.3277997505</v>
      </c>
      <c r="Z54" s="151">
        <v>615103.76254377398</v>
      </c>
      <c r="AA54" s="151">
        <v>89630.050449432907</v>
      </c>
      <c r="AB54" s="151">
        <v>4414.6576666666597</v>
      </c>
      <c r="AC54" s="151">
        <v>392411.65099369403</v>
      </c>
      <c r="AD54" s="151">
        <v>969025.17884607904</v>
      </c>
      <c r="AE54" s="151">
        <v>2783165.6524159699</v>
      </c>
      <c r="AF54" s="151">
        <v>466326.048501449</v>
      </c>
      <c r="AG54" s="151">
        <v>167243.42044133603</v>
      </c>
      <c r="AH54" s="151">
        <v>128676.54699959701</v>
      </c>
      <c r="AI54" s="151">
        <v>223592.489770699</v>
      </c>
      <c r="AJ54" s="151">
        <v>158001.066481702</v>
      </c>
      <c r="AK54" s="151">
        <v>6730.4044773968099</v>
      </c>
      <c r="AL54" s="150">
        <v>1896893789.0659828</v>
      </c>
      <c r="AM54" s="151">
        <v>4521776.90537808</v>
      </c>
      <c r="AN54" s="151">
        <v>132973119.197338</v>
      </c>
      <c r="AO54" s="151">
        <v>24935780.537204299</v>
      </c>
      <c r="AP54" s="150">
        <v>2059324465.7059033</v>
      </c>
      <c r="AQ54" s="150">
        <v>26154662.348557077</v>
      </c>
    </row>
    <row r="55" spans="1:43" x14ac:dyDescent="0.2">
      <c r="A55" s="149"/>
      <c r="B55" s="148">
        <v>12</v>
      </c>
      <c r="C55" s="147">
        <v>589.99999999999795</v>
      </c>
      <c r="D55" s="146">
        <v>857025.10959890508</v>
      </c>
      <c r="E55" s="146">
        <v>1281512429.8053601</v>
      </c>
      <c r="F55" s="146">
        <v>242994.14285714302</v>
      </c>
      <c r="G55" s="146">
        <v>26860626.5905017</v>
      </c>
      <c r="H55" s="146">
        <v>2259435.88229605</v>
      </c>
      <c r="I55" s="146">
        <v>13333970.299235899</v>
      </c>
      <c r="J55" s="146">
        <v>1451921.6421374199</v>
      </c>
      <c r="K55" s="146">
        <v>233750402.85253027</v>
      </c>
      <c r="L55" s="146">
        <v>6180573.9544808399</v>
      </c>
      <c r="M55" s="146">
        <v>252893088.20091611</v>
      </c>
      <c r="N55" s="146">
        <v>10770585.889330098</v>
      </c>
      <c r="O55" s="146">
        <v>165223262.3266193</v>
      </c>
      <c r="P55" s="146">
        <v>13121361.309534799</v>
      </c>
      <c r="Q55" s="146">
        <v>265770.12147308397</v>
      </c>
      <c r="R55" s="146">
        <v>80040207.249400496</v>
      </c>
      <c r="S55" s="146">
        <v>34987599.210050799</v>
      </c>
      <c r="T55" s="146">
        <v>0</v>
      </c>
      <c r="U55" s="146">
        <v>14079653.2586376</v>
      </c>
      <c r="V55" s="146">
        <v>1678890.2927596599</v>
      </c>
      <c r="W55" s="146">
        <v>5437054.9123440394</v>
      </c>
      <c r="X55" s="146">
        <v>36701377.768311806</v>
      </c>
      <c r="Y55" s="146">
        <v>8745081.0310306605</v>
      </c>
      <c r="Z55" s="146">
        <v>795448.42184378696</v>
      </c>
      <c r="AA55" s="146">
        <v>108908.459927082</v>
      </c>
      <c r="AB55" s="146">
        <v>4414.6576666666597</v>
      </c>
      <c r="AC55" s="146">
        <v>428473.58562563302</v>
      </c>
      <c r="AD55" s="146">
        <v>1050653.12453719</v>
      </c>
      <c r="AE55" s="146">
        <v>3017611.67062501</v>
      </c>
      <c r="AF55" s="146">
        <v>505608.03847693501</v>
      </c>
      <c r="AG55" s="146">
        <v>173763.41770004798</v>
      </c>
      <c r="AH55" s="146">
        <v>138007.70379678099</v>
      </c>
      <c r="AI55" s="146">
        <v>228797.97802875002</v>
      </c>
      <c r="AJ55" s="146">
        <v>160892.737080222</v>
      </c>
      <c r="AK55" s="146">
        <v>6738.9476814135896</v>
      </c>
      <c r="AL55" s="145">
        <v>2197013220.5923963</v>
      </c>
      <c r="AM55" s="146">
        <v>4925705.4151632702</v>
      </c>
      <c r="AN55" s="146">
        <v>135986407.41173801</v>
      </c>
      <c r="AO55" s="146">
        <v>25547178.035891</v>
      </c>
      <c r="AP55" s="145">
        <v>2363472511.4551883</v>
      </c>
      <c r="AQ55" s="145">
        <v>28887425.540378567</v>
      </c>
    </row>
    <row r="56" spans="1:43" x14ac:dyDescent="0.2">
      <c r="A56" s="155">
        <f>A44+1</f>
        <v>2027</v>
      </c>
      <c r="B56" s="155">
        <v>1</v>
      </c>
      <c r="C56" s="158">
        <v>589.99999999999795</v>
      </c>
      <c r="D56" s="157">
        <v>852229.99171329103</v>
      </c>
      <c r="E56" s="157">
        <v>1226037482.3624601</v>
      </c>
      <c r="F56" s="157">
        <v>259810</v>
      </c>
      <c r="G56" s="157">
        <v>27778102.611328501</v>
      </c>
      <c r="H56" s="157">
        <v>2441815.0196343199</v>
      </c>
      <c r="I56" s="157">
        <v>13598959.401079401</v>
      </c>
      <c r="J56" s="157">
        <v>1545831.6786020901</v>
      </c>
      <c r="K56" s="157">
        <v>236318307.2301921</v>
      </c>
      <c r="L56" s="157">
        <v>7123257.1451023594</v>
      </c>
      <c r="M56" s="157">
        <v>243689100.68807971</v>
      </c>
      <c r="N56" s="157">
        <v>11532456.506691299</v>
      </c>
      <c r="O56" s="157">
        <v>164305575.32532543</v>
      </c>
      <c r="P56" s="157">
        <v>13677348.709780499</v>
      </c>
      <c r="Q56" s="157">
        <v>292466.981513365</v>
      </c>
      <c r="R56" s="157">
        <v>80471753.200866193</v>
      </c>
      <c r="S56" s="157">
        <v>37126596.970747605</v>
      </c>
      <c r="T56" s="157">
        <v>0</v>
      </c>
      <c r="U56" s="157">
        <v>14725586.223271701</v>
      </c>
      <c r="V56" s="157">
        <v>1657491.6282699602</v>
      </c>
      <c r="W56" s="157">
        <v>5696283.5312149497</v>
      </c>
      <c r="X56" s="157">
        <v>37298957.259340301</v>
      </c>
      <c r="Y56" s="157">
        <v>8768637.6385700814</v>
      </c>
      <c r="Z56" s="157">
        <v>811388.969869836</v>
      </c>
      <c r="AA56" s="157">
        <v>110190.418926181</v>
      </c>
      <c r="AB56" s="157">
        <v>4414.6576666666597</v>
      </c>
      <c r="AC56" s="157">
        <v>424368.95269916498</v>
      </c>
      <c r="AD56" s="157">
        <v>1033338.0456708701</v>
      </c>
      <c r="AE56" s="157">
        <v>2967880.52449835</v>
      </c>
      <c r="AF56" s="157">
        <v>497275.466234761</v>
      </c>
      <c r="AG56" s="157">
        <v>174062.57696598998</v>
      </c>
      <c r="AH56" s="157">
        <v>130544.34728034801</v>
      </c>
      <c r="AI56" s="157">
        <v>342587.95096972003</v>
      </c>
      <c r="AJ56" s="157">
        <v>160797.91133973899</v>
      </c>
      <c r="AK56" s="157">
        <v>6937.1034950432104</v>
      </c>
      <c r="AL56" s="156">
        <v>2141862427.0294001</v>
      </c>
      <c r="AM56" s="157">
        <v>5657857.8548807604</v>
      </c>
      <c r="AN56" s="157">
        <v>136797894.51200899</v>
      </c>
      <c r="AO56" s="157">
        <v>26179683.1922605</v>
      </c>
      <c r="AP56" s="156">
        <v>2310497862.5885501</v>
      </c>
      <c r="AQ56" s="156">
        <v>26657308.277561836</v>
      </c>
    </row>
    <row r="57" spans="1:43" x14ac:dyDescent="0.2">
      <c r="A57" s="154"/>
      <c r="B57" s="153">
        <v>2</v>
      </c>
      <c r="C57" s="152">
        <v>589.99999999999795</v>
      </c>
      <c r="D57" s="151">
        <v>841507.68192142597</v>
      </c>
      <c r="E57" s="151">
        <v>1055322759.7910799</v>
      </c>
      <c r="F57" s="151">
        <v>233365.535</v>
      </c>
      <c r="G57" s="151">
        <v>23886775.420717198</v>
      </c>
      <c r="H57" s="151">
        <v>2059267.74759928</v>
      </c>
      <c r="I57" s="151">
        <v>11387566.905022901</v>
      </c>
      <c r="J57" s="151">
        <v>1344464.7273947902</v>
      </c>
      <c r="K57" s="151">
        <v>202679988.7977199</v>
      </c>
      <c r="L57" s="151">
        <v>6523356.5639333203</v>
      </c>
      <c r="M57" s="151">
        <v>214023287.70764467</v>
      </c>
      <c r="N57" s="151">
        <v>11287145.9932728</v>
      </c>
      <c r="O57" s="151">
        <v>146529072.97057509</v>
      </c>
      <c r="P57" s="151">
        <v>13558579.389332</v>
      </c>
      <c r="Q57" s="151">
        <v>260173.49660804</v>
      </c>
      <c r="R57" s="151">
        <v>72001085.380331695</v>
      </c>
      <c r="S57" s="151">
        <v>35663850.108028501</v>
      </c>
      <c r="T57" s="151">
        <v>0</v>
      </c>
      <c r="U57" s="151">
        <v>13207466.966398301</v>
      </c>
      <c r="V57" s="151">
        <v>1569615.67806709</v>
      </c>
      <c r="W57" s="151">
        <v>5587689.6030133301</v>
      </c>
      <c r="X57" s="151">
        <v>33917863.022274405</v>
      </c>
      <c r="Y57" s="151">
        <v>8211092.7966274396</v>
      </c>
      <c r="Z57" s="151">
        <v>633063.55445076199</v>
      </c>
      <c r="AA57" s="151">
        <v>107716.87058862101</v>
      </c>
      <c r="AB57" s="151">
        <v>4414.6576666666597</v>
      </c>
      <c r="AC57" s="151">
        <v>379589.752986943</v>
      </c>
      <c r="AD57" s="151">
        <v>917905.33511445404</v>
      </c>
      <c r="AE57" s="151">
        <v>2636342.84911157</v>
      </c>
      <c r="AF57" s="151">
        <v>441725.53734056599</v>
      </c>
      <c r="AG57" s="151">
        <v>173449.87103258198</v>
      </c>
      <c r="AH57" s="151">
        <v>135606.75309156801</v>
      </c>
      <c r="AI57" s="151">
        <v>195187.71375707901</v>
      </c>
      <c r="AJ57" s="151">
        <v>158114.66138895499</v>
      </c>
      <c r="AK57" s="151">
        <v>6646.2716323243894</v>
      </c>
      <c r="AL57" s="150">
        <v>1865886330.1107244</v>
      </c>
      <c r="AM57" s="151">
        <v>5122432.1047983207</v>
      </c>
      <c r="AN57" s="151">
        <v>123831318.02770899</v>
      </c>
      <c r="AO57" s="151">
        <v>23037557.599511899</v>
      </c>
      <c r="AP57" s="150">
        <v>2017877637.8427436</v>
      </c>
      <c r="AQ57" s="150">
        <v>23431945.037921585</v>
      </c>
    </row>
    <row r="58" spans="1:43" x14ac:dyDescent="0.2">
      <c r="A58" s="154"/>
      <c r="B58" s="153">
        <v>3</v>
      </c>
      <c r="C58" s="152">
        <v>589.99999999999795</v>
      </c>
      <c r="D58" s="151">
        <v>826428.48080683302</v>
      </c>
      <c r="E58" s="151">
        <v>1066497230.8080101</v>
      </c>
      <c r="F58" s="151">
        <v>213526.34</v>
      </c>
      <c r="G58" s="151">
        <v>24720505.327772498</v>
      </c>
      <c r="H58" s="151">
        <v>2295465.6565821501</v>
      </c>
      <c r="I58" s="151">
        <v>12214603.145083299</v>
      </c>
      <c r="J58" s="151">
        <v>1457228.3404065499</v>
      </c>
      <c r="K58" s="151">
        <v>219703301.03347382</v>
      </c>
      <c r="L58" s="151">
        <v>7192696.1453407602</v>
      </c>
      <c r="M58" s="151">
        <v>231934422.36308149</v>
      </c>
      <c r="N58" s="151">
        <v>12164103.2306771</v>
      </c>
      <c r="O58" s="151">
        <v>157912844.0380058</v>
      </c>
      <c r="P58" s="151">
        <v>14670829.4968982</v>
      </c>
      <c r="Q58" s="151">
        <v>285213.04377635696</v>
      </c>
      <c r="R58" s="151">
        <v>79326995.177448004</v>
      </c>
      <c r="S58" s="151">
        <v>38364082.363143101</v>
      </c>
      <c r="T58" s="151">
        <v>0</v>
      </c>
      <c r="U58" s="151">
        <v>14266711.0454122</v>
      </c>
      <c r="V58" s="151">
        <v>1622676.92898096</v>
      </c>
      <c r="W58" s="151">
        <v>6526359.2773230206</v>
      </c>
      <c r="X58" s="151">
        <v>36827180.689574301</v>
      </c>
      <c r="Y58" s="151">
        <v>8296860.5662258705</v>
      </c>
      <c r="Z58" s="151">
        <v>665835.37879113504</v>
      </c>
      <c r="AA58" s="151">
        <v>103698.75067091201</v>
      </c>
      <c r="AB58" s="151">
        <v>4414.6576666666597</v>
      </c>
      <c r="AC58" s="151">
        <v>457330.31464492</v>
      </c>
      <c r="AD58" s="151">
        <v>1098294.4615320601</v>
      </c>
      <c r="AE58" s="151">
        <v>3154443.75265325</v>
      </c>
      <c r="AF58" s="151">
        <v>528534.58044006396</v>
      </c>
      <c r="AG58" s="151">
        <v>170101.27764025799</v>
      </c>
      <c r="AH58" s="151">
        <v>128167.88583440799</v>
      </c>
      <c r="AI58" s="151">
        <v>248278.003235312</v>
      </c>
      <c r="AJ58" s="151">
        <v>157454.64013626598</v>
      </c>
      <c r="AK58" s="151">
        <v>6812.6110683589695</v>
      </c>
      <c r="AL58" s="150">
        <v>1944043219.812336</v>
      </c>
      <c r="AM58" s="151">
        <v>5468903.9811858805</v>
      </c>
      <c r="AN58" s="151">
        <v>133968437.31666002</v>
      </c>
      <c r="AO58" s="151">
        <v>24972751.551822599</v>
      </c>
      <c r="AP58" s="150">
        <v>2108453312.6620045</v>
      </c>
      <c r="AQ58" s="150">
        <v>24954588.829289552</v>
      </c>
    </row>
    <row r="59" spans="1:43" x14ac:dyDescent="0.2">
      <c r="A59" s="154"/>
      <c r="B59" s="153">
        <v>4</v>
      </c>
      <c r="C59" s="152">
        <v>589.99999999999795</v>
      </c>
      <c r="D59" s="151">
        <v>584761.62423550896</v>
      </c>
      <c r="E59" s="151">
        <v>897536175.17646706</v>
      </c>
      <c r="F59" s="151">
        <v>180149.25</v>
      </c>
      <c r="G59" s="151">
        <v>21054236.6115628</v>
      </c>
      <c r="H59" s="151">
        <v>2004634.95636978</v>
      </c>
      <c r="I59" s="151">
        <v>10461028.440818699</v>
      </c>
      <c r="J59" s="151">
        <v>1256653.2358373899</v>
      </c>
      <c r="K59" s="151">
        <v>193095421.5420295</v>
      </c>
      <c r="L59" s="151">
        <v>6263965.8871786091</v>
      </c>
      <c r="M59" s="151">
        <v>210089231.47979671</v>
      </c>
      <c r="N59" s="151">
        <v>11240549.306273</v>
      </c>
      <c r="O59" s="151">
        <v>148997565.44504419</v>
      </c>
      <c r="P59" s="151">
        <v>14401683.5476555</v>
      </c>
      <c r="Q59" s="151">
        <v>306444.08080191998</v>
      </c>
      <c r="R59" s="151">
        <v>74995178.8929919</v>
      </c>
      <c r="S59" s="151">
        <v>36722978.2997697</v>
      </c>
      <c r="T59" s="151">
        <v>0</v>
      </c>
      <c r="U59" s="151">
        <v>10957642.0233604</v>
      </c>
      <c r="V59" s="151">
        <v>1657085.31820172</v>
      </c>
      <c r="W59" s="151">
        <v>5967573.6950819297</v>
      </c>
      <c r="X59" s="151">
        <v>35344345.227974996</v>
      </c>
      <c r="Y59" s="151">
        <v>8928341.4533416703</v>
      </c>
      <c r="Z59" s="151">
        <v>474545.61367104796</v>
      </c>
      <c r="AA59" s="151">
        <v>87227.212893670498</v>
      </c>
      <c r="AB59" s="151">
        <v>4414.6576666666597</v>
      </c>
      <c r="AC59" s="151">
        <v>424813.88981022901</v>
      </c>
      <c r="AD59" s="151">
        <v>1013242.52556025</v>
      </c>
      <c r="AE59" s="151">
        <v>2910163.5914812898</v>
      </c>
      <c r="AF59" s="151">
        <v>487604.85633696197</v>
      </c>
      <c r="AG59" s="151">
        <v>180098.50810755402</v>
      </c>
      <c r="AH59" s="151">
        <v>141143.237477421</v>
      </c>
      <c r="AI59" s="151">
        <v>204871.249990574</v>
      </c>
      <c r="AJ59" s="151">
        <v>164213.67052368299</v>
      </c>
      <c r="AK59" s="151">
        <v>6950.7498084297404</v>
      </c>
      <c r="AL59" s="150">
        <v>1698145525.2581208</v>
      </c>
      <c r="AM59" s="151">
        <v>5047175.1017742697</v>
      </c>
      <c r="AN59" s="151">
        <v>121457325.175833</v>
      </c>
      <c r="AO59" s="151">
        <v>22298144.415716097</v>
      </c>
      <c r="AP59" s="150">
        <v>1846948169.9514441</v>
      </c>
      <c r="AQ59" s="150">
        <v>23829791.223515149</v>
      </c>
    </row>
    <row r="60" spans="1:43" x14ac:dyDescent="0.2">
      <c r="A60" s="154"/>
      <c r="B60" s="153">
        <v>5</v>
      </c>
      <c r="C60" s="152">
        <v>589.99999999999795</v>
      </c>
      <c r="D60" s="151">
        <v>437512.23762793303</v>
      </c>
      <c r="E60" s="151">
        <v>789448953.31952894</v>
      </c>
      <c r="F60" s="151">
        <v>165744.375</v>
      </c>
      <c r="G60" s="151">
        <v>19025156.507861</v>
      </c>
      <c r="H60" s="151">
        <v>1803359.98482364</v>
      </c>
      <c r="I60" s="151">
        <v>10097177.083051899</v>
      </c>
      <c r="J60" s="151">
        <v>1144319.32914873</v>
      </c>
      <c r="K60" s="151">
        <v>192648776.1998111</v>
      </c>
      <c r="L60" s="151">
        <v>5963495.5836114306</v>
      </c>
      <c r="M60" s="151">
        <v>215357597.1252459</v>
      </c>
      <c r="N60" s="151">
        <v>11106434.184408799</v>
      </c>
      <c r="O60" s="151">
        <v>153387456.49512532</v>
      </c>
      <c r="P60" s="151">
        <v>14884936.154351201</v>
      </c>
      <c r="Q60" s="151">
        <v>729054.94220848696</v>
      </c>
      <c r="R60" s="151">
        <v>75497003.572890893</v>
      </c>
      <c r="S60" s="151">
        <v>37796592.498389594</v>
      </c>
      <c r="T60" s="151">
        <v>295034.81778026704</v>
      </c>
      <c r="U60" s="151">
        <v>9485871.11489526</v>
      </c>
      <c r="V60" s="151">
        <v>1660732.45154013</v>
      </c>
      <c r="W60" s="151">
        <v>6692743.87302454</v>
      </c>
      <c r="X60" s="151">
        <v>35803585.038821898</v>
      </c>
      <c r="Y60" s="151">
        <v>8957381.5982521791</v>
      </c>
      <c r="Z60" s="151">
        <v>362423.34033970797</v>
      </c>
      <c r="AA60" s="151">
        <v>67729.112893822705</v>
      </c>
      <c r="AB60" s="151">
        <v>4414.6576666666597</v>
      </c>
      <c r="AC60" s="151">
        <v>409555.62302931998</v>
      </c>
      <c r="AD60" s="151">
        <v>970227.811177211</v>
      </c>
      <c r="AE60" s="151">
        <v>2786619.76802572</v>
      </c>
      <c r="AF60" s="151">
        <v>466904.79381686496</v>
      </c>
      <c r="AG60" s="151">
        <v>171667.71657841999</v>
      </c>
      <c r="AH60" s="151">
        <v>129658.90672370599</v>
      </c>
      <c r="AI60" s="151">
        <v>386102.18345145602</v>
      </c>
      <c r="AJ60" s="151">
        <v>158845.935501322</v>
      </c>
      <c r="AK60" s="151">
        <v>6863.1060154495999</v>
      </c>
      <c r="AL60" s="150">
        <v>1598310521.4426191</v>
      </c>
      <c r="AM60" s="151">
        <v>5553870.1915288698</v>
      </c>
      <c r="AN60" s="151">
        <v>124012051.746713</v>
      </c>
      <c r="AO60" s="151">
        <v>24119471.915877998</v>
      </c>
      <c r="AP60" s="150">
        <v>1751995915.2967389</v>
      </c>
      <c r="AQ60" s="150">
        <v>23785628.059987836</v>
      </c>
    </row>
    <row r="61" spans="1:43" x14ac:dyDescent="0.2">
      <c r="A61" s="154"/>
      <c r="B61" s="153">
        <v>6</v>
      </c>
      <c r="C61" s="152">
        <v>589.99999999999795</v>
      </c>
      <c r="D61" s="151">
        <v>317046.47852800199</v>
      </c>
      <c r="E61" s="151">
        <v>767020341.60064495</v>
      </c>
      <c r="F61" s="151">
        <v>183269.5</v>
      </c>
      <c r="G61" s="151">
        <v>17878593.394637801</v>
      </c>
      <c r="H61" s="151">
        <v>1627534.8340841399</v>
      </c>
      <c r="I61" s="151">
        <v>9511057.0586190093</v>
      </c>
      <c r="J61" s="151">
        <v>1028015.2907603399</v>
      </c>
      <c r="K61" s="151">
        <v>189186327.04191715</v>
      </c>
      <c r="L61" s="151">
        <v>5873261.1144727394</v>
      </c>
      <c r="M61" s="151">
        <v>216140453.0040949</v>
      </c>
      <c r="N61" s="151">
        <v>11381021.8134894</v>
      </c>
      <c r="O61" s="151">
        <v>154507034.97651038</v>
      </c>
      <c r="P61" s="151">
        <v>15592385.6536937</v>
      </c>
      <c r="Q61" s="151">
        <v>1459348.3217557101</v>
      </c>
      <c r="R61" s="151">
        <v>74541651.387018889</v>
      </c>
      <c r="S61" s="151">
        <v>39445029.0254637</v>
      </c>
      <c r="T61" s="151">
        <v>634232.55075642106</v>
      </c>
      <c r="U61" s="151">
        <v>8005533.2824183498</v>
      </c>
      <c r="V61" s="151">
        <v>1815545.5544224</v>
      </c>
      <c r="W61" s="151">
        <v>7355250.1617346294</v>
      </c>
      <c r="X61" s="151">
        <v>35017269.984901004</v>
      </c>
      <c r="Y61" s="151">
        <v>8475141.0059440099</v>
      </c>
      <c r="Z61" s="151">
        <v>289404.81533602503</v>
      </c>
      <c r="AA61" s="151">
        <v>63429.272893754896</v>
      </c>
      <c r="AB61" s="151">
        <v>4414.6576666666597</v>
      </c>
      <c r="AC61" s="151">
        <v>389163.19042915397</v>
      </c>
      <c r="AD61" s="151">
        <v>915711.48764955404</v>
      </c>
      <c r="AE61" s="151">
        <v>2630041.8354287101</v>
      </c>
      <c r="AF61" s="151">
        <v>440669.78745743103</v>
      </c>
      <c r="AG61" s="151">
        <v>163091.790117197</v>
      </c>
      <c r="AH61" s="151">
        <v>127965.40229033001</v>
      </c>
      <c r="AI61" s="151">
        <v>212330.89401016399</v>
      </c>
      <c r="AJ61" s="151">
        <v>148217.65894293701</v>
      </c>
      <c r="AK61" s="151">
        <v>6277.7113579041998</v>
      </c>
      <c r="AL61" s="150">
        <v>1572386651.5394471</v>
      </c>
      <c r="AM61" s="151">
        <v>5234280.8655393105</v>
      </c>
      <c r="AN61" s="151">
        <v>137079777.27831399</v>
      </c>
      <c r="AO61" s="151">
        <v>26226713.8752742</v>
      </c>
      <c r="AP61" s="150">
        <v>1740927423.5585747</v>
      </c>
      <c r="AQ61" s="150">
        <v>23967784.899174068</v>
      </c>
    </row>
    <row r="62" spans="1:43" x14ac:dyDescent="0.2">
      <c r="A62" s="154"/>
      <c r="B62" s="153">
        <v>7</v>
      </c>
      <c r="C62" s="152">
        <v>589.99999999999795</v>
      </c>
      <c r="D62" s="151">
        <v>274419.219392706</v>
      </c>
      <c r="E62" s="151">
        <v>858576945.05364907</v>
      </c>
      <c r="F62" s="151">
        <v>214898.875</v>
      </c>
      <c r="G62" s="151">
        <v>18281842.162374601</v>
      </c>
      <c r="H62" s="151">
        <v>1738875.4339266201</v>
      </c>
      <c r="I62" s="151">
        <v>10240868.600960301</v>
      </c>
      <c r="J62" s="151">
        <v>1346652.97650491</v>
      </c>
      <c r="K62" s="151">
        <v>204418117.51105008</v>
      </c>
      <c r="L62" s="151">
        <v>5553862.3162467005</v>
      </c>
      <c r="M62" s="151">
        <v>232345459.6343573</v>
      </c>
      <c r="N62" s="151">
        <v>10784561.636220399</v>
      </c>
      <c r="O62" s="151">
        <v>169881048.17844298</v>
      </c>
      <c r="P62" s="151">
        <v>14813138.8740971</v>
      </c>
      <c r="Q62" s="151">
        <v>2677713.21302666</v>
      </c>
      <c r="R62" s="151">
        <v>79425715.455849901</v>
      </c>
      <c r="S62" s="151">
        <v>37697476.901983</v>
      </c>
      <c r="T62" s="151">
        <v>667235.98307429906</v>
      </c>
      <c r="U62" s="151">
        <v>6286325.1230289098</v>
      </c>
      <c r="V62" s="151">
        <v>2145902.72704635</v>
      </c>
      <c r="W62" s="151">
        <v>7995266.5440982701</v>
      </c>
      <c r="X62" s="151">
        <v>36398301.0092384</v>
      </c>
      <c r="Y62" s="151">
        <v>9224931.1068951599</v>
      </c>
      <c r="Z62" s="151">
        <v>301697.42838983599</v>
      </c>
      <c r="AA62" s="151">
        <v>63472.684004793104</v>
      </c>
      <c r="AB62" s="151">
        <v>4414.6576666666597</v>
      </c>
      <c r="AC62" s="151">
        <v>467975.695839327</v>
      </c>
      <c r="AD62" s="151">
        <v>1093795.10242568</v>
      </c>
      <c r="AE62" s="151">
        <v>3141521.0113291601</v>
      </c>
      <c r="AF62" s="151">
        <v>526369.34428452398</v>
      </c>
      <c r="AG62" s="151">
        <v>173097.379161091</v>
      </c>
      <c r="AH62" s="151">
        <v>131020.19819210599</v>
      </c>
      <c r="AI62" s="151">
        <v>219413.429348445</v>
      </c>
      <c r="AJ62" s="151">
        <v>160038.611641525</v>
      </c>
      <c r="AK62" s="151">
        <v>6967.0414961033503</v>
      </c>
      <c r="AL62" s="150">
        <v>1717279931.1202428</v>
      </c>
      <c r="AM62" s="151">
        <v>5344887.2446765797</v>
      </c>
      <c r="AN62" s="151">
        <v>143474364.02197701</v>
      </c>
      <c r="AO62" s="151">
        <v>27113921.3679916</v>
      </c>
      <c r="AP62" s="150">
        <v>1893213103.7548881</v>
      </c>
      <c r="AQ62" s="150">
        <v>26501194.898765493</v>
      </c>
    </row>
    <row r="63" spans="1:43" x14ac:dyDescent="0.2">
      <c r="A63" s="154"/>
      <c r="B63" s="153">
        <v>8</v>
      </c>
      <c r="C63" s="152">
        <v>589.99999999999795</v>
      </c>
      <c r="D63" s="151">
        <v>267056.67015937698</v>
      </c>
      <c r="E63" s="151">
        <v>870334133.80554092</v>
      </c>
      <c r="F63" s="151">
        <v>236361</v>
      </c>
      <c r="G63" s="151">
        <v>18179034.9982986</v>
      </c>
      <c r="H63" s="151">
        <v>1640508.0293478</v>
      </c>
      <c r="I63" s="151">
        <v>10140004.5249715</v>
      </c>
      <c r="J63" s="151">
        <v>2016401.47511181</v>
      </c>
      <c r="K63" s="151">
        <v>205009456.47581658</v>
      </c>
      <c r="L63" s="151">
        <v>6090160.4578208495</v>
      </c>
      <c r="M63" s="151">
        <v>233190237.25267145</v>
      </c>
      <c r="N63" s="151">
        <v>11985501.8423655</v>
      </c>
      <c r="O63" s="151">
        <v>172006363.94690809</v>
      </c>
      <c r="P63" s="151">
        <v>16476956.924605699</v>
      </c>
      <c r="Q63" s="151">
        <v>3991529.3235808699</v>
      </c>
      <c r="R63" s="151">
        <v>78209377.627646402</v>
      </c>
      <c r="S63" s="151">
        <v>41173184.298536696</v>
      </c>
      <c r="T63" s="151">
        <v>944102.17010634695</v>
      </c>
      <c r="U63" s="151">
        <v>5209541.7844398096</v>
      </c>
      <c r="V63" s="151">
        <v>2138220.6456005103</v>
      </c>
      <c r="W63" s="151">
        <v>7407118.3326828405</v>
      </c>
      <c r="X63" s="151">
        <v>36485158.0381025</v>
      </c>
      <c r="Y63" s="151">
        <v>9303430.0757605303</v>
      </c>
      <c r="Z63" s="151">
        <v>297176.262849961</v>
      </c>
      <c r="AA63" s="151">
        <v>66369.617323953091</v>
      </c>
      <c r="AB63" s="151">
        <v>4414.6576666666597</v>
      </c>
      <c r="AC63" s="151">
        <v>429384.98245444801</v>
      </c>
      <c r="AD63" s="151">
        <v>996930.12647803</v>
      </c>
      <c r="AE63" s="151">
        <v>2863312.2713863798</v>
      </c>
      <c r="AF63" s="151">
        <v>479754.80582057597</v>
      </c>
      <c r="AG63" s="151">
        <v>168233.55608440202</v>
      </c>
      <c r="AH63" s="151">
        <v>131295.14875094302</v>
      </c>
      <c r="AI63" s="151">
        <v>201834.65384061</v>
      </c>
      <c r="AJ63" s="151">
        <v>152723.11175788098</v>
      </c>
      <c r="AK63" s="151">
        <v>6507.0696313013395</v>
      </c>
      <c r="AL63" s="150">
        <v>1738232365.9641201</v>
      </c>
      <c r="AM63" s="151">
        <v>5373837.7060061106</v>
      </c>
      <c r="AN63" s="151">
        <v>142991881.27336201</v>
      </c>
      <c r="AO63" s="151">
        <v>28214043.658979401</v>
      </c>
      <c r="AP63" s="150">
        <v>1914812128.6024675</v>
      </c>
      <c r="AQ63" s="150">
        <v>27158082.160451736</v>
      </c>
    </row>
    <row r="64" spans="1:43" x14ac:dyDescent="0.2">
      <c r="A64" s="154"/>
      <c r="B64" s="153">
        <v>9</v>
      </c>
      <c r="C64" s="152">
        <v>589.99999999999795</v>
      </c>
      <c r="D64" s="151">
        <v>303295.96779737499</v>
      </c>
      <c r="E64" s="151">
        <v>787558296.10632503</v>
      </c>
      <c r="F64" s="151">
        <v>198473.625</v>
      </c>
      <c r="G64" s="151">
        <v>16389601.608171098</v>
      </c>
      <c r="H64" s="151">
        <v>1471706.9757727298</v>
      </c>
      <c r="I64" s="151">
        <v>9058849.3802132998</v>
      </c>
      <c r="J64" s="151">
        <v>1296380.4394988099</v>
      </c>
      <c r="K64" s="151">
        <v>184739954.56608966</v>
      </c>
      <c r="L64" s="151">
        <v>5555880.2890401399</v>
      </c>
      <c r="M64" s="151">
        <v>210902072.3894532</v>
      </c>
      <c r="N64" s="151">
        <v>10876828.693547001</v>
      </c>
      <c r="O64" s="151">
        <v>150858738.67688489</v>
      </c>
      <c r="P64" s="151">
        <v>14445112.1278759</v>
      </c>
      <c r="Q64" s="151">
        <v>2845532.2055613701</v>
      </c>
      <c r="R64" s="151">
        <v>69252361.574829206</v>
      </c>
      <c r="S64" s="151">
        <v>37355562.452123798</v>
      </c>
      <c r="T64" s="151">
        <v>751323.14343498403</v>
      </c>
      <c r="U64" s="151">
        <v>5730101.0897917505</v>
      </c>
      <c r="V64" s="151">
        <v>1842915.0100946599</v>
      </c>
      <c r="W64" s="151">
        <v>6306091.0333283497</v>
      </c>
      <c r="X64" s="151">
        <v>35629817.833301</v>
      </c>
      <c r="Y64" s="151">
        <v>8117441.2472930998</v>
      </c>
      <c r="Z64" s="151">
        <v>391999.94440457301</v>
      </c>
      <c r="AA64" s="151">
        <v>67440.283997858001</v>
      </c>
      <c r="AB64" s="151">
        <v>4414.6576666666597</v>
      </c>
      <c r="AC64" s="151">
        <v>432990.19349078101</v>
      </c>
      <c r="AD64" s="151">
        <v>998666.06053035299</v>
      </c>
      <c r="AE64" s="151">
        <v>2868298.0985194198</v>
      </c>
      <c r="AF64" s="151">
        <v>480590.19305792602</v>
      </c>
      <c r="AG64" s="151">
        <v>170482.37239536102</v>
      </c>
      <c r="AH64" s="151">
        <v>128577.72208982101</v>
      </c>
      <c r="AI64" s="151">
        <v>251576.916397503</v>
      </c>
      <c r="AJ64" s="151">
        <v>157647.37316356899</v>
      </c>
      <c r="AK64" s="151">
        <v>6907.6754409905197</v>
      </c>
      <c r="AL64" s="150">
        <v>1567446517.9265819</v>
      </c>
      <c r="AM64" s="151">
        <v>4790702.3716885494</v>
      </c>
      <c r="AN64" s="151">
        <v>134235898.30594698</v>
      </c>
      <c r="AO64" s="151">
        <v>26013386.759953599</v>
      </c>
      <c r="AP64" s="150">
        <v>1732486505.364171</v>
      </c>
      <c r="AQ64" s="150">
        <v>24727065.127612658</v>
      </c>
    </row>
    <row r="65" spans="1:43" x14ac:dyDescent="0.2">
      <c r="A65" s="154"/>
      <c r="B65" s="153">
        <v>10</v>
      </c>
      <c r="C65" s="152">
        <v>589.99999999999795</v>
      </c>
      <c r="D65" s="151">
        <v>473011.79202309402</v>
      </c>
      <c r="E65" s="151">
        <v>907121990.54273498</v>
      </c>
      <c r="F65" s="151">
        <v>173928</v>
      </c>
      <c r="G65" s="151">
        <v>18200809.9257195</v>
      </c>
      <c r="H65" s="151">
        <v>1578898.0539895999</v>
      </c>
      <c r="I65" s="151">
        <v>9985143.8436101507</v>
      </c>
      <c r="J65" s="151">
        <v>1107771.0429174101</v>
      </c>
      <c r="K65" s="151">
        <v>193711509.25595492</v>
      </c>
      <c r="L65" s="151">
        <v>5473808.0976193501</v>
      </c>
      <c r="M65" s="151">
        <v>223525795.66164148</v>
      </c>
      <c r="N65" s="151">
        <v>10864235.762819299</v>
      </c>
      <c r="O65" s="151">
        <v>158312894.3759827</v>
      </c>
      <c r="P65" s="151">
        <v>14669146.637211101</v>
      </c>
      <c r="Q65" s="151">
        <v>1278671.72914976</v>
      </c>
      <c r="R65" s="151">
        <v>73432095.433387294</v>
      </c>
      <c r="S65" s="151">
        <v>37924607.9077897</v>
      </c>
      <c r="T65" s="151">
        <v>761341.88298350899</v>
      </c>
      <c r="U65" s="151">
        <v>8277467.6590932198</v>
      </c>
      <c r="V65" s="151">
        <v>1494569.6702938101</v>
      </c>
      <c r="W65" s="151">
        <v>6083394.8949097106</v>
      </c>
      <c r="X65" s="151">
        <v>36124526.615186498</v>
      </c>
      <c r="Y65" s="151">
        <v>8507877.8371961303</v>
      </c>
      <c r="Z65" s="151">
        <v>522984.68699255201</v>
      </c>
      <c r="AA65" s="151">
        <v>71363.639537717099</v>
      </c>
      <c r="AB65" s="151">
        <v>4414.6576666666597</v>
      </c>
      <c r="AC65" s="151">
        <v>481397.024551332</v>
      </c>
      <c r="AD65" s="151">
        <v>1103034.0236420599</v>
      </c>
      <c r="AE65" s="151">
        <v>3168056.38807286</v>
      </c>
      <c r="AF65" s="151">
        <v>530815.40999809199</v>
      </c>
      <c r="AG65" s="151">
        <v>177628.22779361802</v>
      </c>
      <c r="AH65" s="151">
        <v>139020.90726951102</v>
      </c>
      <c r="AI65" s="151">
        <v>445626.53312734998</v>
      </c>
      <c r="AJ65" s="151">
        <v>161513.48308016901</v>
      </c>
      <c r="AK65" s="151">
        <v>6877.1591295978396</v>
      </c>
      <c r="AL65" s="150">
        <v>1725896818.7630749</v>
      </c>
      <c r="AM65" s="151">
        <v>4605099.4704969795</v>
      </c>
      <c r="AN65" s="151">
        <v>134411770.26131499</v>
      </c>
      <c r="AO65" s="151">
        <v>26422687.3499359</v>
      </c>
      <c r="AP65" s="150">
        <v>1891336375.8448229</v>
      </c>
      <c r="AQ65" s="150">
        <v>24717579.058784436</v>
      </c>
    </row>
    <row r="66" spans="1:43" x14ac:dyDescent="0.2">
      <c r="A66" s="154"/>
      <c r="B66" s="153">
        <v>11</v>
      </c>
      <c r="C66" s="152">
        <v>589.99999999999795</v>
      </c>
      <c r="D66" s="151">
        <v>648423.40686723904</v>
      </c>
      <c r="E66" s="151">
        <v>1076785586.9198499</v>
      </c>
      <c r="F66" s="151">
        <v>196629.25</v>
      </c>
      <c r="G66" s="151">
        <v>20592487.1309851</v>
      </c>
      <c r="H66" s="151">
        <v>1746549.8880058001</v>
      </c>
      <c r="I66" s="151">
        <v>11224528.2194649</v>
      </c>
      <c r="J66" s="151">
        <v>1195582.3948837598</v>
      </c>
      <c r="K66" s="151">
        <v>203159072.1974107</v>
      </c>
      <c r="L66" s="151">
        <v>5785862.08233192</v>
      </c>
      <c r="M66" s="151">
        <v>225487186.10055381</v>
      </c>
      <c r="N66" s="151">
        <v>10684226.1760982</v>
      </c>
      <c r="O66" s="151">
        <v>160539510.91153258</v>
      </c>
      <c r="P66" s="151">
        <v>13713647.6813653</v>
      </c>
      <c r="Q66" s="151">
        <v>366688.22940770799</v>
      </c>
      <c r="R66" s="151">
        <v>74471729.201131195</v>
      </c>
      <c r="S66" s="151">
        <v>36103943.948902003</v>
      </c>
      <c r="T66" s="151">
        <v>300805.10047807003</v>
      </c>
      <c r="U66" s="151">
        <v>10746381.1078781</v>
      </c>
      <c r="V66" s="151">
        <v>1509637.5148641099</v>
      </c>
      <c r="W66" s="151">
        <v>5061673.7030187398</v>
      </c>
      <c r="X66" s="151">
        <v>35667649.876858294</v>
      </c>
      <c r="Y66" s="151">
        <v>8264407.8165432606</v>
      </c>
      <c r="Z66" s="151">
        <v>556165.94361081196</v>
      </c>
      <c r="AA66" s="151">
        <v>89630.050449432907</v>
      </c>
      <c r="AB66" s="151">
        <v>4414.6576666666597</v>
      </c>
      <c r="AC66" s="151">
        <v>418081.83154858701</v>
      </c>
      <c r="AD66" s="151">
        <v>951719.01647462801</v>
      </c>
      <c r="AE66" s="151">
        <v>2733460.1156158703</v>
      </c>
      <c r="AF66" s="151">
        <v>457997.76716307004</v>
      </c>
      <c r="AG66" s="151">
        <v>167883.09057871898</v>
      </c>
      <c r="AH66" s="151">
        <v>126615.17975819101</v>
      </c>
      <c r="AI66" s="151">
        <v>219599.27265159701</v>
      </c>
      <c r="AJ66" s="151">
        <v>155348.44594613501</v>
      </c>
      <c r="AK66" s="151">
        <v>6756.1468279499395</v>
      </c>
      <c r="AL66" s="150">
        <v>1910140470.3767226</v>
      </c>
      <c r="AM66" s="151">
        <v>4517716.9292210797</v>
      </c>
      <c r="AN66" s="151">
        <v>132853726.37793098</v>
      </c>
      <c r="AO66" s="151">
        <v>24913391.402013503</v>
      </c>
      <c r="AP66" s="150">
        <v>2072425305.0858881</v>
      </c>
      <c r="AQ66" s="150">
        <v>26154662.348557077</v>
      </c>
    </row>
    <row r="67" spans="1:43" x14ac:dyDescent="0.2">
      <c r="A67" s="149"/>
      <c r="B67" s="148">
        <v>12</v>
      </c>
      <c r="C67" s="147">
        <v>589.99999999999795</v>
      </c>
      <c r="D67" s="146">
        <v>852577.99564054003</v>
      </c>
      <c r="E67" s="146">
        <v>1293846616.1417</v>
      </c>
      <c r="F67" s="146">
        <v>242994.14285714302</v>
      </c>
      <c r="G67" s="146">
        <v>26809316.925138798</v>
      </c>
      <c r="H67" s="146">
        <v>2234985.3660407499</v>
      </c>
      <c r="I67" s="146">
        <v>13344574.8126959</v>
      </c>
      <c r="J67" s="146">
        <v>1436209.65225947</v>
      </c>
      <c r="K67" s="146">
        <v>236833508.62528446</v>
      </c>
      <c r="L67" s="146">
        <v>6007873.2856672406</v>
      </c>
      <c r="M67" s="146">
        <v>255389868.8243199</v>
      </c>
      <c r="N67" s="146">
        <v>10469628.8260701</v>
      </c>
      <c r="O67" s="146">
        <v>171801200.88718769</v>
      </c>
      <c r="P67" s="146">
        <v>12754717.711288</v>
      </c>
      <c r="Q67" s="146">
        <v>265262.44247496699</v>
      </c>
      <c r="R67" s="146">
        <v>79263111.980726302</v>
      </c>
      <c r="S67" s="146">
        <v>34009958.3261685</v>
      </c>
      <c r="T67" s="146">
        <v>0</v>
      </c>
      <c r="U67" s="146">
        <v>14052758.044756599</v>
      </c>
      <c r="V67" s="146">
        <v>1678761.8524321399</v>
      </c>
      <c r="W67" s="146">
        <v>5435672.4201611495</v>
      </c>
      <c r="X67" s="146">
        <v>36700478.686019205</v>
      </c>
      <c r="Y67" s="146">
        <v>8744044.1618935</v>
      </c>
      <c r="Z67" s="146">
        <v>730066.70761286106</v>
      </c>
      <c r="AA67" s="146">
        <v>108908.459927082</v>
      </c>
      <c r="AB67" s="146">
        <v>4414.6576666666597</v>
      </c>
      <c r="AC67" s="146">
        <v>456763.18843630602</v>
      </c>
      <c r="AD67" s="146">
        <v>1033044.2366167199</v>
      </c>
      <c r="AE67" s="146">
        <v>2967036.6668920303</v>
      </c>
      <c r="AF67" s="146">
        <v>497134.07587852603</v>
      </c>
      <c r="AG67" s="146">
        <v>175151.332152958</v>
      </c>
      <c r="AH67" s="146">
        <v>136494.50441758599</v>
      </c>
      <c r="AI67" s="146">
        <v>224963.33664478801</v>
      </c>
      <c r="AJ67" s="146">
        <v>158841.839117539</v>
      </c>
      <c r="AK67" s="146">
        <v>6792.7742175639205</v>
      </c>
      <c r="AL67" s="145">
        <v>2218674322.8903632</v>
      </c>
      <c r="AM67" s="146">
        <v>4921377.52026542</v>
      </c>
      <c r="AN67" s="146">
        <v>135866925.057596</v>
      </c>
      <c r="AO67" s="146">
        <v>25524731.402940601</v>
      </c>
      <c r="AP67" s="145">
        <v>2384987356.8711658</v>
      </c>
      <c r="AQ67" s="145">
        <v>28887425.540378567</v>
      </c>
    </row>
    <row r="68" spans="1:43" x14ac:dyDescent="0.2">
      <c r="A68" s="155">
        <f>A56+1</f>
        <v>2028</v>
      </c>
      <c r="B68" s="153">
        <v>1</v>
      </c>
      <c r="C68" s="152">
        <v>589.99999999999795</v>
      </c>
      <c r="D68" s="151">
        <v>848338.76699972199</v>
      </c>
      <c r="E68" s="151">
        <v>1237735474.3236001</v>
      </c>
      <c r="F68" s="151">
        <v>259810</v>
      </c>
      <c r="G68" s="151">
        <v>27664640.624051601</v>
      </c>
      <c r="H68" s="151">
        <v>2410388.7589450702</v>
      </c>
      <c r="I68" s="151">
        <v>13575620.8932143</v>
      </c>
      <c r="J68" s="151">
        <v>1525936.7607140301</v>
      </c>
      <c r="K68" s="151">
        <v>238935556.26167402</v>
      </c>
      <c r="L68" s="151">
        <v>6926897.1100676497</v>
      </c>
      <c r="M68" s="151">
        <v>245626754.07102787</v>
      </c>
      <c r="N68" s="151">
        <v>11214552.2786729</v>
      </c>
      <c r="O68" s="151">
        <v>171036004.3485429</v>
      </c>
      <c r="P68" s="151">
        <v>13300318.2843548</v>
      </c>
      <c r="Q68" s="151">
        <v>291272.37562542199</v>
      </c>
      <c r="R68" s="151">
        <v>79543247.378206506</v>
      </c>
      <c r="S68" s="151">
        <v>36103163.486122102</v>
      </c>
      <c r="T68" s="151">
        <v>0</v>
      </c>
      <c r="U68" s="151">
        <v>14665438.332680101</v>
      </c>
      <c r="V68" s="151">
        <v>1657346.54837741</v>
      </c>
      <c r="W68" s="151">
        <v>5694825.5847503999</v>
      </c>
      <c r="X68" s="151">
        <v>37297941.700092502</v>
      </c>
      <c r="Y68" s="151">
        <v>8767544.1787216701</v>
      </c>
      <c r="Z68" s="151">
        <v>751517.36956114101</v>
      </c>
      <c r="AA68" s="151">
        <v>110190.418926181</v>
      </c>
      <c r="AB68" s="151">
        <v>4414.6576666666597</v>
      </c>
      <c r="AC68" s="151">
        <v>455122.03441931499</v>
      </c>
      <c r="AD68" s="151">
        <v>1022714.1024994999</v>
      </c>
      <c r="AE68" s="151">
        <v>2937367.18555396</v>
      </c>
      <c r="AF68" s="151">
        <v>492162.88345903897</v>
      </c>
      <c r="AG68" s="151">
        <v>175322.76991466302</v>
      </c>
      <c r="AH68" s="151">
        <v>128872.948711269</v>
      </c>
      <c r="AI68" s="151">
        <v>339065.73968799401</v>
      </c>
      <c r="AJ68" s="151">
        <v>158624.77813680802</v>
      </c>
      <c r="AK68" s="151">
        <v>6987.3273229392098</v>
      </c>
      <c r="AL68" s="150">
        <v>2161664024.2823005</v>
      </c>
      <c r="AM68" s="151">
        <v>5653106.0843380503</v>
      </c>
      <c r="AN68" s="151">
        <v>136683004.35002202</v>
      </c>
      <c r="AO68" s="151">
        <v>26157696.099158999</v>
      </c>
      <c r="AP68" s="150">
        <v>2330157830.8158193</v>
      </c>
      <c r="AQ68" s="150">
        <v>26657308.277561836</v>
      </c>
    </row>
    <row r="69" spans="1:43" x14ac:dyDescent="0.2">
      <c r="A69" s="154"/>
      <c r="B69" s="153">
        <v>2</v>
      </c>
      <c r="C69" s="152">
        <v>589.99999999999795</v>
      </c>
      <c r="D69" s="151">
        <v>866045.65049555805</v>
      </c>
      <c r="E69" s="151">
        <v>1102326005.8205299</v>
      </c>
      <c r="F69" s="151">
        <v>233365.535</v>
      </c>
      <c r="G69" s="151">
        <v>24592171.802913599</v>
      </c>
      <c r="H69" s="151">
        <v>2103700.4775126004</v>
      </c>
      <c r="I69" s="151">
        <v>11853362.040392799</v>
      </c>
      <c r="J69" s="151">
        <v>1373474.1838775401</v>
      </c>
      <c r="K69" s="151">
        <v>212124985.43315288</v>
      </c>
      <c r="L69" s="151">
        <v>6612412.0984454006</v>
      </c>
      <c r="M69" s="151">
        <v>223180979.02993792</v>
      </c>
      <c r="N69" s="151">
        <v>11441235.810331801</v>
      </c>
      <c r="O69" s="151">
        <v>157979169.77197853</v>
      </c>
      <c r="P69" s="151">
        <v>13743678.352251999</v>
      </c>
      <c r="Q69" s="151">
        <v>267856.63675643899</v>
      </c>
      <c r="R69" s="151">
        <v>73739015.191208288</v>
      </c>
      <c r="S69" s="151">
        <v>36150725.722292699</v>
      </c>
      <c r="T69" s="151">
        <v>0</v>
      </c>
      <c r="U69" s="151">
        <v>13597494.4712408</v>
      </c>
      <c r="V69" s="151">
        <v>1625538.23719315</v>
      </c>
      <c r="W69" s="151">
        <v>5785960.6048103394</v>
      </c>
      <c r="X69" s="151">
        <v>35128269.267435603</v>
      </c>
      <c r="Y69" s="151">
        <v>8503379.1049168911</v>
      </c>
      <c r="Z69" s="151">
        <v>581415.29800593609</v>
      </c>
      <c r="AA69" s="151">
        <v>107716.87058862101</v>
      </c>
      <c r="AB69" s="151">
        <v>4414.6576666666597</v>
      </c>
      <c r="AC69" s="151">
        <v>407324.370048307</v>
      </c>
      <c r="AD69" s="151">
        <v>909459.348341704</v>
      </c>
      <c r="AE69" s="151">
        <v>2612084.8826522604</v>
      </c>
      <c r="AF69" s="151">
        <v>437661.05715634301</v>
      </c>
      <c r="AG69" s="151">
        <v>181041.31063921301</v>
      </c>
      <c r="AH69" s="151">
        <v>138871.14709596901</v>
      </c>
      <c r="AI69" s="151">
        <v>193391.71934945302</v>
      </c>
      <c r="AJ69" s="151">
        <v>161628.46159122401</v>
      </c>
      <c r="AK69" s="151">
        <v>6937.16126750077</v>
      </c>
      <c r="AL69" s="150">
        <v>1948971361.5270777</v>
      </c>
      <c r="AM69" s="151">
        <v>5301053.16534964</v>
      </c>
      <c r="AN69" s="151">
        <v>128149360.88372999</v>
      </c>
      <c r="AO69" s="151">
        <v>23840885.566920597</v>
      </c>
      <c r="AP69" s="150">
        <v>2106262661.1430779</v>
      </c>
      <c r="AQ69" s="150">
        <v>23431945.037921585</v>
      </c>
    </row>
    <row r="70" spans="1:43" x14ac:dyDescent="0.2">
      <c r="A70" s="154"/>
      <c r="B70" s="153">
        <v>3</v>
      </c>
      <c r="C70" s="152">
        <v>589.99999999999795</v>
      </c>
      <c r="D70" s="151">
        <v>821425.47760367196</v>
      </c>
      <c r="E70" s="151">
        <v>1077187348.1073301</v>
      </c>
      <c r="F70" s="151">
        <v>213526.34</v>
      </c>
      <c r="G70" s="151">
        <v>24545262.121057898</v>
      </c>
      <c r="H70" s="151">
        <v>2260618.1329889102</v>
      </c>
      <c r="I70" s="151">
        <v>12154444.4161037</v>
      </c>
      <c r="J70" s="151">
        <v>1435106.1192234699</v>
      </c>
      <c r="K70" s="151">
        <v>221971941.00294271</v>
      </c>
      <c r="L70" s="151">
        <v>7030140.1228489904</v>
      </c>
      <c r="M70" s="151">
        <v>233414532.21801972</v>
      </c>
      <c r="N70" s="151">
        <v>11889192.654948199</v>
      </c>
      <c r="O70" s="151">
        <v>164171109.6113956</v>
      </c>
      <c r="P70" s="151">
        <v>14339266.527813898</v>
      </c>
      <c r="Q70" s="151">
        <v>283191.173764985</v>
      </c>
      <c r="R70" s="151">
        <v>78251572.631439805</v>
      </c>
      <c r="S70" s="151">
        <v>37497048.290038399</v>
      </c>
      <c r="T70" s="151">
        <v>0</v>
      </c>
      <c r="U70" s="151">
        <v>14165574.593720799</v>
      </c>
      <c r="V70" s="151">
        <v>1622517.6844206902</v>
      </c>
      <c r="W70" s="151">
        <v>6524869.5706383996</v>
      </c>
      <c r="X70" s="151">
        <v>36826065.977652401</v>
      </c>
      <c r="Y70" s="151">
        <v>8295743.2862124098</v>
      </c>
      <c r="Z70" s="151">
        <v>606314.25361138897</v>
      </c>
      <c r="AA70" s="151">
        <v>103698.75067091201</v>
      </c>
      <c r="AB70" s="151">
        <v>4414.6576666666597</v>
      </c>
      <c r="AC70" s="151">
        <v>491649.27521558001</v>
      </c>
      <c r="AD70" s="151">
        <v>1090768.38291582</v>
      </c>
      <c r="AE70" s="151">
        <v>3132827.8814051701</v>
      </c>
      <c r="AF70" s="151">
        <v>524912.78961518698</v>
      </c>
      <c r="AG70" s="151">
        <v>171059.325677607</v>
      </c>
      <c r="AH70" s="151">
        <v>126322.907584026</v>
      </c>
      <c r="AI70" s="151">
        <v>246576.674642228</v>
      </c>
      <c r="AJ70" s="151">
        <v>155067.528652465</v>
      </c>
      <c r="AK70" s="151">
        <v>6850.9812014573899</v>
      </c>
      <c r="AL70" s="150">
        <v>1961561549.469023</v>
      </c>
      <c r="AM70" s="151">
        <v>5464472.9703247808</v>
      </c>
      <c r="AN70" s="151">
        <v>133859893.520163</v>
      </c>
      <c r="AO70" s="151">
        <v>24952518.149711598</v>
      </c>
      <c r="AP70" s="150">
        <v>2125838434.1092224</v>
      </c>
      <c r="AQ70" s="150">
        <v>24954588.829289552</v>
      </c>
    </row>
    <row r="71" spans="1:43" x14ac:dyDescent="0.2">
      <c r="A71" s="154"/>
      <c r="B71" s="153">
        <v>4</v>
      </c>
      <c r="C71" s="152">
        <v>589.99999999999795</v>
      </c>
      <c r="D71" s="151">
        <v>582352.77084139397</v>
      </c>
      <c r="E71" s="151">
        <v>911623435.08373308</v>
      </c>
      <c r="F71" s="151">
        <v>180149.25</v>
      </c>
      <c r="G71" s="151">
        <v>20924854.906342</v>
      </c>
      <c r="H71" s="151">
        <v>1974453.81628361</v>
      </c>
      <c r="I71" s="151">
        <v>10425001.0118264</v>
      </c>
      <c r="J71" s="151">
        <v>1237733.4683106202</v>
      </c>
      <c r="K71" s="151">
        <v>195636967.30633739</v>
      </c>
      <c r="L71" s="151">
        <v>6127404.94416006</v>
      </c>
      <c r="M71" s="151">
        <v>211838254.4223153</v>
      </c>
      <c r="N71" s="151">
        <v>10995493.691194801</v>
      </c>
      <c r="O71" s="151">
        <v>154955105.24875399</v>
      </c>
      <c r="P71" s="151">
        <v>14087711.9325884</v>
      </c>
      <c r="Q71" s="151">
        <v>304560.932129258</v>
      </c>
      <c r="R71" s="151">
        <v>73988900.733472705</v>
      </c>
      <c r="S71" s="151">
        <v>35922379.344189301</v>
      </c>
      <c r="T71" s="151">
        <v>0</v>
      </c>
      <c r="U71" s="151">
        <v>10890305.5325468</v>
      </c>
      <c r="V71" s="151">
        <v>1656934.4621775299</v>
      </c>
      <c r="W71" s="151">
        <v>5966181.3496430004</v>
      </c>
      <c r="X71" s="151">
        <v>35343289.235805698</v>
      </c>
      <c r="Y71" s="151">
        <v>8927297.1942624692</v>
      </c>
      <c r="Z71" s="151">
        <v>421662.10676877503</v>
      </c>
      <c r="AA71" s="151">
        <v>87227.212893670498</v>
      </c>
      <c r="AB71" s="151">
        <v>4414.6576666666597</v>
      </c>
      <c r="AC71" s="151">
        <v>457617.44864329498</v>
      </c>
      <c r="AD71" s="151">
        <v>1008861.28422023</v>
      </c>
      <c r="AE71" s="151">
        <v>2897580.09966014</v>
      </c>
      <c r="AF71" s="151">
        <v>485496.46224542998</v>
      </c>
      <c r="AG71" s="151">
        <v>181067.15428430602</v>
      </c>
      <c r="AH71" s="151">
        <v>139221.387057663</v>
      </c>
      <c r="AI71" s="151">
        <v>203985.39061614202</v>
      </c>
      <c r="AJ71" s="151">
        <v>161677.38075053602</v>
      </c>
      <c r="AK71" s="151">
        <v>6988.1338894987302</v>
      </c>
      <c r="AL71" s="150">
        <v>1719645155.3556099</v>
      </c>
      <c r="AM71" s="151">
        <v>5042898.7400535801</v>
      </c>
      <c r="AN71" s="151">
        <v>121354417.025114</v>
      </c>
      <c r="AO71" s="151">
        <v>22279251.682791401</v>
      </c>
      <c r="AP71" s="150">
        <v>1868321722.8035691</v>
      </c>
      <c r="AQ71" s="150">
        <v>23829791.223515149</v>
      </c>
    </row>
    <row r="72" spans="1:43" x14ac:dyDescent="0.2">
      <c r="A72" s="154"/>
      <c r="B72" s="153">
        <v>5</v>
      </c>
      <c r="C72" s="152">
        <v>589.99999999999795</v>
      </c>
      <c r="D72" s="151">
        <v>436400.459138342</v>
      </c>
      <c r="E72" s="151">
        <v>804394263.22580302</v>
      </c>
      <c r="F72" s="151">
        <v>165744.375</v>
      </c>
      <c r="G72" s="151">
        <v>18871151.211345401</v>
      </c>
      <c r="H72" s="151">
        <v>1771338.7865935999</v>
      </c>
      <c r="I72" s="151">
        <v>10047530.7276779</v>
      </c>
      <c r="J72" s="151">
        <v>1124000.3266281502</v>
      </c>
      <c r="K72" s="151">
        <v>194787330.89877149</v>
      </c>
      <c r="L72" s="151">
        <v>5832333.1913896101</v>
      </c>
      <c r="M72" s="151">
        <v>216631183.1052011</v>
      </c>
      <c r="N72" s="151">
        <v>10862156.905041801</v>
      </c>
      <c r="O72" s="151">
        <v>158960178.46881133</v>
      </c>
      <c r="P72" s="151">
        <v>14557553.697753198</v>
      </c>
      <c r="Q72" s="151">
        <v>723153.37064956001</v>
      </c>
      <c r="R72" s="151">
        <v>74305239.304198995</v>
      </c>
      <c r="S72" s="151">
        <v>36965286.191473596</v>
      </c>
      <c r="T72" s="151">
        <v>292646.56280975603</v>
      </c>
      <c r="U72" s="151">
        <v>9409084.6562317498</v>
      </c>
      <c r="V72" s="151">
        <v>1660490.92250942</v>
      </c>
      <c r="W72" s="151">
        <v>6691284.7282445896</v>
      </c>
      <c r="X72" s="151">
        <v>35800971.948708296</v>
      </c>
      <c r="Y72" s="151">
        <v>8956287.23966722</v>
      </c>
      <c r="Z72" s="151">
        <v>312683.46038443502</v>
      </c>
      <c r="AA72" s="151">
        <v>67729.112893822705</v>
      </c>
      <c r="AB72" s="151">
        <v>4414.6576666666597</v>
      </c>
      <c r="AC72" s="151">
        <v>441662.07510364702</v>
      </c>
      <c r="AD72" s="151">
        <v>967582.519908658</v>
      </c>
      <c r="AE72" s="151">
        <v>2779022.1493466701</v>
      </c>
      <c r="AF72" s="151">
        <v>465631.79467161198</v>
      </c>
      <c r="AG72" s="151">
        <v>171992.75364263399</v>
      </c>
      <c r="AH72" s="151">
        <v>127315.581006184</v>
      </c>
      <c r="AI72" s="151">
        <v>385049.48972026497</v>
      </c>
      <c r="AJ72" s="151">
        <v>155844.73668763498</v>
      </c>
      <c r="AK72" s="151">
        <v>6876.1006767354402</v>
      </c>
      <c r="AL72" s="150">
        <v>1619132004.7353568</v>
      </c>
      <c r="AM72" s="151">
        <v>5549236.3612808604</v>
      </c>
      <c r="AN72" s="151">
        <v>123908583.21455701</v>
      </c>
      <c r="AO72" s="151">
        <v>24099348.014044601</v>
      </c>
      <c r="AP72" s="150">
        <v>1772689172.3252392</v>
      </c>
      <c r="AQ72" s="150">
        <v>23785628.059987836</v>
      </c>
    </row>
    <row r="73" spans="1:43" x14ac:dyDescent="0.2">
      <c r="A73" s="154"/>
      <c r="B73" s="153">
        <v>6</v>
      </c>
      <c r="C73" s="152">
        <v>589.99999999999795</v>
      </c>
      <c r="D73" s="151">
        <v>316490.58928320697</v>
      </c>
      <c r="E73" s="151">
        <v>783395722.53286302</v>
      </c>
      <c r="F73" s="151">
        <v>183269.5</v>
      </c>
      <c r="G73" s="151">
        <v>17761278.290790498</v>
      </c>
      <c r="H73" s="151">
        <v>1601759.5019894401</v>
      </c>
      <c r="I73" s="151">
        <v>9486343.1853101496</v>
      </c>
      <c r="J73" s="151">
        <v>1011734.5728532</v>
      </c>
      <c r="K73" s="151">
        <v>191555506.3215093</v>
      </c>
      <c r="L73" s="151">
        <v>5753549.4452745998</v>
      </c>
      <c r="M73" s="151">
        <v>217613130.64835772</v>
      </c>
      <c r="N73" s="151">
        <v>11149048.2826147</v>
      </c>
      <c r="O73" s="151">
        <v>159954909.32773069</v>
      </c>
      <c r="P73" s="151">
        <v>15274574.0534593</v>
      </c>
      <c r="Q73" s="151">
        <v>1449772.4230182001</v>
      </c>
      <c r="R73" s="151">
        <v>73486471.959670097</v>
      </c>
      <c r="S73" s="151">
        <v>38641041.228195198</v>
      </c>
      <c r="T73" s="151">
        <v>630070.86667351099</v>
      </c>
      <c r="U73" s="151">
        <v>7953002.8653072808</v>
      </c>
      <c r="V73" s="151">
        <v>1816769.14934614</v>
      </c>
      <c r="W73" s="151">
        <v>7353850.5917766998</v>
      </c>
      <c r="X73" s="151">
        <v>35043147.640328698</v>
      </c>
      <c r="Y73" s="151">
        <v>8474091.328475561</v>
      </c>
      <c r="Z73" s="151">
        <v>242294.67139904198</v>
      </c>
      <c r="AA73" s="151">
        <v>63429.272893754896</v>
      </c>
      <c r="AB73" s="151">
        <v>4414.6576666666597</v>
      </c>
      <c r="AC73" s="151">
        <v>418924.779335987</v>
      </c>
      <c r="AD73" s="151">
        <v>912052.93570214405</v>
      </c>
      <c r="AE73" s="151">
        <v>2619534.00101955</v>
      </c>
      <c r="AF73" s="151">
        <v>438909.17471989099</v>
      </c>
      <c r="AG73" s="151">
        <v>163119.67544233202</v>
      </c>
      <c r="AH73" s="151">
        <v>125571.65144963299</v>
      </c>
      <c r="AI73" s="151">
        <v>211482.56610748501</v>
      </c>
      <c r="AJ73" s="151">
        <v>145161.943681504</v>
      </c>
      <c r="AK73" s="151">
        <v>6278.7847167911805</v>
      </c>
      <c r="AL73" s="150">
        <v>1595257298.4189615</v>
      </c>
      <c r="AM73" s="151">
        <v>5235207.1793291997</v>
      </c>
      <c r="AN73" s="151">
        <v>137104036.36781901</v>
      </c>
      <c r="AO73" s="151">
        <v>26231355.232387099</v>
      </c>
      <c r="AP73" s="150">
        <v>1763827897.1984968</v>
      </c>
      <c r="AQ73" s="150">
        <v>23967784.899174068</v>
      </c>
    </row>
    <row r="74" spans="1:43" x14ac:dyDescent="0.2">
      <c r="A74" s="154"/>
      <c r="B74" s="153">
        <v>7</v>
      </c>
      <c r="C74" s="152">
        <v>589.99999999999795</v>
      </c>
      <c r="D74" s="151">
        <v>274419.219392706</v>
      </c>
      <c r="E74" s="151">
        <v>880674139.88636398</v>
      </c>
      <c r="F74" s="151">
        <v>214898.875</v>
      </c>
      <c r="G74" s="151">
        <v>18229250.897789799</v>
      </c>
      <c r="H74" s="151">
        <v>1719037.43945621</v>
      </c>
      <c r="I74" s="151">
        <v>10259473.5193698</v>
      </c>
      <c r="J74" s="151">
        <v>1331289.65962767</v>
      </c>
      <c r="K74" s="151">
        <v>207485160.4223412</v>
      </c>
      <c r="L74" s="151">
        <v>5438655.9031050503</v>
      </c>
      <c r="M74" s="151">
        <v>234595441.99892208</v>
      </c>
      <c r="N74" s="151">
        <v>10560852.3339967</v>
      </c>
      <c r="O74" s="151">
        <v>176100737.44173902</v>
      </c>
      <c r="P74" s="151">
        <v>14505862.874103101</v>
      </c>
      <c r="Q74" s="151">
        <v>2670010.2516501402</v>
      </c>
      <c r="R74" s="151">
        <v>78611665.377268493</v>
      </c>
      <c r="S74" s="151">
        <v>36915500.171003707</v>
      </c>
      <c r="T74" s="151">
        <v>665316.54936435493</v>
      </c>
      <c r="U74" s="151">
        <v>6268241.2896342902</v>
      </c>
      <c r="V74" s="151">
        <v>2149147.6207390199</v>
      </c>
      <c r="W74" s="151">
        <v>7993866.44832893</v>
      </c>
      <c r="X74" s="151">
        <v>36455099.402126394</v>
      </c>
      <c r="Y74" s="151">
        <v>9223881.0350681599</v>
      </c>
      <c r="Z74" s="151">
        <v>244852.583572748</v>
      </c>
      <c r="AA74" s="151">
        <v>63472.684004793104</v>
      </c>
      <c r="AB74" s="151">
        <v>4414.6576666666597</v>
      </c>
      <c r="AC74" s="151">
        <v>501977.80875293998</v>
      </c>
      <c r="AD74" s="151">
        <v>1086104.1149766999</v>
      </c>
      <c r="AE74" s="151">
        <v>3119431.5005832599</v>
      </c>
      <c r="AF74" s="151">
        <v>522668.19403120497</v>
      </c>
      <c r="AG74" s="151">
        <v>173694.68924902601</v>
      </c>
      <c r="AH74" s="151">
        <v>128850.93212402299</v>
      </c>
      <c r="AI74" s="151">
        <v>217870.63040235799</v>
      </c>
      <c r="AJ74" s="151">
        <v>157247.375532848</v>
      </c>
      <c r="AK74" s="151">
        <v>6991.0827853987403</v>
      </c>
      <c r="AL74" s="150">
        <v>1748570114.8700731</v>
      </c>
      <c r="AM74" s="151">
        <v>5348586.1531666201</v>
      </c>
      <c r="AN74" s="151">
        <v>143573654.89920101</v>
      </c>
      <c r="AO74" s="151">
        <v>27132685.452125702</v>
      </c>
      <c r="AP74" s="150">
        <v>1924625041.3745663</v>
      </c>
      <c r="AQ74" s="150">
        <v>26501194.898765493</v>
      </c>
    </row>
    <row r="75" spans="1:43" x14ac:dyDescent="0.2">
      <c r="A75" s="154"/>
      <c r="B75" s="153">
        <v>8</v>
      </c>
      <c r="C75" s="152">
        <v>589.99999999999795</v>
      </c>
      <c r="D75" s="151">
        <v>267056.67015937698</v>
      </c>
      <c r="E75" s="151">
        <v>892175312.74525702</v>
      </c>
      <c r="F75" s="151">
        <v>236361</v>
      </c>
      <c r="G75" s="151">
        <v>18044033.9929046</v>
      </c>
      <c r="H75" s="151">
        <v>1612636.1186766601</v>
      </c>
      <c r="I75" s="151">
        <v>10103390.5408142</v>
      </c>
      <c r="J75" s="151">
        <v>1982143.2082907599</v>
      </c>
      <c r="K75" s="151">
        <v>207233926.98355073</v>
      </c>
      <c r="L75" s="151">
        <v>5967259.6371738799</v>
      </c>
      <c r="M75" s="151">
        <v>234455672.83244321</v>
      </c>
      <c r="N75" s="151">
        <v>11743631.6941988</v>
      </c>
      <c r="O75" s="151">
        <v>177631963.7411952</v>
      </c>
      <c r="P75" s="151">
        <v>16144448.1932145</v>
      </c>
      <c r="Q75" s="151">
        <v>3961887.4602039899</v>
      </c>
      <c r="R75" s="151">
        <v>77015454.663976505</v>
      </c>
      <c r="S75" s="151">
        <v>40342300.092121199</v>
      </c>
      <c r="T75" s="151">
        <v>937091.08606525499</v>
      </c>
      <c r="U75" s="151">
        <v>5170854.7265950199</v>
      </c>
      <c r="V75" s="151">
        <v>2139444.2629800001</v>
      </c>
      <c r="W75" s="151">
        <v>7405646.3640244398</v>
      </c>
      <c r="X75" s="151">
        <v>36508055.453575604</v>
      </c>
      <c r="Y75" s="151">
        <v>9302326.0992667284</v>
      </c>
      <c r="Z75" s="151">
        <v>244810.86491152202</v>
      </c>
      <c r="AA75" s="151">
        <v>66369.617323953091</v>
      </c>
      <c r="AB75" s="151">
        <v>4414.6576666666597</v>
      </c>
      <c r="AC75" s="151">
        <v>459607.56792367902</v>
      </c>
      <c r="AD75" s="151">
        <v>988311.16694179899</v>
      </c>
      <c r="AE75" s="151">
        <v>2838557.5047771498</v>
      </c>
      <c r="AF75" s="151">
        <v>475607.08558536996</v>
      </c>
      <c r="AG75" s="151">
        <v>168314.53317898102</v>
      </c>
      <c r="AH75" s="151">
        <v>128859.859448538</v>
      </c>
      <c r="AI75" s="151">
        <v>200089.69231496498</v>
      </c>
      <c r="AJ75" s="151">
        <v>149609.88520053399</v>
      </c>
      <c r="AK75" s="151">
        <v>6510.2017269737498</v>
      </c>
      <c r="AL75" s="150">
        <v>1766112550.2036874</v>
      </c>
      <c r="AM75" s="151">
        <v>5372320.9387618396</v>
      </c>
      <c r="AN75" s="151">
        <v>142951521.77358299</v>
      </c>
      <c r="AO75" s="151">
        <v>28206080.2370096</v>
      </c>
      <c r="AP75" s="150">
        <v>1942642473.1530418</v>
      </c>
      <c r="AQ75" s="150">
        <v>27158082.160451736</v>
      </c>
    </row>
    <row r="76" spans="1:43" x14ac:dyDescent="0.2">
      <c r="A76" s="154"/>
      <c r="B76" s="153">
        <v>9</v>
      </c>
      <c r="C76" s="152">
        <v>589.99999999999795</v>
      </c>
      <c r="D76" s="151">
        <v>303388.61600484105</v>
      </c>
      <c r="E76" s="151">
        <v>805721682.56032097</v>
      </c>
      <c r="F76" s="151">
        <v>198473.625</v>
      </c>
      <c r="G76" s="151">
        <v>16292893.330196898</v>
      </c>
      <c r="H76" s="151">
        <v>1449256.9798100898</v>
      </c>
      <c r="I76" s="151">
        <v>9037389.5913077798</v>
      </c>
      <c r="J76" s="151">
        <v>1276604.94334918</v>
      </c>
      <c r="K76" s="151">
        <v>187232545.7275005</v>
      </c>
      <c r="L76" s="151">
        <v>5443072.5571187902</v>
      </c>
      <c r="M76" s="151">
        <v>212574715.81864297</v>
      </c>
      <c r="N76" s="151">
        <v>10655983.3348311</v>
      </c>
      <c r="O76" s="151">
        <v>157192818.50899228</v>
      </c>
      <c r="P76" s="151">
        <v>14151815.611082701</v>
      </c>
      <c r="Q76" s="151">
        <v>2828741.8938687001</v>
      </c>
      <c r="R76" s="151">
        <v>68314010.164973393</v>
      </c>
      <c r="S76" s="151">
        <v>36597087.457048103</v>
      </c>
      <c r="T76" s="151">
        <v>746889.89550493797</v>
      </c>
      <c r="U76" s="151">
        <v>5696290.1270691901</v>
      </c>
      <c r="V76" s="151">
        <v>1843590.2698153199</v>
      </c>
      <c r="W76" s="151">
        <v>6304733.3468716498</v>
      </c>
      <c r="X76" s="151">
        <v>35644947.489729695</v>
      </c>
      <c r="Y76" s="151">
        <v>8116422.9824505802</v>
      </c>
      <c r="Z76" s="151">
        <v>337935.23575399799</v>
      </c>
      <c r="AA76" s="151">
        <v>67440.283997858001</v>
      </c>
      <c r="AB76" s="151">
        <v>4414.6576666666597</v>
      </c>
      <c r="AC76" s="151">
        <v>462156.47079754499</v>
      </c>
      <c r="AD76" s="151">
        <v>987714.89190938498</v>
      </c>
      <c r="AE76" s="151">
        <v>2836844.9257587399</v>
      </c>
      <c r="AF76" s="151">
        <v>475320.13888289401</v>
      </c>
      <c r="AG76" s="151">
        <v>171298.31709998898</v>
      </c>
      <c r="AH76" s="151">
        <v>126598.455415146</v>
      </c>
      <c r="AI76" s="151">
        <v>248818.175171082</v>
      </c>
      <c r="AJ76" s="151">
        <v>155092.494874681</v>
      </c>
      <c r="AK76" s="151">
        <v>6940.7362267959297</v>
      </c>
      <c r="AL76" s="150">
        <v>1593504519.6150444</v>
      </c>
      <c r="AM76" s="151">
        <v>4789916.8463532999</v>
      </c>
      <c r="AN76" s="151">
        <v>134213887.81753901</v>
      </c>
      <c r="AO76" s="151">
        <v>26009121.378226597</v>
      </c>
      <c r="AP76" s="150">
        <v>1758517445.6571631</v>
      </c>
      <c r="AQ76" s="150">
        <v>24727065.127612658</v>
      </c>
    </row>
    <row r="77" spans="1:43" x14ac:dyDescent="0.2">
      <c r="A77" s="154"/>
      <c r="B77" s="153">
        <v>10</v>
      </c>
      <c r="C77" s="152">
        <v>589.99999999999795</v>
      </c>
      <c r="D77" s="151">
        <v>472363.25457083201</v>
      </c>
      <c r="E77" s="151">
        <v>923243367.11965799</v>
      </c>
      <c r="F77" s="151">
        <v>173928</v>
      </c>
      <c r="G77" s="151">
        <v>18074232.717747699</v>
      </c>
      <c r="H77" s="151">
        <v>1551394.5803444402</v>
      </c>
      <c r="I77" s="151">
        <v>9949340.9055075292</v>
      </c>
      <c r="J77" s="151">
        <v>1088474.3241667799</v>
      </c>
      <c r="K77" s="151">
        <v>196454292.47304118</v>
      </c>
      <c r="L77" s="151">
        <v>5333973.9123335499</v>
      </c>
      <c r="M77" s="151">
        <v>225295172.46633101</v>
      </c>
      <c r="N77" s="151">
        <v>10586697.4330946</v>
      </c>
      <c r="O77" s="151">
        <v>165337643.9741649</v>
      </c>
      <c r="P77" s="151">
        <v>14294407.8571386</v>
      </c>
      <c r="Q77" s="151">
        <v>1269779.2294176701</v>
      </c>
      <c r="R77" s="151">
        <v>72295393.454266205</v>
      </c>
      <c r="S77" s="151">
        <v>36955783.909122996</v>
      </c>
      <c r="T77" s="151">
        <v>756047.14443872194</v>
      </c>
      <c r="U77" s="151">
        <v>8219902.1579072308</v>
      </c>
      <c r="V77" s="151">
        <v>1494396.10532829</v>
      </c>
      <c r="W77" s="151">
        <v>6081929.0729678497</v>
      </c>
      <c r="X77" s="151">
        <v>36123311.660427898</v>
      </c>
      <c r="Y77" s="151">
        <v>8506778.4707397409</v>
      </c>
      <c r="Z77" s="151">
        <v>460306.91796638304</v>
      </c>
      <c r="AA77" s="151">
        <v>71363.639537717099</v>
      </c>
      <c r="AB77" s="151">
        <v>4414.6576666666597</v>
      </c>
      <c r="AC77" s="151">
        <v>511381.77114359097</v>
      </c>
      <c r="AD77" s="151">
        <v>1086275.73927001</v>
      </c>
      <c r="AE77" s="151">
        <v>3119924.4277524399</v>
      </c>
      <c r="AF77" s="151">
        <v>522750.78515502193</v>
      </c>
      <c r="AG77" s="151">
        <v>178137.34403310801</v>
      </c>
      <c r="AH77" s="151">
        <v>136761.53711562301</v>
      </c>
      <c r="AI77" s="151">
        <v>438856.17427547905</v>
      </c>
      <c r="AJ77" s="151">
        <v>158586.43554885601</v>
      </c>
      <c r="AK77" s="151">
        <v>6896.8703739080602</v>
      </c>
      <c r="AL77" s="150">
        <v>1750254856.5225544</v>
      </c>
      <c r="AM77" s="151">
        <v>4602170.2236470599</v>
      </c>
      <c r="AN77" s="151">
        <v>134326272.595705</v>
      </c>
      <c r="AO77" s="151">
        <v>26405880.205121297</v>
      </c>
      <c r="AP77" s="150">
        <v>1915589179.5470278</v>
      </c>
      <c r="AQ77" s="150">
        <v>24717579.058784436</v>
      </c>
    </row>
    <row r="78" spans="1:43" x14ac:dyDescent="0.2">
      <c r="A78" s="154"/>
      <c r="B78" s="153">
        <v>11</v>
      </c>
      <c r="C78" s="152">
        <v>589.99999999999795</v>
      </c>
      <c r="D78" s="151">
        <v>647774.86941497703</v>
      </c>
      <c r="E78" s="151">
        <v>1093271831.45823</v>
      </c>
      <c r="F78" s="151">
        <v>196629.25</v>
      </c>
      <c r="G78" s="151">
        <v>20502161.3573118</v>
      </c>
      <c r="H78" s="151">
        <v>1721790.3057146801</v>
      </c>
      <c r="I78" s="151">
        <v>11209092.0033774</v>
      </c>
      <c r="J78" s="151">
        <v>1178633.4826910801</v>
      </c>
      <c r="K78" s="151">
        <v>206404718.15444368</v>
      </c>
      <c r="L78" s="151">
        <v>5643233.9206352001</v>
      </c>
      <c r="M78" s="151">
        <v>227856820.86538431</v>
      </c>
      <c r="N78" s="151">
        <v>10420847.699915402</v>
      </c>
      <c r="O78" s="151">
        <v>168595680.25284401</v>
      </c>
      <c r="P78" s="151">
        <v>13375590.47725</v>
      </c>
      <c r="Q78" s="151">
        <v>365079.80795732798</v>
      </c>
      <c r="R78" s="151">
        <v>73532547.86743699</v>
      </c>
      <c r="S78" s="151">
        <v>35213940.163440503</v>
      </c>
      <c r="T78" s="151">
        <v>299485.66522711003</v>
      </c>
      <c r="U78" s="151">
        <v>10699243.7620304</v>
      </c>
      <c r="V78" s="151">
        <v>1509486.61757413</v>
      </c>
      <c r="W78" s="151">
        <v>5060314.5617810693</v>
      </c>
      <c r="X78" s="151">
        <v>35666593.595828399</v>
      </c>
      <c r="Y78" s="151">
        <v>8263388.4606150202</v>
      </c>
      <c r="Z78" s="151">
        <v>498942.69898457301</v>
      </c>
      <c r="AA78" s="151">
        <v>89630.050449432907</v>
      </c>
      <c r="AB78" s="151">
        <v>4414.6576666666597</v>
      </c>
      <c r="AC78" s="151">
        <v>442537.50359676004</v>
      </c>
      <c r="AD78" s="151">
        <v>934357.84592966607</v>
      </c>
      <c r="AE78" s="151">
        <v>2683596.5882264101</v>
      </c>
      <c r="AF78" s="151">
        <v>449643.01412431797</v>
      </c>
      <c r="AG78" s="151">
        <v>168880.72628040001</v>
      </c>
      <c r="AH78" s="151">
        <v>124798.88168274</v>
      </c>
      <c r="AI78" s="151">
        <v>215593.362968111</v>
      </c>
      <c r="AJ78" s="151">
        <v>152995.30039634299</v>
      </c>
      <c r="AK78" s="151">
        <v>6796.2948455860305</v>
      </c>
      <c r="AL78" s="150">
        <v>1937407661.5242548</v>
      </c>
      <c r="AM78" s="151">
        <v>4514923.4457023004</v>
      </c>
      <c r="AN78" s="151">
        <v>132771577.65085098</v>
      </c>
      <c r="AO78" s="151">
        <v>24897986.464216601</v>
      </c>
      <c r="AP78" s="150">
        <v>2099592149.0850248</v>
      </c>
      <c r="AQ78" s="150">
        <v>26154662.348557077</v>
      </c>
    </row>
    <row r="79" spans="1:43" x14ac:dyDescent="0.2">
      <c r="A79" s="149"/>
      <c r="B79" s="148">
        <v>12</v>
      </c>
      <c r="C79" s="147">
        <v>589.99999999999795</v>
      </c>
      <c r="D79" s="146">
        <v>849983.84583149408</v>
      </c>
      <c r="E79" s="146">
        <v>1310289161.4808998</v>
      </c>
      <c r="F79" s="146">
        <v>242994.14285714302</v>
      </c>
      <c r="G79" s="146">
        <v>26784213.916419901</v>
      </c>
      <c r="H79" s="146">
        <v>2211692.0690776701</v>
      </c>
      <c r="I79" s="146">
        <v>13370718.521533499</v>
      </c>
      <c r="J79" s="146">
        <v>1421241.2956699301</v>
      </c>
      <c r="K79" s="146">
        <v>241050715.6190595</v>
      </c>
      <c r="L79" s="146">
        <v>5877519.2144376701</v>
      </c>
      <c r="M79" s="146">
        <v>258697852.23367018</v>
      </c>
      <c r="N79" s="146">
        <v>10242467.120613301</v>
      </c>
      <c r="O79" s="146">
        <v>181356429.76957723</v>
      </c>
      <c r="P79" s="146">
        <v>12477975.958925001</v>
      </c>
      <c r="Q79" s="146">
        <v>265014.06294986297</v>
      </c>
      <c r="R79" s="146">
        <v>78522795.879715189</v>
      </c>
      <c r="S79" s="146">
        <v>33272037.215092402</v>
      </c>
      <c r="T79" s="146">
        <v>0</v>
      </c>
      <c r="U79" s="146">
        <v>14039599.6898195</v>
      </c>
      <c r="V79" s="146">
        <v>1678636.63518756</v>
      </c>
      <c r="W79" s="146">
        <v>5434284.5164969601</v>
      </c>
      <c r="X79" s="146">
        <v>36699602.165307097</v>
      </c>
      <c r="Y79" s="146">
        <v>8743003.2341453489</v>
      </c>
      <c r="Z79" s="146">
        <v>666394.41062898096</v>
      </c>
      <c r="AA79" s="146">
        <v>108908.459927082</v>
      </c>
      <c r="AB79" s="146">
        <v>4414.6576666666597</v>
      </c>
      <c r="AC79" s="146">
        <v>483796.33151323796</v>
      </c>
      <c r="AD79" s="146">
        <v>1015336.25774346</v>
      </c>
      <c r="AE79" s="146">
        <v>2916177.0611257101</v>
      </c>
      <c r="AF79" s="146">
        <v>488612.42753008497</v>
      </c>
      <c r="AG79" s="146">
        <v>176676.79622798099</v>
      </c>
      <c r="AH79" s="146">
        <v>135044.991505588</v>
      </c>
      <c r="AI79" s="146">
        <v>221107.116483675</v>
      </c>
      <c r="AJ79" s="146">
        <v>156860.19313625598</v>
      </c>
      <c r="AK79" s="146">
        <v>6851.9352465510501</v>
      </c>
      <c r="AL79" s="145">
        <v>2249908709.2260218</v>
      </c>
      <c r="AM79" s="146">
        <v>4918337.7762119099</v>
      </c>
      <c r="AN79" s="146">
        <v>135783005.32662401</v>
      </c>
      <c r="AO79" s="146">
        <v>25508965.766148802</v>
      </c>
      <c r="AP79" s="145">
        <v>2416119018.095006</v>
      </c>
      <c r="AQ79" s="145">
        <v>28887425.540378567</v>
      </c>
    </row>
    <row r="81" spans="1:37" x14ac:dyDescent="0.2">
      <c r="A81" s="144" t="s">
        <v>297</v>
      </c>
      <c r="B81" s="169">
        <f>SUM(C81:AQ81)</f>
        <v>11672994912.115181</v>
      </c>
      <c r="E81" s="132">
        <f>SUM(E18:E29)</f>
        <v>11219027142.827419</v>
      </c>
      <c r="F81" s="132">
        <f t="shared" ref="F81:J81" si="0">SUM(F18:F29)</f>
        <v>2499149.8928571427</v>
      </c>
      <c r="G81" s="132">
        <f t="shared" si="0"/>
        <v>257233870.0169687</v>
      </c>
      <c r="H81" s="132">
        <f t="shared" si="0"/>
        <v>23770361.674638279</v>
      </c>
      <c r="I81" s="132">
        <f t="shared" si="0"/>
        <v>132249585.64413519</v>
      </c>
      <c r="J81" s="132">
        <f t="shared" si="0"/>
        <v>16975873.10363473</v>
      </c>
      <c r="Q81" s="132">
        <f t="shared" ref="Q81" si="1">SUM(Q18:Q29)</f>
        <v>15036282.699173195</v>
      </c>
      <c r="T81" s="132">
        <f t="shared" ref="T81" si="2">SUM(T18:T29)</f>
        <v>4438120.8288705256</v>
      </c>
      <c r="AH81" s="132">
        <f t="shared" ref="AH81" si="3">SUM(AH18:AH29)</f>
        <v>1683270.4509948492</v>
      </c>
      <c r="AK81" s="132">
        <f t="shared" ref="AK81" si="4">SUM(AK18:AK29)</f>
        <v>81254.976491611305</v>
      </c>
    </row>
    <row r="82" spans="1:37" x14ac:dyDescent="0.2">
      <c r="A82" s="144" t="s">
        <v>298</v>
      </c>
      <c r="B82" s="169">
        <f>SUM(C82:AQ82)</f>
        <v>11718493448.873137</v>
      </c>
      <c r="E82" s="132">
        <f>SUM(E30:E41)</f>
        <v>11266962329.819164</v>
      </c>
      <c r="F82" s="132">
        <f t="shared" ref="F82:J82" si="5">SUM(F30:F41)</f>
        <v>2499149.8928571427</v>
      </c>
      <c r="G82" s="132">
        <f t="shared" si="5"/>
        <v>255905326.98697627</v>
      </c>
      <c r="H82" s="132">
        <f t="shared" si="5"/>
        <v>23379360.900113624</v>
      </c>
      <c r="I82" s="132">
        <f t="shared" si="5"/>
        <v>131974535.17790332</v>
      </c>
      <c r="J82" s="132">
        <f t="shared" si="5"/>
        <v>16701162.833691237</v>
      </c>
      <c r="Q82" s="132">
        <f t="shared" ref="Q82" si="6">SUM(Q30:Q41)</f>
        <v>14934880.172809023</v>
      </c>
      <c r="T82" s="132">
        <f t="shared" ref="T82" si="7">SUM(T30:T41)</f>
        <v>4409909.2807692531</v>
      </c>
      <c r="AH82" s="132">
        <f t="shared" ref="AH82" si="8">SUM(AH30:AH41)</f>
        <v>1645851.2345796481</v>
      </c>
      <c r="AK82" s="132">
        <f t="shared" ref="AK82" si="9">SUM(AK30:AK41)</f>
        <v>80942.574272386162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  <pageSetUpPr fitToPage="1"/>
  </sheetPr>
  <dimension ref="A1:P71"/>
  <sheetViews>
    <sheetView workbookViewId="0">
      <selection activeCell="L34" sqref="L34"/>
    </sheetView>
  </sheetViews>
  <sheetFormatPr defaultColWidth="9.140625" defaultRowHeight="11.25" x14ac:dyDescent="0.2"/>
  <cols>
    <col min="1" max="1" width="1.85546875" style="30" customWidth="1"/>
    <col min="2" max="2" width="48.28515625" style="30" bestFit="1" customWidth="1"/>
    <col min="3" max="3" width="9.28515625" style="30" customWidth="1"/>
    <col min="4" max="4" width="11.5703125" style="30" customWidth="1"/>
    <col min="5" max="5" width="10.28515625" style="30" bestFit="1" customWidth="1"/>
    <col min="6" max="6" width="10.5703125" style="30" bestFit="1" customWidth="1"/>
    <col min="7" max="7" width="10" style="30" bestFit="1" customWidth="1"/>
    <col min="8" max="8" width="9.5703125" style="30" bestFit="1" customWidth="1"/>
    <col min="9" max="9" width="12.85546875" style="30" bestFit="1" customWidth="1"/>
    <col min="10" max="10" width="9.85546875" style="30" bestFit="1" customWidth="1"/>
    <col min="11" max="11" width="8.5703125" style="30" bestFit="1" customWidth="1"/>
    <col min="12" max="12" width="9.140625" style="30" bestFit="1" customWidth="1"/>
    <col min="13" max="13" width="14.5703125" style="30" customWidth="1"/>
    <col min="14" max="15" width="10.7109375" style="30" bestFit="1" customWidth="1"/>
    <col min="16" max="16" width="8.5703125" style="30" bestFit="1" customWidth="1"/>
    <col min="17" max="16384" width="9.140625" style="30"/>
  </cols>
  <sheetData>
    <row r="1" spans="1:16" x14ac:dyDescent="0.2">
      <c r="A1" s="345" t="str">
        <f>'Sch 194 Summary'!A1:D1</f>
        <v>Puget Sound Energy</v>
      </c>
      <c r="B1" s="346"/>
      <c r="C1" s="346"/>
      <c r="D1" s="346"/>
      <c r="E1" s="346"/>
      <c r="F1" s="114" t="s">
        <v>299</v>
      </c>
      <c r="I1" s="115"/>
      <c r="J1" s="112"/>
      <c r="K1" s="113"/>
    </row>
    <row r="2" spans="1:16" x14ac:dyDescent="0.2">
      <c r="A2" s="345" t="str">
        <f>'Sch 194 Summary'!A2:D2</f>
        <v>Proposed Schedule 194</v>
      </c>
      <c r="B2" s="346"/>
      <c r="C2" s="346"/>
      <c r="D2" s="346"/>
      <c r="E2" s="346"/>
    </row>
    <row r="3" spans="1:16" x14ac:dyDescent="0.2">
      <c r="A3" s="347" t="s">
        <v>303</v>
      </c>
      <c r="B3" s="348"/>
      <c r="C3" s="348"/>
      <c r="D3" s="348"/>
      <c r="E3" s="348"/>
      <c r="F3" s="176"/>
    </row>
    <row r="4" spans="1:16" x14ac:dyDescent="0.2">
      <c r="A4" s="345" t="str">
        <f>'Sch 194 Summary'!A3:D3</f>
        <v>BPA Residential and Farm Energy Exchange Benefits</v>
      </c>
      <c r="B4" s="346"/>
      <c r="C4" s="346"/>
      <c r="D4" s="346"/>
      <c r="E4" s="34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</row>
    <row r="5" spans="1:16" x14ac:dyDescent="0.2">
      <c r="A5" s="111"/>
      <c r="B5" s="349" t="s">
        <v>141</v>
      </c>
      <c r="C5" s="349"/>
      <c r="D5" s="349"/>
      <c r="E5" s="349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">
      <c r="A6" s="111" t="s">
        <v>142</v>
      </c>
      <c r="B6" s="177"/>
      <c r="C6" s="178"/>
      <c r="D6" s="6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">
      <c r="A7" s="111" t="s">
        <v>143</v>
      </c>
      <c r="B7" s="114"/>
      <c r="C7" s="174"/>
      <c r="D7" s="175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1:16" x14ac:dyDescent="0.2">
      <c r="A8" s="111" t="s">
        <v>144</v>
      </c>
      <c r="B8" s="116"/>
      <c r="C8" s="116"/>
      <c r="D8" s="117"/>
      <c r="E8" s="117">
        <v>2024</v>
      </c>
      <c r="F8" s="118">
        <v>2025</v>
      </c>
      <c r="G8" s="118" t="s">
        <v>58</v>
      </c>
      <c r="H8" s="117"/>
      <c r="I8" s="117"/>
      <c r="J8" s="117"/>
      <c r="K8" s="117" t="s">
        <v>145</v>
      </c>
      <c r="L8" s="117" t="s">
        <v>146</v>
      </c>
      <c r="M8" s="117" t="s">
        <v>145</v>
      </c>
      <c r="N8" s="117" t="s">
        <v>145</v>
      </c>
      <c r="O8" s="117" t="s">
        <v>145</v>
      </c>
      <c r="P8" s="117"/>
    </row>
    <row r="9" spans="1:16" x14ac:dyDescent="0.2">
      <c r="A9" s="111"/>
      <c r="B9" s="114"/>
      <c r="C9" s="114"/>
      <c r="D9" s="117" t="s">
        <v>147</v>
      </c>
      <c r="E9" s="117" t="s">
        <v>148</v>
      </c>
      <c r="F9" s="117" t="s">
        <v>148</v>
      </c>
      <c r="G9" s="117" t="s">
        <v>148</v>
      </c>
      <c r="H9" s="117" t="s">
        <v>149</v>
      </c>
      <c r="I9" s="117" t="s">
        <v>150</v>
      </c>
      <c r="J9" s="117" t="s">
        <v>146</v>
      </c>
      <c r="K9" s="117" t="s">
        <v>151</v>
      </c>
      <c r="L9" s="117" t="s">
        <v>152</v>
      </c>
      <c r="M9" s="117" t="s">
        <v>153</v>
      </c>
      <c r="N9" s="119" t="s">
        <v>154</v>
      </c>
      <c r="O9" s="117" t="s">
        <v>155</v>
      </c>
      <c r="P9" s="117"/>
    </row>
    <row r="10" spans="1:16" x14ac:dyDescent="0.2">
      <c r="A10" s="111"/>
      <c r="B10" s="114"/>
      <c r="C10" s="117" t="s">
        <v>156</v>
      </c>
      <c r="D10" s="117" t="s">
        <v>157</v>
      </c>
      <c r="E10" s="117" t="s">
        <v>158</v>
      </c>
      <c r="F10" s="117" t="s">
        <v>158</v>
      </c>
      <c r="G10" s="117" t="s">
        <v>158</v>
      </c>
      <c r="H10" s="117" t="s">
        <v>159</v>
      </c>
      <c r="I10" s="117" t="s">
        <v>160</v>
      </c>
      <c r="J10" s="117" t="s">
        <v>160</v>
      </c>
      <c r="K10" s="117" t="s">
        <v>161</v>
      </c>
      <c r="L10" s="117" t="s">
        <v>161</v>
      </c>
      <c r="M10" s="117" t="s">
        <v>162</v>
      </c>
      <c r="N10" s="117" t="s">
        <v>157</v>
      </c>
      <c r="O10" s="117" t="s">
        <v>159</v>
      </c>
      <c r="P10" s="117"/>
    </row>
    <row r="11" spans="1:16" x14ac:dyDescent="0.2">
      <c r="A11" s="111"/>
      <c r="B11" s="114"/>
      <c r="C11" s="131" t="s">
        <v>163</v>
      </c>
      <c r="D11" s="131" t="s">
        <v>164</v>
      </c>
      <c r="E11" s="131" t="s">
        <v>165</v>
      </c>
      <c r="F11" s="131" t="s">
        <v>166</v>
      </c>
      <c r="G11" s="131" t="s">
        <v>167</v>
      </c>
      <c r="H11" s="131" t="s">
        <v>168</v>
      </c>
      <c r="I11" s="131" t="s">
        <v>169</v>
      </c>
      <c r="J11" s="131" t="s">
        <v>170</v>
      </c>
      <c r="K11" s="131" t="s">
        <v>171</v>
      </c>
      <c r="L11" s="131" t="s">
        <v>172</v>
      </c>
      <c r="M11" s="131" t="s">
        <v>173</v>
      </c>
      <c r="N11" s="131" t="s">
        <v>174</v>
      </c>
      <c r="O11" s="131" t="s">
        <v>175</v>
      </c>
      <c r="P11" s="131"/>
    </row>
    <row r="12" spans="1:16" x14ac:dyDescent="0.2">
      <c r="A12" s="111" t="s">
        <v>97</v>
      </c>
      <c r="B12" s="114">
        <v>1</v>
      </c>
      <c r="C12" s="114">
        <v>70.61</v>
      </c>
      <c r="D12" s="114">
        <v>53.831890999999999</v>
      </c>
      <c r="E12" s="120">
        <v>4128.8770022674053</v>
      </c>
      <c r="F12" s="121">
        <v>4128.8770022674053</v>
      </c>
      <c r="G12" s="121">
        <v>4128.8770022674053</v>
      </c>
      <c r="H12" s="121">
        <v>69274.748391635774</v>
      </c>
      <c r="I12" s="122"/>
      <c r="J12" s="114"/>
      <c r="K12" s="114">
        <v>51120.377407795626</v>
      </c>
      <c r="L12" s="122">
        <v>0</v>
      </c>
      <c r="M12" s="28">
        <v>12.381181948438394</v>
      </c>
      <c r="N12" s="120">
        <v>66.213072948438395</v>
      </c>
      <c r="O12" s="120">
        <v>18154.370983840137</v>
      </c>
      <c r="P12" s="122"/>
    </row>
    <row r="13" spans="1:16" x14ac:dyDescent="0.2">
      <c r="B13" s="114" t="s">
        <v>98</v>
      </c>
      <c r="C13" s="114">
        <v>66.03</v>
      </c>
      <c r="D13" s="114">
        <v>53.831890999999999</v>
      </c>
      <c r="E13" s="120">
        <v>7164.5790417026856</v>
      </c>
      <c r="F13" s="121">
        <v>7164.5790417026865</v>
      </c>
      <c r="G13" s="121">
        <v>7164.5790417026856</v>
      </c>
      <c r="H13" s="121">
        <v>87394.316089804925</v>
      </c>
      <c r="I13" s="122"/>
      <c r="J13" s="114"/>
      <c r="K13" s="114">
        <v>64491.470926026988</v>
      </c>
      <c r="L13" s="122">
        <v>0</v>
      </c>
      <c r="M13" s="28">
        <v>9.0014319823458013</v>
      </c>
      <c r="N13" s="120">
        <v>62.833322982345798</v>
      </c>
      <c r="O13" s="120">
        <v>22902.845163777947</v>
      </c>
      <c r="P13" s="122"/>
    </row>
    <row r="14" spans="1:16" x14ac:dyDescent="0.2">
      <c r="B14" s="114" t="s">
        <v>99</v>
      </c>
      <c r="C14" s="114">
        <v>83.73</v>
      </c>
      <c r="D14" s="114">
        <v>53.831890999999999</v>
      </c>
      <c r="E14" s="120">
        <v>746.33637903229999</v>
      </c>
      <c r="F14" s="121">
        <v>746.33637903229999</v>
      </c>
      <c r="G14" s="121">
        <v>746.33637903229999</v>
      </c>
      <c r="H14" s="121">
        <v>22314.046410973024</v>
      </c>
      <c r="I14" s="122"/>
      <c r="J14" s="114"/>
      <c r="K14" s="114">
        <v>16466.353187963894</v>
      </c>
      <c r="L14" s="122">
        <v>0</v>
      </c>
      <c r="M14" s="28">
        <v>22.062911108948185</v>
      </c>
      <c r="N14" s="120">
        <v>75.894802108948184</v>
      </c>
      <c r="O14" s="120">
        <v>5847.6932230091288</v>
      </c>
      <c r="P14" s="122"/>
    </row>
    <row r="15" spans="1:16" x14ac:dyDescent="0.2">
      <c r="B15" s="114" t="s">
        <v>100</v>
      </c>
      <c r="C15" s="114">
        <v>84.08</v>
      </c>
      <c r="D15" s="114">
        <v>53.831890999999999</v>
      </c>
      <c r="E15" s="120">
        <v>9419.1581745403</v>
      </c>
      <c r="F15" s="121">
        <v>9419.1581745403018</v>
      </c>
      <c r="G15" s="121">
        <v>9419.1581745403018</v>
      </c>
      <c r="H15" s="121">
        <v>284911.72315173608</v>
      </c>
      <c r="I15" s="122"/>
      <c r="J15" s="114"/>
      <c r="K15" s="114">
        <v>210246.80931472979</v>
      </c>
      <c r="L15" s="122">
        <v>0</v>
      </c>
      <c r="M15" s="28">
        <v>22.32118894478495</v>
      </c>
      <c r="N15" s="120">
        <v>76.153079944784949</v>
      </c>
      <c r="O15" s="120">
        <v>74664.913837006286</v>
      </c>
      <c r="P15" s="122"/>
    </row>
    <row r="16" spans="1:16" x14ac:dyDescent="0.2">
      <c r="B16" s="114" t="s">
        <v>101</v>
      </c>
      <c r="C16" s="114">
        <v>80.83</v>
      </c>
      <c r="D16" s="114">
        <v>53.831890999999999</v>
      </c>
      <c r="E16" s="120">
        <v>8660.9994963737627</v>
      </c>
      <c r="F16" s="123">
        <v>8660.9994963737627</v>
      </c>
      <c r="G16" s="123">
        <v>8660.9994963737627</v>
      </c>
      <c r="H16" s="123">
        <v>233830.60845204393</v>
      </c>
      <c r="I16" s="122"/>
      <c r="J16" s="114"/>
      <c r="K16" s="114">
        <v>172552.1814382546</v>
      </c>
      <c r="L16" s="122">
        <v>0</v>
      </c>
      <c r="M16" s="28">
        <v>19.922894754872086</v>
      </c>
      <c r="N16" s="120">
        <v>73.754785754872088</v>
      </c>
      <c r="O16" s="120">
        <v>61278.427013789296</v>
      </c>
      <c r="P16" s="122"/>
    </row>
    <row r="17" spans="2:16" x14ac:dyDescent="0.2">
      <c r="B17" s="114" t="s">
        <v>102</v>
      </c>
      <c r="C17" s="114">
        <v>81.53</v>
      </c>
      <c r="D17" s="114">
        <v>53.831890999999999</v>
      </c>
      <c r="E17" s="120">
        <v>12502.551106407631</v>
      </c>
      <c r="F17" s="121">
        <v>12502.551106407631</v>
      </c>
      <c r="G17" s="121">
        <v>12502.551106407631</v>
      </c>
      <c r="H17" s="121">
        <v>346297.02332334919</v>
      </c>
      <c r="I17" s="122"/>
      <c r="J17" s="114"/>
      <c r="K17" s="114">
        <v>255545.27354477195</v>
      </c>
      <c r="L17" s="122">
        <v>0</v>
      </c>
      <c r="M17" s="28">
        <v>20.439450426545626</v>
      </c>
      <c r="N17" s="120">
        <v>74.271341426545632</v>
      </c>
      <c r="O17" s="120">
        <v>90751.749778577156</v>
      </c>
      <c r="P17" s="122"/>
    </row>
    <row r="18" spans="2:16" x14ac:dyDescent="0.2">
      <c r="B18" s="114" t="s">
        <v>103</v>
      </c>
      <c r="C18" s="114">
        <v>0</v>
      </c>
      <c r="D18" s="114">
        <v>0</v>
      </c>
      <c r="E18" s="124">
        <v>0</v>
      </c>
      <c r="F18" s="121">
        <v>0</v>
      </c>
      <c r="G18" s="121">
        <v>0</v>
      </c>
      <c r="H18" s="121">
        <v>0</v>
      </c>
      <c r="I18" s="28"/>
      <c r="J18" s="114"/>
      <c r="K18" s="114">
        <v>0</v>
      </c>
      <c r="L18" s="28"/>
      <c r="M18" s="114">
        <v>0</v>
      </c>
      <c r="N18" s="124">
        <v>0</v>
      </c>
      <c r="O18" s="124">
        <v>0</v>
      </c>
      <c r="P18" s="28"/>
    </row>
    <row r="19" spans="2:16" x14ac:dyDescent="0.2">
      <c r="B19" s="114" t="s">
        <v>104</v>
      </c>
      <c r="C19" s="114">
        <v>0</v>
      </c>
      <c r="D19" s="114">
        <v>0</v>
      </c>
      <c r="E19" s="124">
        <v>0</v>
      </c>
      <c r="F19" s="121">
        <v>0</v>
      </c>
      <c r="G19" s="121">
        <v>0</v>
      </c>
      <c r="H19" s="121">
        <v>0</v>
      </c>
      <c r="I19" s="28"/>
      <c r="J19" s="114"/>
      <c r="K19" s="114">
        <v>0</v>
      </c>
      <c r="L19" s="28"/>
      <c r="M19" s="114">
        <v>0</v>
      </c>
      <c r="N19" s="124">
        <v>0</v>
      </c>
      <c r="O19" s="124">
        <v>0</v>
      </c>
      <c r="P19" s="28"/>
    </row>
    <row r="20" spans="2:16" x14ac:dyDescent="0.2">
      <c r="B20" s="114" t="s">
        <v>105</v>
      </c>
      <c r="C20" s="114">
        <v>54.13</v>
      </c>
      <c r="D20" s="124">
        <v>53.481169000000001</v>
      </c>
      <c r="E20" s="120">
        <v>3663.2811168000003</v>
      </c>
      <c r="F20" s="121">
        <v>3634.0793423999999</v>
      </c>
      <c r="G20" s="121">
        <v>3648.6802296000001</v>
      </c>
      <c r="H20" s="121">
        <v>2367.3768420516021</v>
      </c>
      <c r="I20" s="122"/>
      <c r="J20" s="114"/>
      <c r="K20" s="114">
        <v>1746.974192500501</v>
      </c>
      <c r="L20" s="122"/>
      <c r="M20" s="114">
        <v>0.47879619001087947</v>
      </c>
      <c r="N20" s="120">
        <v>53.959965190010884</v>
      </c>
      <c r="O20" s="120">
        <v>620.40264955108989</v>
      </c>
      <c r="P20" s="122"/>
    </row>
    <row r="21" spans="2:16" x14ac:dyDescent="0.2">
      <c r="B21" s="114" t="s">
        <v>13</v>
      </c>
      <c r="C21" s="114"/>
      <c r="D21" s="114"/>
      <c r="E21" s="114">
        <v>46285.782317124082</v>
      </c>
      <c r="F21" s="121">
        <v>46256.580542724085</v>
      </c>
      <c r="G21" s="121">
        <v>46271.181429924087</v>
      </c>
      <c r="H21" s="121">
        <v>1046389.8426615945</v>
      </c>
      <c r="I21" s="127">
        <v>273600</v>
      </c>
      <c r="J21" s="170">
        <v>0</v>
      </c>
      <c r="K21" s="170">
        <v>772169.44001204334</v>
      </c>
      <c r="L21" s="127">
        <v>0</v>
      </c>
      <c r="M21" s="170"/>
      <c r="N21" s="114"/>
      <c r="O21" s="114">
        <v>274220.40264955105</v>
      </c>
      <c r="P21" s="127"/>
    </row>
    <row r="22" spans="2:16" x14ac:dyDescent="0.2"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</row>
    <row r="23" spans="2:16" x14ac:dyDescent="0.2">
      <c r="B23" s="114" t="s">
        <v>176</v>
      </c>
      <c r="C23" s="171" t="s">
        <v>177</v>
      </c>
      <c r="D23" s="171">
        <v>59.694199764635414</v>
      </c>
      <c r="E23" s="172"/>
      <c r="F23" s="114"/>
      <c r="G23" s="114" t="s">
        <v>178</v>
      </c>
      <c r="H23" s="125">
        <v>1044022.4658195429</v>
      </c>
      <c r="I23" s="127">
        <v>273600</v>
      </c>
      <c r="J23" s="170">
        <v>273600</v>
      </c>
      <c r="K23" s="170">
        <v>770422.46581954288</v>
      </c>
      <c r="L23" s="127" t="s">
        <v>179</v>
      </c>
      <c r="M23" s="114"/>
      <c r="N23" s="114" t="s">
        <v>180</v>
      </c>
      <c r="O23" s="114">
        <v>273599.99999999994</v>
      </c>
      <c r="P23" s="126"/>
    </row>
    <row r="24" spans="2:16" x14ac:dyDescent="0.2">
      <c r="B24" s="114"/>
      <c r="C24" s="114"/>
      <c r="D24" s="114"/>
      <c r="E24" s="114"/>
      <c r="F24" s="114"/>
      <c r="G24" s="114" t="s">
        <v>181</v>
      </c>
      <c r="H24" s="125">
        <v>2367.3768420516021</v>
      </c>
      <c r="I24" s="127"/>
      <c r="J24" s="114">
        <v>620.40264955110126</v>
      </c>
      <c r="K24" s="173">
        <v>1746.974192500501</v>
      </c>
      <c r="L24" s="127" t="s">
        <v>182</v>
      </c>
      <c r="M24" s="114"/>
      <c r="N24" s="114" t="s">
        <v>183</v>
      </c>
      <c r="O24" s="114">
        <v>620.40264955108989</v>
      </c>
      <c r="P24" s="127"/>
    </row>
    <row r="25" spans="2:16" x14ac:dyDescent="0.2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</row>
    <row r="26" spans="2:16" x14ac:dyDescent="0.2">
      <c r="B26" s="114" t="s">
        <v>184</v>
      </c>
      <c r="C26" s="116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</row>
    <row r="27" spans="2:16" x14ac:dyDescent="0.2">
      <c r="B27" s="114"/>
      <c r="C27" s="114" t="s">
        <v>145</v>
      </c>
      <c r="D27" s="119"/>
      <c r="E27" s="128"/>
      <c r="F27" s="128"/>
      <c r="G27" s="128" t="s">
        <v>185</v>
      </c>
      <c r="H27" s="119" t="s">
        <v>185</v>
      </c>
      <c r="I27" s="119" t="s">
        <v>185</v>
      </c>
      <c r="J27" s="119"/>
      <c r="K27" s="119" t="s">
        <v>185</v>
      </c>
      <c r="L27" s="119"/>
      <c r="M27" s="179"/>
      <c r="N27" s="244">
        <v>2024</v>
      </c>
      <c r="O27" s="245">
        <v>2025</v>
      </c>
      <c r="P27" s="118"/>
    </row>
    <row r="28" spans="2:16" x14ac:dyDescent="0.2">
      <c r="B28" s="114"/>
      <c r="C28" s="114" t="s">
        <v>155</v>
      </c>
      <c r="D28" s="119" t="s">
        <v>186</v>
      </c>
      <c r="E28" s="119" t="s">
        <v>187</v>
      </c>
      <c r="F28" s="119" t="s">
        <v>188</v>
      </c>
      <c r="G28" s="119" t="s">
        <v>151</v>
      </c>
      <c r="H28" s="119" t="s">
        <v>153</v>
      </c>
      <c r="I28" s="119" t="s">
        <v>154</v>
      </c>
      <c r="J28" s="119"/>
      <c r="K28" s="119" t="s">
        <v>155</v>
      </c>
      <c r="L28" s="119"/>
      <c r="M28" s="180"/>
      <c r="N28" s="246" t="s">
        <v>155</v>
      </c>
      <c r="O28" s="247" t="s">
        <v>155</v>
      </c>
      <c r="P28" s="119"/>
    </row>
    <row r="29" spans="2:16" x14ac:dyDescent="0.2">
      <c r="B29" s="114"/>
      <c r="C29" s="114" t="s">
        <v>159</v>
      </c>
      <c r="D29" s="119" t="s">
        <v>189</v>
      </c>
      <c r="E29" s="119" t="s">
        <v>189</v>
      </c>
      <c r="F29" s="119" t="s">
        <v>159</v>
      </c>
      <c r="G29" s="119" t="s">
        <v>161</v>
      </c>
      <c r="H29" s="119" t="s">
        <v>162</v>
      </c>
      <c r="I29" s="119" t="s">
        <v>157</v>
      </c>
      <c r="J29" s="119"/>
      <c r="K29" s="119" t="s">
        <v>159</v>
      </c>
      <c r="L29" s="119"/>
      <c r="M29" s="180"/>
      <c r="N29" s="246" t="s">
        <v>159</v>
      </c>
      <c r="O29" s="247" t="s">
        <v>159</v>
      </c>
      <c r="P29" s="119"/>
    </row>
    <row r="30" spans="2:16" x14ac:dyDescent="0.2">
      <c r="B30" s="114"/>
      <c r="C30" s="114" t="s">
        <v>190</v>
      </c>
      <c r="D30" s="171" t="s">
        <v>191</v>
      </c>
      <c r="E30" s="171" t="s">
        <v>192</v>
      </c>
      <c r="F30" s="171" t="s">
        <v>193</v>
      </c>
      <c r="G30" s="171" t="s">
        <v>194</v>
      </c>
      <c r="H30" s="171" t="s">
        <v>195</v>
      </c>
      <c r="I30" s="171" t="s">
        <v>196</v>
      </c>
      <c r="J30" s="171"/>
      <c r="K30" s="171" t="s">
        <v>197</v>
      </c>
      <c r="L30" s="171"/>
      <c r="M30" s="180"/>
      <c r="N30" s="128" t="s">
        <v>198</v>
      </c>
      <c r="O30" s="181" t="s">
        <v>199</v>
      </c>
      <c r="P30" s="171"/>
    </row>
    <row r="31" spans="2:16" x14ac:dyDescent="0.2">
      <c r="B31" s="114" t="s">
        <v>97</v>
      </c>
      <c r="C31" s="114">
        <v>18154.370983840137</v>
      </c>
      <c r="D31" s="122">
        <v>2004.778</v>
      </c>
      <c r="E31" s="28">
        <v>0</v>
      </c>
      <c r="F31" s="126">
        <v>16149.592983840137</v>
      </c>
      <c r="G31" s="127">
        <v>53125.155407795639</v>
      </c>
      <c r="H31" s="127">
        <v>12.866732377501569</v>
      </c>
      <c r="I31" s="120">
        <v>66.698599999999999</v>
      </c>
      <c r="J31" s="129"/>
      <c r="K31" s="114">
        <v>16149.68950666873</v>
      </c>
      <c r="L31" s="127"/>
      <c r="M31" s="182" t="s">
        <v>200</v>
      </c>
      <c r="N31" s="230">
        <v>16149.68950666873</v>
      </c>
      <c r="O31" s="231">
        <v>16149.68950666873</v>
      </c>
      <c r="P31" s="127"/>
    </row>
    <row r="32" spans="2:16" x14ac:dyDescent="0.2">
      <c r="B32" s="114" t="s">
        <v>98</v>
      </c>
      <c r="C32" s="114">
        <v>22902.845163777947</v>
      </c>
      <c r="D32" s="122">
        <v>0</v>
      </c>
      <c r="E32" s="28">
        <v>0</v>
      </c>
      <c r="F32" s="126">
        <v>22902.845163777947</v>
      </c>
      <c r="G32" s="127">
        <v>64491.470926026974</v>
      </c>
      <c r="H32" s="127">
        <v>9.0014319823457996</v>
      </c>
      <c r="I32" s="120">
        <v>62.833300000000001</v>
      </c>
      <c r="J32" s="129"/>
      <c r="K32" s="114">
        <v>22903.009822610973</v>
      </c>
      <c r="L32" s="127"/>
      <c r="M32" s="182" t="s">
        <v>201</v>
      </c>
      <c r="N32" s="230">
        <v>22903.009822610973</v>
      </c>
      <c r="O32" s="231">
        <v>22903.009822610977</v>
      </c>
      <c r="P32" s="127"/>
    </row>
    <row r="33" spans="2:16" x14ac:dyDescent="0.2">
      <c r="B33" s="114" t="s">
        <v>99</v>
      </c>
      <c r="C33" s="114">
        <v>5847.6932230091288</v>
      </c>
      <c r="D33" s="122">
        <v>0</v>
      </c>
      <c r="E33" s="28">
        <v>74.255668150932507</v>
      </c>
      <c r="F33" s="127">
        <v>5921.9488911600611</v>
      </c>
      <c r="G33" s="127">
        <v>16392.097519812964</v>
      </c>
      <c r="H33" s="127">
        <v>21.963417542458487</v>
      </c>
      <c r="I33" s="120">
        <v>75.795299999999997</v>
      </c>
      <c r="J33" s="129"/>
      <c r="K33" s="114">
        <v>5921.9552667075959</v>
      </c>
      <c r="L33" s="127"/>
      <c r="M33" s="182" t="s">
        <v>202</v>
      </c>
      <c r="N33" s="230">
        <v>5921.9552667075959</v>
      </c>
      <c r="O33" s="231">
        <v>5921.9552667075959</v>
      </c>
      <c r="P33" s="127"/>
    </row>
    <row r="34" spans="2:16" x14ac:dyDescent="0.2">
      <c r="B34" s="114" t="s">
        <v>100</v>
      </c>
      <c r="C34" s="114">
        <v>74664.913837006286</v>
      </c>
      <c r="D34" s="122">
        <v>0</v>
      </c>
      <c r="E34" s="28">
        <v>0</v>
      </c>
      <c r="F34" s="126">
        <v>74664.913837006286</v>
      </c>
      <c r="G34" s="127">
        <v>210246.80931472979</v>
      </c>
      <c r="H34" s="127">
        <v>22.32118894478495</v>
      </c>
      <c r="I34" s="120">
        <v>76.153099999999995</v>
      </c>
      <c r="J34" s="129"/>
      <c r="K34" s="114">
        <v>74664.724933763544</v>
      </c>
      <c r="L34" s="127"/>
      <c r="M34" s="182" t="s">
        <v>100</v>
      </c>
      <c r="N34" s="230">
        <v>74664.724933763529</v>
      </c>
      <c r="O34" s="231">
        <v>74664.724933763544</v>
      </c>
      <c r="P34" s="127"/>
    </row>
    <row r="35" spans="2:16" x14ac:dyDescent="0.2">
      <c r="B35" s="114" t="s">
        <v>101</v>
      </c>
      <c r="C35" s="114">
        <v>61278.427013789296</v>
      </c>
      <c r="D35" s="122">
        <v>0</v>
      </c>
      <c r="E35" s="28">
        <v>778.13085735123138</v>
      </c>
      <c r="F35" s="127">
        <v>62056.557871140525</v>
      </c>
      <c r="G35" s="127">
        <v>171774.05058090342</v>
      </c>
      <c r="H35" s="127">
        <v>19.833051676405567</v>
      </c>
      <c r="I35" s="120">
        <v>73.664900000000003</v>
      </c>
      <c r="J35" s="129"/>
      <c r="K35" s="114">
        <v>62056.927491467606</v>
      </c>
      <c r="L35" s="127"/>
      <c r="M35" s="182" t="s">
        <v>203</v>
      </c>
      <c r="N35" s="230">
        <v>62056.927491467606</v>
      </c>
      <c r="O35" s="231">
        <v>62056.927491467606</v>
      </c>
      <c r="P35" s="127"/>
    </row>
    <row r="36" spans="2:16" x14ac:dyDescent="0.2">
      <c r="B36" s="114" t="s">
        <v>102</v>
      </c>
      <c r="C36" s="114">
        <v>90751.749778577156</v>
      </c>
      <c r="D36" s="122">
        <v>0</v>
      </c>
      <c r="E36" s="28">
        <v>1152.3914744978363</v>
      </c>
      <c r="F36" s="127">
        <v>91904.141253074995</v>
      </c>
      <c r="G36" s="127">
        <v>254392.88207027421</v>
      </c>
      <c r="H36" s="127">
        <v>20.347277919935586</v>
      </c>
      <c r="I36" s="120">
        <v>74.179199999999994</v>
      </c>
      <c r="J36" s="129"/>
      <c r="K36" s="114">
        <v>91903.752672981296</v>
      </c>
      <c r="L36" s="127"/>
      <c r="M36" s="241" t="s">
        <v>204</v>
      </c>
      <c r="N36" s="242">
        <v>91903.752672981296</v>
      </c>
      <c r="O36" s="243">
        <v>91903.752672981296</v>
      </c>
      <c r="P36" s="127"/>
    </row>
    <row r="37" spans="2:16" ht="12" thickBot="1" x14ac:dyDescent="0.25">
      <c r="B37" s="114" t="s">
        <v>13</v>
      </c>
      <c r="C37" s="114">
        <v>273599.99999999994</v>
      </c>
      <c r="D37" s="126">
        <v>2004.778</v>
      </c>
      <c r="E37" s="126">
        <v>2004.7780000000002</v>
      </c>
      <c r="F37" s="126">
        <v>273599.99999999994</v>
      </c>
      <c r="G37" s="127">
        <v>770422.46581954299</v>
      </c>
      <c r="H37" s="127"/>
      <c r="I37" s="126"/>
      <c r="J37" s="126"/>
      <c r="K37" s="126">
        <v>273600.05969419976</v>
      </c>
      <c r="L37" s="127"/>
      <c r="M37" s="182" t="s">
        <v>180</v>
      </c>
      <c r="N37" s="235">
        <v>273600.05969419971</v>
      </c>
      <c r="O37" s="236">
        <v>273600.05969419976</v>
      </c>
      <c r="P37" s="127"/>
    </row>
    <row r="38" spans="2:16" ht="12" thickTop="1" x14ac:dyDescent="0.2"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82"/>
      <c r="N38" s="230"/>
      <c r="O38" s="232"/>
      <c r="P38" s="114"/>
    </row>
    <row r="39" spans="2:16" x14ac:dyDescent="0.2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82" t="s">
        <v>205</v>
      </c>
      <c r="N39" s="230">
        <v>0</v>
      </c>
      <c r="O39" s="232">
        <v>0</v>
      </c>
      <c r="P39" s="126"/>
    </row>
    <row r="40" spans="2:16" x14ac:dyDescent="0.2"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82" t="s">
        <v>104</v>
      </c>
      <c r="N40" s="230">
        <v>0</v>
      </c>
      <c r="O40" s="232">
        <v>0</v>
      </c>
      <c r="P40" s="126"/>
    </row>
    <row r="41" spans="2:16" x14ac:dyDescent="0.2">
      <c r="B41" s="114" t="s">
        <v>206</v>
      </c>
      <c r="C41" s="116"/>
      <c r="D41" s="114"/>
      <c r="E41" s="114"/>
      <c r="F41" s="114"/>
      <c r="G41" s="114"/>
      <c r="H41" s="114"/>
      <c r="I41" s="114"/>
      <c r="J41" s="114"/>
      <c r="K41" s="114"/>
      <c r="L41" s="114"/>
      <c r="M41" s="182" t="s">
        <v>207</v>
      </c>
      <c r="N41" s="230">
        <v>622.8853086318145</v>
      </c>
      <c r="O41" s="231">
        <v>617.91999047036541</v>
      </c>
      <c r="P41" s="127"/>
    </row>
    <row r="42" spans="2:16" x14ac:dyDescent="0.2">
      <c r="B42" s="114"/>
      <c r="C42" s="114" t="s">
        <v>200</v>
      </c>
      <c r="D42" s="130" t="s">
        <v>218</v>
      </c>
      <c r="E42" s="130" t="s">
        <v>202</v>
      </c>
      <c r="F42" s="130" t="s">
        <v>100</v>
      </c>
      <c r="G42" s="130" t="s">
        <v>203</v>
      </c>
      <c r="H42" s="130" t="s">
        <v>204</v>
      </c>
      <c r="I42" s="130" t="s">
        <v>13</v>
      </c>
      <c r="J42" s="131"/>
      <c r="K42" s="114"/>
      <c r="L42" s="114"/>
      <c r="M42" s="182" t="s">
        <v>183</v>
      </c>
      <c r="N42" s="230">
        <v>622.8853086318145</v>
      </c>
      <c r="O42" s="231">
        <v>617.91999047036541</v>
      </c>
      <c r="P42" s="127"/>
    </row>
    <row r="43" spans="2:16" ht="12" thickBot="1" x14ac:dyDescent="0.25">
      <c r="B43" s="114"/>
      <c r="C43" s="114">
        <v>2004.778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/>
      <c r="J43" s="131"/>
      <c r="K43" s="114"/>
      <c r="L43" s="114"/>
      <c r="M43" s="182" t="s">
        <v>208</v>
      </c>
      <c r="N43" s="235">
        <v>274222.94500283152</v>
      </c>
      <c r="O43" s="236">
        <v>274217.97968467011</v>
      </c>
      <c r="P43" s="127"/>
    </row>
    <row r="44" spans="2:16" ht="12" thickTop="1" x14ac:dyDescent="0.2">
      <c r="B44" s="114"/>
      <c r="C44" s="114" t="s">
        <v>209</v>
      </c>
      <c r="D44" s="131" t="s">
        <v>210</v>
      </c>
      <c r="E44" s="131" t="s">
        <v>211</v>
      </c>
      <c r="F44" s="131" t="s">
        <v>212</v>
      </c>
      <c r="G44" s="131" t="s">
        <v>213</v>
      </c>
      <c r="H44" s="131" t="s">
        <v>214</v>
      </c>
      <c r="I44" s="131" t="s">
        <v>215</v>
      </c>
      <c r="J44" s="131"/>
      <c r="K44" s="114"/>
      <c r="L44" s="114"/>
      <c r="M44" s="182"/>
      <c r="N44" s="230"/>
      <c r="O44" s="232"/>
      <c r="P44" s="114"/>
    </row>
    <row r="45" spans="2:16" x14ac:dyDescent="0.2">
      <c r="B45" s="114" t="s">
        <v>97</v>
      </c>
      <c r="C45" s="114"/>
      <c r="D45" s="28">
        <v>0</v>
      </c>
      <c r="E45" s="28">
        <v>0</v>
      </c>
      <c r="F45" s="28"/>
      <c r="G45" s="28"/>
      <c r="H45" s="28"/>
      <c r="I45" s="28">
        <v>0</v>
      </c>
      <c r="J45" s="28"/>
      <c r="K45" s="114"/>
      <c r="L45" s="114"/>
      <c r="M45" s="182" t="s">
        <v>106</v>
      </c>
      <c r="N45" s="230">
        <v>0</v>
      </c>
      <c r="O45" s="232">
        <v>0</v>
      </c>
      <c r="P45" s="126"/>
    </row>
    <row r="46" spans="2:16" x14ac:dyDescent="0.2">
      <c r="B46" s="114" t="s">
        <v>98</v>
      </c>
      <c r="C46" s="114"/>
      <c r="D46" s="28"/>
      <c r="E46" s="28"/>
      <c r="F46" s="28"/>
      <c r="G46" s="28"/>
      <c r="H46" s="28"/>
      <c r="I46" s="28">
        <v>0</v>
      </c>
      <c r="J46" s="28"/>
      <c r="K46" s="114"/>
      <c r="L46" s="114"/>
      <c r="M46" s="183" t="s">
        <v>216</v>
      </c>
      <c r="N46" s="233">
        <v>274222.94500283152</v>
      </c>
      <c r="O46" s="234">
        <v>274217.97968467011</v>
      </c>
      <c r="P46" s="127"/>
    </row>
    <row r="47" spans="2:16" x14ac:dyDescent="0.2">
      <c r="B47" s="114" t="s">
        <v>99</v>
      </c>
      <c r="C47" s="114">
        <v>74.255668150932507</v>
      </c>
      <c r="D47" s="122">
        <v>0</v>
      </c>
      <c r="E47" s="28"/>
      <c r="F47" s="28">
        <v>0</v>
      </c>
      <c r="G47" s="28">
        <v>0</v>
      </c>
      <c r="H47" s="28">
        <v>0</v>
      </c>
      <c r="I47" s="28">
        <v>74.255668150932507</v>
      </c>
      <c r="J47" s="122"/>
      <c r="K47" s="114"/>
      <c r="L47" s="114"/>
      <c r="M47" s="114"/>
      <c r="N47" s="114"/>
      <c r="O47" s="114"/>
      <c r="P47" s="114"/>
    </row>
    <row r="48" spans="2:16" x14ac:dyDescent="0.2">
      <c r="B48" s="114" t="s">
        <v>100</v>
      </c>
      <c r="C48" s="114"/>
      <c r="D48" s="28">
        <v>0</v>
      </c>
      <c r="E48" s="28">
        <v>0</v>
      </c>
      <c r="F48" s="28"/>
      <c r="G48" s="28"/>
      <c r="H48" s="28"/>
      <c r="I48" s="28">
        <v>0</v>
      </c>
      <c r="J48" s="28"/>
      <c r="K48" s="114"/>
      <c r="L48" s="114"/>
      <c r="M48" s="114"/>
      <c r="N48" s="114"/>
      <c r="O48" s="114"/>
      <c r="P48" s="114"/>
    </row>
    <row r="49" spans="2:16" x14ac:dyDescent="0.2">
      <c r="B49" s="114" t="s">
        <v>101</v>
      </c>
      <c r="C49" s="114">
        <v>778.13085735123138</v>
      </c>
      <c r="D49" s="122">
        <v>0</v>
      </c>
      <c r="E49" s="28">
        <v>0</v>
      </c>
      <c r="F49" s="28">
        <v>0</v>
      </c>
      <c r="G49" s="28"/>
      <c r="H49" s="28"/>
      <c r="I49" s="28">
        <v>778.13085735123138</v>
      </c>
      <c r="J49" s="122"/>
      <c r="K49" s="114"/>
      <c r="L49" s="114"/>
      <c r="M49" s="114"/>
      <c r="N49" s="114"/>
      <c r="O49" s="114"/>
      <c r="P49" s="114"/>
    </row>
    <row r="50" spans="2:16" x14ac:dyDescent="0.2">
      <c r="B50" s="114" t="s">
        <v>102</v>
      </c>
      <c r="C50" s="114">
        <v>1152.3914744978363</v>
      </c>
      <c r="D50" s="122">
        <v>0</v>
      </c>
      <c r="E50" s="28">
        <v>0</v>
      </c>
      <c r="F50" s="28">
        <v>0</v>
      </c>
      <c r="G50" s="28">
        <v>0</v>
      </c>
      <c r="H50" s="28"/>
      <c r="I50" s="28">
        <v>1152.3914744978363</v>
      </c>
      <c r="J50" s="122"/>
      <c r="K50" s="114"/>
      <c r="L50" s="114"/>
      <c r="M50" s="114"/>
      <c r="N50" s="114"/>
      <c r="O50" s="114"/>
      <c r="P50" s="114"/>
    </row>
    <row r="51" spans="2:16" x14ac:dyDescent="0.2">
      <c r="B51" s="114"/>
      <c r="C51" s="114">
        <v>2004.7780000000002</v>
      </c>
      <c r="D51" s="126">
        <v>0</v>
      </c>
      <c r="E51" s="126">
        <v>0</v>
      </c>
      <c r="F51" s="126">
        <v>0</v>
      </c>
      <c r="G51" s="126">
        <v>0</v>
      </c>
      <c r="H51" s="126">
        <v>0</v>
      </c>
      <c r="I51" s="126">
        <v>2004.7780000000002</v>
      </c>
      <c r="J51" s="126"/>
      <c r="K51" s="114"/>
      <c r="L51" s="114"/>
      <c r="M51" s="114"/>
      <c r="N51" s="114"/>
      <c r="O51" s="114"/>
      <c r="P51" s="114"/>
    </row>
    <row r="52" spans="2:16" x14ac:dyDescent="0.2"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</row>
    <row r="53" spans="2:16" x14ac:dyDescent="0.2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</row>
    <row r="54" spans="2:16" x14ac:dyDescent="0.2"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</row>
    <row r="55" spans="2:16" x14ac:dyDescent="0.2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</row>
    <row r="56" spans="2:16" x14ac:dyDescent="0.2"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  <row r="57" spans="2:16" x14ac:dyDescent="0.2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</row>
    <row r="58" spans="2:16" x14ac:dyDescent="0.2">
      <c r="B58" s="114"/>
      <c r="C58" s="114" t="s">
        <v>217</v>
      </c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</row>
    <row r="59" spans="2:16" x14ac:dyDescent="0.2">
      <c r="B59" s="114"/>
      <c r="C59" s="114">
        <v>1</v>
      </c>
      <c r="D59" s="114">
        <v>2</v>
      </c>
      <c r="E59" s="114">
        <v>3</v>
      </c>
      <c r="F59" s="114">
        <v>4</v>
      </c>
      <c r="G59" s="114">
        <v>5</v>
      </c>
      <c r="H59" s="114">
        <v>6</v>
      </c>
      <c r="I59" s="114">
        <v>7</v>
      </c>
      <c r="J59" s="114">
        <v>8</v>
      </c>
      <c r="K59" s="114"/>
      <c r="L59" s="114"/>
      <c r="M59" s="114"/>
      <c r="N59" s="114"/>
      <c r="O59" s="114"/>
      <c r="P59" s="114"/>
    </row>
    <row r="60" spans="2:16" x14ac:dyDescent="0.2">
      <c r="B60" s="114" t="s">
        <v>97</v>
      </c>
      <c r="C60" s="114">
        <v>16143.909078865541</v>
      </c>
      <c r="D60" s="126">
        <v>16143.909078865541</v>
      </c>
      <c r="E60" s="126">
        <v>16148.037955867827</v>
      </c>
      <c r="F60" s="126">
        <v>16149.68950666873</v>
      </c>
      <c r="G60" s="126">
        <v>16149.606929128659</v>
      </c>
      <c r="H60" s="126">
        <v>16149.594542497684</v>
      </c>
      <c r="I60" s="126">
        <v>16149.592890946864</v>
      </c>
      <c r="J60" s="126">
        <v>16149.59297352441</v>
      </c>
      <c r="K60" s="126"/>
      <c r="L60" s="114"/>
      <c r="M60" s="114"/>
      <c r="N60" s="114"/>
      <c r="O60" s="114"/>
      <c r="P60" s="114"/>
    </row>
    <row r="61" spans="2:16" x14ac:dyDescent="0.2">
      <c r="B61" s="114" t="s">
        <v>98</v>
      </c>
      <c r="C61" s="114">
        <v>23141.590304699705</v>
      </c>
      <c r="D61" s="126">
        <v>22926.652933448615</v>
      </c>
      <c r="E61" s="126">
        <v>22905.159196323504</v>
      </c>
      <c r="F61" s="126">
        <v>22903.009822610973</v>
      </c>
      <c r="G61" s="126">
        <v>22902.866531030144</v>
      </c>
      <c r="H61" s="126">
        <v>22902.845037293024</v>
      </c>
      <c r="I61" s="126">
        <v>22902.845037293024</v>
      </c>
      <c r="J61" s="126">
        <v>22902.845180584616</v>
      </c>
      <c r="K61" s="126"/>
      <c r="L61" s="114"/>
      <c r="M61" s="114"/>
      <c r="N61" s="114"/>
      <c r="O61" s="114"/>
      <c r="P61" s="114"/>
    </row>
    <row r="62" spans="2:16" x14ac:dyDescent="0.2">
      <c r="B62" s="114" t="s">
        <v>99</v>
      </c>
      <c r="C62" s="114">
        <v>5918.4474857261439</v>
      </c>
      <c r="D62" s="126">
        <v>5918.4474857261439</v>
      </c>
      <c r="E62" s="126">
        <v>5922.1791676213024</v>
      </c>
      <c r="F62" s="126">
        <v>5921.9552667075959</v>
      </c>
      <c r="G62" s="126">
        <v>5921.9478033438027</v>
      </c>
      <c r="H62" s="126">
        <v>5921.9485496801799</v>
      </c>
      <c r="I62" s="126">
        <v>5921.948922848369</v>
      </c>
      <c r="J62" s="126">
        <v>5921.9488929949212</v>
      </c>
      <c r="K62" s="126"/>
      <c r="L62" s="114"/>
      <c r="M62" s="114"/>
      <c r="N62" s="114"/>
      <c r="O62" s="114"/>
      <c r="P62" s="114"/>
    </row>
    <row r="63" spans="2:16" x14ac:dyDescent="0.2">
      <c r="B63" s="114" t="s">
        <v>100</v>
      </c>
      <c r="C63" s="114">
        <v>74222.966415377537</v>
      </c>
      <c r="D63" s="126">
        <v>74693.924324104519</v>
      </c>
      <c r="E63" s="126">
        <v>74665.666849580899</v>
      </c>
      <c r="F63" s="126">
        <v>74664.724933763544</v>
      </c>
      <c r="G63" s="126">
        <v>74664.913316926963</v>
      </c>
      <c r="H63" s="126">
        <v>74664.913316926963</v>
      </c>
      <c r="I63" s="126">
        <v>74664.914258842866</v>
      </c>
      <c r="J63" s="126">
        <v>74664.913882076507</v>
      </c>
      <c r="K63" s="126"/>
      <c r="L63" s="114"/>
      <c r="M63" s="114"/>
      <c r="N63" s="114"/>
      <c r="O63" s="114"/>
      <c r="P63" s="114"/>
    </row>
    <row r="64" spans="2:16" x14ac:dyDescent="0.2">
      <c r="B64" s="114" t="s">
        <v>101</v>
      </c>
      <c r="C64" s="114">
        <v>61752.926409144886</v>
      </c>
      <c r="D64" s="126">
        <v>62099.366388999893</v>
      </c>
      <c r="E64" s="126">
        <v>62056.061391517942</v>
      </c>
      <c r="F64" s="126">
        <v>62056.927491467606</v>
      </c>
      <c r="G64" s="126">
        <v>62056.581051487767</v>
      </c>
      <c r="H64" s="126">
        <v>62056.555068489339</v>
      </c>
      <c r="I64" s="126">
        <v>62056.557666789158</v>
      </c>
      <c r="J64" s="126">
        <v>62056.557840009162</v>
      </c>
      <c r="K64" s="126"/>
      <c r="L64" s="114"/>
      <c r="M64" s="114"/>
      <c r="N64" s="114"/>
      <c r="O64" s="114"/>
      <c r="P64" s="114"/>
    </row>
    <row r="65" spans="1:16" x14ac:dyDescent="0.2">
      <c r="B65" s="114" t="s">
        <v>102</v>
      </c>
      <c r="C65" s="114">
        <v>91643.699609967909</v>
      </c>
      <c r="D65" s="126">
        <v>91893.750632096009</v>
      </c>
      <c r="E65" s="126">
        <v>91906.253183202483</v>
      </c>
      <c r="F65" s="126">
        <v>91903.752672981296</v>
      </c>
      <c r="G65" s="126">
        <v>91904.127749514431</v>
      </c>
      <c r="H65" s="126">
        <v>91904.14025206551</v>
      </c>
      <c r="I65" s="126">
        <v>91904.141502320723</v>
      </c>
      <c r="J65" s="126">
        <v>91904.141252269677</v>
      </c>
      <c r="K65" s="126"/>
      <c r="L65" s="114"/>
      <c r="M65" s="114"/>
      <c r="N65" s="114"/>
      <c r="O65" s="114"/>
      <c r="P65" s="114"/>
    </row>
    <row r="66" spans="1:16" x14ac:dyDescent="0.2">
      <c r="A66" s="114"/>
      <c r="B66" s="114"/>
      <c r="C66" s="114">
        <v>272823.5393037817</v>
      </c>
      <c r="D66" s="126">
        <v>273676.05084324069</v>
      </c>
      <c r="E66" s="126">
        <v>273603.35774411395</v>
      </c>
      <c r="F66" s="126">
        <v>273600.05969419976</v>
      </c>
      <c r="G66" s="126">
        <v>273600.04338143178</v>
      </c>
      <c r="H66" s="126">
        <v>273599.99676695268</v>
      </c>
      <c r="I66" s="126">
        <v>273600.00027904101</v>
      </c>
      <c r="J66" s="126">
        <v>273600.0000214593</v>
      </c>
      <c r="K66" s="126"/>
      <c r="L66" s="114"/>
      <c r="M66" s="114"/>
      <c r="N66" s="114"/>
      <c r="O66" s="114"/>
      <c r="P66" s="114"/>
    </row>
    <row r="67" spans="1:16" x14ac:dyDescent="0.2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</row>
    <row r="68" spans="1:16" x14ac:dyDescent="0.2">
      <c r="A68" s="114"/>
      <c r="B68" s="114"/>
      <c r="C68" s="114">
        <v>-776460.69621830247</v>
      </c>
      <c r="D68" s="170">
        <v>76050.843240693212</v>
      </c>
      <c r="E68" s="170">
        <v>3357.7441139495932</v>
      </c>
      <c r="F68" s="170">
        <v>59.694199764635414</v>
      </c>
      <c r="G68" s="170">
        <v>43.381431780289859</v>
      </c>
      <c r="H68" s="170">
        <v>-3.2330473186448216</v>
      </c>
      <c r="I68" s="170">
        <v>0.27904100716114044</v>
      </c>
      <c r="J68" s="170">
        <v>2.1459301933646202E-2</v>
      </c>
      <c r="K68" s="170"/>
      <c r="L68" s="114"/>
      <c r="M68" s="114"/>
      <c r="N68" s="114"/>
      <c r="O68" s="114"/>
      <c r="P68" s="114"/>
    </row>
    <row r="69" spans="1:16" x14ac:dyDescent="0.2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</row>
    <row r="70" spans="1:16" x14ac:dyDescent="0.2">
      <c r="A70" s="114"/>
      <c r="B70" s="114">
        <v>4</v>
      </c>
      <c r="C70" s="116">
        <v>999</v>
      </c>
      <c r="D70" s="114">
        <v>999</v>
      </c>
      <c r="E70" s="114">
        <v>999</v>
      </c>
      <c r="F70" s="114">
        <v>4</v>
      </c>
      <c r="G70" s="114">
        <v>5</v>
      </c>
      <c r="H70" s="114">
        <v>6</v>
      </c>
      <c r="I70" s="114">
        <v>7</v>
      </c>
      <c r="J70" s="114">
        <v>8</v>
      </c>
      <c r="K70" s="114"/>
      <c r="L70" s="114"/>
      <c r="M70" s="114"/>
      <c r="N70" s="114"/>
      <c r="O70" s="114"/>
      <c r="P70" s="114"/>
    </row>
    <row r="71" spans="1:16" x14ac:dyDescent="0.2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</row>
  </sheetData>
  <mergeCells count="5">
    <mergeCell ref="A1:E1"/>
    <mergeCell ref="A2:E2"/>
    <mergeCell ref="A3:E3"/>
    <mergeCell ref="A4:E4"/>
    <mergeCell ref="B5:E5"/>
  </mergeCells>
  <conditionalFormatting sqref="C6">
    <cfRule type="expression" dxfId="1" priority="2" stopIfTrue="1">
      <formula>B5 &gt; 30</formula>
    </cfRule>
  </conditionalFormatting>
  <conditionalFormatting sqref="B6">
    <cfRule type="expression" dxfId="0" priority="1" stopIfTrue="1">
      <formula>A5 &gt; 30</formula>
    </cfRule>
  </conditionalFormatting>
  <pageMargins left="0.7" right="0.7" top="0.75" bottom="0.75" header="0.3" footer="0.3"/>
  <pageSetup scale="63" orientation="landscape" r:id="rId1"/>
  <headerFooter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6BEB2A83D009F4DBEF778E45D7D7BCB" ma:contentTypeVersion="24" ma:contentTypeDescription="" ma:contentTypeScope="" ma:versionID="4725831cf54486339438e8e078e9aab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2023-09-27T07:00:00+00:00</OpenedDate>
    <SignificantOrder xmlns="dc463f71-b30c-4ab2-9473-d307f9d35888">false</SignificantOrder>
    <Date1 xmlns="dc463f71-b30c-4ab2-9473-d307f9d35888">2023-09-27T07:00:00+00:00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230792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87DF79-DA95-4C54-85F9-5765B9E20203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82C405F0-35D4-4444-A5DA-ADDCFCF09618}"/>
</file>

<file path=customXml/itemProps3.xml><?xml version="1.0" encoding="utf-8"?>
<ds:datastoreItem xmlns:ds="http://schemas.openxmlformats.org/officeDocument/2006/customXml" ds:itemID="{8F56C784-CF74-46B3-8319-F629EB00F675}"/>
</file>

<file path=customXml/itemProps4.xml><?xml version="1.0" encoding="utf-8"?>
<ds:datastoreItem xmlns:ds="http://schemas.openxmlformats.org/officeDocument/2006/customXml" ds:itemID="{063D582B-812C-4D7F-A591-82246353B735}"/>
</file>

<file path=customXml/itemProps5.xml><?xml version="1.0" encoding="utf-8"?>
<ds:datastoreItem xmlns:ds="http://schemas.openxmlformats.org/officeDocument/2006/customXml" ds:itemID="{56314F3C-AA5B-440D-90D6-BD774BA0B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Sch 194 Summary</vt:lpstr>
      <vt:lpstr>Rate Impact</vt:lpstr>
      <vt:lpstr>Typical Residential Bill </vt:lpstr>
      <vt:lpstr>Sch 194</vt:lpstr>
      <vt:lpstr>Workpapers -&gt; </vt:lpstr>
      <vt:lpstr>186 - 253 Balance</vt:lpstr>
      <vt:lpstr>F2023 Res Exch Load</vt:lpstr>
      <vt:lpstr>F2023 Electric Delivered Sales</vt:lpstr>
      <vt:lpstr>Utility Spec PFx RAM 2024-25</vt:lpstr>
      <vt:lpstr>2022 GRC Conversion Factor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Zakharova, Elena</cp:lastModifiedBy>
  <cp:lastPrinted>2019-09-03T16:45:16Z</cp:lastPrinted>
  <dcterms:created xsi:type="dcterms:W3CDTF">2009-07-10T18:09:41Z</dcterms:created>
  <dcterms:modified xsi:type="dcterms:W3CDTF">2023-09-19T19:10:08Z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0x0101006E56B4D1795A2E4DB2F0B01679ED314A00F6BEB2A83D009F4DBEF778E45D7D7BCB</vt:lpwstr>
  </property>
  <property fmtid="{D5CDD505-2E9C-101B-9397-08002B2CF9AE}" pid="3" name="_docset_NoMedatataSyncRequired">
    <vt:lpwstr>False</vt:lpwstr>
  </property>
</Properties>
</file>