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omments1.xml" ContentType="application/vnd.openxmlformats-officedocument.spreadsheetml.comment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stdpt2\RPL\GrpRates\Public\RASANEN\#  Rate Filings\Sch 140 - Property Tax Filing\2023\Proposed\"/>
    </mc:Choice>
  </mc:AlternateContent>
  <bookViews>
    <workbookView xWindow="0" yWindow="0" windowWidth="30720" windowHeight="13236" tabRatio="896"/>
  </bookViews>
  <sheets>
    <sheet name="Sch 140 Lighting RD" sheetId="9" r:id="rId1"/>
    <sheet name="Plant-in-Service Allocations" sheetId="2" r:id="rId2"/>
    <sheet name="Unitized Lighting" sheetId="3" r:id="rId3"/>
    <sheet name="Adjusted Lamp Cost Allocations" sheetId="10" r:id="rId4"/>
  </sheets>
  <externalReferences>
    <externalReference r:id="rId5"/>
    <externalReference r:id="rId6"/>
    <externalReference r:id="rId7"/>
  </externalReferences>
  <definedNames>
    <definedName name="__________________six6" localSheetId="3" hidden="1">{#N/A,#N/A,FALSE,"CRPT";#N/A,#N/A,FALSE,"TREND";#N/A,#N/A,FALSE,"%Curve"}</definedName>
    <definedName name="__________________six6" localSheetId="0" hidden="1">{#N/A,#N/A,FALSE,"CRPT";#N/A,#N/A,FALSE,"TREND";#N/A,#N/A,FALSE,"%Curve"}</definedName>
    <definedName name="__________________six6" localSheetId="2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3" hidden="1">{#N/A,#N/A,FALSE,"schA"}</definedName>
    <definedName name="__________________www1" localSheetId="0" hidden="1">{#N/A,#N/A,FALSE,"schA"}</definedName>
    <definedName name="__________________www1" localSheetId="2" hidden="1">{#N/A,#N/A,FALSE,"schA"}</definedName>
    <definedName name="__________________www1" hidden="1">{#N/A,#N/A,FALSE,"schA"}</definedName>
    <definedName name="_________________six6" localSheetId="3" hidden="1">{#N/A,#N/A,FALSE,"CRPT";#N/A,#N/A,FALSE,"TREND";#N/A,#N/A,FALSE,"%Curve"}</definedName>
    <definedName name="_________________six6" localSheetId="0" hidden="1">{#N/A,#N/A,FALSE,"CRPT";#N/A,#N/A,FALSE,"TREND";#N/A,#N/A,FALSE,"%Curve"}</definedName>
    <definedName name="_________________six6" localSheetId="2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3" hidden="1">{#N/A,#N/A,FALSE,"schA"}</definedName>
    <definedName name="_________________www1" localSheetId="0" hidden="1">{#N/A,#N/A,FALSE,"schA"}</definedName>
    <definedName name="_________________www1" localSheetId="2" hidden="1">{#N/A,#N/A,FALSE,"schA"}</definedName>
    <definedName name="_________________www1" hidden="1">{#N/A,#N/A,FALSE,"schA"}</definedName>
    <definedName name="________________six6" localSheetId="3" hidden="1">{#N/A,#N/A,FALSE,"CRPT";#N/A,#N/A,FALSE,"TREND";#N/A,#N/A,FALSE,"%Curve"}</definedName>
    <definedName name="________________six6" localSheetId="0" hidden="1">{#N/A,#N/A,FALSE,"CRPT";#N/A,#N/A,FALSE,"TREND";#N/A,#N/A,FALSE,"%Curve"}</definedName>
    <definedName name="________________six6" localSheetId="2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3" hidden="1">{#N/A,#N/A,FALSE,"schA"}</definedName>
    <definedName name="________________www1" localSheetId="0" hidden="1">{#N/A,#N/A,FALSE,"schA"}</definedName>
    <definedName name="________________www1" localSheetId="2" hidden="1">{#N/A,#N/A,FALSE,"schA"}</definedName>
    <definedName name="________________www1" hidden="1">{#N/A,#N/A,FALSE,"schA"}</definedName>
    <definedName name="_______________six6" localSheetId="3" hidden="1">{#N/A,#N/A,FALSE,"CRPT";#N/A,#N/A,FALSE,"TREND";#N/A,#N/A,FALSE,"%Curve"}</definedName>
    <definedName name="_______________six6" localSheetId="0" hidden="1">{#N/A,#N/A,FALSE,"CRPT";#N/A,#N/A,FALSE,"TREND";#N/A,#N/A,FALSE,"%Curve"}</definedName>
    <definedName name="_______________six6" localSheetId="2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3" hidden="1">{#N/A,#N/A,FALSE,"schA"}</definedName>
    <definedName name="_______________www1" localSheetId="0" hidden="1">{#N/A,#N/A,FALSE,"schA"}</definedName>
    <definedName name="_______________www1" localSheetId="2" hidden="1">{#N/A,#N/A,FALSE,"schA"}</definedName>
    <definedName name="_______________www1" hidden="1">{#N/A,#N/A,FALSE,"schA"}</definedName>
    <definedName name="______________six6" localSheetId="3" hidden="1">{#N/A,#N/A,FALSE,"CRPT";#N/A,#N/A,FALSE,"TREND";#N/A,#N/A,FALSE,"%Curve"}</definedName>
    <definedName name="______________six6" localSheetId="0" hidden="1">{#N/A,#N/A,FALSE,"CRPT";#N/A,#N/A,FALSE,"TREND";#N/A,#N/A,FALSE,"%Curve"}</definedName>
    <definedName name="______________six6" localSheetId="2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3" hidden="1">{#N/A,#N/A,FALSE,"schA"}</definedName>
    <definedName name="______________www1" localSheetId="0" hidden="1">{#N/A,#N/A,FALSE,"schA"}</definedName>
    <definedName name="______________www1" localSheetId="2" hidden="1">{#N/A,#N/A,FALSE,"schA"}</definedName>
    <definedName name="______________www1" hidden="1">{#N/A,#N/A,FALSE,"schA"}</definedName>
    <definedName name="_____________six6" localSheetId="3" hidden="1">{#N/A,#N/A,FALSE,"CRPT";#N/A,#N/A,FALSE,"TREND";#N/A,#N/A,FALSE,"%Curve"}</definedName>
    <definedName name="_____________six6" localSheetId="0" hidden="1">{#N/A,#N/A,FALSE,"CRPT";#N/A,#N/A,FALSE,"TREND";#N/A,#N/A,FALSE,"%Curve"}</definedName>
    <definedName name="_____________six6" localSheetId="2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3" hidden="1">{#N/A,#N/A,FALSE,"schA"}</definedName>
    <definedName name="_____________www1" localSheetId="0" hidden="1">{#N/A,#N/A,FALSE,"schA"}</definedName>
    <definedName name="_____________www1" localSheetId="2" hidden="1">{#N/A,#N/A,FALSE,"schA"}</definedName>
    <definedName name="_____________www1" hidden="1">{#N/A,#N/A,FALSE,"schA"}</definedName>
    <definedName name="____________six6" localSheetId="3" hidden="1">{#N/A,#N/A,FALSE,"CRPT";#N/A,#N/A,FALSE,"TREND";#N/A,#N/A,FALSE,"%Curve"}</definedName>
    <definedName name="____________six6" localSheetId="0" hidden="1">{#N/A,#N/A,FALSE,"CRPT";#N/A,#N/A,FALSE,"TREND";#N/A,#N/A,FALSE,"%Curve"}</definedName>
    <definedName name="____________six6" localSheetId="2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3" hidden="1">{#N/A,#N/A,FALSE,"schA"}</definedName>
    <definedName name="____________www1" localSheetId="0" hidden="1">{#N/A,#N/A,FALSE,"schA"}</definedName>
    <definedName name="____________www1" localSheetId="2" hidden="1">{#N/A,#N/A,FALSE,"schA"}</definedName>
    <definedName name="____________www1" hidden="1">{#N/A,#N/A,FALSE,"schA"}</definedName>
    <definedName name="___________six6" localSheetId="3" hidden="1">{#N/A,#N/A,FALSE,"CRPT";#N/A,#N/A,FALSE,"TREND";#N/A,#N/A,FALSE,"%Curve"}</definedName>
    <definedName name="___________six6" localSheetId="0" hidden="1">{#N/A,#N/A,FALSE,"CRPT";#N/A,#N/A,FALSE,"TREND";#N/A,#N/A,FALSE,"%Curve"}</definedName>
    <definedName name="___________six6" localSheetId="2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3" hidden="1">{#N/A,#N/A,FALSE,"schA"}</definedName>
    <definedName name="___________www1" localSheetId="0" hidden="1">{#N/A,#N/A,FALSE,"schA"}</definedName>
    <definedName name="___________www1" localSheetId="2" hidden="1">{#N/A,#N/A,FALSE,"schA"}</definedName>
    <definedName name="___________www1" hidden="1">{#N/A,#N/A,FALSE,"schA"}</definedName>
    <definedName name="__________six6" localSheetId="3" hidden="1">{#N/A,#N/A,FALSE,"CRPT";#N/A,#N/A,FALSE,"TREND";#N/A,#N/A,FALSE,"%Curve"}</definedName>
    <definedName name="__________six6" localSheetId="0" hidden="1">{#N/A,#N/A,FALSE,"CRPT";#N/A,#N/A,FALSE,"TREND";#N/A,#N/A,FALSE,"%Curve"}</definedName>
    <definedName name="__________six6" localSheetId="2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3" hidden="1">{#N/A,#N/A,FALSE,"schA"}</definedName>
    <definedName name="__________www1" localSheetId="0" hidden="1">{#N/A,#N/A,FALSE,"schA"}</definedName>
    <definedName name="__________www1" localSheetId="2" hidden="1">{#N/A,#N/A,FALSE,"schA"}</definedName>
    <definedName name="__________www1" hidden="1">{#N/A,#N/A,FALSE,"schA"}</definedName>
    <definedName name="_________six6" localSheetId="3" hidden="1">{#N/A,#N/A,FALSE,"CRPT";#N/A,#N/A,FALSE,"TREND";#N/A,#N/A,FALSE,"%Curve"}</definedName>
    <definedName name="_________six6" localSheetId="0" hidden="1">{#N/A,#N/A,FALSE,"CRPT";#N/A,#N/A,FALSE,"TREND";#N/A,#N/A,FALSE,"%Curve"}</definedName>
    <definedName name="_________six6" localSheetId="2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3" hidden="1">{#N/A,#N/A,FALSE,"schA"}</definedName>
    <definedName name="_________www1" localSheetId="0" hidden="1">{#N/A,#N/A,FALSE,"schA"}</definedName>
    <definedName name="_________www1" localSheetId="2" hidden="1">{#N/A,#N/A,FALSE,"schA"}</definedName>
    <definedName name="_________www1" hidden="1">{#N/A,#N/A,FALSE,"schA"}</definedName>
    <definedName name="________six6" localSheetId="3" hidden="1">{#N/A,#N/A,FALSE,"CRPT";#N/A,#N/A,FALSE,"TREND";#N/A,#N/A,FALSE,"%Curve"}</definedName>
    <definedName name="________six6" localSheetId="0" hidden="1">{#N/A,#N/A,FALSE,"CRPT";#N/A,#N/A,FALSE,"TREND";#N/A,#N/A,FALSE,"%Curve"}</definedName>
    <definedName name="________six6" localSheetId="2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3" hidden="1">{#N/A,#N/A,FALSE,"schA"}</definedName>
    <definedName name="________www1" localSheetId="0" hidden="1">{#N/A,#N/A,FALSE,"schA"}</definedName>
    <definedName name="________www1" localSheetId="2" hidden="1">{#N/A,#N/A,FALSE,"schA"}</definedName>
    <definedName name="________www1" hidden="1">{#N/A,#N/A,FALSE,"schA"}</definedName>
    <definedName name="_______six6" localSheetId="3" hidden="1">{#N/A,#N/A,FALSE,"CRPT";#N/A,#N/A,FALSE,"TREND";#N/A,#N/A,FALSE,"%Curve"}</definedName>
    <definedName name="_______six6" localSheetId="0" hidden="1">{#N/A,#N/A,FALSE,"CRPT";#N/A,#N/A,FALSE,"TREND";#N/A,#N/A,FALSE,"%Curve"}</definedName>
    <definedName name="_______six6" localSheetId="2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3" hidden="1">{#N/A,#N/A,FALSE,"schA"}</definedName>
    <definedName name="_______www1" localSheetId="0" hidden="1">{#N/A,#N/A,FALSE,"schA"}</definedName>
    <definedName name="_______www1" localSheetId="2" hidden="1">{#N/A,#N/A,FALSE,"schA"}</definedName>
    <definedName name="_______www1" hidden="1">{#N/A,#N/A,FALSE,"schA"}</definedName>
    <definedName name="______six6" localSheetId="3" hidden="1">{#N/A,#N/A,FALSE,"CRPT";#N/A,#N/A,FALSE,"TREND";#N/A,#N/A,FALSE,"%Curve"}</definedName>
    <definedName name="______six6" localSheetId="0" hidden="1">{#N/A,#N/A,FALSE,"CRPT";#N/A,#N/A,FALSE,"TREND";#N/A,#N/A,FALSE,"%Curve"}</definedName>
    <definedName name="______six6" localSheetId="2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3" hidden="1">{#N/A,#N/A,FALSE,"schA"}</definedName>
    <definedName name="______www1" localSheetId="0" hidden="1">{#N/A,#N/A,FALSE,"schA"}</definedName>
    <definedName name="______www1" localSheetId="2" hidden="1">{#N/A,#N/A,FALSE,"schA"}</definedName>
    <definedName name="______www1" hidden="1">{#N/A,#N/A,FALSE,"schA"}</definedName>
    <definedName name="_____six6" localSheetId="3" hidden="1">{#N/A,#N/A,FALSE,"CRPT";#N/A,#N/A,FALSE,"TREND";#N/A,#N/A,FALSE,"%Curve"}</definedName>
    <definedName name="_____six6" localSheetId="0" hidden="1">{#N/A,#N/A,FALSE,"CRPT";#N/A,#N/A,FALSE,"TREND";#N/A,#N/A,FALSE,"%Curve"}</definedName>
    <definedName name="_____six6" localSheetId="2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3" hidden="1">{#N/A,#N/A,FALSE,"schA"}</definedName>
    <definedName name="_____www1" localSheetId="0" hidden="1">{#N/A,#N/A,FALSE,"schA"}</definedName>
    <definedName name="_____www1" localSheetId="2" hidden="1">{#N/A,#N/A,FALSE,"schA"}</definedName>
    <definedName name="_____www1" hidden="1">{#N/A,#N/A,FALSE,"schA"}</definedName>
    <definedName name="____six6" localSheetId="3" hidden="1">{#N/A,#N/A,FALSE,"CRPT";#N/A,#N/A,FALSE,"TREND";#N/A,#N/A,FALSE,"%Curve"}</definedName>
    <definedName name="____six6" localSheetId="0" hidden="1">{#N/A,#N/A,FALSE,"CRPT";#N/A,#N/A,FALSE,"TREND";#N/A,#N/A,FALSE,"%Curve"}</definedName>
    <definedName name="____six6" localSheetId="2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3" hidden="1">{#N/A,#N/A,FALSE,"schA"}</definedName>
    <definedName name="____www1" localSheetId="0" hidden="1">{#N/A,#N/A,FALSE,"schA"}</definedName>
    <definedName name="____www1" localSheetId="2" hidden="1">{#N/A,#N/A,FALSE,"schA"}</definedName>
    <definedName name="____www1" hidden="1">{#N/A,#N/A,FALSE,"schA"}</definedName>
    <definedName name="___six6" localSheetId="3" hidden="1">{#N/A,#N/A,FALSE,"CRPT";#N/A,#N/A,FALSE,"TREND";#N/A,#N/A,FALSE,"%Curve"}</definedName>
    <definedName name="___six6" localSheetId="0" hidden="1">{#N/A,#N/A,FALSE,"CRPT";#N/A,#N/A,FALSE,"TREND";#N/A,#N/A,FALSE,"%Curve"}</definedName>
    <definedName name="___six6" localSheetId="2" hidden="1">{#N/A,#N/A,FALSE,"CRPT";#N/A,#N/A,FALSE,"TREND";#N/A,#N/A,FALSE,"%Curve"}</definedName>
    <definedName name="___six6" hidden="1">{#N/A,#N/A,FALSE,"CRPT";#N/A,#N/A,FALSE,"TREND";#N/A,#N/A,FALSE,"%Curve"}</definedName>
    <definedName name="___www1" localSheetId="3" hidden="1">{#N/A,#N/A,FALSE,"schA"}</definedName>
    <definedName name="___www1" localSheetId="0" hidden="1">{#N/A,#N/A,FALSE,"schA"}</definedName>
    <definedName name="___www1" localSheetId="2" hidden="1">{#N/A,#N/A,FALSE,"schA"}</definedName>
    <definedName name="___www1" hidden="1">{#N/A,#N/A,FALSE,"schA"}</definedName>
    <definedName name="__123Graph_A" hidden="1">[1]Inputs!#REF!</definedName>
    <definedName name="__123Graph_B" hidden="1">[1]Inputs!#REF!</definedName>
    <definedName name="__123Graph_D" hidden="1">#REF!</definedName>
    <definedName name="__123Graph_ECURRENT" hidden="1">[2]ConsolidatingPL!#REF!</definedName>
    <definedName name="__six6" localSheetId="3" hidden="1">{#N/A,#N/A,FALSE,"CRPT";#N/A,#N/A,FALSE,"TREND";#N/A,#N/A,FALSE,"%Curve"}</definedName>
    <definedName name="__six6" localSheetId="0" hidden="1">{#N/A,#N/A,FALSE,"CRPT";#N/A,#N/A,FALSE,"TREND";#N/A,#N/A,FALSE,"%Curve"}</definedName>
    <definedName name="__six6" localSheetId="2" hidden="1">{#N/A,#N/A,FALSE,"CRPT";#N/A,#N/A,FALSE,"TREND";#N/A,#N/A,FALSE,"%Curve"}</definedName>
    <definedName name="__six6" hidden="1">{#N/A,#N/A,FALSE,"CRPT";#N/A,#N/A,FALSE,"TREND";#N/A,#N/A,FALSE,"%Curve"}</definedName>
    <definedName name="__www1" localSheetId="3" hidden="1">{#N/A,#N/A,FALSE,"schA"}</definedName>
    <definedName name="__www1" localSheetId="0" hidden="1">{#N/A,#N/A,FALSE,"schA"}</definedName>
    <definedName name="__www1" localSheetId="2" hidden="1">{#N/A,#N/A,FALSE,"schA"}</definedName>
    <definedName name="__www1" hidden="1">{#N/A,#N/A,FALSE,"schA"}</definedName>
    <definedName name="_ex1" localSheetId="3" hidden="1">{#N/A,#N/A,FALSE,"Summ";#N/A,#N/A,FALSE,"General"}</definedName>
    <definedName name="_ex1" localSheetId="0" hidden="1">{#N/A,#N/A,FALSE,"Summ";#N/A,#N/A,FALSE,"General"}</definedName>
    <definedName name="_ex1" localSheetId="2" hidden="1">{#N/A,#N/A,FALSE,"Summ";#N/A,#N/A,FALSE,"General"}</definedName>
    <definedName name="_ex1" hidden="1">{#N/A,#N/A,FALSE,"Summ";#N/A,#N/A,FALSE,"General"}</definedName>
    <definedName name="_Fill" hidden="1">#REF!</definedName>
    <definedName name="_xlnm._FilterDatabase" localSheetId="3" hidden="1">'Adjusted Lamp Cost Allocations'!$A$2:$Z$2</definedName>
    <definedName name="_Key1" hidden="1">#REF!</definedName>
    <definedName name="_Key2" hidden="1">#REF!</definedName>
    <definedName name="_new1" localSheetId="3" hidden="1">{#N/A,#N/A,FALSE,"Summ";#N/A,#N/A,FALSE,"General"}</definedName>
    <definedName name="_new1" localSheetId="0" hidden="1">{#N/A,#N/A,FALSE,"Summ";#N/A,#N/A,FALSE,"General"}</definedName>
    <definedName name="_new1" localSheetId="2" hidden="1">{#N/A,#N/A,FALSE,"Summ";#N/A,#N/A,FALSE,"General"}</definedName>
    <definedName name="_new1" hidden="1">{#N/A,#N/A,FALSE,"Summ";#N/A,#N/A,FALSE,"General"}</definedName>
    <definedName name="_six6" localSheetId="3" hidden="1">{#N/A,#N/A,FALSE,"CRPT";#N/A,#N/A,FALSE,"TREND";#N/A,#N/A,FALSE,"%Curve"}</definedName>
    <definedName name="_six6" localSheetId="0" hidden="1">{#N/A,#N/A,FALSE,"CRPT";#N/A,#N/A,FALSE,"TREND";#N/A,#N/A,FALSE,"%Curve"}</definedName>
    <definedName name="_six6" localSheetId="2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3" hidden="1">{#N/A,#N/A,FALSE,"schA"}</definedName>
    <definedName name="_www1" localSheetId="0" hidden="1">{#N/A,#N/A,FALSE,"schA"}</definedName>
    <definedName name="_www1" localSheetId="2" hidden="1">{#N/A,#N/A,FALSE,"schA"}</definedName>
    <definedName name="_www1" hidden="1">{#N/A,#N/A,FALSE,"schA"}</definedName>
    <definedName name="a" localSheetId="3" hidden="1">{#N/A,#N/A,FALSE,"Coversheet";#N/A,#N/A,FALSE,"QA"}</definedName>
    <definedName name="a" localSheetId="0" hidden="1">{#N/A,#N/A,FALSE,"Coversheet";#N/A,#N/A,FALSE,"QA"}</definedName>
    <definedName name="a" localSheetId="2" hidden="1">{#N/A,#N/A,FALSE,"Coversheet";#N/A,#N/A,FALSE,"QA"}</definedName>
    <definedName name="a" hidden="1">{#N/A,#N/A,FALSE,"Coversheet";#N/A,#N/A,FALSE,"QA"}</definedName>
    <definedName name="AAAAAAAAAAAAAA" localSheetId="3" hidden="1">{#N/A,#N/A,FALSE,"Coversheet";#N/A,#N/A,FALSE,"QA"}</definedName>
    <definedName name="AAAAAAAAAAAAAA" localSheetId="0" hidden="1">{#N/A,#N/A,FALSE,"Coversheet";#N/A,#N/A,FALSE,"QA"}</definedName>
    <definedName name="AAAAAAAAAAAAAA" localSheetId="2" hidden="1">{#N/A,#N/A,FALSE,"Coversheet";#N/A,#N/A,FALSE,"QA"}</definedName>
    <definedName name="AAAAAAAAAAAAAA" hidden="1">{#N/A,#N/A,FALSE,"Coversheet";#N/A,#N/A,FALSE,"QA"}</definedName>
    <definedName name="b" localSheetId="3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[3]ZZCOOM_M03_Q005!#REF!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[3]ZZCOOM_M03_Q005!#REF!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[3]ZZCOOM_M03_Q005!#REF!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[3]ZZCOOM_M03_Q005!#REF!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[3]ZZCOOM_M03_Q005!#REF!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[3]ZZCOOM_M03_Q005!#REF!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DELETE01" localSheetId="3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3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3" hidden="1">{#N/A,#N/A,FALSE,"Coversheet";#N/A,#N/A,FALSE,"QA"}</definedName>
    <definedName name="Delete06" localSheetId="0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3" hidden="1">{#N/A,#N/A,FALSE,"Coversheet";#N/A,#N/A,FALSE,"QA"}</definedName>
    <definedName name="Delete09" localSheetId="0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3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3" hidden="1">{#N/A,#N/A,FALSE,"Schedule F";#N/A,#N/A,FALSE,"Schedule G"}</definedName>
    <definedName name="Delete10" localSheetId="0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3" hidden="1">{#N/A,#N/A,FALSE,"Coversheet";#N/A,#N/A,FALSE,"QA"}</definedName>
    <definedName name="Delete21" localSheetId="0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3" hidden="1">{#N/A,#N/A,FALSE,"Coversheet";#N/A,#N/A,FALSE,"QA"}</definedName>
    <definedName name="DFIT" localSheetId="0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3" hidden="1">{#N/A,#N/A,FALSE,"Month ";#N/A,#N/A,FALSE,"YTD";#N/A,#N/A,FALSE,"12 mo ended"}</definedName>
    <definedName name="ee" localSheetId="0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3" hidden="1">{#N/A,#N/A,FALSE,"Coversheet";#N/A,#N/A,FALSE,"QA"}</definedName>
    <definedName name="error" localSheetId="0" hidden="1">{#N/A,#N/A,FALSE,"Coversheet";#N/A,#N/A,FALSE,"QA"}</definedName>
    <definedName name="error" localSheetId="2" hidden="1">{#N/A,#N/A,FALSE,"Coversheet";#N/A,#N/A,FALSE,"QA"}</definedName>
    <definedName name="error" hidden="1">{#N/A,#N/A,FALSE,"Coversheet";#N/A,#N/A,FALSE,"QA"}</definedName>
    <definedName name="Estimate" localSheetId="3" hidden="1">{#N/A,#N/A,FALSE,"Summ";#N/A,#N/A,FALSE,"General"}</definedName>
    <definedName name="Estimate" localSheetId="0" hidden="1">{#N/A,#N/A,FALSE,"Summ";#N/A,#N/A,FALSE,"General"}</definedName>
    <definedName name="Estimate" localSheetId="2" hidden="1">{#N/A,#N/A,FALSE,"Summ";#N/A,#N/A,FALSE,"General"}</definedName>
    <definedName name="Estimate" hidden="1">{#N/A,#N/A,FALSE,"Summ";#N/A,#N/A,FALSE,"General"}</definedName>
    <definedName name="ex" localSheetId="3" hidden="1">{#N/A,#N/A,FALSE,"Summ";#N/A,#N/A,FALSE,"General"}</definedName>
    <definedName name="ex" localSheetId="0" hidden="1">{#N/A,#N/A,FALSE,"Summ";#N/A,#N/A,FALSE,"General"}</definedName>
    <definedName name="ex" localSheetId="2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3" hidden="1">{#N/A,#N/A,FALSE,"Month ";#N/A,#N/A,FALSE,"YTD";#N/A,#N/A,FALSE,"12 mo ended"}</definedName>
    <definedName name="fdsafdasfdsa" localSheetId="0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3" hidden="1">{#N/A,#N/A,FALSE,"Coversheet";#N/A,#N/A,FALSE,"QA"}</definedName>
    <definedName name="ffff" localSheetId="0" hidden="1">{#N/A,#N/A,FALSE,"Coversheet";#N/A,#N/A,FALSE,"QA"}</definedName>
    <definedName name="ffff" localSheetId="2" hidden="1">{#N/A,#N/A,FALSE,"Coversheet";#N/A,#N/A,FALSE,"QA"}</definedName>
    <definedName name="ffff" hidden="1">{#N/A,#N/A,FALSE,"Coversheet";#N/A,#N/A,FALSE,"QA"}</definedName>
    <definedName name="fffgf" localSheetId="3" hidden="1">{#N/A,#N/A,FALSE,"Coversheet";#N/A,#N/A,FALSE,"QA"}</definedName>
    <definedName name="fffgf" localSheetId="0" hidden="1">{#N/A,#N/A,FALSE,"Coversheet";#N/A,#N/A,FALSE,"QA"}</definedName>
    <definedName name="fffgf" localSheetId="2" hidden="1">{#N/A,#N/A,FALSE,"Coversheet";#N/A,#N/A,FALSE,"QA"}</definedName>
    <definedName name="fffgf" hidden="1">{#N/A,#N/A,FALSE,"Coversheet";#N/A,#N/A,FALSE,"QA"}</definedName>
    <definedName name="helllo" localSheetId="3" hidden="1">{#N/A,#N/A,FALSE,"Pg 6b CustCount_Gas";#N/A,#N/A,FALSE,"QA";#N/A,#N/A,FALSE,"Report";#N/A,#N/A,FALSE,"forecast"}</definedName>
    <definedName name="helllo" localSheetId="0" hidden="1">{#N/A,#N/A,FALSE,"Pg 6b CustCount_Gas";#N/A,#N/A,FALSE,"QA";#N/A,#N/A,FALSE,"Report";#N/A,#N/A,FALSE,"forecast"}</definedName>
    <definedName name="helllo" localSheetId="2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3" hidden="1">{#N/A,#N/A,FALSE,"Coversheet";#N/A,#N/A,FALSE,"QA"}</definedName>
    <definedName name="HELP" localSheetId="0" hidden="1">{#N/A,#N/A,FALSE,"Coversheet";#N/A,#N/A,FALSE,"QA"}</definedName>
    <definedName name="HELP" localSheetId="2" hidden="1">{#N/A,#N/A,FALSE,"Coversheet";#N/A,#N/A,FALSE,"QA"}</definedName>
    <definedName name="HELP" hidden="1">{#N/A,#N/A,FALSE,"Coversheet";#N/A,#N/A,FALSE,"QA"}</definedName>
    <definedName name="HTML_Control" localSheetId="3" hidden="1">{"'Sheet1'!$A$1:$J$121"}</definedName>
    <definedName name="HTML_Control" localSheetId="2" hidden="1">{"'Sheet1'!$A$1:$J$121"}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3" hidden="1">{#N/A,#N/A,FALSE,"Summ";#N/A,#N/A,FALSE,"General"}</definedName>
    <definedName name="jfkljsdkljiejgr" localSheetId="0" hidden="1">{#N/A,#N/A,FALSE,"Summ";#N/A,#N/A,FALSE,"General"}</definedName>
    <definedName name="jfkljsdkljiejgr" localSheetId="2" hidden="1">{#N/A,#N/A,FALSE,"Summ";#N/A,#N/A,FALSE,"General"}</definedName>
    <definedName name="jfkljsdkljiejgr" hidden="1">{#N/A,#N/A,FALSE,"Summ";#N/A,#N/A,FALSE,"General"}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3" hidden="1">{#N/A,#N/A,FALSE,"Coversheet";#N/A,#N/A,FALSE,"QA"}</definedName>
    <definedName name="lookup" localSheetId="0" hidden="1">{#N/A,#N/A,FALSE,"Coversheet";#N/A,#N/A,FALSE,"QA"}</definedName>
    <definedName name="lookup" localSheetId="2" hidden="1">{#N/A,#N/A,FALSE,"Coversheet";#N/A,#N/A,FALSE,"QA"}</definedName>
    <definedName name="lookup" hidden="1">{#N/A,#N/A,FALSE,"Coversheet";#N/A,#N/A,FALSE,"QA"}</definedName>
    <definedName name="Miller" localSheetId="3" hidden="1">{#N/A,#N/A,FALSE,"Expenditures";#N/A,#N/A,FALSE,"Property Placed In-Service";#N/A,#N/A,FALSE,"CWIP Balances"}</definedName>
    <definedName name="Miller" localSheetId="0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3" hidden="1">{#N/A,#N/A,FALSE,"Summ";#N/A,#N/A,FALSE,"General"}</definedName>
    <definedName name="new" localSheetId="0" hidden="1">{#N/A,#N/A,FALSE,"Summ";#N/A,#N/A,FALSE,"General"}</definedName>
    <definedName name="new" localSheetId="2" hidden="1">{#N/A,#N/A,FALSE,"Summ";#N/A,#N/A,FALSE,"General"}</definedName>
    <definedName name="new" hidden="1">{#N/A,#N/A,FALSE,"Summ";#N/A,#N/A,FALSE,"General"}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3" hidden="1">{#N/A,#N/A,FALSE,"Coversheet";#N/A,#N/A,FALSE,"QA"}</definedName>
    <definedName name="q" localSheetId="0" hidden="1">{#N/A,#N/A,FALSE,"Coversheet";#N/A,#N/A,FALSE,"QA"}</definedName>
    <definedName name="q" localSheetId="2" hidden="1">{#N/A,#N/A,FALSE,"Coversheet";#N/A,#N/A,FALSE,"QA"}</definedName>
    <definedName name="q" hidden="1">{#N/A,#N/A,FALSE,"Coversheet";#N/A,#N/A,FALSE,"QA"}</definedName>
    <definedName name="qqq" localSheetId="3" hidden="1">{#N/A,#N/A,FALSE,"schA"}</definedName>
    <definedName name="qqq" localSheetId="0" hidden="1">{#N/A,#N/A,FALSE,"schA"}</definedName>
    <definedName name="qqq" localSheetId="2" hidden="1">{#N/A,#N/A,FALSE,"schA"}</definedName>
    <definedName name="qqq" hidden="1">{#N/A,#N/A,FALSE,"schA"}</definedName>
    <definedName name="retail_CC" localSheetId="3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3" hidden="1">{#N/A,#N/A,FALSE,"Summ";#N/A,#N/A,FALSE,"General"}</definedName>
    <definedName name="sdlfhsdlhfkl" localSheetId="0" hidden="1">{#N/A,#N/A,FALSE,"Summ";#N/A,#N/A,FALSE,"General"}</definedName>
    <definedName name="sdlfhsdlhfkl" localSheetId="2" hidden="1">{#N/A,#N/A,FALSE,"Summ";#N/A,#N/A,FALSE,"General"}</definedName>
    <definedName name="sdlfhsdlhfkl" hidden="1">{#N/A,#N/A,FALSE,"Summ";#N/A,#N/A,FALSE,"General"}</definedName>
    <definedName name="seven" localSheetId="3" hidden="1">{#N/A,#N/A,FALSE,"CRPT";#N/A,#N/A,FALSE,"TREND";#N/A,#N/A,FALSE,"%Curve"}</definedName>
    <definedName name="seven" localSheetId="0" hidden="1">{#N/A,#N/A,FALSE,"CRPT";#N/A,#N/A,FALSE,"TREND";#N/A,#N/A,FALSE,"%Curve"}</definedName>
    <definedName name="seven" localSheetId="2" hidden="1">{#N/A,#N/A,FALSE,"CRPT";#N/A,#N/A,FALSE,"TREND";#N/A,#N/A,FALSE,"%Curve"}</definedName>
    <definedName name="seven" hidden="1">{#N/A,#N/A,FALSE,"CRPT";#N/A,#N/A,FALSE,"TREND";#N/A,#N/A,FALSE,"%Curve"}</definedName>
    <definedName name="six" localSheetId="3" hidden="1">{#N/A,#N/A,FALSE,"Drill Sites";"WP 212",#N/A,FALSE,"MWAG EOR";"WP 213",#N/A,FALSE,"MWAG EOR";#N/A,#N/A,FALSE,"Misc. Facility";#N/A,#N/A,FALSE,"WWTP"}</definedName>
    <definedName name="six" localSheetId="0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3" hidden="1">{#N/A,#N/A,FALSE,"CESTSUM";#N/A,#N/A,FALSE,"est sum A";#N/A,#N/A,FALSE,"est detail A"}</definedName>
    <definedName name="t" localSheetId="0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3" hidden="1">{#N/A,#N/A,FALSE,"Summ";#N/A,#N/A,FALSE,"General"}</definedName>
    <definedName name="tem" localSheetId="0" hidden="1">{#N/A,#N/A,FALSE,"Summ";#N/A,#N/A,FALSE,"General"}</definedName>
    <definedName name="tem" localSheetId="2" hidden="1">{#N/A,#N/A,FALSE,"Summ";#N/A,#N/A,FALSE,"General"}</definedName>
    <definedName name="tem" hidden="1">{#N/A,#N/A,FALSE,"Summ";#N/A,#N/A,FALSE,"General"}</definedName>
    <definedName name="TEMP" localSheetId="3" hidden="1">{#N/A,#N/A,FALSE,"Summ";#N/A,#N/A,FALSE,"General"}</definedName>
    <definedName name="TEMP" localSheetId="0" hidden="1">{#N/A,#N/A,FALSE,"Summ";#N/A,#N/A,FALSE,"General"}</definedName>
    <definedName name="TEMP" localSheetId="2" hidden="1">{#N/A,#N/A,FALSE,"Summ";#N/A,#N/A,FALSE,"General"}</definedName>
    <definedName name="TEMP" hidden="1">{#N/A,#N/A,FALSE,"Summ";#N/A,#N/A,FALSE,"General"}</definedName>
    <definedName name="Temp1" localSheetId="3" hidden="1">{#N/A,#N/A,FALSE,"CESTSUM";#N/A,#N/A,FALSE,"est sum A";#N/A,#N/A,FALSE,"est detail A"}</definedName>
    <definedName name="Temp1" localSheetId="0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3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localSheetId="2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3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localSheetId="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3" hidden="1">{#N/A,#N/A,FALSE,"Summ";#N/A,#N/A,FALSE,"General"}</definedName>
    <definedName name="u" localSheetId="0" hidden="1">{#N/A,#N/A,FALSE,"Summ";#N/A,#N/A,FALSE,"General"}</definedName>
    <definedName name="u" localSheetId="2" hidden="1">{#N/A,#N/A,FALSE,"Summ";#N/A,#N/A,FALSE,"General"}</definedName>
    <definedName name="u" hidden="1">{#N/A,#N/A,FALSE,"Summ";#N/A,#N/A,FALSE,"General"}</definedName>
    <definedName name="v" localSheetId="3" hidden="1">{#N/A,#N/A,FALSE,"Coversheet";#N/A,#N/A,FALSE,"QA"}</definedName>
    <definedName name="v" localSheetId="0" hidden="1">{#N/A,#N/A,FALSE,"Coversheet";#N/A,#N/A,FALSE,"QA"}</definedName>
    <definedName name="v" localSheetId="2" hidden="1">{#N/A,#N/A,FALSE,"Coversheet";#N/A,#N/A,FALSE,"QA"}</definedName>
    <definedName name="v" hidden="1">{#N/A,#N/A,FALSE,"Coversheet";#N/A,#N/A,FALSE,"QA"}</definedName>
    <definedName name="Value" localSheetId="3" hidden="1">{#N/A,#N/A,FALSE,"Summ";#N/A,#N/A,FALSE,"General"}</definedName>
    <definedName name="Value" localSheetId="0" hidden="1">{#N/A,#N/A,FALSE,"Summ";#N/A,#N/A,FALSE,"General"}</definedName>
    <definedName name="Value" localSheetId="2" hidden="1">{#N/A,#N/A,FALSE,"Summ";#N/A,#N/A,FALSE,"General"}</definedName>
    <definedName name="Value" hidden="1">{#N/A,#N/A,FALSE,"Summ";#N/A,#N/A,FALSE,"General"}</definedName>
    <definedName name="w" localSheetId="3" hidden="1">{#N/A,#N/A,FALSE,"Schedule F";#N/A,#N/A,FALSE,"Schedule G"}</definedName>
    <definedName name="w" localSheetId="0" hidden="1">{#N/A,#N/A,FALSE,"Schedule F";#N/A,#N/A,FALSE,"Schedule G"}</definedName>
    <definedName name="w" localSheetId="2" hidden="1">{#N/A,#N/A,FALSE,"Schedule F";#N/A,#N/A,FALSE,"Schedule G"}</definedName>
    <definedName name="w" hidden="1">{#N/A,#N/A,FALSE,"Schedule F";#N/A,#N/A,FALSE,"Schedule G"}</definedName>
    <definedName name="we" localSheetId="3" hidden="1">{#N/A,#N/A,FALSE,"Pg 6b CustCount_Gas";#N/A,#N/A,FALSE,"QA";#N/A,#N/A,FALSE,"Report";#N/A,#N/A,FALSE,"forecast"}</definedName>
    <definedName name="we" localSheetId="0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3" hidden="1">{#N/A,#N/A,FALSE,"Coversheet";#N/A,#N/A,FALSE,"QA"}</definedName>
    <definedName name="WH" localSheetId="0" hidden="1">{#N/A,#N/A,FALSE,"Coversheet";#N/A,#N/A,FALSE,"QA"}</definedName>
    <definedName name="WH" localSheetId="2" hidden="1">{#N/A,#N/A,FALSE,"Coversheet";#N/A,#N/A,FALSE,"QA"}</definedName>
    <definedName name="WH" hidden="1">{#N/A,#N/A,FALSE,"Coversheet";#N/A,#N/A,FALSE,"QA"}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3" hidden="1">{#N/A,#N/A,FALSE,"CRPT";#N/A,#N/A,FALSE,"TREND";#N/A,#N/A,FALSE,"%Curve"}</definedName>
    <definedName name="wrn.AAI." localSheetId="0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3" hidden="1">{#N/A,#N/A,FALSE,"CRPT";#N/A,#N/A,FALSE,"TREND";#N/A,#N/A,FALSE,"% CURVE"}</definedName>
    <definedName name="wrn.AAI._.Report." localSheetId="0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3" hidden="1">{#N/A,#N/A,FALSE,"schA"}</definedName>
    <definedName name="wrn.ECR." localSheetId="0" hidden="1">{#N/A,#N/A,FALSE,"schA"}</definedName>
    <definedName name="wrn.ECR." localSheetId="2" hidden="1">{#N/A,#N/A,FALSE,"schA"}</definedName>
    <definedName name="wrn.ECR." hidden="1">{#N/A,#N/A,FALSE,"schA"}</definedName>
    <definedName name="wrn.ESTIMATE." localSheetId="3" hidden="1">{#N/A,#N/A,FALSE,"CESTSUM";#N/A,#N/A,FALSE,"est sum A";#N/A,#N/A,FALSE,"est detail A"}</definedName>
    <definedName name="wrn.ESTIMATE." localSheetId="0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3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3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localSheetId="2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3" hidden="1">{#N/A,#N/A,FALSE,"SUMMARY";#N/A,#N/A,FALSE,"AE7616";#N/A,#N/A,FALSE,"AE7617";#N/A,#N/A,FALSE,"AE7618";#N/A,#N/A,FALSE,"AE7619"}</definedName>
    <definedName name="wrn.IEO." localSheetId="0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3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3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3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ject._.Services." localSheetId="3" hidden="1">{#N/A,#N/A,FALSE,"BASE";#N/A,#N/A,FALSE,"LOOPS";#N/A,#N/A,FALSE,"PLC"}</definedName>
    <definedName name="wrn.Project._.Services." localSheetId="0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3" hidden="1">{#N/A,#N/A,FALSE,"7617 Fab";#N/A,#N/A,FALSE,"7617 NSK"}</definedName>
    <definedName name="wrn.SCHEDULE." localSheetId="0" hidden="1">{#N/A,#N/A,FALSE,"7617 Fab";#N/A,#N/A,FALSE,"7617 NSK"}</definedName>
    <definedName name="wrn.SCHEDULE." localSheetId="2" hidden="1">{#N/A,#N/A,FALSE,"7617 Fab";#N/A,#N/A,FALSE,"7617 NSK"}</definedName>
    <definedName name="wrn.SCHEDULE." hidden="1">{#N/A,#N/A,FALSE,"7617 Fab";#N/A,#N/A,FALSE,"7617 NSK"}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3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Summary." localSheetId="3" hidden="1">{#N/A,#N/A,FALSE,"Summ";#N/A,#N/A,FALSE,"General"}</definedName>
    <definedName name="wrn.Summary." localSheetId="0" hidden="1">{#N/A,#N/A,FALSE,"Summ";#N/A,#N/A,FALSE,"General"}</definedName>
    <definedName name="wrn.Summary." localSheetId="2" hidden="1">{#N/A,#N/A,FALSE,"Summ";#N/A,#N/A,FALSE,"General"}</definedName>
    <definedName name="wrn.Summary." hidden="1">{#N/A,#N/A,FALSE,"Summ";#N/A,#N/A,FALSE,"General"}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3" hidden="1">{#N/A,#N/A,FALSE,"Expenditures";#N/A,#N/A,FALSE,"Property Placed In-Service";#N/A,#N/A,FALSE,"CWIP Balances"}</definedName>
    <definedName name="wrn.USIM_Data_Abbrev3." localSheetId="0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3" hidden="1">{#N/A,#N/A,FALSE,"schA"}</definedName>
    <definedName name="www" localSheetId="0" hidden="1">{#N/A,#N/A,FALSE,"schA"}</definedName>
    <definedName name="www" localSheetId="2" hidden="1">{#N/A,#N/A,FALSE,"schA"}</definedName>
    <definedName name="www" hidden="1">{#N/A,#N/A,FALSE,"schA"}</definedName>
    <definedName name="x" localSheetId="3" hidden="1">{#N/A,#N/A,FALSE,"Coversheet";#N/A,#N/A,FALSE,"QA"}</definedName>
    <definedName name="x" localSheetId="0" hidden="1">{#N/A,#N/A,FALSE,"Coversheet";#N/A,#N/A,FALSE,"QA"}</definedName>
    <definedName name="x" localSheetId="2" hidden="1">{#N/A,#N/A,FALSE,"Coversheet";#N/A,#N/A,FALSE,"QA"}</definedName>
    <definedName name="x" hidden="1">{#N/A,#N/A,FALSE,"Coversheet";#N/A,#N/A,FALSE,"QA"}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3" hidden="1">{#N/A,#N/A,FALSE,"Summ";#N/A,#N/A,FALSE,"General"}</definedName>
    <definedName name="yuf" localSheetId="0" hidden="1">{#N/A,#N/A,FALSE,"Summ";#N/A,#N/A,FALSE,"General"}</definedName>
    <definedName name="yuf" localSheetId="2" hidden="1">{#N/A,#N/A,FALSE,"Summ";#N/A,#N/A,FALSE,"General"}</definedName>
    <definedName name="yuf" hidden="1">{#N/A,#N/A,FALSE,"Summ";#N/A,#N/A,FALSE,"General"}</definedName>
    <definedName name="z" localSheetId="3" hidden="1">{#N/A,#N/A,FALSE,"Coversheet";#N/A,#N/A,FALSE,"QA"}</definedName>
    <definedName name="z" localSheetId="0" hidden="1">{#N/A,#N/A,FALSE,"Coversheet";#N/A,#N/A,FALSE,"QA"}</definedName>
    <definedName name="z" localSheetId="2" hidden="1">{#N/A,#N/A,FALSE,"Coversheet";#N/A,#N/A,FALSE,"QA"}</definedName>
    <definedName name="z" hidden="1">{#N/A,#N/A,FALSE,"Coversheet";#N/A,#N/A,FALSE,"QA"}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3" i="9" l="1"/>
  <c r="A94" i="9" s="1"/>
  <c r="O199" i="10" l="1"/>
  <c r="A12" i="9" l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L211" i="9"/>
  <c r="A47" i="9" l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L12" i="9" l="1"/>
  <c r="C208" i="9"/>
  <c r="E208" i="9"/>
  <c r="M4" i="10"/>
  <c r="K4" i="10"/>
  <c r="L4" i="10"/>
  <c r="O4" i="10"/>
  <c r="Q4" i="10"/>
  <c r="R4" i="10"/>
  <c r="U4" i="10"/>
  <c r="V4" i="10"/>
  <c r="W4" i="10"/>
  <c r="K6" i="10"/>
  <c r="L6" i="10"/>
  <c r="O6" i="10"/>
  <c r="Q6" i="10"/>
  <c r="R6" i="10"/>
  <c r="U6" i="10"/>
  <c r="V6" i="10"/>
  <c r="W6" i="10"/>
  <c r="A7" i="10"/>
  <c r="M7" i="10"/>
  <c r="L7" i="10"/>
  <c r="O7" i="10"/>
  <c r="Q7" i="10"/>
  <c r="V7" i="10" s="1"/>
  <c r="R7" i="10"/>
  <c r="W7" i="10" s="1"/>
  <c r="U7" i="10"/>
  <c r="A8" i="10"/>
  <c r="K8" i="10"/>
  <c r="L8" i="10"/>
  <c r="O8" i="10"/>
  <c r="Q8" i="10"/>
  <c r="V8" i="10" s="1"/>
  <c r="R8" i="10"/>
  <c r="W8" i="10" s="1"/>
  <c r="U8" i="10"/>
  <c r="K10" i="10"/>
  <c r="L10" i="10"/>
  <c r="M10" i="10"/>
  <c r="O10" i="10"/>
  <c r="Q10" i="10"/>
  <c r="R10" i="10"/>
  <c r="U10" i="10"/>
  <c r="V10" i="10"/>
  <c r="W10" i="10"/>
  <c r="A11" i="10"/>
  <c r="M11" i="10"/>
  <c r="K11" i="10"/>
  <c r="L11" i="10"/>
  <c r="O11" i="10"/>
  <c r="Q11" i="10"/>
  <c r="R11" i="10"/>
  <c r="W11" i="10" s="1"/>
  <c r="U11" i="10"/>
  <c r="V11" i="10"/>
  <c r="A12" i="10"/>
  <c r="A13" i="10" s="1"/>
  <c r="M12" i="10"/>
  <c r="K12" i="10"/>
  <c r="L12" i="10"/>
  <c r="O12" i="10"/>
  <c r="Q12" i="10"/>
  <c r="R12" i="10"/>
  <c r="W12" i="10" s="1"/>
  <c r="U12" i="10"/>
  <c r="V12" i="10"/>
  <c r="M13" i="10"/>
  <c r="K13" i="10"/>
  <c r="L13" i="10"/>
  <c r="O13" i="10"/>
  <c r="Q13" i="10"/>
  <c r="R13" i="10"/>
  <c r="U13" i="10"/>
  <c r="V13" i="10"/>
  <c r="W13" i="10"/>
  <c r="M15" i="10"/>
  <c r="K15" i="10"/>
  <c r="L15" i="10"/>
  <c r="O15" i="10"/>
  <c r="Q15" i="10"/>
  <c r="R15" i="10"/>
  <c r="U15" i="10"/>
  <c r="V15" i="10"/>
  <c r="W15" i="10"/>
  <c r="M16" i="10"/>
  <c r="K16" i="10"/>
  <c r="L16" i="10"/>
  <c r="O16" i="10"/>
  <c r="Q16" i="10"/>
  <c r="R16" i="10"/>
  <c r="U16" i="10"/>
  <c r="V16" i="10"/>
  <c r="W16" i="10"/>
  <c r="M17" i="10"/>
  <c r="K17" i="10"/>
  <c r="L17" i="10"/>
  <c r="O17" i="10"/>
  <c r="Q17" i="10"/>
  <c r="R17" i="10"/>
  <c r="U17" i="10"/>
  <c r="V17" i="10"/>
  <c r="W17" i="10"/>
  <c r="M18" i="10"/>
  <c r="K18" i="10"/>
  <c r="L18" i="10"/>
  <c r="O18" i="10"/>
  <c r="Q18" i="10"/>
  <c r="R18" i="10"/>
  <c r="W18" i="10" s="1"/>
  <c r="U18" i="10"/>
  <c r="V18" i="10"/>
  <c r="M19" i="10"/>
  <c r="K19" i="10"/>
  <c r="L19" i="10"/>
  <c r="O19" i="10"/>
  <c r="Q19" i="10"/>
  <c r="R19" i="10"/>
  <c r="W19" i="10" s="1"/>
  <c r="U19" i="10"/>
  <c r="V19" i="10"/>
  <c r="M20" i="10"/>
  <c r="K20" i="10"/>
  <c r="L20" i="10"/>
  <c r="O20" i="10"/>
  <c r="Q20" i="10"/>
  <c r="R20" i="10"/>
  <c r="W20" i="10" s="1"/>
  <c r="U20" i="10"/>
  <c r="V20" i="10"/>
  <c r="M21" i="10"/>
  <c r="K21" i="10"/>
  <c r="L21" i="10"/>
  <c r="O21" i="10"/>
  <c r="Q21" i="10"/>
  <c r="R21" i="10"/>
  <c r="W21" i="10" s="1"/>
  <c r="U21" i="10"/>
  <c r="V21" i="10"/>
  <c r="M22" i="10"/>
  <c r="K22" i="10"/>
  <c r="L22" i="10"/>
  <c r="O22" i="10"/>
  <c r="Q22" i="10"/>
  <c r="R22" i="10"/>
  <c r="U22" i="10"/>
  <c r="V22" i="10"/>
  <c r="W22" i="10"/>
  <c r="M23" i="10"/>
  <c r="K23" i="10"/>
  <c r="L23" i="10"/>
  <c r="O23" i="10"/>
  <c r="Q23" i="10"/>
  <c r="R23" i="10"/>
  <c r="U23" i="10"/>
  <c r="V23" i="10"/>
  <c r="W23" i="10"/>
  <c r="K24" i="10"/>
  <c r="L24" i="10"/>
  <c r="M24" i="10"/>
  <c r="O24" i="10"/>
  <c r="Q24" i="10"/>
  <c r="R24" i="10"/>
  <c r="U24" i="10"/>
  <c r="V24" i="10"/>
  <c r="W24" i="10"/>
  <c r="K26" i="10"/>
  <c r="L26" i="10"/>
  <c r="M26" i="10"/>
  <c r="O26" i="10"/>
  <c r="Q26" i="10"/>
  <c r="R26" i="10"/>
  <c r="U26" i="10"/>
  <c r="V26" i="10"/>
  <c r="W26" i="10"/>
  <c r="K27" i="10"/>
  <c r="L27" i="10"/>
  <c r="M27" i="10"/>
  <c r="O27" i="10"/>
  <c r="Q27" i="10"/>
  <c r="R27" i="10"/>
  <c r="U27" i="10"/>
  <c r="V27" i="10"/>
  <c r="W27" i="10"/>
  <c r="K28" i="10"/>
  <c r="L28" i="10"/>
  <c r="M28" i="10"/>
  <c r="O28" i="10"/>
  <c r="Q28" i="10"/>
  <c r="R28" i="10"/>
  <c r="U28" i="10"/>
  <c r="V28" i="10"/>
  <c r="W28" i="10"/>
  <c r="K29" i="10"/>
  <c r="L29" i="10"/>
  <c r="M29" i="10"/>
  <c r="O29" i="10"/>
  <c r="Q29" i="10"/>
  <c r="R29" i="10"/>
  <c r="U29" i="10"/>
  <c r="V29" i="10"/>
  <c r="W29" i="10"/>
  <c r="K30" i="10"/>
  <c r="L30" i="10"/>
  <c r="M30" i="10"/>
  <c r="O30" i="10"/>
  <c r="Q30" i="10"/>
  <c r="R30" i="10"/>
  <c r="U30" i="10"/>
  <c r="V30" i="10"/>
  <c r="W30" i="10"/>
  <c r="K31" i="10"/>
  <c r="L31" i="10"/>
  <c r="M31" i="10"/>
  <c r="O31" i="10"/>
  <c r="Q31" i="10"/>
  <c r="R31" i="10"/>
  <c r="U31" i="10"/>
  <c r="V31" i="10"/>
  <c r="W31" i="10"/>
  <c r="K32" i="10"/>
  <c r="L32" i="10"/>
  <c r="M32" i="10"/>
  <c r="O32" i="10"/>
  <c r="Q32" i="10"/>
  <c r="R32" i="10"/>
  <c r="U32" i="10"/>
  <c r="V32" i="10"/>
  <c r="W32" i="10"/>
  <c r="K33" i="10"/>
  <c r="L33" i="10"/>
  <c r="M33" i="10"/>
  <c r="O33" i="10"/>
  <c r="Q33" i="10"/>
  <c r="R33" i="10"/>
  <c r="U33" i="10"/>
  <c r="V33" i="10"/>
  <c r="W33" i="10"/>
  <c r="K34" i="10"/>
  <c r="L34" i="10"/>
  <c r="M34" i="10"/>
  <c r="O34" i="10"/>
  <c r="Q34" i="10"/>
  <c r="R34" i="10"/>
  <c r="U34" i="10"/>
  <c r="V34" i="10"/>
  <c r="W34" i="10"/>
  <c r="K35" i="10"/>
  <c r="L35" i="10"/>
  <c r="M35" i="10"/>
  <c r="O35" i="10"/>
  <c r="Q35" i="10"/>
  <c r="R35" i="10"/>
  <c r="U35" i="10"/>
  <c r="V35" i="10"/>
  <c r="W35" i="10"/>
  <c r="K37" i="10"/>
  <c r="L37" i="10"/>
  <c r="M37" i="10"/>
  <c r="O37" i="10"/>
  <c r="Q37" i="10"/>
  <c r="R37" i="10"/>
  <c r="U37" i="10"/>
  <c r="V37" i="10"/>
  <c r="W37" i="10"/>
  <c r="K38" i="10"/>
  <c r="L38" i="10"/>
  <c r="M38" i="10"/>
  <c r="O38" i="10"/>
  <c r="Q38" i="10"/>
  <c r="R38" i="10"/>
  <c r="U38" i="10"/>
  <c r="V38" i="10"/>
  <c r="W38" i="10"/>
  <c r="A39" i="10"/>
  <c r="M39" i="10"/>
  <c r="K39" i="10"/>
  <c r="L39" i="10"/>
  <c r="O39" i="10"/>
  <c r="Q39" i="10"/>
  <c r="R39" i="10"/>
  <c r="W39" i="10" s="1"/>
  <c r="U39" i="10"/>
  <c r="V39" i="10"/>
  <c r="A40" i="10"/>
  <c r="A41" i="10" s="1"/>
  <c r="A42" i="10" s="1"/>
  <c r="M40" i="10"/>
  <c r="K40" i="10"/>
  <c r="L40" i="10"/>
  <c r="O40" i="10"/>
  <c r="Q40" i="10"/>
  <c r="R40" i="10"/>
  <c r="W40" i="10" s="1"/>
  <c r="U40" i="10"/>
  <c r="V40" i="10"/>
  <c r="M41" i="10"/>
  <c r="K41" i="10"/>
  <c r="L41" i="10"/>
  <c r="O41" i="10"/>
  <c r="Q41" i="10"/>
  <c r="R41" i="10"/>
  <c r="U41" i="10"/>
  <c r="V41" i="10"/>
  <c r="M42" i="10"/>
  <c r="K42" i="10"/>
  <c r="L42" i="10"/>
  <c r="O42" i="10"/>
  <c r="Q42" i="10"/>
  <c r="R42" i="10"/>
  <c r="U42" i="10"/>
  <c r="V42" i="10"/>
  <c r="W42" i="10"/>
  <c r="M43" i="10"/>
  <c r="K43" i="10"/>
  <c r="L43" i="10"/>
  <c r="O43" i="10"/>
  <c r="Q43" i="10"/>
  <c r="R43" i="10"/>
  <c r="W43" i="10" s="1"/>
  <c r="U43" i="10"/>
  <c r="V43" i="10"/>
  <c r="M44" i="10"/>
  <c r="K44" i="10"/>
  <c r="L44" i="10"/>
  <c r="O44" i="10"/>
  <c r="Q44" i="10"/>
  <c r="R44" i="10"/>
  <c r="W44" i="10" s="1"/>
  <c r="U44" i="10"/>
  <c r="V44" i="10"/>
  <c r="M46" i="10"/>
  <c r="K46" i="10"/>
  <c r="L46" i="10"/>
  <c r="O46" i="10"/>
  <c r="W46" i="10" s="1"/>
  <c r="Q46" i="10"/>
  <c r="R46" i="10"/>
  <c r="U46" i="10"/>
  <c r="V46" i="10"/>
  <c r="M47" i="10"/>
  <c r="K47" i="10"/>
  <c r="L47" i="10"/>
  <c r="O47" i="10"/>
  <c r="Q47" i="10"/>
  <c r="R47" i="10"/>
  <c r="U47" i="10"/>
  <c r="V47" i="10"/>
  <c r="W47" i="10"/>
  <c r="M48" i="10"/>
  <c r="K48" i="10"/>
  <c r="L48" i="10"/>
  <c r="O48" i="10"/>
  <c r="Q48" i="10"/>
  <c r="R48" i="10"/>
  <c r="W48" i="10" s="1"/>
  <c r="U48" i="10"/>
  <c r="V48" i="10"/>
  <c r="M49" i="10"/>
  <c r="K49" i="10"/>
  <c r="L49" i="10"/>
  <c r="O49" i="10"/>
  <c r="Q49" i="10"/>
  <c r="R49" i="10"/>
  <c r="W49" i="10" s="1"/>
  <c r="U49" i="10"/>
  <c r="V49" i="10"/>
  <c r="M50" i="10"/>
  <c r="K50" i="10"/>
  <c r="L50" i="10"/>
  <c r="O50" i="10"/>
  <c r="Q50" i="10"/>
  <c r="R50" i="10"/>
  <c r="U50" i="10"/>
  <c r="V50" i="10"/>
  <c r="M51" i="10"/>
  <c r="K51" i="10"/>
  <c r="L51" i="10"/>
  <c r="O51" i="10"/>
  <c r="Q51" i="10"/>
  <c r="R51" i="10"/>
  <c r="U51" i="10"/>
  <c r="V51" i="10"/>
  <c r="W51" i="10"/>
  <c r="M52" i="10"/>
  <c r="K52" i="10"/>
  <c r="L52" i="10"/>
  <c r="O52" i="10"/>
  <c r="Q52" i="10"/>
  <c r="R52" i="10"/>
  <c r="W52" i="10" s="1"/>
  <c r="U52" i="10"/>
  <c r="V52" i="10"/>
  <c r="O54" i="10"/>
  <c r="Q54" i="10"/>
  <c r="V54" i="10" s="1"/>
  <c r="R54" i="10"/>
  <c r="W54" i="10" s="1"/>
  <c r="A55" i="10"/>
  <c r="A56" i="10" s="1"/>
  <c r="K55" i="10"/>
  <c r="O55" i="10"/>
  <c r="Q55" i="10"/>
  <c r="R55" i="10"/>
  <c r="V55" i="10"/>
  <c r="W55" i="10"/>
  <c r="M56" i="10"/>
  <c r="O56" i="10"/>
  <c r="Q56" i="10"/>
  <c r="R56" i="10"/>
  <c r="W56" i="10" s="1"/>
  <c r="V56" i="10"/>
  <c r="A57" i="10"/>
  <c r="A58" i="10" s="1"/>
  <c r="A59" i="10" s="1"/>
  <c r="A60" i="10" s="1"/>
  <c r="A61" i="10" s="1"/>
  <c r="O57" i="10"/>
  <c r="Q57" i="10"/>
  <c r="V57" i="10" s="1"/>
  <c r="R57" i="10"/>
  <c r="W57" i="10"/>
  <c r="K58" i="10"/>
  <c r="O58" i="10"/>
  <c r="Q58" i="10"/>
  <c r="R58" i="10"/>
  <c r="V58" i="10"/>
  <c r="W58" i="10"/>
  <c r="K59" i="10"/>
  <c r="O59" i="10"/>
  <c r="Q59" i="10"/>
  <c r="V59" i="10" s="1"/>
  <c r="R59" i="10"/>
  <c r="W59" i="10" s="1"/>
  <c r="K60" i="10"/>
  <c r="O60" i="10"/>
  <c r="Q60" i="10"/>
  <c r="R60" i="10"/>
  <c r="V60" i="10"/>
  <c r="W60" i="10"/>
  <c r="K61" i="10"/>
  <c r="O61" i="10"/>
  <c r="Q61" i="10"/>
  <c r="R61" i="10"/>
  <c r="V61" i="10"/>
  <c r="W61" i="10"/>
  <c r="O62" i="10"/>
  <c r="Q62" i="10"/>
  <c r="V62" i="10" s="1"/>
  <c r="R62" i="10"/>
  <c r="W62" i="10" s="1"/>
  <c r="K64" i="10"/>
  <c r="M64" i="10"/>
  <c r="O64" i="10"/>
  <c r="Q64" i="10"/>
  <c r="R64" i="10"/>
  <c r="V64" i="10"/>
  <c r="M65" i="10"/>
  <c r="K65" i="10"/>
  <c r="O65" i="10"/>
  <c r="Q65" i="10"/>
  <c r="R65" i="10"/>
  <c r="W65" i="10" s="1"/>
  <c r="V65" i="10"/>
  <c r="O66" i="10"/>
  <c r="Q66" i="10"/>
  <c r="V66" i="10" s="1"/>
  <c r="R66" i="10"/>
  <c r="W66" i="10" s="1"/>
  <c r="K67" i="10"/>
  <c r="L67" i="10"/>
  <c r="M67" i="10"/>
  <c r="O67" i="10"/>
  <c r="Q67" i="10"/>
  <c r="R67" i="10"/>
  <c r="V67" i="10"/>
  <c r="M68" i="10"/>
  <c r="O68" i="10"/>
  <c r="Q68" i="10"/>
  <c r="V68" i="10" s="1"/>
  <c r="R68" i="10"/>
  <c r="W68" i="10" s="1"/>
  <c r="O70" i="10"/>
  <c r="Q70" i="10"/>
  <c r="R70" i="10"/>
  <c r="V70" i="10"/>
  <c r="W70" i="10"/>
  <c r="K71" i="10"/>
  <c r="O71" i="10"/>
  <c r="Q71" i="10"/>
  <c r="R71" i="10"/>
  <c r="V71" i="10"/>
  <c r="W71" i="10"/>
  <c r="K72" i="10"/>
  <c r="O72" i="10"/>
  <c r="Q72" i="10"/>
  <c r="V72" i="10" s="1"/>
  <c r="R72" i="10"/>
  <c r="W72" i="10" s="1"/>
  <c r="K73" i="10"/>
  <c r="O73" i="10"/>
  <c r="Q73" i="10"/>
  <c r="R73" i="10"/>
  <c r="V73" i="10"/>
  <c r="W73" i="10"/>
  <c r="K74" i="10"/>
  <c r="O74" i="10"/>
  <c r="Q74" i="10"/>
  <c r="R74" i="10"/>
  <c r="W74" i="10" s="1"/>
  <c r="V74" i="10"/>
  <c r="K75" i="10"/>
  <c r="O75" i="10"/>
  <c r="Q75" i="10"/>
  <c r="V75" i="10" s="1"/>
  <c r="R75" i="10"/>
  <c r="W75" i="10" s="1"/>
  <c r="M76" i="10"/>
  <c r="K76" i="10"/>
  <c r="O76" i="10"/>
  <c r="W76" i="10" s="1"/>
  <c r="Q76" i="10"/>
  <c r="R76" i="10"/>
  <c r="V76" i="10"/>
  <c r="O77" i="10"/>
  <c r="Q77" i="10"/>
  <c r="V77" i="10" s="1"/>
  <c r="R77" i="10"/>
  <c r="W77" i="10" s="1"/>
  <c r="O78" i="10"/>
  <c r="Q78" i="10"/>
  <c r="R78" i="10"/>
  <c r="W78" i="10" s="1"/>
  <c r="V78" i="10"/>
  <c r="K79" i="10"/>
  <c r="O79" i="10"/>
  <c r="Q79" i="10"/>
  <c r="R79" i="10"/>
  <c r="V79" i="10"/>
  <c r="K81" i="10"/>
  <c r="M81" i="10"/>
  <c r="O81" i="10"/>
  <c r="Q81" i="10"/>
  <c r="R81" i="10"/>
  <c r="V81" i="10"/>
  <c r="W81" i="10"/>
  <c r="K82" i="10"/>
  <c r="M82" i="10"/>
  <c r="O82" i="10"/>
  <c r="Q82" i="10"/>
  <c r="R82" i="10"/>
  <c r="V82" i="10"/>
  <c r="W82" i="10"/>
  <c r="L83" i="10"/>
  <c r="K83" i="10"/>
  <c r="M83" i="10"/>
  <c r="O83" i="10"/>
  <c r="Q83" i="10"/>
  <c r="V83" i="10" s="1"/>
  <c r="R83" i="10"/>
  <c r="W83" i="10"/>
  <c r="L84" i="10"/>
  <c r="K84" i="10"/>
  <c r="M84" i="10"/>
  <c r="O84" i="10"/>
  <c r="Q84" i="10"/>
  <c r="V84" i="10" s="1"/>
  <c r="R84" i="10"/>
  <c r="W84" i="10"/>
  <c r="L85" i="10"/>
  <c r="K85" i="10"/>
  <c r="M85" i="10"/>
  <c r="O85" i="10"/>
  <c r="Q85" i="10"/>
  <c r="R85" i="10"/>
  <c r="V85" i="10"/>
  <c r="W85" i="10"/>
  <c r="L86" i="10"/>
  <c r="K86" i="10"/>
  <c r="M86" i="10"/>
  <c r="O86" i="10"/>
  <c r="Q86" i="10"/>
  <c r="R86" i="10"/>
  <c r="V86" i="10"/>
  <c r="L87" i="10"/>
  <c r="K87" i="10"/>
  <c r="M87" i="10"/>
  <c r="O87" i="10"/>
  <c r="Q87" i="10"/>
  <c r="R87" i="10"/>
  <c r="W87" i="10" s="1"/>
  <c r="V87" i="10"/>
  <c r="L88" i="10"/>
  <c r="K88" i="10"/>
  <c r="M88" i="10"/>
  <c r="O88" i="10"/>
  <c r="Q88" i="10"/>
  <c r="V88" i="10" s="1"/>
  <c r="R88" i="10"/>
  <c r="W88" i="10" s="1"/>
  <c r="L89" i="10"/>
  <c r="K89" i="10"/>
  <c r="M89" i="10"/>
  <c r="O89" i="10"/>
  <c r="W89" i="10" s="1"/>
  <c r="Q89" i="10"/>
  <c r="V89" i="10" s="1"/>
  <c r="R89" i="10"/>
  <c r="K90" i="10"/>
  <c r="M90" i="10"/>
  <c r="O90" i="10"/>
  <c r="Q90" i="10"/>
  <c r="R90" i="10"/>
  <c r="V90" i="10"/>
  <c r="K92" i="10"/>
  <c r="L92" i="10"/>
  <c r="O92" i="10"/>
  <c r="Q92" i="10"/>
  <c r="R92" i="10"/>
  <c r="U92" i="10"/>
  <c r="V92" i="10"/>
  <c r="W92" i="10"/>
  <c r="A93" i="10"/>
  <c r="K93" i="10"/>
  <c r="L93" i="10"/>
  <c r="O93" i="10"/>
  <c r="Q93" i="10"/>
  <c r="R93" i="10"/>
  <c r="U93" i="10"/>
  <c r="V93" i="10"/>
  <c r="W93" i="10"/>
  <c r="A94" i="10"/>
  <c r="A95" i="10" s="1"/>
  <c r="A96" i="10" s="1"/>
  <c r="A97" i="10" s="1"/>
  <c r="A98" i="10" s="1"/>
  <c r="A99" i="10" s="1"/>
  <c r="A100" i="10" s="1"/>
  <c r="M94" i="10"/>
  <c r="L94" i="10"/>
  <c r="O94" i="10"/>
  <c r="Q94" i="10"/>
  <c r="V94" i="10" s="1"/>
  <c r="R94" i="10"/>
  <c r="W94" i="10" s="1"/>
  <c r="U94" i="10"/>
  <c r="L95" i="10"/>
  <c r="O95" i="10"/>
  <c r="Q95" i="10"/>
  <c r="V95" i="10" s="1"/>
  <c r="R95" i="10"/>
  <c r="W95" i="10" s="1"/>
  <c r="U95" i="10"/>
  <c r="K96" i="10"/>
  <c r="L96" i="10"/>
  <c r="O96" i="10"/>
  <c r="Q96" i="10"/>
  <c r="R96" i="10"/>
  <c r="U96" i="10"/>
  <c r="V96" i="10"/>
  <c r="W96" i="10"/>
  <c r="M97" i="10"/>
  <c r="L97" i="10"/>
  <c r="O97" i="10"/>
  <c r="Q97" i="10"/>
  <c r="R97" i="10"/>
  <c r="U97" i="10"/>
  <c r="V97" i="10"/>
  <c r="K98" i="10"/>
  <c r="L98" i="10"/>
  <c r="O98" i="10"/>
  <c r="Q98" i="10"/>
  <c r="V98" i="10" s="1"/>
  <c r="R98" i="10"/>
  <c r="W98" i="10" s="1"/>
  <c r="U98" i="10"/>
  <c r="L99" i="10"/>
  <c r="O99" i="10"/>
  <c r="Q99" i="10"/>
  <c r="V99" i="10" s="1"/>
  <c r="R99" i="10"/>
  <c r="U99" i="10"/>
  <c r="W99" i="10"/>
  <c r="K100" i="10"/>
  <c r="L100" i="10"/>
  <c r="O100" i="10"/>
  <c r="Q100" i="10"/>
  <c r="V100" i="10" s="1"/>
  <c r="R100" i="10"/>
  <c r="U100" i="10"/>
  <c r="W100" i="10"/>
  <c r="M102" i="10"/>
  <c r="L102" i="10"/>
  <c r="O102" i="10"/>
  <c r="Q102" i="10"/>
  <c r="R102" i="10"/>
  <c r="U102" i="10"/>
  <c r="V102" i="10"/>
  <c r="M103" i="10"/>
  <c r="L103" i="10"/>
  <c r="O103" i="10"/>
  <c r="Q103" i="10"/>
  <c r="V103" i="10" s="1"/>
  <c r="R103" i="10"/>
  <c r="W103" i="10" s="1"/>
  <c r="U103" i="10"/>
  <c r="M104" i="10"/>
  <c r="L104" i="10"/>
  <c r="O104" i="10"/>
  <c r="Q104" i="10"/>
  <c r="V104" i="10" s="1"/>
  <c r="R104" i="10"/>
  <c r="U104" i="10"/>
  <c r="W104" i="10"/>
  <c r="K105" i="10"/>
  <c r="L105" i="10"/>
  <c r="O105" i="10"/>
  <c r="Q105" i="10"/>
  <c r="R105" i="10"/>
  <c r="U105" i="10"/>
  <c r="V105" i="10"/>
  <c r="W105" i="10"/>
  <c r="M106" i="10"/>
  <c r="L106" i="10"/>
  <c r="O106" i="10"/>
  <c r="Q106" i="10"/>
  <c r="R106" i="10"/>
  <c r="U106" i="10"/>
  <c r="V106" i="10"/>
  <c r="L107" i="10"/>
  <c r="O107" i="10"/>
  <c r="Q107" i="10"/>
  <c r="R107" i="10"/>
  <c r="W107" i="10" s="1"/>
  <c r="U107" i="10"/>
  <c r="V107" i="10"/>
  <c r="M109" i="10"/>
  <c r="L109" i="10"/>
  <c r="O109" i="10"/>
  <c r="W109" i="10" s="1"/>
  <c r="Q109" i="10"/>
  <c r="V109" i="10" s="1"/>
  <c r="R109" i="10"/>
  <c r="U109" i="10"/>
  <c r="L110" i="10"/>
  <c r="O110" i="10"/>
  <c r="W110" i="10" s="1"/>
  <c r="Q110" i="10"/>
  <c r="R110" i="10"/>
  <c r="U110" i="10"/>
  <c r="V110" i="10"/>
  <c r="M111" i="10"/>
  <c r="L111" i="10"/>
  <c r="O111" i="10"/>
  <c r="Q111" i="10"/>
  <c r="R111" i="10"/>
  <c r="U111" i="10"/>
  <c r="V111" i="10"/>
  <c r="K112" i="10"/>
  <c r="L112" i="10"/>
  <c r="O112" i="10"/>
  <c r="Q112" i="10"/>
  <c r="V112" i="10" s="1"/>
  <c r="R112" i="10"/>
  <c r="W112" i="10" s="1"/>
  <c r="U112" i="10"/>
  <c r="M113" i="10"/>
  <c r="L113" i="10"/>
  <c r="O113" i="10"/>
  <c r="Q113" i="10"/>
  <c r="V113" i="10" s="1"/>
  <c r="R113" i="10"/>
  <c r="U113" i="10"/>
  <c r="W113" i="10"/>
  <c r="L114" i="10"/>
  <c r="O114" i="10"/>
  <c r="Q114" i="10"/>
  <c r="V114" i="10" s="1"/>
  <c r="R114" i="10"/>
  <c r="W114" i="10" s="1"/>
  <c r="U114" i="10"/>
  <c r="M115" i="10"/>
  <c r="K115" i="10"/>
  <c r="L115" i="10"/>
  <c r="O115" i="10"/>
  <c r="Q115" i="10"/>
  <c r="R115" i="10"/>
  <c r="U115" i="10"/>
  <c r="V115" i="10"/>
  <c r="W115" i="10"/>
  <c r="K116" i="10"/>
  <c r="L116" i="10"/>
  <c r="O116" i="10"/>
  <c r="Q116" i="10"/>
  <c r="V116" i="10" s="1"/>
  <c r="R116" i="10"/>
  <c r="W116" i="10" s="1"/>
  <c r="U116" i="10"/>
  <c r="M117" i="10"/>
  <c r="L117" i="10"/>
  <c r="O117" i="10"/>
  <c r="Q117" i="10"/>
  <c r="V117" i="10" s="1"/>
  <c r="R117" i="10"/>
  <c r="W117" i="10" s="1"/>
  <c r="U117" i="10"/>
  <c r="L118" i="10"/>
  <c r="O118" i="10"/>
  <c r="Q118" i="10"/>
  <c r="V118" i="10" s="1"/>
  <c r="R118" i="10"/>
  <c r="U118" i="10"/>
  <c r="W118" i="10"/>
  <c r="M120" i="10"/>
  <c r="K120" i="10"/>
  <c r="L120" i="10"/>
  <c r="O120" i="10"/>
  <c r="W120" i="10" s="1"/>
  <c r="Q120" i="10"/>
  <c r="R120" i="10"/>
  <c r="U120" i="10"/>
  <c r="V120" i="10"/>
  <c r="A121" i="10"/>
  <c r="A122" i="10" s="1"/>
  <c r="A123" i="10" s="1"/>
  <c r="A124" i="10" s="1"/>
  <c r="M121" i="10"/>
  <c r="K121" i="10"/>
  <c r="L121" i="10"/>
  <c r="O121" i="10"/>
  <c r="Q121" i="10"/>
  <c r="R121" i="10"/>
  <c r="W121" i="10" s="1"/>
  <c r="U121" i="10"/>
  <c r="V121" i="10"/>
  <c r="M122" i="10"/>
  <c r="K122" i="10"/>
  <c r="L122" i="10"/>
  <c r="O122" i="10"/>
  <c r="Q122" i="10"/>
  <c r="R122" i="10"/>
  <c r="W122" i="10" s="1"/>
  <c r="U122" i="10"/>
  <c r="V122" i="10"/>
  <c r="M123" i="10"/>
  <c r="K123" i="10"/>
  <c r="L123" i="10"/>
  <c r="O123" i="10"/>
  <c r="W123" i="10" s="1"/>
  <c r="Q123" i="10"/>
  <c r="R123" i="10"/>
  <c r="U123" i="10"/>
  <c r="V123" i="10"/>
  <c r="M124" i="10"/>
  <c r="K124" i="10"/>
  <c r="L124" i="10"/>
  <c r="O124" i="10"/>
  <c r="Q124" i="10"/>
  <c r="R124" i="10"/>
  <c r="U124" i="10"/>
  <c r="V124" i="10"/>
  <c r="M125" i="10"/>
  <c r="K125" i="10"/>
  <c r="L125" i="10"/>
  <c r="O125" i="10"/>
  <c r="Q125" i="10"/>
  <c r="R125" i="10"/>
  <c r="W125" i="10" s="1"/>
  <c r="U125" i="10"/>
  <c r="V125" i="10"/>
  <c r="M126" i="10"/>
  <c r="K126" i="10"/>
  <c r="L126" i="10"/>
  <c r="O126" i="10"/>
  <c r="Q126" i="10"/>
  <c r="R126" i="10"/>
  <c r="W126" i="10" s="1"/>
  <c r="U126" i="10"/>
  <c r="V126" i="10"/>
  <c r="M127" i="10"/>
  <c r="K127" i="10"/>
  <c r="L127" i="10"/>
  <c r="O127" i="10"/>
  <c r="Q127" i="10"/>
  <c r="R127" i="10"/>
  <c r="W127" i="10" s="1"/>
  <c r="U127" i="10"/>
  <c r="V127" i="10"/>
  <c r="M128" i="10"/>
  <c r="K128" i="10"/>
  <c r="L128" i="10"/>
  <c r="O128" i="10"/>
  <c r="Q128" i="10"/>
  <c r="R128" i="10"/>
  <c r="U128" i="10"/>
  <c r="V128" i="10"/>
  <c r="W128" i="10"/>
  <c r="M130" i="10"/>
  <c r="K130" i="10"/>
  <c r="L130" i="10"/>
  <c r="O130" i="10"/>
  <c r="Q130" i="10"/>
  <c r="R130" i="10"/>
  <c r="W130" i="10" s="1"/>
  <c r="U130" i="10"/>
  <c r="V130" i="10"/>
  <c r="M131" i="10"/>
  <c r="K131" i="10"/>
  <c r="L131" i="10"/>
  <c r="O131" i="10"/>
  <c r="Q131" i="10"/>
  <c r="R131" i="10"/>
  <c r="W131" i="10" s="1"/>
  <c r="U131" i="10"/>
  <c r="V131" i="10"/>
  <c r="M132" i="10"/>
  <c r="K132" i="10"/>
  <c r="L132" i="10"/>
  <c r="O132" i="10"/>
  <c r="Q132" i="10"/>
  <c r="R132" i="10"/>
  <c r="W132" i="10" s="1"/>
  <c r="U132" i="10"/>
  <c r="V132" i="10"/>
  <c r="M133" i="10"/>
  <c r="K133" i="10"/>
  <c r="L133" i="10"/>
  <c r="O133" i="10"/>
  <c r="Q133" i="10"/>
  <c r="R133" i="10"/>
  <c r="U133" i="10"/>
  <c r="V133" i="10"/>
  <c r="W133" i="10"/>
  <c r="M134" i="10"/>
  <c r="K134" i="10"/>
  <c r="L134" i="10"/>
  <c r="O134" i="10"/>
  <c r="Q134" i="10"/>
  <c r="R134" i="10"/>
  <c r="W134" i="10" s="1"/>
  <c r="U134" i="10"/>
  <c r="V134" i="10"/>
  <c r="M135" i="10"/>
  <c r="K135" i="10"/>
  <c r="L135" i="10"/>
  <c r="O135" i="10"/>
  <c r="Q135" i="10"/>
  <c r="R135" i="10"/>
  <c r="W135" i="10" s="1"/>
  <c r="U135" i="10"/>
  <c r="V135" i="10"/>
  <c r="M136" i="10"/>
  <c r="K136" i="10"/>
  <c r="L136" i="10"/>
  <c r="O136" i="10"/>
  <c r="Q136" i="10"/>
  <c r="R136" i="10"/>
  <c r="W136" i="10" s="1"/>
  <c r="U136" i="10"/>
  <c r="V136" i="10"/>
  <c r="M137" i="10"/>
  <c r="K137" i="10"/>
  <c r="L137" i="10"/>
  <c r="O137" i="10"/>
  <c r="Q137" i="10"/>
  <c r="R137" i="10"/>
  <c r="U137" i="10"/>
  <c r="V137" i="10"/>
  <c r="W137" i="10"/>
  <c r="M138" i="10"/>
  <c r="K138" i="10"/>
  <c r="L138" i="10"/>
  <c r="O138" i="10"/>
  <c r="Q138" i="10"/>
  <c r="R138" i="10"/>
  <c r="W138" i="10" s="1"/>
  <c r="U138" i="10"/>
  <c r="V138" i="10"/>
  <c r="M139" i="10"/>
  <c r="K139" i="10"/>
  <c r="L139" i="10"/>
  <c r="O139" i="10"/>
  <c r="Q139" i="10"/>
  <c r="R139" i="10"/>
  <c r="W139" i="10" s="1"/>
  <c r="U139" i="10"/>
  <c r="V139" i="10"/>
  <c r="K141" i="10"/>
  <c r="M141" i="10"/>
  <c r="O141" i="10"/>
  <c r="Q141" i="10"/>
  <c r="R141" i="10"/>
  <c r="W141" i="10" s="1"/>
  <c r="V141" i="10"/>
  <c r="A142" i="10"/>
  <c r="K142" i="10"/>
  <c r="L142" i="10"/>
  <c r="O142" i="10"/>
  <c r="Q142" i="10"/>
  <c r="R142" i="10"/>
  <c r="V142" i="10"/>
  <c r="W142" i="10"/>
  <c r="A143" i="10"/>
  <c r="C146" i="9" s="1"/>
  <c r="M143" i="10"/>
  <c r="O143" i="10"/>
  <c r="Q143" i="10"/>
  <c r="V143" i="10" s="1"/>
  <c r="R143" i="10"/>
  <c r="W143" i="10" s="1"/>
  <c r="K144" i="10"/>
  <c r="O144" i="10"/>
  <c r="Q144" i="10"/>
  <c r="V144" i="10" s="1"/>
  <c r="R144" i="10"/>
  <c r="K145" i="10"/>
  <c r="O145" i="10"/>
  <c r="Q145" i="10"/>
  <c r="R145" i="10"/>
  <c r="V145" i="10"/>
  <c r="W145" i="10"/>
  <c r="M146" i="10"/>
  <c r="O146" i="10"/>
  <c r="Q146" i="10"/>
  <c r="R146" i="10"/>
  <c r="W146" i="10" s="1"/>
  <c r="V146" i="10"/>
  <c r="M148" i="10"/>
  <c r="O148" i="10"/>
  <c r="Q148" i="10"/>
  <c r="R148" i="10"/>
  <c r="W148" i="10" s="1"/>
  <c r="V148" i="10"/>
  <c r="O150" i="10"/>
  <c r="Q150" i="10"/>
  <c r="V150" i="10" s="1"/>
  <c r="R150" i="10"/>
  <c r="W150" i="10"/>
  <c r="O151" i="10"/>
  <c r="Q151" i="10"/>
  <c r="V151" i="10" s="1"/>
  <c r="R151" i="10"/>
  <c r="W151" i="10" s="1"/>
  <c r="M152" i="10"/>
  <c r="O152" i="10"/>
  <c r="W152" i="10" s="1"/>
  <c r="Q152" i="10"/>
  <c r="R152" i="10"/>
  <c r="V152" i="10"/>
  <c r="K153" i="10"/>
  <c r="O153" i="10"/>
  <c r="Q153" i="10"/>
  <c r="R153" i="10"/>
  <c r="W153" i="10" s="1"/>
  <c r="V153" i="10"/>
  <c r="M154" i="10"/>
  <c r="O154" i="10"/>
  <c r="Q154" i="10"/>
  <c r="V154" i="10" s="1"/>
  <c r="R154" i="10"/>
  <c r="W154" i="10" s="1"/>
  <c r="K155" i="10"/>
  <c r="O155" i="10"/>
  <c r="Q155" i="10"/>
  <c r="V155" i="10" s="1"/>
  <c r="R155" i="10"/>
  <c r="W155" i="10" s="1"/>
  <c r="M156" i="10"/>
  <c r="O156" i="10"/>
  <c r="Q156" i="10"/>
  <c r="V156" i="10" s="1"/>
  <c r="R156" i="10"/>
  <c r="W156" i="10" s="1"/>
  <c r="O157" i="10"/>
  <c r="Q157" i="10"/>
  <c r="V157" i="10" s="1"/>
  <c r="R157" i="10"/>
  <c r="W157" i="10" s="1"/>
  <c r="K158" i="10"/>
  <c r="O158" i="10"/>
  <c r="Q158" i="10"/>
  <c r="R158" i="10"/>
  <c r="V158" i="10"/>
  <c r="W158" i="10"/>
  <c r="K159" i="10"/>
  <c r="O159" i="10"/>
  <c r="Q159" i="10"/>
  <c r="R159" i="10"/>
  <c r="W159" i="10" s="1"/>
  <c r="V159" i="10"/>
  <c r="O161" i="10"/>
  <c r="Q161" i="10"/>
  <c r="R161" i="10"/>
  <c r="W161" i="10" s="1"/>
  <c r="V161" i="10"/>
  <c r="A162" i="10"/>
  <c r="K162" i="10"/>
  <c r="O162" i="10"/>
  <c r="Q162" i="10"/>
  <c r="R162" i="10"/>
  <c r="W162" i="10" s="1"/>
  <c r="V162" i="10"/>
  <c r="A163" i="10"/>
  <c r="A169" i="10" s="1"/>
  <c r="O163" i="10"/>
  <c r="Q163" i="10"/>
  <c r="V163" i="10" s="1"/>
  <c r="R163" i="10"/>
  <c r="W163" i="10"/>
  <c r="K164" i="10"/>
  <c r="O164" i="10"/>
  <c r="W164" i="10" s="1"/>
  <c r="Q164" i="10"/>
  <c r="R164" i="10"/>
  <c r="V164" i="10"/>
  <c r="K165" i="10"/>
  <c r="L165" i="10"/>
  <c r="O165" i="10"/>
  <c r="Q165" i="10"/>
  <c r="R165" i="10"/>
  <c r="V165" i="10"/>
  <c r="K166" i="10"/>
  <c r="O166" i="10"/>
  <c r="Q166" i="10"/>
  <c r="V166" i="10" s="1"/>
  <c r="R166" i="10"/>
  <c r="W166" i="10" s="1"/>
  <c r="A168" i="10"/>
  <c r="K168" i="10"/>
  <c r="O168" i="10"/>
  <c r="Q168" i="10"/>
  <c r="R168" i="10"/>
  <c r="V168" i="10"/>
  <c r="K169" i="10"/>
  <c r="O169" i="10"/>
  <c r="Q169" i="10"/>
  <c r="R169" i="10"/>
  <c r="W169" i="10" s="1"/>
  <c r="V169" i="10"/>
  <c r="O170" i="10"/>
  <c r="Q170" i="10"/>
  <c r="V170" i="10" s="1"/>
  <c r="R170" i="10"/>
  <c r="W170" i="10"/>
  <c r="K171" i="10"/>
  <c r="O171" i="10"/>
  <c r="Q171" i="10"/>
  <c r="R171" i="10"/>
  <c r="V171" i="10"/>
  <c r="M172" i="10"/>
  <c r="O172" i="10"/>
  <c r="Q172" i="10"/>
  <c r="V172" i="10" s="1"/>
  <c r="R172" i="10"/>
  <c r="W172" i="10" s="1"/>
  <c r="K174" i="10"/>
  <c r="O174" i="10"/>
  <c r="Q174" i="10"/>
  <c r="R174" i="10"/>
  <c r="V174" i="10"/>
  <c r="M175" i="10"/>
  <c r="O175" i="10"/>
  <c r="Q175" i="10"/>
  <c r="V175" i="10" s="1"/>
  <c r="R175" i="10"/>
  <c r="W175" i="10" s="1"/>
  <c r="O176" i="10"/>
  <c r="W176" i="10" s="1"/>
  <c r="Q176" i="10"/>
  <c r="V176" i="10" s="1"/>
  <c r="R176" i="10"/>
  <c r="M177" i="10"/>
  <c r="O177" i="10"/>
  <c r="Q177" i="10"/>
  <c r="R177" i="10"/>
  <c r="V177" i="10"/>
  <c r="W177" i="10"/>
  <c r="O179" i="10"/>
  <c r="Q179" i="10"/>
  <c r="R179" i="10"/>
  <c r="V179" i="10"/>
  <c r="W179" i="10"/>
  <c r="K180" i="10"/>
  <c r="O180" i="10"/>
  <c r="Q180" i="10"/>
  <c r="R180" i="10"/>
  <c r="V180" i="10"/>
  <c r="W180" i="10"/>
  <c r="L182" i="10"/>
  <c r="O182" i="10"/>
  <c r="W182" i="10" s="1"/>
  <c r="Q182" i="10"/>
  <c r="V182" i="10" s="1"/>
  <c r="R182" i="10"/>
  <c r="K183" i="10"/>
  <c r="O183" i="10"/>
  <c r="Q183" i="10"/>
  <c r="R183" i="10"/>
  <c r="W183" i="10" s="1"/>
  <c r="V183" i="10"/>
  <c r="M184" i="10"/>
  <c r="O184" i="10"/>
  <c r="Q184" i="10"/>
  <c r="R184" i="10"/>
  <c r="V184" i="10"/>
  <c r="W184" i="10"/>
  <c r="O185" i="10"/>
  <c r="Q185" i="10"/>
  <c r="V185" i="10" s="1"/>
  <c r="R185" i="10"/>
  <c r="W185" i="10" s="1"/>
  <c r="M186" i="10"/>
  <c r="O186" i="10"/>
  <c r="Q186" i="10"/>
  <c r="V186" i="10" s="1"/>
  <c r="R186" i="10"/>
  <c r="W186" i="10"/>
  <c r="M187" i="10"/>
  <c r="O187" i="10"/>
  <c r="W187" i="10" s="1"/>
  <c r="Q187" i="10"/>
  <c r="R187" i="10"/>
  <c r="V187" i="10"/>
  <c r="K188" i="10"/>
  <c r="O188" i="10"/>
  <c r="Q188" i="10"/>
  <c r="R188" i="10"/>
  <c r="V188" i="10"/>
  <c r="W188" i="10"/>
  <c r="K189" i="10"/>
  <c r="M189" i="10"/>
  <c r="O189" i="10"/>
  <c r="Q189" i="10"/>
  <c r="R189" i="10"/>
  <c r="W189" i="10" s="1"/>
  <c r="V189" i="10"/>
  <c r="M190" i="10"/>
  <c r="O190" i="10"/>
  <c r="Q190" i="10"/>
  <c r="V190" i="10" s="1"/>
  <c r="R190" i="10"/>
  <c r="W190" i="10"/>
  <c r="O191" i="10"/>
  <c r="Q191" i="10"/>
  <c r="V191" i="10" s="1"/>
  <c r="R191" i="10"/>
  <c r="W191" i="10" s="1"/>
  <c r="K192" i="10"/>
  <c r="O192" i="10"/>
  <c r="Q192" i="10"/>
  <c r="R192" i="10"/>
  <c r="W192" i="10" s="1"/>
  <c r="V192" i="10"/>
  <c r="K193" i="10"/>
  <c r="O193" i="10"/>
  <c r="Q193" i="10"/>
  <c r="V193" i="10" s="1"/>
  <c r="R193" i="10"/>
  <c r="W193" i="10" s="1"/>
  <c r="M194" i="10"/>
  <c r="O194" i="10"/>
  <c r="Q194" i="10"/>
  <c r="V194" i="10" s="1"/>
  <c r="R194" i="10"/>
  <c r="W194" i="10"/>
  <c r="K195" i="10"/>
  <c r="O195" i="10"/>
  <c r="Q195" i="10"/>
  <c r="V195" i="10" s="1"/>
  <c r="R195" i="10"/>
  <c r="W195" i="10"/>
  <c r="K196" i="10"/>
  <c r="O196" i="10"/>
  <c r="Q196" i="10"/>
  <c r="R196" i="10"/>
  <c r="V196" i="10"/>
  <c r="W196" i="10"/>
  <c r="K197" i="10"/>
  <c r="O197" i="10"/>
  <c r="Q197" i="10"/>
  <c r="R197" i="10"/>
  <c r="W197" i="10" s="1"/>
  <c r="V197" i="10"/>
  <c r="K199" i="10"/>
  <c r="L199" i="10"/>
  <c r="M199" i="10"/>
  <c r="Q199" i="10"/>
  <c r="R199" i="10"/>
  <c r="V199" i="10"/>
  <c r="W199" i="10"/>
  <c r="O201" i="10"/>
  <c r="Q201" i="10"/>
  <c r="R201" i="10"/>
  <c r="V201" i="10"/>
  <c r="K202" i="10"/>
  <c r="L202" i="10"/>
  <c r="O202" i="10"/>
  <c r="W202" i="10" s="1"/>
  <c r="Q202" i="10"/>
  <c r="R202" i="10"/>
  <c r="V202" i="10"/>
  <c r="O204" i="10"/>
  <c r="W204" i="10" s="1"/>
  <c r="Q204" i="10"/>
  <c r="R204" i="10"/>
  <c r="V204" i="10"/>
  <c r="F183" i="9"/>
  <c r="D164" i="9"/>
  <c r="D165" i="9"/>
  <c r="D166" i="9"/>
  <c r="D167" i="9"/>
  <c r="D168" i="9"/>
  <c r="D169" i="9"/>
  <c r="D171" i="9"/>
  <c r="D172" i="9"/>
  <c r="D173" i="9"/>
  <c r="D174" i="9"/>
  <c r="D175" i="9"/>
  <c r="D177" i="9"/>
  <c r="D178" i="9"/>
  <c r="D179" i="9"/>
  <c r="D180" i="9"/>
  <c r="D182" i="9"/>
  <c r="D183" i="9"/>
  <c r="E183" i="9"/>
  <c r="C202" i="9"/>
  <c r="C204" i="9"/>
  <c r="C200" i="9"/>
  <c r="C199" i="9"/>
  <c r="C198" i="9"/>
  <c r="C197" i="9"/>
  <c r="C196" i="9"/>
  <c r="C195" i="9"/>
  <c r="C194" i="9"/>
  <c r="C193" i="9"/>
  <c r="C192" i="9"/>
  <c r="C191" i="9"/>
  <c r="C190" i="9"/>
  <c r="C189" i="9"/>
  <c r="C188" i="9"/>
  <c r="C187" i="9"/>
  <c r="C186" i="9"/>
  <c r="C185" i="9"/>
  <c r="C172" i="9"/>
  <c r="C171" i="9"/>
  <c r="C166" i="9"/>
  <c r="C165" i="9"/>
  <c r="C164" i="9"/>
  <c r="C151" i="9"/>
  <c r="C27" i="9"/>
  <c r="C28" i="9"/>
  <c r="C29" i="9"/>
  <c r="C31" i="9"/>
  <c r="C32" i="9"/>
  <c r="C33" i="9"/>
  <c r="C34" i="9"/>
  <c r="C145" i="9"/>
  <c r="C147" i="9"/>
  <c r="C148" i="9"/>
  <c r="C149" i="9"/>
  <c r="C144" i="9"/>
  <c r="E149" i="9"/>
  <c r="F149" i="9"/>
  <c r="F145" i="9"/>
  <c r="F146" i="9"/>
  <c r="F147" i="9"/>
  <c r="F148" i="9"/>
  <c r="F144" i="9"/>
  <c r="E145" i="9"/>
  <c r="E146" i="9"/>
  <c r="E147" i="9"/>
  <c r="E148" i="9"/>
  <c r="E144" i="9"/>
  <c r="C25" i="9"/>
  <c r="E25" i="9"/>
  <c r="F25" i="9"/>
  <c r="E27" i="9"/>
  <c r="F27" i="9"/>
  <c r="E28" i="9"/>
  <c r="F28" i="9"/>
  <c r="E29" i="9"/>
  <c r="F29" i="9"/>
  <c r="E31" i="9"/>
  <c r="F31" i="9"/>
  <c r="E32" i="9"/>
  <c r="F32" i="9"/>
  <c r="E33" i="9"/>
  <c r="F33" i="9"/>
  <c r="E34" i="9"/>
  <c r="F34" i="9"/>
  <c r="B35" i="9"/>
  <c r="C36" i="9"/>
  <c r="E36" i="9"/>
  <c r="F36" i="9"/>
  <c r="C37" i="9"/>
  <c r="E37" i="9"/>
  <c r="F37" i="9"/>
  <c r="C38" i="9"/>
  <c r="E38" i="9"/>
  <c r="F38" i="9"/>
  <c r="C39" i="9"/>
  <c r="E39" i="9"/>
  <c r="F39" i="9"/>
  <c r="C40" i="9"/>
  <c r="E40" i="9"/>
  <c r="F40" i="9"/>
  <c r="C41" i="9"/>
  <c r="E41" i="9"/>
  <c r="F41" i="9"/>
  <c r="C42" i="9"/>
  <c r="E42" i="9"/>
  <c r="F42" i="9"/>
  <c r="C43" i="9"/>
  <c r="E43" i="9"/>
  <c r="F43" i="9"/>
  <c r="C44" i="9"/>
  <c r="E44" i="9"/>
  <c r="F44" i="9"/>
  <c r="C45" i="9"/>
  <c r="E45" i="9"/>
  <c r="F45" i="9"/>
  <c r="C47" i="9"/>
  <c r="E47" i="9"/>
  <c r="B48" i="9"/>
  <c r="C49" i="9"/>
  <c r="E49" i="9"/>
  <c r="F49" i="9"/>
  <c r="C50" i="9"/>
  <c r="E50" i="9"/>
  <c r="F50" i="9"/>
  <c r="C51" i="9"/>
  <c r="E51" i="9"/>
  <c r="F51" i="9"/>
  <c r="C52" i="9"/>
  <c r="E52" i="9"/>
  <c r="F52" i="9"/>
  <c r="C53" i="9"/>
  <c r="E53" i="9"/>
  <c r="F53" i="9"/>
  <c r="C54" i="9"/>
  <c r="E54" i="9"/>
  <c r="F54" i="9"/>
  <c r="E55" i="9"/>
  <c r="F55" i="9"/>
  <c r="E56" i="9"/>
  <c r="F56" i="9"/>
  <c r="E58" i="9"/>
  <c r="F58" i="9"/>
  <c r="E59" i="9"/>
  <c r="F59" i="9"/>
  <c r="E60" i="9"/>
  <c r="F60" i="9"/>
  <c r="E61" i="9"/>
  <c r="F61" i="9"/>
  <c r="E62" i="9"/>
  <c r="F62" i="9"/>
  <c r="E63" i="9"/>
  <c r="F63" i="9"/>
  <c r="E64" i="9"/>
  <c r="F64" i="9"/>
  <c r="B65" i="9"/>
  <c r="C66" i="9"/>
  <c r="E66" i="9"/>
  <c r="F66" i="9"/>
  <c r="C67" i="9"/>
  <c r="E67" i="9"/>
  <c r="F67" i="9"/>
  <c r="C68" i="9"/>
  <c r="E68" i="9"/>
  <c r="F68" i="9"/>
  <c r="C69" i="9"/>
  <c r="E69" i="9"/>
  <c r="F69" i="9"/>
  <c r="C70" i="9"/>
  <c r="E70" i="9"/>
  <c r="F70" i="9"/>
  <c r="C71" i="9"/>
  <c r="E71" i="9"/>
  <c r="F71" i="9"/>
  <c r="C72" i="9"/>
  <c r="E72" i="9"/>
  <c r="F72" i="9"/>
  <c r="C73" i="9"/>
  <c r="E73" i="9"/>
  <c r="F73" i="9"/>
  <c r="E74" i="9"/>
  <c r="F74" i="9"/>
  <c r="E76" i="9"/>
  <c r="F76" i="9"/>
  <c r="E77" i="9"/>
  <c r="F77" i="9"/>
  <c r="E78" i="9"/>
  <c r="F78" i="9"/>
  <c r="E79" i="9"/>
  <c r="F79" i="9"/>
  <c r="E80" i="9"/>
  <c r="F80" i="9"/>
  <c r="E82" i="9"/>
  <c r="F82" i="9"/>
  <c r="E83" i="9"/>
  <c r="F83" i="9"/>
  <c r="E84" i="9"/>
  <c r="F84" i="9"/>
  <c r="E85" i="9"/>
  <c r="F85" i="9"/>
  <c r="E86" i="9"/>
  <c r="F86" i="9"/>
  <c r="E87" i="9"/>
  <c r="F87" i="9"/>
  <c r="E88" i="9"/>
  <c r="F88" i="9"/>
  <c r="E89" i="9"/>
  <c r="F89" i="9"/>
  <c r="E90" i="9"/>
  <c r="F90" i="9"/>
  <c r="E91" i="9"/>
  <c r="F91" i="9"/>
  <c r="C93" i="9"/>
  <c r="E93" i="9"/>
  <c r="C95" i="9"/>
  <c r="E95" i="9"/>
  <c r="F95" i="9"/>
  <c r="C96" i="9"/>
  <c r="E96" i="9"/>
  <c r="F96" i="9"/>
  <c r="C97" i="9"/>
  <c r="E97" i="9"/>
  <c r="F97" i="9"/>
  <c r="C98" i="9"/>
  <c r="E98" i="9"/>
  <c r="F98" i="9"/>
  <c r="C99" i="9"/>
  <c r="E99" i="9"/>
  <c r="F99" i="9"/>
  <c r="C100" i="9"/>
  <c r="E100" i="9"/>
  <c r="F100" i="9"/>
  <c r="C101" i="9"/>
  <c r="E101" i="9"/>
  <c r="F101" i="9"/>
  <c r="C102" i="9"/>
  <c r="E102" i="9"/>
  <c r="F102" i="9"/>
  <c r="E103" i="9"/>
  <c r="F103" i="9"/>
  <c r="E105" i="9"/>
  <c r="F105" i="9"/>
  <c r="E106" i="9"/>
  <c r="F106" i="9"/>
  <c r="E107" i="9"/>
  <c r="F107" i="9"/>
  <c r="E108" i="9"/>
  <c r="F108" i="9"/>
  <c r="E109" i="9"/>
  <c r="F109" i="9"/>
  <c r="E110" i="9"/>
  <c r="F110" i="9"/>
  <c r="E112" i="9"/>
  <c r="F112" i="9"/>
  <c r="E113" i="9"/>
  <c r="F113" i="9"/>
  <c r="E114" i="9"/>
  <c r="F114" i="9"/>
  <c r="E115" i="9"/>
  <c r="F115" i="9"/>
  <c r="E116" i="9"/>
  <c r="F116" i="9"/>
  <c r="E117" i="9"/>
  <c r="F117" i="9"/>
  <c r="E118" i="9"/>
  <c r="F118" i="9"/>
  <c r="E119" i="9"/>
  <c r="F119" i="9"/>
  <c r="E120" i="9"/>
  <c r="F120" i="9"/>
  <c r="E121" i="9"/>
  <c r="F121" i="9"/>
  <c r="B122" i="9"/>
  <c r="C123" i="9"/>
  <c r="E123" i="9"/>
  <c r="F123" i="9"/>
  <c r="C124" i="9"/>
  <c r="E124" i="9"/>
  <c r="F124" i="9"/>
  <c r="C125" i="9"/>
  <c r="E125" i="9"/>
  <c r="F125" i="9"/>
  <c r="C126" i="9"/>
  <c r="E126" i="9"/>
  <c r="F126" i="9"/>
  <c r="E127" i="9"/>
  <c r="F127" i="9"/>
  <c r="E128" i="9"/>
  <c r="F128" i="9"/>
  <c r="E129" i="9"/>
  <c r="F129" i="9"/>
  <c r="E130" i="9"/>
  <c r="F130" i="9"/>
  <c r="E131" i="9"/>
  <c r="F131" i="9"/>
  <c r="E133" i="9"/>
  <c r="F133" i="9"/>
  <c r="E134" i="9"/>
  <c r="F134" i="9"/>
  <c r="E135" i="9"/>
  <c r="F135" i="9"/>
  <c r="E136" i="9"/>
  <c r="F136" i="9"/>
  <c r="E137" i="9"/>
  <c r="F137" i="9"/>
  <c r="E138" i="9"/>
  <c r="F138" i="9"/>
  <c r="E139" i="9"/>
  <c r="F139" i="9"/>
  <c r="E140" i="9"/>
  <c r="F140" i="9"/>
  <c r="E141" i="9"/>
  <c r="F141" i="9"/>
  <c r="E142" i="9"/>
  <c r="F142" i="9"/>
  <c r="B143" i="9"/>
  <c r="E151" i="9"/>
  <c r="F151" i="9"/>
  <c r="E153" i="9"/>
  <c r="F153" i="9"/>
  <c r="E154" i="9"/>
  <c r="F154" i="9"/>
  <c r="E155" i="9"/>
  <c r="F155" i="9"/>
  <c r="E156" i="9"/>
  <c r="F156" i="9"/>
  <c r="E157" i="9"/>
  <c r="F157" i="9"/>
  <c r="E158" i="9"/>
  <c r="F158" i="9"/>
  <c r="E159" i="9"/>
  <c r="F159" i="9"/>
  <c r="E160" i="9"/>
  <c r="F160" i="9"/>
  <c r="E161" i="9"/>
  <c r="F161" i="9"/>
  <c r="E162" i="9"/>
  <c r="F162" i="9"/>
  <c r="B163" i="9"/>
  <c r="E164" i="9"/>
  <c r="F164" i="9"/>
  <c r="E165" i="9"/>
  <c r="F165" i="9"/>
  <c r="E166" i="9"/>
  <c r="F166" i="9"/>
  <c r="E167" i="9"/>
  <c r="F167" i="9"/>
  <c r="E168" i="9"/>
  <c r="F168" i="9"/>
  <c r="E169" i="9"/>
  <c r="F169" i="9"/>
  <c r="E171" i="9"/>
  <c r="F171" i="9"/>
  <c r="E172" i="9"/>
  <c r="F172" i="9"/>
  <c r="E173" i="9"/>
  <c r="F173" i="9"/>
  <c r="E174" i="9"/>
  <c r="F174" i="9"/>
  <c r="E175" i="9"/>
  <c r="F175" i="9"/>
  <c r="E177" i="9"/>
  <c r="F177" i="9"/>
  <c r="E178" i="9"/>
  <c r="F178" i="9"/>
  <c r="E179" i="9"/>
  <c r="F179" i="9"/>
  <c r="E180" i="9"/>
  <c r="F180" i="9"/>
  <c r="E182" i="9"/>
  <c r="F182" i="9"/>
  <c r="E185" i="9"/>
  <c r="F185" i="9"/>
  <c r="E186" i="9"/>
  <c r="F186" i="9"/>
  <c r="E187" i="9"/>
  <c r="F187" i="9"/>
  <c r="E188" i="9"/>
  <c r="F188" i="9"/>
  <c r="E189" i="9"/>
  <c r="F189" i="9"/>
  <c r="E190" i="9"/>
  <c r="F190" i="9"/>
  <c r="E191" i="9"/>
  <c r="F191" i="9"/>
  <c r="E192" i="9"/>
  <c r="F192" i="9"/>
  <c r="E193" i="9"/>
  <c r="F193" i="9"/>
  <c r="E194" i="9"/>
  <c r="F194" i="9"/>
  <c r="E195" i="9"/>
  <c r="F195" i="9"/>
  <c r="E196" i="9"/>
  <c r="F196" i="9"/>
  <c r="E197" i="9"/>
  <c r="F197" i="9"/>
  <c r="E198" i="9"/>
  <c r="F198" i="9"/>
  <c r="E199" i="9"/>
  <c r="F199" i="9"/>
  <c r="E200" i="9"/>
  <c r="F200" i="9"/>
  <c r="B201" i="9"/>
  <c r="E202" i="9"/>
  <c r="F202" i="9"/>
  <c r="C205" i="9"/>
  <c r="E205" i="9"/>
  <c r="F205" i="9"/>
  <c r="C206" i="9"/>
  <c r="E206" i="9"/>
  <c r="F206" i="9"/>
  <c r="F208" i="9"/>
  <c r="L204" i="10" l="1"/>
  <c r="M169" i="10"/>
  <c r="L190" i="10"/>
  <c r="M192" i="10"/>
  <c r="K102" i="10"/>
  <c r="M162" i="10"/>
  <c r="K177" i="10"/>
  <c r="L177" i="10"/>
  <c r="L162" i="10"/>
  <c r="L201" i="10"/>
  <c r="L65" i="10"/>
  <c r="L172" i="10"/>
  <c r="M159" i="10"/>
  <c r="K184" i="10"/>
  <c r="M183" i="10"/>
  <c r="K172" i="10"/>
  <c r="M171" i="10"/>
  <c r="L210" i="9"/>
  <c r="L143" i="10"/>
  <c r="L71" i="10"/>
  <c r="K111" i="10"/>
  <c r="K106" i="10"/>
  <c r="L185" i="10"/>
  <c r="L184" i="10"/>
  <c r="M180" i="10"/>
  <c r="M58" i="10"/>
  <c r="L56" i="10"/>
  <c r="L61" i="10"/>
  <c r="M196" i="10"/>
  <c r="K143" i="10"/>
  <c r="K113" i="10"/>
  <c r="M204" i="10"/>
  <c r="L196" i="10"/>
  <c r="M93" i="10"/>
  <c r="K204" i="10"/>
  <c r="M195" i="10"/>
  <c r="L153" i="10"/>
  <c r="L168" i="10"/>
  <c r="M165" i="10"/>
  <c r="M164" i="10"/>
  <c r="K103" i="10"/>
  <c r="M100" i="10"/>
  <c r="M98" i="10"/>
  <c r="K190" i="10"/>
  <c r="M158" i="10"/>
  <c r="L158" i="10"/>
  <c r="L154" i="10"/>
  <c r="M153" i="10"/>
  <c r="L150" i="10"/>
  <c r="M112" i="10"/>
  <c r="K97" i="10"/>
  <c r="K94" i="10"/>
  <c r="M197" i="10"/>
  <c r="M188" i="10"/>
  <c r="L146" i="10"/>
  <c r="M79" i="10"/>
  <c r="L76" i="10"/>
  <c r="M74" i="10"/>
  <c r="L186" i="10"/>
  <c r="L175" i="10"/>
  <c r="M166" i="10"/>
  <c r="L159" i="10"/>
  <c r="K146" i="10"/>
  <c r="M92" i="10"/>
  <c r="L79" i="10"/>
  <c r="K56" i="10"/>
  <c r="L197" i="10"/>
  <c r="L188" i="10"/>
  <c r="K185" i="10"/>
  <c r="L161" i="10"/>
  <c r="K186" i="10"/>
  <c r="K175" i="10"/>
  <c r="M174" i="10"/>
  <c r="L166" i="10"/>
  <c r="L152" i="10"/>
  <c r="M145" i="10"/>
  <c r="M144" i="10"/>
  <c r="M116" i="10"/>
  <c r="M105" i="10"/>
  <c r="M96" i="10"/>
  <c r="L74" i="10"/>
  <c r="M73" i="10"/>
  <c r="M71" i="10"/>
  <c r="M55" i="10"/>
  <c r="M6" i="10"/>
  <c r="L174" i="10"/>
  <c r="L145" i="10"/>
  <c r="L144" i="10"/>
  <c r="K68" i="10"/>
  <c r="L68" i="10"/>
  <c r="M61" i="10"/>
  <c r="M201" i="10"/>
  <c r="L194" i="10"/>
  <c r="L148" i="10"/>
  <c r="L195" i="10"/>
  <c r="L189" i="10"/>
  <c r="L180" i="10"/>
  <c r="L171" i="10"/>
  <c r="L169" i="10"/>
  <c r="M161" i="10"/>
  <c r="K154" i="10"/>
  <c r="K150" i="10"/>
  <c r="M142" i="10"/>
  <c r="M202" i="10"/>
  <c r="K194" i="10"/>
  <c r="L192" i="10"/>
  <c r="N205" i="10"/>
  <c r="M168" i="10"/>
  <c r="K161" i="10"/>
  <c r="K148" i="10"/>
  <c r="L58" i="10"/>
  <c r="L17" i="9"/>
  <c r="L19" i="9"/>
  <c r="L14" i="9"/>
  <c r="L13" i="9"/>
  <c r="L16" i="9"/>
  <c r="L11" i="9"/>
  <c r="A144" i="10"/>
  <c r="A145" i="10" s="1"/>
  <c r="A146" i="10" s="1"/>
  <c r="A148" i="10" s="1"/>
  <c r="L205" i="10"/>
  <c r="K191" i="10"/>
  <c r="L191" i="10"/>
  <c r="L151" i="10"/>
  <c r="M151" i="10"/>
  <c r="K151" i="10"/>
  <c r="A150" i="10"/>
  <c r="C153" i="9" s="1"/>
  <c r="A151" i="10"/>
  <c r="C127" i="9"/>
  <c r="A125" i="10"/>
  <c r="W201" i="10"/>
  <c r="A102" i="10"/>
  <c r="C103" i="9"/>
  <c r="K201" i="10"/>
  <c r="L179" i="10"/>
  <c r="M179" i="10"/>
  <c r="K179" i="10"/>
  <c r="W144" i="10"/>
  <c r="L163" i="10"/>
  <c r="M163" i="10"/>
  <c r="K163" i="10"/>
  <c r="M193" i="10"/>
  <c r="K187" i="10"/>
  <c r="L187" i="10"/>
  <c r="M182" i="10"/>
  <c r="K182" i="10"/>
  <c r="W174" i="10"/>
  <c r="W171" i="10"/>
  <c r="L193" i="10"/>
  <c r="M191" i="10"/>
  <c r="M185" i="10"/>
  <c r="L176" i="10"/>
  <c r="M176" i="10"/>
  <c r="K176" i="10"/>
  <c r="W168" i="10"/>
  <c r="M157" i="10"/>
  <c r="L157" i="10"/>
  <c r="K157" i="10"/>
  <c r="M170" i="10"/>
  <c r="K170" i="10"/>
  <c r="L170" i="10"/>
  <c r="W165" i="10"/>
  <c r="A64" i="10"/>
  <c r="A62" i="10"/>
  <c r="C74" i="9" s="1"/>
  <c r="L156" i="10"/>
  <c r="M155" i="10"/>
  <c r="M150" i="10"/>
  <c r="K117" i="10"/>
  <c r="K109" i="10"/>
  <c r="W90" i="10"/>
  <c r="L82" i="10"/>
  <c r="W79" i="10"/>
  <c r="K78" i="10"/>
  <c r="L78" i="10"/>
  <c r="M78" i="10"/>
  <c r="L77" i="10"/>
  <c r="M77" i="10"/>
  <c r="K77" i="10"/>
  <c r="A164" i="10"/>
  <c r="K156" i="10"/>
  <c r="L155" i="10"/>
  <c r="K104" i="10"/>
  <c r="W86" i="10"/>
  <c r="K118" i="10"/>
  <c r="M118" i="10"/>
  <c r="M95" i="10"/>
  <c r="K95" i="10"/>
  <c r="W111" i="10"/>
  <c r="K110" i="10"/>
  <c r="M110" i="10"/>
  <c r="K107" i="10"/>
  <c r="M107" i="10"/>
  <c r="W97" i="10"/>
  <c r="L81" i="10"/>
  <c r="W50" i="10"/>
  <c r="M99" i="10"/>
  <c r="K99" i="10"/>
  <c r="K70" i="10"/>
  <c r="L70" i="10"/>
  <c r="M70" i="10"/>
  <c r="L141" i="10"/>
  <c r="W106" i="10"/>
  <c r="W41" i="10"/>
  <c r="L164" i="10"/>
  <c r="K152" i="10"/>
  <c r="W102" i="10"/>
  <c r="L90" i="10"/>
  <c r="L183" i="10"/>
  <c r="G205" i="10"/>
  <c r="W124" i="10"/>
  <c r="K114" i="10"/>
  <c r="M114" i="10"/>
  <c r="K62" i="10"/>
  <c r="L62" i="10"/>
  <c r="M62" i="10"/>
  <c r="L59" i="10"/>
  <c r="M59" i="10"/>
  <c r="W64" i="10"/>
  <c r="K57" i="10"/>
  <c r="L57" i="10"/>
  <c r="M57" i="10"/>
  <c r="K54" i="10"/>
  <c r="L54" i="10"/>
  <c r="M54" i="10"/>
  <c r="A46" i="10"/>
  <c r="C58" i="9" s="1"/>
  <c r="A43" i="10"/>
  <c r="W67" i="10"/>
  <c r="K66" i="10"/>
  <c r="L66" i="10"/>
  <c r="M66" i="10"/>
  <c r="L75" i="10"/>
  <c r="M75" i="10"/>
  <c r="L72" i="10"/>
  <c r="M72" i="10"/>
  <c r="K7" i="10"/>
  <c r="L73" i="10"/>
  <c r="L64" i="10"/>
  <c r="M60" i="10"/>
  <c r="L55" i="10"/>
  <c r="L60" i="10"/>
  <c r="M8" i="10"/>
  <c r="A47" i="10" l="1"/>
  <c r="C59" i="9" s="1"/>
  <c r="A44" i="10"/>
  <c r="C55" i="9"/>
  <c r="A152" i="10"/>
  <c r="C154" i="9"/>
  <c r="A165" i="10"/>
  <c r="A172" i="10"/>
  <c r="C175" i="9" s="1"/>
  <c r="A170" i="10"/>
  <c r="C173" i="9" s="1"/>
  <c r="C167" i="9"/>
  <c r="A65" i="10"/>
  <c r="C76" i="9"/>
  <c r="A103" i="10"/>
  <c r="C105" i="9"/>
  <c r="A126" i="10"/>
  <c r="C128" i="9"/>
  <c r="A127" i="10" l="1"/>
  <c r="C129" i="9"/>
  <c r="A166" i="10"/>
  <c r="C168" i="9"/>
  <c r="A171" i="10"/>
  <c r="C174" i="9" s="1"/>
  <c r="A174" i="10"/>
  <c r="C177" i="9" s="1"/>
  <c r="A104" i="10"/>
  <c r="C106" i="9"/>
  <c r="A153" i="10"/>
  <c r="C155" i="9"/>
  <c r="A66" i="10"/>
  <c r="C77" i="9"/>
  <c r="A48" i="10"/>
  <c r="C56" i="9"/>
  <c r="A105" i="10" l="1"/>
  <c r="C107" i="9"/>
  <c r="A49" i="10"/>
  <c r="C60" i="9"/>
  <c r="A67" i="10"/>
  <c r="C78" i="9"/>
  <c r="A175" i="10"/>
  <c r="A176" i="10"/>
  <c r="C169" i="9"/>
  <c r="A154" i="10"/>
  <c r="C156" i="9"/>
  <c r="A128" i="10"/>
  <c r="A130" i="10"/>
  <c r="C133" i="9" s="1"/>
  <c r="C130" i="9"/>
  <c r="A106" i="10" l="1"/>
  <c r="C108" i="9"/>
  <c r="A180" i="10"/>
  <c r="C179" i="9"/>
  <c r="C178" i="9"/>
  <c r="A179" i="10"/>
  <c r="C182" i="9" s="1"/>
  <c r="A68" i="10"/>
  <c r="A70" i="10"/>
  <c r="C82" i="9" s="1"/>
  <c r="C79" i="9"/>
  <c r="A131" i="10"/>
  <c r="C131" i="9"/>
  <c r="A50" i="10"/>
  <c r="C61" i="9"/>
  <c r="A155" i="10"/>
  <c r="C157" i="9"/>
  <c r="A51" i="10" l="1"/>
  <c r="C62" i="9"/>
  <c r="A71" i="10"/>
  <c r="C80" i="9"/>
  <c r="A156" i="10"/>
  <c r="C158" i="9"/>
  <c r="C183" i="9"/>
  <c r="A177" i="10"/>
  <c r="C180" i="9" s="1"/>
  <c r="A132" i="10"/>
  <c r="C134" i="9"/>
  <c r="A109" i="10"/>
  <c r="C112" i="9" s="1"/>
  <c r="A107" i="10"/>
  <c r="C109" i="9"/>
  <c r="G25" i="9"/>
  <c r="G27" i="9"/>
  <c r="G28" i="9"/>
  <c r="G29" i="9"/>
  <c r="G31" i="9"/>
  <c r="G32" i="9"/>
  <c r="G33" i="9"/>
  <c r="G34" i="9"/>
  <c r="G36" i="9"/>
  <c r="G37" i="9"/>
  <c r="G38" i="9"/>
  <c r="G39" i="9"/>
  <c r="G40" i="9"/>
  <c r="G41" i="9"/>
  <c r="G42" i="9"/>
  <c r="G43" i="9"/>
  <c r="G44" i="9"/>
  <c r="G45" i="9"/>
  <c r="G49" i="9"/>
  <c r="G50" i="9"/>
  <c r="G51" i="9"/>
  <c r="G52" i="9"/>
  <c r="G53" i="9"/>
  <c r="G54" i="9"/>
  <c r="G55" i="9"/>
  <c r="G56" i="9"/>
  <c r="G58" i="9"/>
  <c r="G59" i="9"/>
  <c r="G60" i="9"/>
  <c r="G61" i="9"/>
  <c r="G62" i="9"/>
  <c r="G63" i="9"/>
  <c r="G64" i="9"/>
  <c r="G95" i="9"/>
  <c r="G96" i="9"/>
  <c r="G97" i="9"/>
  <c r="G98" i="9"/>
  <c r="G99" i="9"/>
  <c r="G100" i="9"/>
  <c r="G101" i="9"/>
  <c r="G102" i="9"/>
  <c r="G103" i="9"/>
  <c r="G105" i="9"/>
  <c r="G106" i="9"/>
  <c r="G107" i="9"/>
  <c r="G108" i="9"/>
  <c r="G109" i="9"/>
  <c r="G110" i="9"/>
  <c r="G112" i="9"/>
  <c r="G113" i="9"/>
  <c r="G114" i="9"/>
  <c r="G115" i="9"/>
  <c r="G116" i="9"/>
  <c r="G117" i="9"/>
  <c r="G118" i="9"/>
  <c r="G119" i="9"/>
  <c r="G120" i="9"/>
  <c r="G121" i="9"/>
  <c r="G123" i="9"/>
  <c r="G124" i="9"/>
  <c r="G125" i="9"/>
  <c r="G126" i="9"/>
  <c r="G127" i="9"/>
  <c r="G128" i="9"/>
  <c r="G129" i="9"/>
  <c r="G130" i="9"/>
  <c r="G131" i="9"/>
  <c r="G133" i="9"/>
  <c r="G134" i="9"/>
  <c r="G135" i="9"/>
  <c r="G136" i="9"/>
  <c r="G137" i="9"/>
  <c r="G138" i="9"/>
  <c r="G139" i="9"/>
  <c r="G140" i="9"/>
  <c r="G141" i="9"/>
  <c r="G142" i="9"/>
  <c r="E122" i="3"/>
  <c r="C159" i="9" l="1"/>
  <c r="A157" i="10"/>
  <c r="A158" i="10"/>
  <c r="C161" i="9" s="1"/>
  <c r="A110" i="10"/>
  <c r="C110" i="9"/>
  <c r="A72" i="10"/>
  <c r="C83" i="9"/>
  <c r="A133" i="10"/>
  <c r="C135" i="9"/>
  <c r="A52" i="10"/>
  <c r="C64" i="9" s="1"/>
  <c r="C63" i="9"/>
  <c r="C136" i="9" l="1"/>
  <c r="A134" i="10"/>
  <c r="A73" i="10"/>
  <c r="C84" i="9"/>
  <c r="A111" i="10"/>
  <c r="C113" i="9"/>
  <c r="A159" i="10"/>
  <c r="C162" i="9" s="1"/>
  <c r="C160" i="9"/>
  <c r="E114" i="3"/>
  <c r="E104" i="3"/>
  <c r="A74" i="10" l="1"/>
  <c r="C85" i="9"/>
  <c r="A135" i="10"/>
  <c r="C137" i="9"/>
  <c r="A112" i="10"/>
  <c r="C114" i="9"/>
  <c r="A113" i="10" l="1"/>
  <c r="C115" i="9"/>
  <c r="A136" i="10"/>
  <c r="C138" i="9"/>
  <c r="C86" i="9"/>
  <c r="A75" i="10"/>
  <c r="A76" i="10" l="1"/>
  <c r="C87" i="9"/>
  <c r="A137" i="10"/>
  <c r="A138" i="10"/>
  <c r="C141" i="9" s="1"/>
  <c r="C139" i="9"/>
  <c r="A114" i="10"/>
  <c r="C116" i="9"/>
  <c r="A115" i="10" l="1"/>
  <c r="C117" i="9"/>
  <c r="A139" i="10"/>
  <c r="C142" i="9" s="1"/>
  <c r="C140" i="9"/>
  <c r="A77" i="10"/>
  <c r="C89" i="9" s="1"/>
  <c r="A78" i="10"/>
  <c r="C88" i="9"/>
  <c r="A79" i="10" l="1"/>
  <c r="C91" i="9" s="1"/>
  <c r="C90" i="9"/>
  <c r="A116" i="10"/>
  <c r="C118" i="9"/>
  <c r="A117" i="10" l="1"/>
  <c r="C119" i="9"/>
  <c r="A118" i="10" l="1"/>
  <c r="C121" i="9" s="1"/>
  <c r="C120" i="9"/>
  <c r="E9" i="2" l="1"/>
  <c r="E10" i="2" l="1"/>
  <c r="L18" i="9" l="1"/>
  <c r="B24" i="9"/>
  <c r="L15" i="9" l="1"/>
  <c r="L20" i="9" s="1"/>
  <c r="E94" i="3" l="1"/>
  <c r="A10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64" i="3" l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56" i="3"/>
  <c r="A57" i="3" s="1"/>
  <c r="A58" i="3" s="1"/>
  <c r="A59" i="3" s="1"/>
  <c r="A60" i="3" s="1"/>
  <c r="A61" i="3" s="1"/>
  <c r="A62" i="3" s="1"/>
  <c r="A63" i="3" s="1"/>
  <c r="E25" i="3"/>
  <c r="D23" i="2" s="1"/>
  <c r="E12" i="2" l="1"/>
  <c r="F11" i="2" s="1"/>
  <c r="E19" i="3"/>
  <c r="D22" i="2" s="1"/>
  <c r="D12" i="2" l="1"/>
  <c r="F10" i="2"/>
  <c r="D24" i="2"/>
  <c r="E23" i="2" s="1"/>
  <c r="F9" i="2"/>
  <c r="E22" i="2" l="1"/>
  <c r="F12" i="2"/>
  <c r="E24" i="2" l="1"/>
  <c r="L22" i="9" l="1"/>
  <c r="L212" i="9" l="1"/>
  <c r="A4" i="2" l="1"/>
  <c r="A3" i="3"/>
  <c r="D31" i="2" l="1"/>
  <c r="E30" i="2" s="1"/>
  <c r="P9" i="9" s="1"/>
  <c r="E29" i="2"/>
  <c r="O9" i="9" l="1"/>
  <c r="E31" i="2"/>
  <c r="M214" i="9"/>
  <c r="G12" i="2" s="1"/>
  <c r="H10" i="2" l="1"/>
  <c r="F24" i="2" s="1"/>
  <c r="H11" i="2"/>
  <c r="H9" i="2"/>
  <c r="H12" i="2" l="1"/>
  <c r="D16" i="2"/>
  <c r="G22" i="2"/>
  <c r="G23" i="2"/>
  <c r="E24" i="3" s="1"/>
  <c r="E26" i="3" s="1"/>
  <c r="E27" i="3" s="1"/>
  <c r="F17" i="2" l="1"/>
  <c r="E121" i="3" s="1"/>
  <c r="E123" i="3" s="1"/>
  <c r="F18" i="2"/>
  <c r="E91" i="3" s="1"/>
  <c r="M47" i="9"/>
  <c r="P47" i="9"/>
  <c r="P201" i="10"/>
  <c r="U201" i="10" s="1"/>
  <c r="P204" i="10"/>
  <c r="U204" i="10" s="1"/>
  <c r="P202" i="10"/>
  <c r="U202" i="10" s="1"/>
  <c r="E15" i="3"/>
  <c r="E17" i="3" s="1"/>
  <c r="E20" i="3" s="1"/>
  <c r="E21" i="3" s="1"/>
  <c r="G24" i="2"/>
  <c r="P93" i="9"/>
  <c r="M93" i="9"/>
  <c r="O47" i="9" l="1"/>
  <c r="O93" i="9"/>
  <c r="P4" i="10"/>
  <c r="P84" i="10"/>
  <c r="U84" i="10" s="1"/>
  <c r="P78" i="10"/>
  <c r="U78" i="10" s="1"/>
  <c r="P18" i="10"/>
  <c r="P15" i="10"/>
  <c r="P17" i="10"/>
  <c r="P132" i="10"/>
  <c r="P125" i="10"/>
  <c r="P121" i="10"/>
  <c r="P52" i="10"/>
  <c r="P48" i="10"/>
  <c r="P104" i="10"/>
  <c r="P106" i="10"/>
  <c r="P112" i="10"/>
  <c r="P156" i="10"/>
  <c r="U156" i="10" s="1"/>
  <c r="P144" i="10"/>
  <c r="U144" i="10" s="1"/>
  <c r="P150" i="10"/>
  <c r="U150" i="10" s="1"/>
  <c r="P175" i="10"/>
  <c r="U175" i="10" s="1"/>
  <c r="P199" i="10"/>
  <c r="U199" i="10" s="1"/>
  <c r="P35" i="10"/>
  <c r="P38" i="10"/>
  <c r="P186" i="10"/>
  <c r="U186" i="10" s="1"/>
  <c r="P109" i="10"/>
  <c r="P197" i="10"/>
  <c r="U197" i="10" s="1"/>
  <c r="P79" i="10"/>
  <c r="U79" i="10" s="1"/>
  <c r="P97" i="10"/>
  <c r="P54" i="10"/>
  <c r="U54" i="10" s="1"/>
  <c r="P73" i="10"/>
  <c r="U73" i="10" s="1"/>
  <c r="P24" i="10"/>
  <c r="P127" i="10"/>
  <c r="P96" i="10"/>
  <c r="P32" i="10"/>
  <c r="P56" i="10"/>
  <c r="U56" i="10" s="1"/>
  <c r="P193" i="10"/>
  <c r="U193" i="10" s="1"/>
  <c r="P114" i="10"/>
  <c r="P55" i="10"/>
  <c r="U55" i="10" s="1"/>
  <c r="P135" i="10"/>
  <c r="P8" i="10"/>
  <c r="P34" i="10"/>
  <c r="P176" i="10"/>
  <c r="U176" i="10" s="1"/>
  <c r="P81" i="10"/>
  <c r="U81" i="10" s="1"/>
  <c r="P85" i="10"/>
  <c r="U85" i="10" s="1"/>
  <c r="P88" i="10"/>
  <c r="U88" i="10" s="1"/>
  <c r="P77" i="10"/>
  <c r="U77" i="10" s="1"/>
  <c r="P161" i="10"/>
  <c r="U161" i="10" s="1"/>
  <c r="P174" i="10"/>
  <c r="U174" i="10" s="1"/>
  <c r="P21" i="10"/>
  <c r="P151" i="10"/>
  <c r="U151" i="10" s="1"/>
  <c r="P58" i="10"/>
  <c r="U58" i="10" s="1"/>
  <c r="P165" i="10"/>
  <c r="U165" i="10" s="1"/>
  <c r="P143" i="10"/>
  <c r="U143" i="10" s="1"/>
  <c r="P141" i="10"/>
  <c r="U141" i="10" s="1"/>
  <c r="P60" i="10"/>
  <c r="U60" i="10" s="1"/>
  <c r="P185" i="10"/>
  <c r="U185" i="10" s="1"/>
  <c r="P183" i="10"/>
  <c r="U183" i="10" s="1"/>
  <c r="P110" i="10"/>
  <c r="P74" i="10"/>
  <c r="U74" i="10" s="1"/>
  <c r="P169" i="10"/>
  <c r="U169" i="10" s="1"/>
  <c r="P66" i="10"/>
  <c r="U66" i="10" s="1"/>
  <c r="P113" i="10"/>
  <c r="P138" i="10"/>
  <c r="P120" i="10"/>
  <c r="P118" i="10"/>
  <c r="P87" i="10"/>
  <c r="U87" i="10" s="1"/>
  <c r="P93" i="10"/>
  <c r="P139" i="10"/>
  <c r="P64" i="10"/>
  <c r="U64" i="10" s="1"/>
  <c r="P61" i="10"/>
  <c r="U61" i="10" s="1"/>
  <c r="P76" i="10"/>
  <c r="U76" i="10" s="1"/>
  <c r="P137" i="10"/>
  <c r="P179" i="10"/>
  <c r="U179" i="10" s="1"/>
  <c r="P90" i="10"/>
  <c r="U90" i="10" s="1"/>
  <c r="P191" i="10"/>
  <c r="U191" i="10" s="1"/>
  <c r="P133" i="10"/>
  <c r="P163" i="10"/>
  <c r="U163" i="10" s="1"/>
  <c r="P134" i="10"/>
  <c r="P31" i="10"/>
  <c r="P194" i="10"/>
  <c r="U194" i="10" s="1"/>
  <c r="P75" i="10"/>
  <c r="U75" i="10" s="1"/>
  <c r="P146" i="10"/>
  <c r="U146" i="10" s="1"/>
  <c r="P172" i="10"/>
  <c r="U172" i="10" s="1"/>
  <c r="P72" i="10"/>
  <c r="U72" i="10" s="1"/>
  <c r="P107" i="10"/>
  <c r="P184" i="10"/>
  <c r="U184" i="10" s="1"/>
  <c r="P142" i="10"/>
  <c r="U142" i="10" s="1"/>
  <c r="P70" i="10"/>
  <c r="U70" i="10" s="1"/>
  <c r="P196" i="10"/>
  <c r="U196" i="10" s="1"/>
  <c r="P50" i="10"/>
  <c r="P94" i="10"/>
  <c r="P12" i="10"/>
  <c r="P124" i="10"/>
  <c r="P122" i="10"/>
  <c r="P180" i="10"/>
  <c r="U180" i="10" s="1"/>
  <c r="P44" i="10"/>
  <c r="P188" i="10"/>
  <c r="U188" i="10" s="1"/>
  <c r="P62" i="10"/>
  <c r="U62" i="10" s="1"/>
  <c r="P190" i="10"/>
  <c r="U190" i="10" s="1"/>
  <c r="P30" i="10"/>
  <c r="P20" i="10"/>
  <c r="P22" i="10"/>
  <c r="P33" i="10"/>
  <c r="P43" i="10"/>
  <c r="P177" i="10"/>
  <c r="U177" i="10" s="1"/>
  <c r="P82" i="10"/>
  <c r="U82" i="10" s="1"/>
  <c r="P145" i="10"/>
  <c r="U145" i="10" s="1"/>
  <c r="P27" i="10"/>
  <c r="P57" i="10"/>
  <c r="U57" i="10" s="1"/>
  <c r="P10" i="10"/>
  <c r="P130" i="10"/>
  <c r="P131" i="10"/>
  <c r="P128" i="10"/>
  <c r="P153" i="10"/>
  <c r="U153" i="10" s="1"/>
  <c r="P6" i="10"/>
  <c r="P148" i="10"/>
  <c r="U148" i="10" s="1"/>
  <c r="P170" i="10"/>
  <c r="U170" i="10" s="1"/>
  <c r="P26" i="10"/>
  <c r="P111" i="10"/>
  <c r="P23" i="10"/>
  <c r="P65" i="10"/>
  <c r="U65" i="10" s="1"/>
  <c r="P157" i="10"/>
  <c r="U157" i="10" s="1"/>
  <c r="P168" i="10"/>
  <c r="U168" i="10" s="1"/>
  <c r="P59" i="10"/>
  <c r="U59" i="10" s="1"/>
  <c r="P187" i="10"/>
  <c r="U187" i="10" s="1"/>
  <c r="P162" i="10"/>
  <c r="U162" i="10" s="1"/>
  <c r="P29" i="10"/>
  <c r="P189" i="10"/>
  <c r="U189" i="10" s="1"/>
  <c r="P152" i="10"/>
  <c r="U152" i="10" s="1"/>
  <c r="P37" i="10"/>
  <c r="P182" i="10"/>
  <c r="U182" i="10" s="1"/>
  <c r="P13" i="10"/>
  <c r="P11" i="10"/>
  <c r="P123" i="10"/>
  <c r="P46" i="10"/>
  <c r="P51" i="10"/>
  <c r="P49" i="10"/>
  <c r="P68" i="10"/>
  <c r="U68" i="10" s="1"/>
  <c r="P154" i="10"/>
  <c r="U154" i="10" s="1"/>
  <c r="P103" i="10"/>
  <c r="P115" i="10"/>
  <c r="P7" i="10"/>
  <c r="P105" i="10"/>
  <c r="P86" i="10"/>
  <c r="U86" i="10" s="1"/>
  <c r="P95" i="10"/>
  <c r="P102" i="10"/>
  <c r="P39" i="10"/>
  <c r="P158" i="10"/>
  <c r="U158" i="10" s="1"/>
  <c r="P159" i="10"/>
  <c r="U159" i="10" s="1"/>
  <c r="P83" i="10"/>
  <c r="U83" i="10" s="1"/>
  <c r="P99" i="10"/>
  <c r="P192" i="10"/>
  <c r="U192" i="10" s="1"/>
  <c r="P89" i="10"/>
  <c r="U89" i="10" s="1"/>
  <c r="P40" i="10"/>
  <c r="P155" i="10"/>
  <c r="U155" i="10" s="1"/>
  <c r="P19" i="10"/>
  <c r="P117" i="10"/>
  <c r="P16" i="10"/>
  <c r="P166" i="10"/>
  <c r="U166" i="10" s="1"/>
  <c r="P41" i="10"/>
  <c r="P171" i="10"/>
  <c r="U171" i="10" s="1"/>
  <c r="P67" i="10"/>
  <c r="U67" i="10" s="1"/>
  <c r="P136" i="10"/>
  <c r="P42" i="10"/>
  <c r="P195" i="10"/>
  <c r="U195" i="10" s="1"/>
  <c r="P164" i="10"/>
  <c r="U164" i="10" s="1"/>
  <c r="P28" i="10"/>
  <c r="P116" i="10"/>
  <c r="P71" i="10"/>
  <c r="U71" i="10" s="1"/>
  <c r="P100" i="10"/>
  <c r="P92" i="10"/>
  <c r="P98" i="10"/>
  <c r="P47" i="10"/>
  <c r="P126" i="10"/>
  <c r="G205" i="9"/>
  <c r="G206" i="9"/>
  <c r="E93" i="3"/>
  <c r="E95" i="3" s="1"/>
  <c r="E96" i="3" s="1"/>
  <c r="S199" i="10" s="1"/>
  <c r="X199" i="10" s="1"/>
  <c r="H202" i="9" s="1"/>
  <c r="E101" i="3"/>
  <c r="G208" i="9"/>
  <c r="T142" i="10"/>
  <c r="Y142" i="10" s="1"/>
  <c r="I145" i="9" s="1"/>
  <c r="T6" i="10"/>
  <c r="Y6" i="10" s="1"/>
  <c r="I27" i="9" s="1"/>
  <c r="T18" i="10"/>
  <c r="Y18" i="10" s="1"/>
  <c r="I39" i="9" s="1"/>
  <c r="T152" i="10"/>
  <c r="Y152" i="10" s="1"/>
  <c r="I155" i="9" s="1"/>
  <c r="T188" i="10"/>
  <c r="Y188" i="10" s="1"/>
  <c r="I191" i="9" s="1"/>
  <c r="T166" i="10"/>
  <c r="Y166" i="10" s="1"/>
  <c r="I169" i="9" s="1"/>
  <c r="T187" i="10"/>
  <c r="Y187" i="10" s="1"/>
  <c r="I190" i="9" s="1"/>
  <c r="T110" i="10"/>
  <c r="Y110" i="10" s="1"/>
  <c r="I113" i="9" s="1"/>
  <c r="T117" i="10"/>
  <c r="Y117" i="10" s="1"/>
  <c r="I120" i="9" s="1"/>
  <c r="T168" i="10"/>
  <c r="Y168" i="10" s="1"/>
  <c r="I171" i="9" s="1"/>
  <c r="T17" i="10"/>
  <c r="Y17" i="10" s="1"/>
  <c r="I38" i="9" s="1"/>
  <c r="T8" i="10"/>
  <c r="Y8" i="10" s="1"/>
  <c r="I29" i="9" s="1"/>
  <c r="T99" i="10"/>
  <c r="Y99" i="10" s="1"/>
  <c r="I102" i="9" s="1"/>
  <c r="T196" i="10"/>
  <c r="Y196" i="10" s="1"/>
  <c r="I199" i="9" s="1"/>
  <c r="T171" i="10"/>
  <c r="Y171" i="10" s="1"/>
  <c r="I174" i="9" s="1"/>
  <c r="T151" i="10"/>
  <c r="Y151" i="10" s="1"/>
  <c r="I154" i="9" s="1"/>
  <c r="T41" i="10"/>
  <c r="Y41" i="10" s="1"/>
  <c r="I53" i="9" s="1"/>
  <c r="T194" i="10"/>
  <c r="Y194" i="10" s="1"/>
  <c r="I197" i="9" s="1"/>
  <c r="T57" i="10"/>
  <c r="Y57" i="10" s="1"/>
  <c r="I69" i="9" s="1"/>
  <c r="T162" i="10"/>
  <c r="Y162" i="10" s="1"/>
  <c r="I165" i="9" s="1"/>
  <c r="T62" i="10"/>
  <c r="Y62" i="10" s="1"/>
  <c r="I74" i="9" s="1"/>
  <c r="T156" i="10"/>
  <c r="Y156" i="10" s="1"/>
  <c r="I159" i="9" s="1"/>
  <c r="T35" i="10"/>
  <c r="Y35" i="10" s="1"/>
  <c r="T40" i="10"/>
  <c r="Y40" i="10" s="1"/>
  <c r="I52" i="9" s="1"/>
  <c r="T29" i="10"/>
  <c r="Y29" i="10" s="1"/>
  <c r="T51" i="10"/>
  <c r="Y51" i="10" s="1"/>
  <c r="I63" i="9" s="1"/>
  <c r="T159" i="10"/>
  <c r="Y159" i="10" s="1"/>
  <c r="I162" i="9" s="1"/>
  <c r="T97" i="10"/>
  <c r="Y97" i="10" s="1"/>
  <c r="I100" i="9" s="1"/>
  <c r="T84" i="10"/>
  <c r="Y84" i="10" s="1"/>
  <c r="T174" i="10"/>
  <c r="Y174" i="10" s="1"/>
  <c r="I177" i="9" s="1"/>
  <c r="T23" i="10"/>
  <c r="Y23" i="10" s="1"/>
  <c r="I44" i="9" s="1"/>
  <c r="T126" i="10"/>
  <c r="Y126" i="10" s="1"/>
  <c r="I129" i="9" s="1"/>
  <c r="T19" i="10"/>
  <c r="Y19" i="10" s="1"/>
  <c r="I40" i="9" s="1"/>
  <c r="T204" i="10"/>
  <c r="Y204" i="10" s="1"/>
  <c r="I208" i="9" s="1"/>
  <c r="T176" i="10"/>
  <c r="Y176" i="10" s="1"/>
  <c r="I179" i="9" s="1"/>
  <c r="T83" i="10"/>
  <c r="Y83" i="10" s="1"/>
  <c r="T154" i="10"/>
  <c r="Y154" i="10" s="1"/>
  <c r="I157" i="9" s="1"/>
  <c r="T28" i="10"/>
  <c r="Y28" i="10" s="1"/>
  <c r="T145" i="10"/>
  <c r="Y145" i="10" s="1"/>
  <c r="I148" i="9" s="1"/>
  <c r="T46" i="10"/>
  <c r="Y46" i="10" s="1"/>
  <c r="I58" i="9" s="1"/>
  <c r="T141" i="10"/>
  <c r="Y141" i="10" s="1"/>
  <c r="I144" i="9" s="1"/>
  <c r="T107" i="10"/>
  <c r="Y107" i="10" s="1"/>
  <c r="I110" i="9" s="1"/>
  <c r="T85" i="10"/>
  <c r="Y85" i="10" s="1"/>
  <c r="T202" i="10"/>
  <c r="Y202" i="10" s="1"/>
  <c r="I206" i="9" s="1"/>
  <c r="T33" i="10"/>
  <c r="Y33" i="10" s="1"/>
  <c r="T48" i="10"/>
  <c r="Y48" i="10" s="1"/>
  <c r="I60" i="9" s="1"/>
  <c r="T164" i="10"/>
  <c r="Y164" i="10" s="1"/>
  <c r="I167" i="9" s="1"/>
  <c r="T4" i="10"/>
  <c r="Y4" i="10" s="1"/>
  <c r="I25" i="9" s="1"/>
  <c r="T56" i="10"/>
  <c r="Y56" i="10" s="1"/>
  <c r="I68" i="9" s="1"/>
  <c r="T121" i="10"/>
  <c r="Y121" i="10" s="1"/>
  <c r="I124" i="9" s="1"/>
  <c r="T11" i="10"/>
  <c r="Y11" i="10" s="1"/>
  <c r="I32" i="9" s="1"/>
  <c r="T78" i="10"/>
  <c r="Y78" i="10" s="1"/>
  <c r="I90" i="9" s="1"/>
  <c r="T76" i="10"/>
  <c r="Y76" i="10" s="1"/>
  <c r="I88" i="9" s="1"/>
  <c r="T199" i="10"/>
  <c r="Y199" i="10" s="1"/>
  <c r="I202" i="9" s="1"/>
  <c r="T75" i="10"/>
  <c r="Y75" i="10" s="1"/>
  <c r="I87" i="9" s="1"/>
  <c r="T95" i="10"/>
  <c r="Y95" i="10" s="1"/>
  <c r="I98" i="9" s="1"/>
  <c r="T47" i="10"/>
  <c r="Y47" i="10" s="1"/>
  <c r="I59" i="9" s="1"/>
  <c r="T148" i="10"/>
  <c r="Y148" i="10" s="1"/>
  <c r="I151" i="9" s="1"/>
  <c r="T131" i="10"/>
  <c r="Y131" i="10" s="1"/>
  <c r="I134" i="9" s="1"/>
  <c r="T58" i="10"/>
  <c r="Y58" i="10" s="1"/>
  <c r="I70" i="9" s="1"/>
  <c r="T82" i="10"/>
  <c r="Y82" i="10" s="1"/>
  <c r="T135" i="10"/>
  <c r="Y135" i="10" s="1"/>
  <c r="I138" i="9" s="1"/>
  <c r="T158" i="10"/>
  <c r="Y158" i="10" s="1"/>
  <c r="I161" i="9" s="1"/>
  <c r="T195" i="10"/>
  <c r="Y195" i="10" s="1"/>
  <c r="I198" i="9" s="1"/>
  <c r="T102" i="10"/>
  <c r="Y102" i="10" s="1"/>
  <c r="I105" i="9" s="1"/>
  <c r="T169" i="10"/>
  <c r="Y169" i="10" s="1"/>
  <c r="I172" i="9" s="1"/>
  <c r="T114" i="10"/>
  <c r="Y114" i="10" s="1"/>
  <c r="I117" i="9" s="1"/>
  <c r="T106" i="10"/>
  <c r="Y106" i="10" s="1"/>
  <c r="I109" i="9" s="1"/>
  <c r="T74" i="10"/>
  <c r="Y74" i="10" s="1"/>
  <c r="I86" i="9" s="1"/>
  <c r="T49" i="10"/>
  <c r="Y49" i="10" s="1"/>
  <c r="I61" i="9" s="1"/>
  <c r="T115" i="10"/>
  <c r="Y115" i="10" s="1"/>
  <c r="I118" i="9" s="1"/>
  <c r="T150" i="10"/>
  <c r="Y150" i="10" s="1"/>
  <c r="I153" i="9" s="1"/>
  <c r="T90" i="10"/>
  <c r="Y90" i="10" s="1"/>
  <c r="T155" i="10"/>
  <c r="Y155" i="10" s="1"/>
  <c r="I158" i="9" s="1"/>
  <c r="T96" i="10"/>
  <c r="Y96" i="10" s="1"/>
  <c r="I99" i="9" s="1"/>
  <c r="T21" i="10"/>
  <c r="Y21" i="10" s="1"/>
  <c r="I42" i="9" s="1"/>
  <c r="T79" i="10"/>
  <c r="Y79" i="10" s="1"/>
  <c r="I91" i="9" s="1"/>
  <c r="T132" i="10"/>
  <c r="Y132" i="10" s="1"/>
  <c r="I135" i="9" s="1"/>
  <c r="T60" i="10"/>
  <c r="Y60" i="10" s="1"/>
  <c r="I72" i="9" s="1"/>
  <c r="T100" i="10"/>
  <c r="Y100" i="10" s="1"/>
  <c r="I103" i="9" s="1"/>
  <c r="T122" i="10"/>
  <c r="Y122" i="10" s="1"/>
  <c r="I125" i="9" s="1"/>
  <c r="T98" i="10"/>
  <c r="Y98" i="10" s="1"/>
  <c r="I101" i="9" s="1"/>
  <c r="T50" i="10"/>
  <c r="Y50" i="10" s="1"/>
  <c r="I62" i="9" s="1"/>
  <c r="T32" i="10"/>
  <c r="Y32" i="10" s="1"/>
  <c r="T37" i="10"/>
  <c r="Y37" i="10" s="1"/>
  <c r="I49" i="9" s="1"/>
  <c r="T72" i="10"/>
  <c r="Y72" i="10" s="1"/>
  <c r="I84" i="9" s="1"/>
  <c r="T124" i="10"/>
  <c r="Y124" i="10" s="1"/>
  <c r="I127" i="9" s="1"/>
  <c r="T190" i="10"/>
  <c r="Y190" i="10" s="1"/>
  <c r="I193" i="9" s="1"/>
  <c r="T184" i="10"/>
  <c r="Y184" i="10" s="1"/>
  <c r="I187" i="9" s="1"/>
  <c r="T13" i="10"/>
  <c r="Y13" i="10" s="1"/>
  <c r="I34" i="9" s="1"/>
  <c r="T138" i="10"/>
  <c r="Y138" i="10" s="1"/>
  <c r="I141" i="9" s="1"/>
  <c r="T77" i="10"/>
  <c r="Y77" i="10" s="1"/>
  <c r="I89" i="9" s="1"/>
  <c r="T65" i="10"/>
  <c r="Y65" i="10" s="1"/>
  <c r="I77" i="9" s="1"/>
  <c r="T70" i="10"/>
  <c r="Y70" i="10" s="1"/>
  <c r="I82" i="9" s="1"/>
  <c r="T113" i="10"/>
  <c r="Y113" i="10" s="1"/>
  <c r="I116" i="9" s="1"/>
  <c r="T10" i="10"/>
  <c r="Y10" i="10" s="1"/>
  <c r="I31" i="9" s="1"/>
  <c r="T116" i="10"/>
  <c r="Y116" i="10" s="1"/>
  <c r="I119" i="9" s="1"/>
  <c r="T172" i="10"/>
  <c r="Y172" i="10" s="1"/>
  <c r="I175" i="9" s="1"/>
  <c r="T177" i="10"/>
  <c r="Y177" i="10" s="1"/>
  <c r="I180" i="9" s="1"/>
  <c r="T27" i="10"/>
  <c r="Y27" i="10" s="1"/>
  <c r="T39" i="10"/>
  <c r="Y39" i="10" s="1"/>
  <c r="I51" i="9" s="1"/>
  <c r="T44" i="10"/>
  <c r="Y44" i="10" s="1"/>
  <c r="I56" i="9" s="1"/>
  <c r="T109" i="10"/>
  <c r="Y109" i="10" s="1"/>
  <c r="I112" i="9" s="1"/>
  <c r="T66" i="10"/>
  <c r="Y66" i="10" s="1"/>
  <c r="I78" i="9" s="1"/>
  <c r="T191" i="10"/>
  <c r="Y191" i="10" s="1"/>
  <c r="I194" i="9" s="1"/>
  <c r="T61" i="10"/>
  <c r="Y61" i="10" s="1"/>
  <c r="I73" i="9" s="1"/>
  <c r="T143" i="10"/>
  <c r="Y143" i="10" s="1"/>
  <c r="I146" i="9" s="1"/>
  <c r="T137" i="10"/>
  <c r="Y137" i="10" s="1"/>
  <c r="I140" i="9" s="1"/>
  <c r="T146" i="10"/>
  <c r="Y146" i="10" s="1"/>
  <c r="I149" i="9" s="1"/>
  <c r="T120" i="10"/>
  <c r="Y120" i="10" s="1"/>
  <c r="I123" i="9" s="1"/>
  <c r="T43" i="10"/>
  <c r="Y43" i="10" s="1"/>
  <c r="I55" i="9" s="1"/>
  <c r="T157" i="10"/>
  <c r="Y157" i="10" s="1"/>
  <c r="I160" i="9" s="1"/>
  <c r="T118" i="10"/>
  <c r="Y118" i="10" s="1"/>
  <c r="I121" i="9" s="1"/>
  <c r="T30" i="10"/>
  <c r="Y30" i="10" s="1"/>
  <c r="T94" i="10"/>
  <c r="Y94" i="10" s="1"/>
  <c r="I97" i="9" s="1"/>
  <c r="T64" i="10"/>
  <c r="Y64" i="10" s="1"/>
  <c r="I76" i="9" s="1"/>
  <c r="T81" i="10"/>
  <c r="Y81" i="10" s="1"/>
  <c r="T163" i="10"/>
  <c r="Y163" i="10" s="1"/>
  <c r="I166" i="9" s="1"/>
  <c r="T197" i="10"/>
  <c r="Y197" i="10" s="1"/>
  <c r="I200" i="9" s="1"/>
  <c r="T192" i="10"/>
  <c r="Y192" i="10" s="1"/>
  <c r="I195" i="9" s="1"/>
  <c r="T104" i="10"/>
  <c r="Y104" i="10" s="1"/>
  <c r="I107" i="9" s="1"/>
  <c r="T12" i="10"/>
  <c r="Y12" i="10" s="1"/>
  <c r="I33" i="9" s="1"/>
  <c r="T68" i="10"/>
  <c r="Y68" i="10" s="1"/>
  <c r="I80" i="9" s="1"/>
  <c r="T165" i="10"/>
  <c r="Y165" i="10" s="1"/>
  <c r="I168" i="9" s="1"/>
  <c r="T134" i="10"/>
  <c r="Y134" i="10" s="1"/>
  <c r="I137" i="9" s="1"/>
  <c r="T15" i="10"/>
  <c r="T24" i="10"/>
  <c r="Y24" i="10" s="1"/>
  <c r="I45" i="9" s="1"/>
  <c r="T139" i="10"/>
  <c r="Y139" i="10" s="1"/>
  <c r="I142" i="9" s="1"/>
  <c r="T182" i="10"/>
  <c r="Y182" i="10" s="1"/>
  <c r="I185" i="9" s="1"/>
  <c r="T71" i="10"/>
  <c r="Y71" i="10" s="1"/>
  <c r="I83" i="9" s="1"/>
  <c r="T89" i="10"/>
  <c r="Y89" i="10" s="1"/>
  <c r="T185" i="10"/>
  <c r="Y185" i="10" s="1"/>
  <c r="I188" i="9" s="1"/>
  <c r="T130" i="10"/>
  <c r="Y130" i="10" s="1"/>
  <c r="I133" i="9" s="1"/>
  <c r="T133" i="10"/>
  <c r="Y133" i="10" s="1"/>
  <c r="I136" i="9" s="1"/>
  <c r="T180" i="10"/>
  <c r="Y180" i="10" s="1"/>
  <c r="I183" i="9" s="1"/>
  <c r="T42" i="10"/>
  <c r="Y42" i="10" s="1"/>
  <c r="I54" i="9" s="1"/>
  <c r="T105" i="10"/>
  <c r="Y105" i="10" s="1"/>
  <c r="I108" i="9" s="1"/>
  <c r="T16" i="10"/>
  <c r="Y16" i="10" s="1"/>
  <c r="I37" i="9" s="1"/>
  <c r="T103" i="10"/>
  <c r="Y103" i="10" s="1"/>
  <c r="I106" i="9" s="1"/>
  <c r="T144" i="10"/>
  <c r="Y144" i="10" s="1"/>
  <c r="I147" i="9" s="1"/>
  <c r="T125" i="10"/>
  <c r="Y125" i="10" s="1"/>
  <c r="I128" i="9" s="1"/>
  <c r="T128" i="10"/>
  <c r="Y128" i="10" s="1"/>
  <c r="I131" i="9" s="1"/>
  <c r="T112" i="10"/>
  <c r="Y112" i="10" s="1"/>
  <c r="I115" i="9" s="1"/>
  <c r="T93" i="10"/>
  <c r="Y93" i="10" s="1"/>
  <c r="I96" i="9" s="1"/>
  <c r="T34" i="10"/>
  <c r="Y34" i="10" s="1"/>
  <c r="T127" i="10"/>
  <c r="Y127" i="10" s="1"/>
  <c r="I130" i="9" s="1"/>
  <c r="T123" i="10"/>
  <c r="Y123" i="10" s="1"/>
  <c r="I126" i="9" s="1"/>
  <c r="T52" i="10"/>
  <c r="Y52" i="10" s="1"/>
  <c r="I64" i="9" s="1"/>
  <c r="T31" i="10"/>
  <c r="Y31" i="10" s="1"/>
  <c r="T175" i="10"/>
  <c r="Y175" i="10" s="1"/>
  <c r="I178" i="9" s="1"/>
  <c r="T38" i="10"/>
  <c r="Y38" i="10" s="1"/>
  <c r="I50" i="9" s="1"/>
  <c r="T189" i="10"/>
  <c r="Y189" i="10" s="1"/>
  <c r="I192" i="9" s="1"/>
  <c r="T59" i="10"/>
  <c r="Y59" i="10" s="1"/>
  <c r="I71" i="9" s="1"/>
  <c r="T136" i="10"/>
  <c r="Y136" i="10" s="1"/>
  <c r="I139" i="9" s="1"/>
  <c r="T201" i="10"/>
  <c r="Y201" i="10" s="1"/>
  <c r="I205" i="9" s="1"/>
  <c r="T92" i="10"/>
  <c r="Y92" i="10" s="1"/>
  <c r="I95" i="9" s="1"/>
  <c r="T20" i="10"/>
  <c r="Y20" i="10" s="1"/>
  <c r="I41" i="9" s="1"/>
  <c r="T26" i="10"/>
  <c r="Y26" i="10" s="1"/>
  <c r="T87" i="10"/>
  <c r="Y87" i="10" s="1"/>
  <c r="T161" i="10"/>
  <c r="Y161" i="10" s="1"/>
  <c r="I164" i="9" s="1"/>
  <c r="T186" i="10"/>
  <c r="Y186" i="10" s="1"/>
  <c r="I189" i="9" s="1"/>
  <c r="T22" i="10"/>
  <c r="Y22" i="10" s="1"/>
  <c r="I43" i="9" s="1"/>
  <c r="T7" i="10"/>
  <c r="Y7" i="10" s="1"/>
  <c r="I28" i="9" s="1"/>
  <c r="T54" i="10"/>
  <c r="Y54" i="10" s="1"/>
  <c r="I66" i="9" s="1"/>
  <c r="T73" i="10"/>
  <c r="Y73" i="10" s="1"/>
  <c r="I85" i="9" s="1"/>
  <c r="T193" i="10"/>
  <c r="Y193" i="10" s="1"/>
  <c r="I196" i="9" s="1"/>
  <c r="T153" i="10"/>
  <c r="Y153" i="10" s="1"/>
  <c r="I156" i="9" s="1"/>
  <c r="T111" i="10"/>
  <c r="Y111" i="10" s="1"/>
  <c r="I114" i="9" s="1"/>
  <c r="T67" i="10"/>
  <c r="Y67" i="10" s="1"/>
  <c r="I79" i="9" s="1"/>
  <c r="T170" i="10"/>
  <c r="Y170" i="10" s="1"/>
  <c r="I173" i="9" s="1"/>
  <c r="T86" i="10"/>
  <c r="Y86" i="10" s="1"/>
  <c r="T55" i="10"/>
  <c r="Y55" i="10" s="1"/>
  <c r="I67" i="9" s="1"/>
  <c r="T179" i="10"/>
  <c r="Y179" i="10" s="1"/>
  <c r="I182" i="9" s="1"/>
  <c r="T183" i="10"/>
  <c r="Y183" i="10" s="1"/>
  <c r="I186" i="9" s="1"/>
  <c r="T88" i="10"/>
  <c r="Y88" i="10" s="1"/>
  <c r="Q93" i="9" l="1"/>
  <c r="Y15" i="10"/>
  <c r="I36" i="9" s="1"/>
  <c r="Q47" i="9"/>
  <c r="G79" i="9"/>
  <c r="G80" i="9"/>
  <c r="G160" i="9"/>
  <c r="G156" i="9"/>
  <c r="G74" i="9"/>
  <c r="G149" i="9"/>
  <c r="G154" i="9"/>
  <c r="G179" i="9"/>
  <c r="G200" i="9"/>
  <c r="G147" i="9"/>
  <c r="G83" i="9"/>
  <c r="G174" i="9"/>
  <c r="G155" i="9"/>
  <c r="G77" i="9"/>
  <c r="G180" i="9"/>
  <c r="G191" i="9"/>
  <c r="G199" i="9"/>
  <c r="G87" i="9"/>
  <c r="G182" i="9"/>
  <c r="G186" i="9"/>
  <c r="G159" i="9"/>
  <c r="G195" i="9"/>
  <c r="G192" i="9"/>
  <c r="G82" i="9"/>
  <c r="G197" i="9"/>
  <c r="G188" i="9"/>
  <c r="G177" i="9"/>
  <c r="G189" i="9"/>
  <c r="G169" i="9"/>
  <c r="G183" i="9"/>
  <c r="G145" i="9"/>
  <c r="G88" i="9"/>
  <c r="G72" i="9"/>
  <c r="G164" i="9"/>
  <c r="G167" i="9"/>
  <c r="G165" i="9"/>
  <c r="G187" i="9"/>
  <c r="G73" i="9"/>
  <c r="G144" i="9"/>
  <c r="G89" i="9"/>
  <c r="G67" i="9"/>
  <c r="G85" i="9"/>
  <c r="G198" i="9"/>
  <c r="G162" i="9"/>
  <c r="G190" i="9"/>
  <c r="G173" i="9"/>
  <c r="G69" i="9"/>
  <c r="G166" i="9"/>
  <c r="G76" i="9"/>
  <c r="G78" i="9"/>
  <c r="G146" i="9"/>
  <c r="G66" i="9"/>
  <c r="Z199" i="10"/>
  <c r="G202" i="9"/>
  <c r="J202" i="9" s="1"/>
  <c r="G90" i="9"/>
  <c r="E111" i="3"/>
  <c r="E113" i="3" s="1"/>
  <c r="E115" i="3" s="1"/>
  <c r="E116" i="3" s="1"/>
  <c r="E103" i="3"/>
  <c r="E105" i="3" s="1"/>
  <c r="E106" i="3" s="1"/>
  <c r="G161" i="9"/>
  <c r="G71" i="9"/>
  <c r="G151" i="9"/>
  <c r="G84" i="9"/>
  <c r="G172" i="9"/>
  <c r="G168" i="9"/>
  <c r="G196" i="9"/>
  <c r="G178" i="9"/>
  <c r="G158" i="9"/>
  <c r="G157" i="9"/>
  <c r="G185" i="9"/>
  <c r="G171" i="9"/>
  <c r="G148" i="9"/>
  <c r="G193" i="9"/>
  <c r="G175" i="9"/>
  <c r="G194" i="9"/>
  <c r="G86" i="9"/>
  <c r="G70" i="9"/>
  <c r="G68" i="9"/>
  <c r="G91" i="9"/>
  <c r="G153" i="9"/>
  <c r="R47" i="9" l="1"/>
  <c r="R93" i="9"/>
  <c r="S26" i="10"/>
  <c r="X26" i="10" s="1"/>
  <c r="Z26" i="10" s="1"/>
  <c r="S31" i="10"/>
  <c r="X31" i="10" s="1"/>
  <c r="Z31" i="10" s="1"/>
  <c r="S61" i="10"/>
  <c r="X61" i="10" s="1"/>
  <c r="S120" i="10"/>
  <c r="X120" i="10" s="1"/>
  <c r="S137" i="10"/>
  <c r="X137" i="10" s="1"/>
  <c r="S38" i="10"/>
  <c r="X38" i="10" s="1"/>
  <c r="S13" i="10"/>
  <c r="X13" i="10" s="1"/>
  <c r="S79" i="10"/>
  <c r="X79" i="10" s="1"/>
  <c r="S10" i="10"/>
  <c r="X10" i="10" s="1"/>
  <c r="S117" i="10"/>
  <c r="X117" i="10" s="1"/>
  <c r="S114" i="10"/>
  <c r="X114" i="10" s="1"/>
  <c r="S86" i="10"/>
  <c r="X86" i="10" s="1"/>
  <c r="Z86" i="10" s="1"/>
  <c r="S71" i="10"/>
  <c r="X71" i="10" s="1"/>
  <c r="S90" i="10"/>
  <c r="X90" i="10" s="1"/>
  <c r="Z90" i="10" s="1"/>
  <c r="S96" i="10"/>
  <c r="X96" i="10" s="1"/>
  <c r="S47" i="10"/>
  <c r="X47" i="10" s="1"/>
  <c r="S24" i="10"/>
  <c r="X24" i="10" s="1"/>
  <c r="S82" i="10"/>
  <c r="X82" i="10" s="1"/>
  <c r="Z82" i="10" s="1"/>
  <c r="S37" i="10"/>
  <c r="X37" i="10" s="1"/>
  <c r="S70" i="10"/>
  <c r="X70" i="10" s="1"/>
  <c r="S74" i="10"/>
  <c r="X74" i="10" s="1"/>
  <c r="S44" i="10"/>
  <c r="X44" i="10" s="1"/>
  <c r="S62" i="10"/>
  <c r="X62" i="10" s="1"/>
  <c r="S123" i="10"/>
  <c r="X123" i="10" s="1"/>
  <c r="S19" i="10"/>
  <c r="X19" i="10" s="1"/>
  <c r="S139" i="10"/>
  <c r="X139" i="10" s="1"/>
  <c r="S116" i="10"/>
  <c r="X116" i="10" s="1"/>
  <c r="S48" i="10"/>
  <c r="X48" i="10" s="1"/>
  <c r="S78" i="10"/>
  <c r="X78" i="10" s="1"/>
  <c r="S112" i="10"/>
  <c r="X112" i="10" s="1"/>
  <c r="S106" i="10"/>
  <c r="X106" i="10" s="1"/>
  <c r="S98" i="10"/>
  <c r="X98" i="10" s="1"/>
  <c r="S42" i="10"/>
  <c r="X42" i="10" s="1"/>
  <c r="S76" i="10"/>
  <c r="X76" i="10" s="1"/>
  <c r="S130" i="10"/>
  <c r="X130" i="10" s="1"/>
  <c r="S94" i="10"/>
  <c r="X94" i="10" s="1"/>
  <c r="S122" i="10"/>
  <c r="X122" i="10" s="1"/>
  <c r="S17" i="10"/>
  <c r="X17" i="10" s="1"/>
  <c r="S97" i="10"/>
  <c r="X97" i="10" s="1"/>
  <c r="S33" i="10"/>
  <c r="X33" i="10" s="1"/>
  <c r="Z33" i="10" s="1"/>
  <c r="S124" i="10"/>
  <c r="X124" i="10" s="1"/>
  <c r="S99" i="10"/>
  <c r="X99" i="10" s="1"/>
  <c r="S32" i="10"/>
  <c r="X32" i="10" s="1"/>
  <c r="Z32" i="10" s="1"/>
  <c r="S110" i="10"/>
  <c r="X110" i="10" s="1"/>
  <c r="S18" i="10"/>
  <c r="X18" i="10" s="1"/>
  <c r="S34" i="10"/>
  <c r="X34" i="10" s="1"/>
  <c r="Z34" i="10" s="1"/>
  <c r="S60" i="10"/>
  <c r="X60" i="10" s="1"/>
  <c r="S8" i="10"/>
  <c r="X8" i="10" s="1"/>
  <c r="S55" i="10"/>
  <c r="X55" i="10" s="1"/>
  <c r="S113" i="10"/>
  <c r="X113" i="10" s="1"/>
  <c r="S12" i="10"/>
  <c r="X12" i="10" s="1"/>
  <c r="S125" i="10"/>
  <c r="X125" i="10" s="1"/>
  <c r="S39" i="10"/>
  <c r="X39" i="10" s="1"/>
  <c r="S87" i="10"/>
  <c r="X87" i="10" s="1"/>
  <c r="Z87" i="10" s="1"/>
  <c r="S115" i="10"/>
  <c r="X115" i="10" s="1"/>
  <c r="S15" i="10"/>
  <c r="X15" i="10" s="1"/>
  <c r="S83" i="10"/>
  <c r="X83" i="10" s="1"/>
  <c r="Z83" i="10" s="1"/>
  <c r="S100" i="10"/>
  <c r="X100" i="10" s="1"/>
  <c r="S77" i="10"/>
  <c r="X77" i="10" s="1"/>
  <c r="S135" i="10"/>
  <c r="X135" i="10" s="1"/>
  <c r="S138" i="10"/>
  <c r="X138" i="10" s="1"/>
  <c r="S118" i="10"/>
  <c r="X118" i="10" s="1"/>
  <c r="S21" i="10"/>
  <c r="X21" i="10" s="1"/>
  <c r="S67" i="10"/>
  <c r="X67" i="10" s="1"/>
  <c r="S46" i="10"/>
  <c r="X46" i="10" s="1"/>
  <c r="S73" i="10"/>
  <c r="X73" i="10" s="1"/>
  <c r="S103" i="10"/>
  <c r="X103" i="10" s="1"/>
  <c r="S51" i="10"/>
  <c r="X51" i="10" s="1"/>
  <c r="S85" i="10"/>
  <c r="X85" i="10" s="1"/>
  <c r="Z85" i="10" s="1"/>
  <c r="S105" i="10"/>
  <c r="X105" i="10" s="1"/>
  <c r="S64" i="10"/>
  <c r="X64" i="10" s="1"/>
  <c r="S29" i="10"/>
  <c r="X29" i="10" s="1"/>
  <c r="Z29" i="10" s="1"/>
  <c r="S4" i="10"/>
  <c r="X4" i="10" s="1"/>
  <c r="S59" i="10"/>
  <c r="X59" i="10" s="1"/>
  <c r="S126" i="10"/>
  <c r="X126" i="10" s="1"/>
  <c r="S23" i="10"/>
  <c r="X23" i="10" s="1"/>
  <c r="S88" i="10"/>
  <c r="X88" i="10" s="1"/>
  <c r="Z88" i="10" s="1"/>
  <c r="S43" i="10"/>
  <c r="X43" i="10" s="1"/>
  <c r="S132" i="10"/>
  <c r="X132" i="10" s="1"/>
  <c r="S35" i="10"/>
  <c r="X35" i="10" s="1"/>
  <c r="Z35" i="10" s="1"/>
  <c r="S81" i="10"/>
  <c r="X81" i="10" s="1"/>
  <c r="Z81" i="10" s="1"/>
  <c r="S49" i="10"/>
  <c r="X49" i="10" s="1"/>
  <c r="S121" i="10"/>
  <c r="X121" i="10" s="1"/>
  <c r="S57" i="10"/>
  <c r="X57" i="10" s="1"/>
  <c r="S75" i="10"/>
  <c r="X75" i="10" s="1"/>
  <c r="S127" i="10"/>
  <c r="X127" i="10" s="1"/>
  <c r="S27" i="10"/>
  <c r="X27" i="10" s="1"/>
  <c r="Z27" i="10" s="1"/>
  <c r="S40" i="10"/>
  <c r="X40" i="10" s="1"/>
  <c r="S11" i="10"/>
  <c r="X11" i="10" s="1"/>
  <c r="S54" i="10"/>
  <c r="X54" i="10" s="1"/>
  <c r="S133" i="10"/>
  <c r="X133" i="10" s="1"/>
  <c r="S52" i="10"/>
  <c r="X52" i="10" s="1"/>
  <c r="S111" i="10"/>
  <c r="X111" i="10" s="1"/>
  <c r="S95" i="10"/>
  <c r="X95" i="10" s="1"/>
  <c r="S89" i="10"/>
  <c r="X89" i="10" s="1"/>
  <c r="Z89" i="10" s="1"/>
  <c r="S136" i="10"/>
  <c r="X136" i="10" s="1"/>
  <c r="S65" i="10"/>
  <c r="X65" i="10" s="1"/>
  <c r="S128" i="10"/>
  <c r="X128" i="10" s="1"/>
  <c r="S92" i="10"/>
  <c r="X92" i="10" s="1"/>
  <c r="S16" i="10"/>
  <c r="X16" i="10" s="1"/>
  <c r="S41" i="10"/>
  <c r="X41" i="10" s="1"/>
  <c r="S58" i="10"/>
  <c r="X58" i="10" s="1"/>
  <c r="S93" i="10"/>
  <c r="X93" i="10" s="1"/>
  <c r="S22" i="10"/>
  <c r="X22" i="10" s="1"/>
  <c r="S72" i="10"/>
  <c r="X72" i="10" s="1"/>
  <c r="S28" i="10"/>
  <c r="X28" i="10" s="1"/>
  <c r="Z28" i="10" s="1"/>
  <c r="S7" i="10"/>
  <c r="X7" i="10" s="1"/>
  <c r="S6" i="10"/>
  <c r="X6" i="10" s="1"/>
  <c r="S131" i="10"/>
  <c r="X131" i="10" s="1"/>
  <c r="S134" i="10"/>
  <c r="X134" i="10" s="1"/>
  <c r="S109" i="10"/>
  <c r="X109" i="10" s="1"/>
  <c r="S107" i="10"/>
  <c r="X107" i="10" s="1"/>
  <c r="S30" i="10"/>
  <c r="X30" i="10" s="1"/>
  <c r="Z30" i="10" s="1"/>
  <c r="S84" i="10"/>
  <c r="X84" i="10" s="1"/>
  <c r="Z84" i="10" s="1"/>
  <c r="S104" i="10"/>
  <c r="X104" i="10" s="1"/>
  <c r="S56" i="10"/>
  <c r="X56" i="10" s="1"/>
  <c r="S102" i="10"/>
  <c r="X102" i="10" s="1"/>
  <c r="S68" i="10"/>
  <c r="X68" i="10" s="1"/>
  <c r="S20" i="10"/>
  <c r="X20" i="10" s="1"/>
  <c r="S66" i="10"/>
  <c r="X66" i="10" s="1"/>
  <c r="S50" i="10"/>
  <c r="X50" i="10" s="1"/>
  <c r="S175" i="10"/>
  <c r="X175" i="10" s="1"/>
  <c r="S165" i="10"/>
  <c r="X165" i="10" s="1"/>
  <c r="S182" i="10"/>
  <c r="X182" i="10" s="1"/>
  <c r="S144" i="10"/>
  <c r="X144" i="10" s="1"/>
  <c r="S155" i="10"/>
  <c r="X155" i="10" s="1"/>
  <c r="S176" i="10"/>
  <c r="X176" i="10" s="1"/>
  <c r="S180" i="10"/>
  <c r="X180" i="10" s="1"/>
  <c r="S146" i="10"/>
  <c r="X146" i="10" s="1"/>
  <c r="S177" i="10"/>
  <c r="X177" i="10" s="1"/>
  <c r="S156" i="10"/>
  <c r="X156" i="10" s="1"/>
  <c r="S166" i="10"/>
  <c r="X166" i="10" s="1"/>
  <c r="S188" i="10"/>
  <c r="X188" i="10" s="1"/>
  <c r="S194" i="10"/>
  <c r="X194" i="10" s="1"/>
  <c r="S150" i="10"/>
  <c r="X150" i="10" s="1"/>
  <c r="S154" i="10"/>
  <c r="X154" i="10" s="1"/>
  <c r="S169" i="10"/>
  <c r="X169" i="10" s="1"/>
  <c r="S192" i="10"/>
  <c r="X192" i="10" s="1"/>
  <c r="S191" i="10"/>
  <c r="X191" i="10" s="1"/>
  <c r="S174" i="10"/>
  <c r="X174" i="10" s="1"/>
  <c r="S189" i="10"/>
  <c r="X189" i="10" s="1"/>
  <c r="S153" i="10"/>
  <c r="X153" i="10" s="1"/>
  <c r="S145" i="10"/>
  <c r="X145" i="10" s="1"/>
  <c r="S187" i="10"/>
  <c r="X187" i="10" s="1"/>
  <c r="S158" i="10"/>
  <c r="X158" i="10" s="1"/>
  <c r="S179" i="10"/>
  <c r="X179" i="10" s="1"/>
  <c r="S201" i="10"/>
  <c r="X201" i="10" s="1"/>
  <c r="S162" i="10"/>
  <c r="X162" i="10" s="1"/>
  <c r="S190" i="10"/>
  <c r="X190" i="10" s="1"/>
  <c r="S171" i="10"/>
  <c r="X171" i="10" s="1"/>
  <c r="S157" i="10"/>
  <c r="X157" i="10" s="1"/>
  <c r="S164" i="10"/>
  <c r="X164" i="10" s="1"/>
  <c r="S143" i="10"/>
  <c r="X143" i="10" s="1"/>
  <c r="S195" i="10"/>
  <c r="X195" i="10" s="1"/>
  <c r="S172" i="10"/>
  <c r="X172" i="10" s="1"/>
  <c r="S193" i="10"/>
  <c r="X193" i="10" s="1"/>
  <c r="S183" i="10"/>
  <c r="X183" i="10" s="1"/>
  <c r="S142" i="10"/>
  <c r="X142" i="10" s="1"/>
  <c r="S161" i="10"/>
  <c r="X161" i="10" s="1"/>
  <c r="S159" i="10"/>
  <c r="X159" i="10" s="1"/>
  <c r="S151" i="10"/>
  <c r="X151" i="10" s="1"/>
  <c r="S152" i="10"/>
  <c r="X152" i="10" s="1"/>
  <c r="S141" i="10"/>
  <c r="X141" i="10" s="1"/>
  <c r="S196" i="10"/>
  <c r="X196" i="10" s="1"/>
  <c r="S186" i="10"/>
  <c r="X186" i="10" s="1"/>
  <c r="S197" i="10"/>
  <c r="X197" i="10" s="1"/>
  <c r="S163" i="10"/>
  <c r="X163" i="10" s="1"/>
  <c r="S148" i="10"/>
  <c r="X148" i="10" s="1"/>
  <c r="S170" i="10"/>
  <c r="X170" i="10" s="1"/>
  <c r="S202" i="10"/>
  <c r="X202" i="10" s="1"/>
  <c r="S168" i="10"/>
  <c r="X168" i="10" s="1"/>
  <c r="S184" i="10"/>
  <c r="X184" i="10" s="1"/>
  <c r="S204" i="10"/>
  <c r="X204" i="10" s="1"/>
  <c r="S185" i="10"/>
  <c r="X185" i="10" s="1"/>
  <c r="M202" i="9"/>
  <c r="M17" i="9" s="1"/>
  <c r="P202" i="9"/>
  <c r="O202" i="9" l="1"/>
  <c r="H167" i="9"/>
  <c r="J167" i="9" s="1"/>
  <c r="Z164" i="10"/>
  <c r="H139" i="9"/>
  <c r="J139" i="9" s="1"/>
  <c r="Z136" i="10"/>
  <c r="Z8" i="10"/>
  <c r="H29" i="9"/>
  <c r="J29" i="9" s="1"/>
  <c r="H164" i="9"/>
  <c r="J164" i="9" s="1"/>
  <c r="Z161" i="10"/>
  <c r="H160" i="9"/>
  <c r="J160" i="9" s="1"/>
  <c r="Z157" i="10"/>
  <c r="H148" i="9"/>
  <c r="J148" i="9" s="1"/>
  <c r="Z145" i="10"/>
  <c r="H153" i="9"/>
  <c r="J153" i="9" s="1"/>
  <c r="Z150" i="10"/>
  <c r="H179" i="9"/>
  <c r="J179" i="9" s="1"/>
  <c r="Z176" i="10"/>
  <c r="H41" i="9"/>
  <c r="J41" i="9" s="1"/>
  <c r="Z20" i="10"/>
  <c r="Z109" i="10"/>
  <c r="H112" i="9"/>
  <c r="J112" i="9" s="1"/>
  <c r="H96" i="9"/>
  <c r="J96" i="9" s="1"/>
  <c r="Z93" i="10"/>
  <c r="Z132" i="10"/>
  <c r="H135" i="9"/>
  <c r="J135" i="9" s="1"/>
  <c r="H76" i="9"/>
  <c r="J76" i="9" s="1"/>
  <c r="Z64" i="10"/>
  <c r="Z21" i="10"/>
  <c r="H42" i="9"/>
  <c r="J42" i="9" s="1"/>
  <c r="Z115" i="10"/>
  <c r="H118" i="9"/>
  <c r="J118" i="9" s="1"/>
  <c r="H72" i="9"/>
  <c r="J72" i="9" s="1"/>
  <c r="Z60" i="10"/>
  <c r="H100" i="9"/>
  <c r="J100" i="9" s="1"/>
  <c r="Z97" i="10"/>
  <c r="H109" i="9"/>
  <c r="J109" i="9" s="1"/>
  <c r="Z106" i="10"/>
  <c r="H74" i="9"/>
  <c r="J74" i="9" s="1"/>
  <c r="Z62" i="10"/>
  <c r="H99" i="9"/>
  <c r="J99" i="9" s="1"/>
  <c r="Z96" i="10"/>
  <c r="Z13" i="10"/>
  <c r="H34" i="9"/>
  <c r="J34" i="9" s="1"/>
  <c r="H162" i="9"/>
  <c r="J162" i="9" s="1"/>
  <c r="Z159" i="10"/>
  <c r="Z22" i="10"/>
  <c r="H43" i="9"/>
  <c r="J43" i="9" s="1"/>
  <c r="Z15" i="10"/>
  <c r="H36" i="9"/>
  <c r="J36" i="9" s="1"/>
  <c r="Z123" i="10"/>
  <c r="H126" i="9"/>
  <c r="J126" i="9" s="1"/>
  <c r="H156" i="9"/>
  <c r="J156" i="9" s="1"/>
  <c r="Z153" i="10"/>
  <c r="H158" i="9"/>
  <c r="J158" i="9" s="1"/>
  <c r="Z155" i="10"/>
  <c r="H80" i="9"/>
  <c r="J80" i="9" s="1"/>
  <c r="Z68" i="10"/>
  <c r="H137" i="9"/>
  <c r="J137" i="9" s="1"/>
  <c r="Z134" i="10"/>
  <c r="H70" i="9"/>
  <c r="J70" i="9" s="1"/>
  <c r="Z58" i="10"/>
  <c r="H98" i="9"/>
  <c r="J98" i="9" s="1"/>
  <c r="Z95" i="10"/>
  <c r="H130" i="9"/>
  <c r="J130" i="9" s="1"/>
  <c r="Z127" i="10"/>
  <c r="H55" i="9"/>
  <c r="J55" i="9" s="1"/>
  <c r="Z43" i="10"/>
  <c r="H108" i="9"/>
  <c r="J108" i="9" s="1"/>
  <c r="Z105" i="10"/>
  <c r="H121" i="9"/>
  <c r="J121" i="9" s="1"/>
  <c r="Z118" i="10"/>
  <c r="Z17" i="10"/>
  <c r="H38" i="9"/>
  <c r="J38" i="9" s="1"/>
  <c r="Z112" i="10"/>
  <c r="H115" i="9"/>
  <c r="J115" i="9" s="1"/>
  <c r="H56" i="9"/>
  <c r="J56" i="9" s="1"/>
  <c r="Z44" i="10"/>
  <c r="Z38" i="10"/>
  <c r="H50" i="9"/>
  <c r="J50" i="9" s="1"/>
  <c r="H78" i="9"/>
  <c r="J78" i="9" s="1"/>
  <c r="Z66" i="10"/>
  <c r="H166" i="9"/>
  <c r="J166" i="9" s="1"/>
  <c r="Z163" i="10"/>
  <c r="H145" i="9"/>
  <c r="J145" i="9" s="1"/>
  <c r="Z142" i="10"/>
  <c r="H208" i="9"/>
  <c r="J208" i="9" s="1"/>
  <c r="Z204" i="10"/>
  <c r="H189" i="9"/>
  <c r="J189" i="9" s="1"/>
  <c r="Z186" i="10"/>
  <c r="H186" i="9"/>
  <c r="J186" i="9" s="1"/>
  <c r="Z183" i="10"/>
  <c r="H193" i="9"/>
  <c r="J193" i="9" s="1"/>
  <c r="Z190" i="10"/>
  <c r="H192" i="9"/>
  <c r="J192" i="9" s="1"/>
  <c r="Z189" i="10"/>
  <c r="H191" i="9"/>
  <c r="J191" i="9" s="1"/>
  <c r="Z188" i="10"/>
  <c r="H147" i="9"/>
  <c r="J147" i="9" s="1"/>
  <c r="Z144" i="10"/>
  <c r="Z102" i="10"/>
  <c r="H105" i="9"/>
  <c r="J105" i="9" s="1"/>
  <c r="H134" i="9"/>
  <c r="J134" i="9" s="1"/>
  <c r="Z131" i="10"/>
  <c r="H53" i="9"/>
  <c r="J53" i="9" s="1"/>
  <c r="Z41" i="10"/>
  <c r="H114" i="9"/>
  <c r="J114" i="9" s="1"/>
  <c r="Z111" i="10"/>
  <c r="H87" i="9"/>
  <c r="J87" i="9" s="1"/>
  <c r="Z75" i="10"/>
  <c r="H141" i="9"/>
  <c r="J141" i="9" s="1"/>
  <c r="Z138" i="10"/>
  <c r="H51" i="9"/>
  <c r="J51" i="9" s="1"/>
  <c r="Z39" i="10"/>
  <c r="H39" i="9"/>
  <c r="J39" i="9" s="1"/>
  <c r="Z18" i="10"/>
  <c r="Z122" i="10"/>
  <c r="H125" i="9"/>
  <c r="J125" i="9" s="1"/>
  <c r="H90" i="9"/>
  <c r="J90" i="9" s="1"/>
  <c r="Z78" i="10"/>
  <c r="H86" i="9"/>
  <c r="J86" i="9" s="1"/>
  <c r="Z74" i="10"/>
  <c r="H83" i="9"/>
  <c r="J83" i="9" s="1"/>
  <c r="Z71" i="10"/>
  <c r="Z137" i="10"/>
  <c r="H140" i="9"/>
  <c r="J140" i="9" s="1"/>
  <c r="H190" i="9"/>
  <c r="J190" i="9" s="1"/>
  <c r="Z187" i="10"/>
  <c r="H52" i="9"/>
  <c r="J52" i="9" s="1"/>
  <c r="Z40" i="10"/>
  <c r="H91" i="9"/>
  <c r="J91" i="9" s="1"/>
  <c r="Z79" i="10"/>
  <c r="H177" i="9"/>
  <c r="J177" i="9" s="1"/>
  <c r="Z174" i="10"/>
  <c r="H185" i="9"/>
  <c r="J185" i="9" s="1"/>
  <c r="Z182" i="10"/>
  <c r="H68" i="9"/>
  <c r="J68" i="9" s="1"/>
  <c r="Z56" i="10"/>
  <c r="Z6" i="10"/>
  <c r="H27" i="9"/>
  <c r="J27" i="9" s="1"/>
  <c r="H37" i="9"/>
  <c r="J37" i="9" s="1"/>
  <c r="M37" i="9" s="1"/>
  <c r="Z16" i="10"/>
  <c r="Z52" i="10"/>
  <c r="H64" i="9"/>
  <c r="J64" i="9" s="1"/>
  <c r="H69" i="9"/>
  <c r="J69" i="9" s="1"/>
  <c r="Z57" i="10"/>
  <c r="H44" i="9"/>
  <c r="J44" i="9" s="1"/>
  <c r="Z23" i="10"/>
  <c r="Z51" i="10"/>
  <c r="H63" i="9"/>
  <c r="J63" i="9" s="1"/>
  <c r="Z135" i="10"/>
  <c r="H138" i="9"/>
  <c r="J138" i="9" s="1"/>
  <c r="Z125" i="10"/>
  <c r="H128" i="9"/>
  <c r="J128" i="9" s="1"/>
  <c r="H113" i="9"/>
  <c r="J113" i="9" s="1"/>
  <c r="Z110" i="10"/>
  <c r="Z94" i="10"/>
  <c r="H97" i="9"/>
  <c r="J97" i="9" s="1"/>
  <c r="H60" i="9"/>
  <c r="J60" i="9" s="1"/>
  <c r="Z48" i="10"/>
  <c r="H82" i="9"/>
  <c r="J82" i="9" s="1"/>
  <c r="Z70" i="10"/>
  <c r="Z120" i="10"/>
  <c r="H123" i="9"/>
  <c r="J123" i="9" s="1"/>
  <c r="H151" i="9"/>
  <c r="J151" i="9" s="1"/>
  <c r="Z148" i="10"/>
  <c r="Z107" i="10"/>
  <c r="H110" i="9"/>
  <c r="J110" i="9" s="1"/>
  <c r="Z98" i="10"/>
  <c r="H101" i="9"/>
  <c r="J101" i="9" s="1"/>
  <c r="H175" i="9"/>
  <c r="J175" i="9" s="1"/>
  <c r="Z172" i="10"/>
  <c r="H28" i="9"/>
  <c r="J28" i="9" s="1"/>
  <c r="Z7" i="10"/>
  <c r="Z133" i="10"/>
  <c r="H136" i="9"/>
  <c r="J136" i="9" s="1"/>
  <c r="Z121" i="10"/>
  <c r="H124" i="9"/>
  <c r="J124" i="9" s="1"/>
  <c r="H129" i="9"/>
  <c r="J129" i="9" s="1"/>
  <c r="Z126" i="10"/>
  <c r="H106" i="9"/>
  <c r="J106" i="9" s="1"/>
  <c r="Z103" i="10"/>
  <c r="H89" i="9"/>
  <c r="J89" i="9" s="1"/>
  <c r="Z77" i="10"/>
  <c r="H33" i="9"/>
  <c r="J33" i="9" s="1"/>
  <c r="Z12" i="10"/>
  <c r="H133" i="9"/>
  <c r="J133" i="9" s="1"/>
  <c r="Z130" i="10"/>
  <c r="Z116" i="10"/>
  <c r="H119" i="9"/>
  <c r="J119" i="9" s="1"/>
  <c r="H49" i="9"/>
  <c r="J49" i="9" s="1"/>
  <c r="Z37" i="10"/>
  <c r="H117" i="9"/>
  <c r="J117" i="9" s="1"/>
  <c r="Z114" i="10"/>
  <c r="H73" i="9"/>
  <c r="J73" i="9" s="1"/>
  <c r="Z61" i="10"/>
  <c r="H183" i="9"/>
  <c r="J183" i="9" s="1"/>
  <c r="Z180" i="10"/>
  <c r="H79" i="9"/>
  <c r="J79" i="9" s="1"/>
  <c r="Z67" i="10"/>
  <c r="H188" i="9"/>
  <c r="J188" i="9" s="1"/>
  <c r="Z185" i="10"/>
  <c r="H197" i="9"/>
  <c r="J197" i="9" s="1"/>
  <c r="Z194" i="10"/>
  <c r="H199" i="9"/>
  <c r="J199" i="9" s="1"/>
  <c r="Z196" i="10"/>
  <c r="H196" i="9"/>
  <c r="J196" i="9" s="1"/>
  <c r="Z193" i="10"/>
  <c r="H165" i="9"/>
  <c r="J165" i="9" s="1"/>
  <c r="Z162" i="10"/>
  <c r="H169" i="9"/>
  <c r="J169" i="9" s="1"/>
  <c r="Z166" i="10"/>
  <c r="H171" i="9"/>
  <c r="J171" i="9" s="1"/>
  <c r="Z168" i="10"/>
  <c r="H144" i="9"/>
  <c r="J144" i="9" s="1"/>
  <c r="Z141" i="10"/>
  <c r="H194" i="9"/>
  <c r="J194" i="9" s="1"/>
  <c r="Z191" i="10"/>
  <c r="H159" i="9"/>
  <c r="J159" i="9" s="1"/>
  <c r="Z156" i="10"/>
  <c r="H107" i="9"/>
  <c r="J107" i="9" s="1"/>
  <c r="Z104" i="10"/>
  <c r="H206" i="9"/>
  <c r="J206" i="9" s="1"/>
  <c r="Z202" i="10"/>
  <c r="H198" i="9"/>
  <c r="J198" i="9" s="1"/>
  <c r="Z195" i="10"/>
  <c r="H195" i="9"/>
  <c r="J195" i="9" s="1"/>
  <c r="Z192" i="10"/>
  <c r="H180" i="9"/>
  <c r="J180" i="9" s="1"/>
  <c r="Z177" i="10"/>
  <c r="H178" i="9"/>
  <c r="J178" i="9" s="1"/>
  <c r="Z175" i="10"/>
  <c r="H131" i="9"/>
  <c r="J131" i="9" s="1"/>
  <c r="Z128" i="10"/>
  <c r="H66" i="9"/>
  <c r="J66" i="9" s="1"/>
  <c r="Z54" i="10"/>
  <c r="Z49" i="10"/>
  <c r="H61" i="9"/>
  <c r="J61" i="9" s="1"/>
  <c r="H71" i="9"/>
  <c r="J71" i="9" s="1"/>
  <c r="Z59" i="10"/>
  <c r="H85" i="9"/>
  <c r="J85" i="9" s="1"/>
  <c r="Z73" i="10"/>
  <c r="Z100" i="10"/>
  <c r="H103" i="9"/>
  <c r="J103" i="9" s="1"/>
  <c r="Z113" i="10"/>
  <c r="H116" i="9"/>
  <c r="J116" i="9" s="1"/>
  <c r="H102" i="9"/>
  <c r="J102" i="9" s="1"/>
  <c r="Z99" i="10"/>
  <c r="H88" i="9"/>
  <c r="J88" i="9" s="1"/>
  <c r="Z76" i="10"/>
  <c r="H142" i="9"/>
  <c r="J142" i="9" s="1"/>
  <c r="Z139" i="10"/>
  <c r="Z117" i="10"/>
  <c r="H120" i="9"/>
  <c r="J120" i="9" s="1"/>
  <c r="H157" i="9"/>
  <c r="J157" i="9" s="1"/>
  <c r="Z154" i="10"/>
  <c r="Z47" i="10"/>
  <c r="H59" i="9"/>
  <c r="J59" i="9" s="1"/>
  <c r="H200" i="9"/>
  <c r="J200" i="9" s="1"/>
  <c r="Z197" i="10"/>
  <c r="H174" i="9"/>
  <c r="J174" i="9" s="1"/>
  <c r="Z171" i="10"/>
  <c r="H187" i="9"/>
  <c r="J187" i="9" s="1"/>
  <c r="Z184" i="10"/>
  <c r="H205" i="9"/>
  <c r="J205" i="9" s="1"/>
  <c r="Z201" i="10"/>
  <c r="H168" i="9"/>
  <c r="J168" i="9" s="1"/>
  <c r="Z165" i="10"/>
  <c r="H95" i="9"/>
  <c r="J95" i="9" s="1"/>
  <c r="Z92" i="10"/>
  <c r="H155" i="9"/>
  <c r="J155" i="9" s="1"/>
  <c r="Z152" i="10"/>
  <c r="H182" i="9"/>
  <c r="J182" i="9" s="1"/>
  <c r="Z179" i="10"/>
  <c r="H173" i="9"/>
  <c r="J173" i="9" s="1"/>
  <c r="Z170" i="10"/>
  <c r="H154" i="9"/>
  <c r="J154" i="9" s="1"/>
  <c r="Z151" i="10"/>
  <c r="H146" i="9"/>
  <c r="J146" i="9" s="1"/>
  <c r="Z143" i="10"/>
  <c r="H161" i="9"/>
  <c r="J161" i="9" s="1"/>
  <c r="Z158" i="10"/>
  <c r="H172" i="9"/>
  <c r="J172" i="9" s="1"/>
  <c r="Z169" i="10"/>
  <c r="H149" i="9"/>
  <c r="J149" i="9" s="1"/>
  <c r="Z146" i="10"/>
  <c r="H62" i="9"/>
  <c r="J62" i="9" s="1"/>
  <c r="Z50" i="10"/>
  <c r="H84" i="9"/>
  <c r="J84" i="9" s="1"/>
  <c r="Z72" i="10"/>
  <c r="H77" i="9"/>
  <c r="J77" i="9" s="1"/>
  <c r="Z65" i="10"/>
  <c r="H32" i="9"/>
  <c r="J32" i="9" s="1"/>
  <c r="Z11" i="10"/>
  <c r="H25" i="9"/>
  <c r="J25" i="9" s="1"/>
  <c r="Z4" i="10"/>
  <c r="H58" i="9"/>
  <c r="J58" i="9" s="1"/>
  <c r="Z46" i="10"/>
  <c r="H67" i="9"/>
  <c r="J67" i="9" s="1"/>
  <c r="Z55" i="10"/>
  <c r="H127" i="9"/>
  <c r="J127" i="9" s="1"/>
  <c r="Z124" i="10"/>
  <c r="H54" i="9"/>
  <c r="J54" i="9" s="1"/>
  <c r="Z42" i="10"/>
  <c r="H40" i="9"/>
  <c r="J40" i="9" s="1"/>
  <c r="Z19" i="10"/>
  <c r="H45" i="9"/>
  <c r="J45" i="9" s="1"/>
  <c r="Z24" i="10"/>
  <c r="H31" i="9"/>
  <c r="J31" i="9" s="1"/>
  <c r="Z10" i="10"/>
  <c r="P36" i="9" l="1"/>
  <c r="M36" i="9"/>
  <c r="Q202" i="9"/>
  <c r="P128" i="9"/>
  <c r="M128" i="9"/>
  <c r="P38" i="9"/>
  <c r="M38" i="9"/>
  <c r="M161" i="9"/>
  <c r="P161" i="9"/>
  <c r="P205" i="9"/>
  <c r="M205" i="9"/>
  <c r="M88" i="9"/>
  <c r="P88" i="9"/>
  <c r="P85" i="9"/>
  <c r="M85" i="9"/>
  <c r="M131" i="9"/>
  <c r="P131" i="9"/>
  <c r="M198" i="9"/>
  <c r="P198" i="9"/>
  <c r="M194" i="9"/>
  <c r="P194" i="9"/>
  <c r="P165" i="9"/>
  <c r="M165" i="9"/>
  <c r="P188" i="9"/>
  <c r="M188" i="9"/>
  <c r="M117" i="9"/>
  <c r="P117" i="9"/>
  <c r="P33" i="9"/>
  <c r="M33" i="9"/>
  <c r="P82" i="9"/>
  <c r="M82" i="9"/>
  <c r="P69" i="9"/>
  <c r="M69" i="9"/>
  <c r="M68" i="9"/>
  <c r="P68" i="9"/>
  <c r="P52" i="9"/>
  <c r="M52" i="9"/>
  <c r="M86" i="9"/>
  <c r="P86" i="9"/>
  <c r="P51" i="9"/>
  <c r="M51" i="9"/>
  <c r="M53" i="9"/>
  <c r="P53" i="9"/>
  <c r="M191" i="9"/>
  <c r="P191" i="9"/>
  <c r="P189" i="9"/>
  <c r="M189" i="9"/>
  <c r="P78" i="9"/>
  <c r="M78" i="9"/>
  <c r="M130" i="9"/>
  <c r="P130" i="9"/>
  <c r="P80" i="9"/>
  <c r="M80" i="9"/>
  <c r="M99" i="9"/>
  <c r="P99" i="9"/>
  <c r="P72" i="9"/>
  <c r="M72" i="9"/>
  <c r="P179" i="9"/>
  <c r="M179" i="9"/>
  <c r="M164" i="9"/>
  <c r="P164" i="9"/>
  <c r="M182" i="9"/>
  <c r="P182" i="9"/>
  <c r="M136" i="9"/>
  <c r="P136" i="9"/>
  <c r="M110" i="9"/>
  <c r="P110" i="9"/>
  <c r="P138" i="9"/>
  <c r="M138" i="9"/>
  <c r="P64" i="9"/>
  <c r="M64" i="9"/>
  <c r="M50" i="9"/>
  <c r="P50" i="9"/>
  <c r="M43" i="9"/>
  <c r="P43" i="9"/>
  <c r="P118" i="9"/>
  <c r="M118" i="9"/>
  <c r="P29" i="9"/>
  <c r="M29" i="9"/>
  <c r="M59" i="9"/>
  <c r="P59" i="9"/>
  <c r="P124" i="9"/>
  <c r="M124" i="9"/>
  <c r="P62" i="9"/>
  <c r="M62" i="9"/>
  <c r="P155" i="9"/>
  <c r="M155" i="9"/>
  <c r="M157" i="9"/>
  <c r="P157" i="9"/>
  <c r="M178" i="9"/>
  <c r="P178" i="9"/>
  <c r="P206" i="9"/>
  <c r="M206" i="9"/>
  <c r="M144" i="9"/>
  <c r="P144" i="9"/>
  <c r="M196" i="9"/>
  <c r="P196" i="9"/>
  <c r="M79" i="9"/>
  <c r="P79" i="9"/>
  <c r="P49" i="9"/>
  <c r="M49" i="9"/>
  <c r="M89" i="9"/>
  <c r="P89" i="9"/>
  <c r="M60" i="9"/>
  <c r="P60" i="9"/>
  <c r="M185" i="9"/>
  <c r="P185" i="9"/>
  <c r="M190" i="9"/>
  <c r="P190" i="9"/>
  <c r="P90" i="9"/>
  <c r="M90" i="9"/>
  <c r="M141" i="9"/>
  <c r="P141" i="9"/>
  <c r="M134" i="9"/>
  <c r="P134" i="9"/>
  <c r="P192" i="9"/>
  <c r="M192" i="9"/>
  <c r="P208" i="9"/>
  <c r="M208" i="9"/>
  <c r="P121" i="9"/>
  <c r="M121" i="9"/>
  <c r="M98" i="9"/>
  <c r="P98" i="9"/>
  <c r="P158" i="9"/>
  <c r="M158" i="9"/>
  <c r="M74" i="9"/>
  <c r="P74" i="9"/>
  <c r="M96" i="9"/>
  <c r="P96" i="9"/>
  <c r="M153" i="9"/>
  <c r="P153" i="9"/>
  <c r="M58" i="9"/>
  <c r="P58" i="9"/>
  <c r="P25" i="9"/>
  <c r="M25" i="9"/>
  <c r="P120" i="9"/>
  <c r="M120" i="9"/>
  <c r="M61" i="9"/>
  <c r="P61" i="9"/>
  <c r="P119" i="9"/>
  <c r="M119" i="9"/>
  <c r="M97" i="9"/>
  <c r="P97" i="9"/>
  <c r="P63" i="9"/>
  <c r="M63" i="9"/>
  <c r="P140" i="9"/>
  <c r="M140" i="9"/>
  <c r="M125" i="9"/>
  <c r="P125" i="9"/>
  <c r="M105" i="9"/>
  <c r="P105" i="9"/>
  <c r="M42" i="9"/>
  <c r="P42" i="9"/>
  <c r="P112" i="9"/>
  <c r="M112" i="9"/>
  <c r="M84" i="9"/>
  <c r="P84" i="9"/>
  <c r="P31" i="9"/>
  <c r="M31" i="9"/>
  <c r="M180" i="9"/>
  <c r="P180" i="9"/>
  <c r="P183" i="9"/>
  <c r="M183" i="9"/>
  <c r="M106" i="9"/>
  <c r="P106" i="9"/>
  <c r="P28" i="9"/>
  <c r="M28" i="9"/>
  <c r="P37" i="9"/>
  <c r="P177" i="9"/>
  <c r="M177" i="9"/>
  <c r="P87" i="9"/>
  <c r="M87" i="9"/>
  <c r="M193" i="9"/>
  <c r="P193" i="9"/>
  <c r="P145" i="9"/>
  <c r="M145" i="9"/>
  <c r="P56" i="9"/>
  <c r="M56" i="9"/>
  <c r="P108" i="9"/>
  <c r="M108" i="9"/>
  <c r="P70" i="9"/>
  <c r="M70" i="9"/>
  <c r="M156" i="9"/>
  <c r="P156" i="9"/>
  <c r="P162" i="9"/>
  <c r="M162" i="9"/>
  <c r="P109" i="9"/>
  <c r="M109" i="9"/>
  <c r="M148" i="9"/>
  <c r="P148" i="9"/>
  <c r="M139" i="9"/>
  <c r="P139" i="9"/>
  <c r="P101" i="9"/>
  <c r="M101" i="9"/>
  <c r="M54" i="9"/>
  <c r="P54" i="9"/>
  <c r="P187" i="9"/>
  <c r="M187" i="9"/>
  <c r="M71" i="9"/>
  <c r="P71" i="9"/>
  <c r="P32" i="9"/>
  <c r="M32" i="9"/>
  <c r="P154" i="9"/>
  <c r="M154" i="9"/>
  <c r="M174" i="9"/>
  <c r="P174" i="9"/>
  <c r="M107" i="9"/>
  <c r="P107" i="9"/>
  <c r="M199" i="9"/>
  <c r="P199" i="9"/>
  <c r="P151" i="9"/>
  <c r="M151" i="9"/>
  <c r="M103" i="9"/>
  <c r="P103" i="9"/>
  <c r="P123" i="9"/>
  <c r="M123" i="9"/>
  <c r="M27" i="9"/>
  <c r="P27" i="9"/>
  <c r="P115" i="9"/>
  <c r="M115" i="9"/>
  <c r="P126" i="9"/>
  <c r="M126" i="9"/>
  <c r="P34" i="9"/>
  <c r="M34" i="9"/>
  <c r="M135" i="9"/>
  <c r="P135" i="9"/>
  <c r="M40" i="9"/>
  <c r="P40" i="9"/>
  <c r="P146" i="9"/>
  <c r="M146" i="9"/>
  <c r="M102" i="9"/>
  <c r="P102" i="9"/>
  <c r="M116" i="9"/>
  <c r="P116" i="9"/>
  <c r="M127" i="9"/>
  <c r="P127" i="9"/>
  <c r="P149" i="9"/>
  <c r="M149" i="9"/>
  <c r="P95" i="9"/>
  <c r="M95" i="9"/>
  <c r="P171" i="9"/>
  <c r="M171" i="9"/>
  <c r="M45" i="9"/>
  <c r="P45" i="9"/>
  <c r="P67" i="9"/>
  <c r="M67" i="9"/>
  <c r="M77" i="9"/>
  <c r="P77" i="9"/>
  <c r="M172" i="9"/>
  <c r="P172" i="9"/>
  <c r="P173" i="9"/>
  <c r="M173" i="9"/>
  <c r="M168" i="9"/>
  <c r="P168" i="9"/>
  <c r="P200" i="9"/>
  <c r="M200" i="9"/>
  <c r="P142" i="9"/>
  <c r="M142" i="9"/>
  <c r="P66" i="9"/>
  <c r="M66" i="9"/>
  <c r="P195" i="9"/>
  <c r="M195" i="9"/>
  <c r="M159" i="9"/>
  <c r="P159" i="9"/>
  <c r="M169" i="9"/>
  <c r="P169" i="9"/>
  <c r="M197" i="9"/>
  <c r="P197" i="9"/>
  <c r="M73" i="9"/>
  <c r="P73" i="9"/>
  <c r="P133" i="9"/>
  <c r="M133" i="9"/>
  <c r="M129" i="9"/>
  <c r="P129" i="9"/>
  <c r="P175" i="9"/>
  <c r="M175" i="9"/>
  <c r="P113" i="9"/>
  <c r="M113" i="9"/>
  <c r="M44" i="9"/>
  <c r="P44" i="9"/>
  <c r="P91" i="9"/>
  <c r="M91" i="9"/>
  <c r="P83" i="9"/>
  <c r="M83" i="9"/>
  <c r="M39" i="9"/>
  <c r="P39" i="9"/>
  <c r="P114" i="9"/>
  <c r="M114" i="9"/>
  <c r="P147" i="9"/>
  <c r="M147" i="9"/>
  <c r="M186" i="9"/>
  <c r="P186" i="9"/>
  <c r="P166" i="9"/>
  <c r="M166" i="9"/>
  <c r="P55" i="9"/>
  <c r="M55" i="9"/>
  <c r="M137" i="9"/>
  <c r="P137" i="9"/>
  <c r="P100" i="9"/>
  <c r="M100" i="9"/>
  <c r="M76" i="9"/>
  <c r="P76" i="9"/>
  <c r="M41" i="9"/>
  <c r="P41" i="9"/>
  <c r="P160" i="9"/>
  <c r="M160" i="9"/>
  <c r="M167" i="9"/>
  <c r="P167" i="9"/>
  <c r="O73" i="9" l="1"/>
  <c r="O103" i="9"/>
  <c r="O174" i="9"/>
  <c r="O148" i="9"/>
  <c r="O193" i="9"/>
  <c r="O105" i="9"/>
  <c r="O97" i="9"/>
  <c r="O74" i="9"/>
  <c r="O89" i="9"/>
  <c r="O144" i="9"/>
  <c r="O182" i="9"/>
  <c r="O99" i="9"/>
  <c r="O86" i="9"/>
  <c r="O149" i="9"/>
  <c r="O187" i="9"/>
  <c r="O70" i="9"/>
  <c r="O28" i="9"/>
  <c r="O31" i="9"/>
  <c r="O25" i="9"/>
  <c r="O208" i="9"/>
  <c r="O90" i="9"/>
  <c r="O155" i="9"/>
  <c r="O29" i="9"/>
  <c r="O64" i="9"/>
  <c r="O189" i="9"/>
  <c r="O82" i="9"/>
  <c r="O165" i="9"/>
  <c r="O85" i="9"/>
  <c r="O38" i="9"/>
  <c r="O146" i="9"/>
  <c r="O197" i="9"/>
  <c r="O45" i="9"/>
  <c r="O127" i="9"/>
  <c r="O40" i="9"/>
  <c r="O54" i="9"/>
  <c r="O106" i="9"/>
  <c r="O84" i="9"/>
  <c r="O125" i="9"/>
  <c r="O58" i="9"/>
  <c r="O190" i="9"/>
  <c r="O164" i="9"/>
  <c r="O191" i="9"/>
  <c r="O194" i="9"/>
  <c r="O88" i="9"/>
  <c r="O76" i="9"/>
  <c r="O113" i="9"/>
  <c r="O67" i="9"/>
  <c r="O100" i="9"/>
  <c r="O66" i="9"/>
  <c r="O173" i="9"/>
  <c r="O115" i="9"/>
  <c r="O151" i="9"/>
  <c r="O154" i="9"/>
  <c r="O109" i="9"/>
  <c r="O108" i="9"/>
  <c r="O119" i="9"/>
  <c r="O158" i="9"/>
  <c r="O192" i="9"/>
  <c r="O49" i="9"/>
  <c r="O206" i="9"/>
  <c r="O62" i="9"/>
  <c r="O118" i="9"/>
  <c r="O138" i="9"/>
  <c r="O80" i="9"/>
  <c r="O52" i="9"/>
  <c r="O33" i="9"/>
  <c r="O128" i="9"/>
  <c r="O195" i="9"/>
  <c r="O126" i="9"/>
  <c r="O186" i="9"/>
  <c r="O137" i="9"/>
  <c r="O169" i="9"/>
  <c r="O172" i="9"/>
  <c r="O116" i="9"/>
  <c r="O135" i="9"/>
  <c r="O27" i="9"/>
  <c r="O199" i="9"/>
  <c r="O87" i="9"/>
  <c r="O61" i="9"/>
  <c r="O153" i="9"/>
  <c r="O98" i="9"/>
  <c r="O134" i="9"/>
  <c r="O185" i="9"/>
  <c r="O79" i="9"/>
  <c r="O178" i="9"/>
  <c r="O43" i="9"/>
  <c r="O110" i="9"/>
  <c r="O130" i="9"/>
  <c r="O53" i="9"/>
  <c r="O68" i="9"/>
  <c r="O117" i="9"/>
  <c r="O198" i="9"/>
  <c r="M19" i="9"/>
  <c r="O39" i="9"/>
  <c r="O166" i="9"/>
  <c r="O91" i="9"/>
  <c r="O171" i="9"/>
  <c r="O32" i="9"/>
  <c r="O101" i="9"/>
  <c r="O162" i="9"/>
  <c r="O56" i="9"/>
  <c r="O183" i="9"/>
  <c r="O112" i="9"/>
  <c r="O140" i="9"/>
  <c r="O124" i="9"/>
  <c r="O179" i="9"/>
  <c r="O205" i="9"/>
  <c r="R202" i="9"/>
  <c r="O168" i="9"/>
  <c r="O167" i="9"/>
  <c r="O175" i="9"/>
  <c r="O160" i="9"/>
  <c r="O41" i="9"/>
  <c r="O44" i="9"/>
  <c r="O159" i="9"/>
  <c r="O77" i="9"/>
  <c r="O102" i="9"/>
  <c r="O107" i="9"/>
  <c r="O71" i="9"/>
  <c r="O139" i="9"/>
  <c r="O156" i="9"/>
  <c r="O177" i="9"/>
  <c r="O180" i="9"/>
  <c r="O42" i="9"/>
  <c r="O96" i="9"/>
  <c r="O141" i="9"/>
  <c r="O60" i="9"/>
  <c r="O196" i="9"/>
  <c r="O157" i="9"/>
  <c r="O59" i="9"/>
  <c r="O50" i="9"/>
  <c r="O136" i="9"/>
  <c r="O131" i="9"/>
  <c r="O161" i="9"/>
  <c r="O83" i="9"/>
  <c r="O129" i="9"/>
  <c r="O147" i="9"/>
  <c r="O142" i="9"/>
  <c r="O55" i="9"/>
  <c r="O114" i="9"/>
  <c r="O133" i="9"/>
  <c r="O200" i="9"/>
  <c r="O95" i="9"/>
  <c r="O34" i="9"/>
  <c r="O123" i="9"/>
  <c r="O145" i="9"/>
  <c r="O37" i="9"/>
  <c r="O63" i="9"/>
  <c r="O120" i="9"/>
  <c r="O121" i="9"/>
  <c r="O72" i="9"/>
  <c r="O78" i="9"/>
  <c r="O51" i="9"/>
  <c r="O69" i="9"/>
  <c r="O188" i="9"/>
  <c r="O36" i="9"/>
  <c r="M15" i="9"/>
  <c r="M12" i="9"/>
  <c r="M210" i="9"/>
  <c r="M212" i="9" s="1"/>
  <c r="M11" i="9"/>
  <c r="M14" i="9"/>
  <c r="M16" i="9"/>
  <c r="M13" i="9"/>
  <c r="M18" i="9"/>
  <c r="Q53" i="9" l="1"/>
  <c r="Q178" i="9"/>
  <c r="Q98" i="9"/>
  <c r="Q199" i="9"/>
  <c r="Q172" i="9"/>
  <c r="Q126" i="9"/>
  <c r="Q52" i="9"/>
  <c r="Q62" i="9"/>
  <c r="Q158" i="9"/>
  <c r="Q154" i="9"/>
  <c r="Q66" i="9"/>
  <c r="Q76" i="9"/>
  <c r="Q164" i="9"/>
  <c r="Q84" i="9"/>
  <c r="Q127" i="9"/>
  <c r="Q38" i="9"/>
  <c r="Q189" i="9"/>
  <c r="Q90" i="9"/>
  <c r="Q28" i="9"/>
  <c r="Q86" i="9"/>
  <c r="Q89" i="9"/>
  <c r="Q51" i="9"/>
  <c r="Q147" i="9"/>
  <c r="Q131" i="9"/>
  <c r="Q157" i="9"/>
  <c r="Q96" i="9"/>
  <c r="Q156" i="9"/>
  <c r="Q102" i="9"/>
  <c r="Q41" i="9"/>
  <c r="Q168" i="9"/>
  <c r="Q124" i="9"/>
  <c r="Q56" i="9"/>
  <c r="Q171" i="9"/>
  <c r="Q148" i="9"/>
  <c r="Q198" i="9"/>
  <c r="Q130" i="9"/>
  <c r="Q79" i="9"/>
  <c r="Q153" i="9"/>
  <c r="Q27" i="9"/>
  <c r="Q169" i="9"/>
  <c r="Q195" i="9"/>
  <c r="Q80" i="9"/>
  <c r="Q206" i="9"/>
  <c r="Q119" i="9"/>
  <c r="Q151" i="9"/>
  <c r="Q100" i="9"/>
  <c r="Q88" i="9"/>
  <c r="Q190" i="9"/>
  <c r="Q106" i="9"/>
  <c r="Q45" i="9"/>
  <c r="Q85" i="9"/>
  <c r="Q64" i="9"/>
  <c r="Q208" i="9"/>
  <c r="Q70" i="9"/>
  <c r="Q99" i="9"/>
  <c r="Q74" i="9"/>
  <c r="Q63" i="9"/>
  <c r="Q34" i="9"/>
  <c r="Q114" i="9"/>
  <c r="Q129" i="9"/>
  <c r="Q136" i="9"/>
  <c r="Q196" i="9"/>
  <c r="Q42" i="9"/>
  <c r="Q139" i="9"/>
  <c r="Q77" i="9"/>
  <c r="Q160" i="9"/>
  <c r="Q140" i="9"/>
  <c r="Q162" i="9"/>
  <c r="Q91" i="9"/>
  <c r="Q174" i="9"/>
  <c r="Q117" i="9"/>
  <c r="Q110" i="9"/>
  <c r="Q185" i="9"/>
  <c r="Q61" i="9"/>
  <c r="Q135" i="9"/>
  <c r="Q137" i="9"/>
  <c r="Q128" i="9"/>
  <c r="Q138" i="9"/>
  <c r="Q49" i="9"/>
  <c r="Q108" i="9"/>
  <c r="Q115" i="9"/>
  <c r="Q67" i="9"/>
  <c r="Q194" i="9"/>
  <c r="Q58" i="9"/>
  <c r="Q54" i="9"/>
  <c r="Q197" i="9"/>
  <c r="Q165" i="9"/>
  <c r="Q29" i="9"/>
  <c r="Q25" i="9"/>
  <c r="Q187" i="9"/>
  <c r="Q182" i="9"/>
  <c r="Q97" i="9"/>
  <c r="Q123" i="9"/>
  <c r="Q37" i="9"/>
  <c r="Q55" i="9"/>
  <c r="Q83" i="9"/>
  <c r="Q50" i="9"/>
  <c r="Q60" i="9"/>
  <c r="Q180" i="9"/>
  <c r="Q71" i="9"/>
  <c r="Q159" i="9"/>
  <c r="Q175" i="9"/>
  <c r="Q205" i="9"/>
  <c r="Q112" i="9"/>
  <c r="Q101" i="9"/>
  <c r="Q166" i="9"/>
  <c r="Q103" i="9"/>
  <c r="Q133" i="9"/>
  <c r="Q68" i="9"/>
  <c r="Q43" i="9"/>
  <c r="Q134" i="9"/>
  <c r="Q87" i="9"/>
  <c r="Q116" i="9"/>
  <c r="Q186" i="9"/>
  <c r="Q33" i="9"/>
  <c r="Q118" i="9"/>
  <c r="Q192" i="9"/>
  <c r="Q109" i="9"/>
  <c r="Q173" i="9"/>
  <c r="Q113" i="9"/>
  <c r="Q191" i="9"/>
  <c r="Q125" i="9"/>
  <c r="Q40" i="9"/>
  <c r="Q146" i="9"/>
  <c r="Q82" i="9"/>
  <c r="Q155" i="9"/>
  <c r="Q31" i="9"/>
  <c r="Q149" i="9"/>
  <c r="Q144" i="9"/>
  <c r="Q105" i="9"/>
  <c r="Q120" i="9"/>
  <c r="Q36" i="9"/>
  <c r="Q78" i="9"/>
  <c r="Q188" i="9"/>
  <c r="Q72" i="9"/>
  <c r="Q95" i="9"/>
  <c r="Q69" i="9"/>
  <c r="Q121" i="9"/>
  <c r="Q145" i="9"/>
  <c r="Q200" i="9"/>
  <c r="Q142" i="9"/>
  <c r="Q161" i="9"/>
  <c r="Q59" i="9"/>
  <c r="Q141" i="9"/>
  <c r="Q177" i="9"/>
  <c r="Q107" i="9"/>
  <c r="Q44" i="9"/>
  <c r="Q167" i="9"/>
  <c r="Q179" i="9"/>
  <c r="Q183" i="9"/>
  <c r="Q32" i="9"/>
  <c r="Q39" i="9"/>
  <c r="Q193" i="9"/>
  <c r="Q73" i="9"/>
  <c r="M20" i="9"/>
  <c r="M22" i="9" s="1"/>
  <c r="R162" i="9" l="1"/>
  <c r="R139" i="9"/>
  <c r="R129" i="9"/>
  <c r="R74" i="9"/>
  <c r="R64" i="9"/>
  <c r="R190" i="9"/>
  <c r="R119" i="9"/>
  <c r="R169" i="9"/>
  <c r="R130" i="9"/>
  <c r="R32" i="9"/>
  <c r="R44" i="9"/>
  <c r="R59" i="9"/>
  <c r="R145" i="9"/>
  <c r="R72" i="9"/>
  <c r="R120" i="9"/>
  <c r="R31" i="9"/>
  <c r="R40" i="9"/>
  <c r="R173" i="9"/>
  <c r="R33" i="9"/>
  <c r="R134" i="9"/>
  <c r="R103" i="9"/>
  <c r="R205" i="9"/>
  <c r="R180" i="9"/>
  <c r="R55" i="9"/>
  <c r="R182" i="9"/>
  <c r="R165" i="9"/>
  <c r="R194" i="9"/>
  <c r="R49" i="9"/>
  <c r="R135" i="9"/>
  <c r="R117" i="9"/>
  <c r="R56" i="9"/>
  <c r="R102" i="9"/>
  <c r="R131" i="9"/>
  <c r="R86" i="9"/>
  <c r="R38" i="9"/>
  <c r="R76" i="9"/>
  <c r="R62" i="9"/>
  <c r="R199" i="9"/>
  <c r="R140" i="9"/>
  <c r="R42" i="9"/>
  <c r="R114" i="9"/>
  <c r="R99" i="9"/>
  <c r="R85" i="9"/>
  <c r="R88" i="9"/>
  <c r="R206" i="9"/>
  <c r="R27" i="9"/>
  <c r="R198" i="9"/>
  <c r="R73" i="9"/>
  <c r="R183" i="9"/>
  <c r="R107" i="9"/>
  <c r="R161" i="9"/>
  <c r="R121" i="9"/>
  <c r="R188" i="9"/>
  <c r="R105" i="9"/>
  <c r="R155" i="9"/>
  <c r="R125" i="9"/>
  <c r="R109" i="9"/>
  <c r="R186" i="9"/>
  <c r="R43" i="9"/>
  <c r="R166" i="9"/>
  <c r="R175" i="9"/>
  <c r="R60" i="9"/>
  <c r="R37" i="9"/>
  <c r="R187" i="9"/>
  <c r="R197" i="9"/>
  <c r="R67" i="9"/>
  <c r="R138" i="9"/>
  <c r="R61" i="9"/>
  <c r="R174" i="9"/>
  <c r="R124" i="9"/>
  <c r="R156" i="9"/>
  <c r="R147" i="9"/>
  <c r="R28" i="9"/>
  <c r="R127" i="9"/>
  <c r="R66" i="9"/>
  <c r="R52" i="9"/>
  <c r="R98" i="9"/>
  <c r="R160" i="9"/>
  <c r="R196" i="9"/>
  <c r="R34" i="9"/>
  <c r="R70" i="9"/>
  <c r="R45" i="9"/>
  <c r="R100" i="9"/>
  <c r="R80" i="9"/>
  <c r="R153" i="9"/>
  <c r="R177" i="9"/>
  <c r="R78" i="9"/>
  <c r="R144" i="9"/>
  <c r="R82" i="9"/>
  <c r="R191" i="9"/>
  <c r="R192" i="9"/>
  <c r="R116" i="9"/>
  <c r="R68" i="9"/>
  <c r="R101" i="9"/>
  <c r="R159" i="9"/>
  <c r="R50" i="9"/>
  <c r="R123" i="9"/>
  <c r="R25" i="9"/>
  <c r="R54" i="9"/>
  <c r="R115" i="9"/>
  <c r="R128" i="9"/>
  <c r="R185" i="9"/>
  <c r="R148" i="9"/>
  <c r="R168" i="9"/>
  <c r="R96" i="9"/>
  <c r="R51" i="9"/>
  <c r="R90" i="9"/>
  <c r="R84" i="9"/>
  <c r="R154" i="9"/>
  <c r="R126" i="9"/>
  <c r="R178" i="9"/>
  <c r="R91" i="9"/>
  <c r="R77" i="9"/>
  <c r="R136" i="9"/>
  <c r="R63" i="9"/>
  <c r="R208" i="9"/>
  <c r="R106" i="9"/>
  <c r="R151" i="9"/>
  <c r="R195" i="9"/>
  <c r="R79" i="9"/>
  <c r="R193" i="9"/>
  <c r="R179" i="9"/>
  <c r="R142" i="9"/>
  <c r="R69" i="9"/>
  <c r="R39" i="9"/>
  <c r="R167" i="9"/>
  <c r="R141" i="9"/>
  <c r="R200" i="9"/>
  <c r="R95" i="9"/>
  <c r="R36" i="9"/>
  <c r="R149" i="9"/>
  <c r="R146" i="9"/>
  <c r="R113" i="9"/>
  <c r="R118" i="9"/>
  <c r="R87" i="9"/>
  <c r="R133" i="9"/>
  <c r="R112" i="9"/>
  <c r="R71" i="9"/>
  <c r="R83" i="9"/>
  <c r="R97" i="9"/>
  <c r="R29" i="9"/>
  <c r="R58" i="9"/>
  <c r="R108" i="9"/>
  <c r="R137" i="9"/>
  <c r="R110" i="9"/>
  <c r="R171" i="9"/>
  <c r="R41" i="9"/>
  <c r="R157" i="9"/>
  <c r="R89" i="9"/>
  <c r="R189" i="9"/>
  <c r="R164" i="9"/>
  <c r="R158" i="9"/>
  <c r="R172" i="9"/>
  <c r="R53" i="9"/>
</calcChain>
</file>

<file path=xl/comments1.xml><?xml version="1.0" encoding="utf-8"?>
<comments xmlns="http://schemas.openxmlformats.org/spreadsheetml/2006/main">
  <authors>
    <author>Regan, Jared</author>
  </authors>
  <commentList>
    <comment ref="C208" authorId="0" shapeId="0">
      <text>
        <r>
          <rPr>
            <b/>
            <sz val="9"/>
            <color indexed="81"/>
            <rFont val="Tahoma"/>
            <charset val="1"/>
          </rPr>
          <t>Regan, Jared:</t>
        </r>
        <r>
          <rPr>
            <sz val="9"/>
            <color indexed="81"/>
            <rFont val="Tahoma"/>
            <charset val="1"/>
          </rPr>
          <t xml:space="preserve">
Sch 58 - Old is not billed in the billing system, therefore this rate is not updated as no Revenue Requirement allocated.</t>
        </r>
      </text>
    </comment>
  </commentList>
</comments>
</file>

<file path=xl/comments2.xml><?xml version="1.0" encoding="utf-8"?>
<comments xmlns="http://schemas.openxmlformats.org/spreadsheetml/2006/main">
  <authors>
    <author>Puget Sound Energy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used for capital cost allocation for Company finaniced SCHs only
</t>
        </r>
      </text>
    </comment>
    <comment ref="H20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Per Troupe, Danielle  updated 2018 pole installation costs 
</t>
        </r>
      </text>
    </comment>
  </commentList>
</comments>
</file>

<file path=xl/sharedStrings.xml><?xml version="1.0" encoding="utf-8"?>
<sst xmlns="http://schemas.openxmlformats.org/spreadsheetml/2006/main" count="1193" uniqueCount="281">
  <si>
    <t>Adjusted Lighting Revenue Req</t>
  </si>
  <si>
    <t>Difference</t>
  </si>
  <si>
    <t>Lighting Revenue to Collect</t>
  </si>
  <si>
    <t>Lighting Revenue Based on Inventory</t>
  </si>
  <si>
    <t>Old</t>
  </si>
  <si>
    <t>Check</t>
  </si>
  <si>
    <t>All Lighting</t>
  </si>
  <si>
    <t>Sch 55, 56, 58 &amp; 59 Pole Rental</t>
  </si>
  <si>
    <t>Schedule 58-59</t>
  </si>
  <si>
    <t>Schedule 57</t>
  </si>
  <si>
    <t>Schedule 55-56</t>
  </si>
  <si>
    <t>Schedule 54</t>
  </si>
  <si>
    <t>Schedule 53</t>
  </si>
  <si>
    <t>Schedule 52</t>
  </si>
  <si>
    <t>Schedule 51</t>
  </si>
  <si>
    <t>Schedule 50</t>
  </si>
  <si>
    <t>COS %</t>
  </si>
  <si>
    <t>= (j) + (k)</t>
  </si>
  <si>
    <t>(j)</t>
  </si>
  <si>
    <t>(i)</t>
  </si>
  <si>
    <t>(h)</t>
  </si>
  <si>
    <t>(g)</t>
  </si>
  <si>
    <t>(f)</t>
  </si>
  <si>
    <t>(d)</t>
  </si>
  <si>
    <t>(c)</t>
  </si>
  <si>
    <t>(b)</t>
  </si>
  <si>
    <t>(a)</t>
  </si>
  <si>
    <t>Customer</t>
  </si>
  <si>
    <t>O&amp;M</t>
  </si>
  <si>
    <t>Wattage (W)</t>
  </si>
  <si>
    <t>Lamp Type</t>
  </si>
  <si>
    <t>Schedule</t>
  </si>
  <si>
    <t>Line No.</t>
  </si>
  <si>
    <t>Total</t>
  </si>
  <si>
    <t>Distribution Plant</t>
  </si>
  <si>
    <t>Current Portion</t>
  </si>
  <si>
    <t>% to Total</t>
  </si>
  <si>
    <t xml:space="preserve"> Assigned Revenue Requirement </t>
  </si>
  <si>
    <t>Total Capital Cost of Rented Poles</t>
  </si>
  <si>
    <t>Total Install Cost of other Lamps</t>
  </si>
  <si>
    <t>Distribution Rev Req</t>
  </si>
  <si>
    <t>Distribution Rev Req to Allocate</t>
  </si>
  <si>
    <t>Lighting COS Capital</t>
  </si>
  <si>
    <t>Demand Related</t>
  </si>
  <si>
    <t>Energy Related</t>
  </si>
  <si>
    <t>Production/Transmission Rev Req</t>
  </si>
  <si>
    <t>Generation Energy &amp; Demand Revenue Req</t>
  </si>
  <si>
    <t>% Energy &amp; Demand</t>
  </si>
  <si>
    <t>Adjusted Rev Req to Collect</t>
  </si>
  <si>
    <t>Other Plant</t>
  </si>
  <si>
    <t>Production &amp; Transmission Plant</t>
  </si>
  <si>
    <t>Adjusted Rev Req</t>
  </si>
  <si>
    <t>Total Excluding "Other Plant"</t>
  </si>
  <si>
    <t>Puget Sound Energy</t>
  </si>
  <si>
    <t>Per kWh Commodity Cost (Annually)</t>
  </si>
  <si>
    <t>Total Count of kWh (annual)</t>
  </si>
  <si>
    <t>Total Revenue Required From Rates</t>
  </si>
  <si>
    <t>A&amp;G Component of Revenue Requirement</t>
  </si>
  <si>
    <t>Production / Transmission (Energy-related) Revenue Requirement</t>
  </si>
  <si>
    <t>Commodity Components (Sch 50, 51, 52, 53, 54, 55, 56, 57, 58, 59)</t>
  </si>
  <si>
    <t>Energy</t>
  </si>
  <si>
    <t>Per kW Demand Cost (Monthly)</t>
  </si>
  <si>
    <t>Per kW Demand Cost (Annually)</t>
  </si>
  <si>
    <t>Total Count of Non-Continuous Area kW</t>
  </si>
  <si>
    <t>Non-Continuous Area Light Portion of Revenue Requirement</t>
  </si>
  <si>
    <t>Non-Continuous Area Light % of Demand</t>
  </si>
  <si>
    <t>Production / Transmission (Demand-related) Revenue Requirement</t>
  </si>
  <si>
    <t>Demand Components (Sch 55, 56, 58, 59)</t>
  </si>
  <si>
    <t>Total Count of Non-Continuous Street kW</t>
  </si>
  <si>
    <t>Non-Continuous Street Light Portion of Revenue Requirement</t>
  </si>
  <si>
    <t>Non-Continuous Street Light % of Demand</t>
  </si>
  <si>
    <t>Demand Components (Sch 50, 51, 52, 53, 54)</t>
  </si>
  <si>
    <t>Total Count of Continuous Street kW</t>
  </si>
  <si>
    <t>Continuous Street Light Portion of Revenue Requirement</t>
  </si>
  <si>
    <t>Continuous Street Light % of Demand</t>
  </si>
  <si>
    <t>Total Revenue Required</t>
  </si>
  <si>
    <t>Demand Components (Sch 57)</t>
  </si>
  <si>
    <t>Demand</t>
  </si>
  <si>
    <t>Per Watt Customer Cost (Monthly)</t>
  </si>
  <si>
    <t>Per Watt Customer Cost (Annually)</t>
  </si>
  <si>
    <t>Total Count of Schedule 57 Connected Watts</t>
  </si>
  <si>
    <t>Amount of Revenue Required from non-57</t>
  </si>
  <si>
    <t>% of Schedule 57 Customers</t>
  </si>
  <si>
    <t>Number of Customers Less Schedule 57 Customers</t>
  </si>
  <si>
    <t>Number of Schedule 57 Customers</t>
  </si>
  <si>
    <t>Total number of Customers</t>
  </si>
  <si>
    <t>Customer Expense (Sch 57)</t>
  </si>
  <si>
    <t>Per kWh Customer Cost</t>
  </si>
  <si>
    <t>% of Non-Schedule 57 Customers</t>
  </si>
  <si>
    <t>Customer Expense  (Sch 50, 51, 52, 53, 54, 55, 56, 58, 59)</t>
  </si>
  <si>
    <t>Monthly O&amp;M Facilities Charge Percentage</t>
  </si>
  <si>
    <t>Annual O&amp;M Facilities Charge Percentage</t>
  </si>
  <si>
    <t>Recovery from 51&amp;52 O&amp;M Facilities Charge</t>
  </si>
  <si>
    <t>System Value of 52 under option A &amp; B</t>
  </si>
  <si>
    <t>Ratio of O&amp;M to Distribution Capital</t>
  </si>
  <si>
    <t>Distribution O&amp;M  (Sch 52 Facilities Charge)</t>
  </si>
  <si>
    <t>Recovery from 51 O&amp;M Facilities Charge</t>
  </si>
  <si>
    <t>System Value of 51 under option A &amp; B</t>
  </si>
  <si>
    <t>Distribution O&amp;M  (Sch 51 Facilities Charge)</t>
  </si>
  <si>
    <t>Per Lamp O&amp;M Cost (Monthly)</t>
  </si>
  <si>
    <t>Per Lamp O&amp;M Cost (Annually)</t>
  </si>
  <si>
    <t>Total Count of O&amp;M Eligible Lamps</t>
  </si>
  <si>
    <t>Revenue Required from Lamps Less Facilities charge Recovery</t>
  </si>
  <si>
    <t>Distribution O&amp;M (Sch 50, 53, 54, 55, 56, 57, 58, 59)</t>
  </si>
  <si>
    <t>Monthly Capital Facilities Charge Percentage</t>
  </si>
  <si>
    <t>Annual Capital Facilities Charge Percentage</t>
  </si>
  <si>
    <t>Revenue from 51&amp;52 Option A Capital Facilities Charge</t>
  </si>
  <si>
    <t>System Value of 51&amp;52 under option A</t>
  </si>
  <si>
    <t>Ratio of Revenue Requirement to System Value</t>
  </si>
  <si>
    <t>Total Revenue Required from Capital (Lamps and Poles)</t>
  </si>
  <si>
    <t xml:space="preserve"> Capital  (Sch 51, 52 Facilities Charge)</t>
  </si>
  <si>
    <t>Per Install Dollar Capital Cost (Monthly)</t>
  </si>
  <si>
    <t>Per Install Dollar Capital Cost (Annually)</t>
  </si>
  <si>
    <t>Total Revenue Required from Pole Rentals</t>
  </si>
  <si>
    <t xml:space="preserve"> Capital  (Sch 55, 56, 58, 59 Pole Rental)</t>
  </si>
  <si>
    <t>Recovery per Install Dollar Capital Cost (Monthly)</t>
  </si>
  <si>
    <t>Recovery per Install Dollar Capital Cost (Annually)</t>
  </si>
  <si>
    <t>Recovery from 51&amp;52 Capital Facilities Charge</t>
  </si>
  <si>
    <t>Total Capital Revenue Required Less Pole Rental</t>
  </si>
  <si>
    <t>Dist. Cap. (Poles) Revenue Required from Rental Poles</t>
  </si>
  <si>
    <t>% of Distribution Cap. (Poles) Required from Rentals</t>
  </si>
  <si>
    <t>Total Revenue Required from Distribution Capital (Poles)</t>
  </si>
  <si>
    <t>Total Revenue Required from Distribution Capital (Lamps)</t>
  </si>
  <si>
    <t xml:space="preserve"> Capital  (Sch 50, 53, 54, 55, 56, 57, 58, 59)</t>
  </si>
  <si>
    <t>Capital</t>
  </si>
  <si>
    <t>Unitized Revenue</t>
  </si>
  <si>
    <t>Cost</t>
  </si>
  <si>
    <t>Capital Cost per $ of System value</t>
  </si>
  <si>
    <t>Installed Cost</t>
  </si>
  <si>
    <t>Financier</t>
  </si>
  <si>
    <t>Demand Cost per kW</t>
  </si>
  <si>
    <t>Yes</t>
  </si>
  <si>
    <t>New</t>
  </si>
  <si>
    <t>58 &amp; 59</t>
  </si>
  <si>
    <t>56 &amp; 56</t>
  </si>
  <si>
    <t>55 &amp; 56</t>
  </si>
  <si>
    <t>Pole Rental Rates</t>
  </si>
  <si>
    <t>No</t>
  </si>
  <si>
    <t>N/A</t>
  </si>
  <si>
    <t>Special</t>
  </si>
  <si>
    <t>57E</t>
  </si>
  <si>
    <t>Sch 57</t>
  </si>
  <si>
    <t>58E &amp; 59E</t>
  </si>
  <si>
    <t>Horizontal</t>
  </si>
  <si>
    <t>Directional</t>
  </si>
  <si>
    <t>Sch 58 &amp; 59</t>
  </si>
  <si>
    <t>HPS</t>
  </si>
  <si>
    <t>55E &amp; 56E</t>
  </si>
  <si>
    <t>Sch 55 &amp; 56</t>
  </si>
  <si>
    <t>54E</t>
  </si>
  <si>
    <t>Sch 54E</t>
  </si>
  <si>
    <t>53E - Customer Owned</t>
  </si>
  <si>
    <t>53E - Company Owned</t>
  </si>
  <si>
    <t>Sch 53E</t>
  </si>
  <si>
    <t xml:space="preserve">52E </t>
  </si>
  <si>
    <t>Sch 52E</t>
  </si>
  <si>
    <t>51E</t>
  </si>
  <si>
    <t>Sch 51E</t>
  </si>
  <si>
    <t>Energy Only</t>
  </si>
  <si>
    <t>50E-B</t>
  </si>
  <si>
    <t>50E-A</t>
  </si>
  <si>
    <t>003</t>
  </si>
  <si>
    <t>Sch 50E</t>
  </si>
  <si>
    <t>Total Cost of Service of Single lamp</t>
  </si>
  <si>
    <t>Commodity Charge</t>
  </si>
  <si>
    <t>Demand Charge</t>
  </si>
  <si>
    <t>Customer Charge</t>
  </si>
  <si>
    <t>O&amp;M Charge</t>
  </si>
  <si>
    <t>Capital Charge</t>
  </si>
  <si>
    <t>Commodity Cost per kWh</t>
  </si>
  <si>
    <t>A&amp;G Cost per kWh</t>
  </si>
  <si>
    <t>O&amp;M Cost per Weighted O&amp;M Eligible Lamp</t>
  </si>
  <si>
    <t>Inndividual Lamp Monthly Billed Usage (kWh)</t>
  </si>
  <si>
    <t xml:space="preserve">Test Year Usage (kWh) </t>
  </si>
  <si>
    <t>Test Year Demand</t>
  </si>
  <si>
    <t>Test Year PSE Financed System Value Estimate</t>
  </si>
  <si>
    <t>Weighted Count of O&amp;M Bulbs &amp; Lamps</t>
  </si>
  <si>
    <t>O&amp;M Frequency Weighting Factor</t>
  </si>
  <si>
    <t>O&amp;M Eligible ?</t>
  </si>
  <si>
    <t>Test Year Count (Lamp Inventory)</t>
  </si>
  <si>
    <t xml:space="preserve">Lamp Size </t>
  </si>
  <si>
    <t>Compact Flourescent</t>
  </si>
  <si>
    <t>CF 22</t>
  </si>
  <si>
    <t>Mercury Vapor</t>
  </si>
  <si>
    <t>MV 100</t>
  </si>
  <si>
    <t>MV 175</t>
  </si>
  <si>
    <t>MV 400</t>
  </si>
  <si>
    <t>MV 700</t>
  </si>
  <si>
    <t>Light Emitting Diode</t>
  </si>
  <si>
    <t>LED 030.01-060</t>
  </si>
  <si>
    <t>LED 060.01-090</t>
  </si>
  <si>
    <t>LED 090.01-120</t>
  </si>
  <si>
    <t>LED 120.01-150</t>
  </si>
  <si>
    <t>LED 150.01-180</t>
  </si>
  <si>
    <t>LED 180.01-210</t>
  </si>
  <si>
    <t>LED 210.01-240</t>
  </si>
  <si>
    <t>LED 240.01-270</t>
  </si>
  <si>
    <t>LED 270.01-300</t>
  </si>
  <si>
    <t>Sodium Vapor</t>
  </si>
  <si>
    <t>SV 50</t>
  </si>
  <si>
    <t>SV 070</t>
  </si>
  <si>
    <t>SV 100</t>
  </si>
  <si>
    <t>SV 150</t>
  </si>
  <si>
    <t>SV 200</t>
  </si>
  <si>
    <t>SV 250</t>
  </si>
  <si>
    <t>SV 310</t>
  </si>
  <si>
    <t>SV 400</t>
  </si>
  <si>
    <t>Metal Halide</t>
  </si>
  <si>
    <t>MH 070</t>
  </si>
  <si>
    <t>MH 100</t>
  </si>
  <si>
    <t>MH 150</t>
  </si>
  <si>
    <t>MH 175</t>
  </si>
  <si>
    <t>MH 250</t>
  </si>
  <si>
    <t>MH 400</t>
  </si>
  <si>
    <t>MH 1000</t>
  </si>
  <si>
    <t>SV 050</t>
  </si>
  <si>
    <t>Company</t>
  </si>
  <si>
    <t>SV 1000</t>
  </si>
  <si>
    <t>MH 70</t>
  </si>
  <si>
    <t>DS 070</t>
  </si>
  <si>
    <t>DS 100</t>
  </si>
  <si>
    <t>DS 150</t>
  </si>
  <si>
    <t>DS 200</t>
  </si>
  <si>
    <t>DS 250</t>
  </si>
  <si>
    <t>DS 400</t>
  </si>
  <si>
    <t>HS 100</t>
  </si>
  <si>
    <t>HS 150</t>
  </si>
  <si>
    <t>HS 200</t>
  </si>
  <si>
    <t>HS 250</t>
  </si>
  <si>
    <t>HS 400</t>
  </si>
  <si>
    <t>DM 175</t>
  </si>
  <si>
    <t>DM 250</t>
  </si>
  <si>
    <t>DM 400</t>
  </si>
  <si>
    <t>DM 1000</t>
  </si>
  <si>
    <t>HM 250</t>
  </si>
  <si>
    <t>HM 400</t>
  </si>
  <si>
    <t>LED 300.01-400</t>
  </si>
  <si>
    <t>LED 400.01-500</t>
  </si>
  <si>
    <t>LED 500.01-600</t>
  </si>
  <si>
    <t>LED 600.01-700</t>
  </si>
  <si>
    <t>LED 700.01-800</t>
  </si>
  <si>
    <t>LED 800.01-900</t>
  </si>
  <si>
    <t>Per W charge</t>
  </si>
  <si>
    <t>TRFC</t>
  </si>
  <si>
    <t>Pole</t>
  </si>
  <si>
    <t>SOURCE</t>
  </si>
  <si>
    <t>2019 GRC: DOCKET UE-190529, Lighting COS Module</t>
  </si>
  <si>
    <t xml:space="preserve">SOURCE </t>
  </si>
  <si>
    <t>Workpaper: "WP#1 - UE-190529 COS (PTDGP.T)"</t>
  </si>
  <si>
    <t xml:space="preserve">SCH 140 Proposed Adjusted Cost Allocations </t>
  </si>
  <si>
    <t>SHC 140 - Development of Unitized Lighting Costs per Proposed Adjusted Revenue Requirment to be Collected</t>
  </si>
  <si>
    <t>LED 0-030</t>
  </si>
  <si>
    <t>SMART LIGHT</t>
  </si>
  <si>
    <t>2022 GRC Lighting COS Module Data approved in DOC # UE-220066</t>
  </si>
  <si>
    <t>Smart Lighting</t>
  </si>
  <si>
    <t>Schedule 140 Property Tax Workpapers</t>
  </si>
  <si>
    <r>
      <t xml:space="preserve">Annual Lamp Inventory as of </t>
    </r>
    <r>
      <rPr>
        <sz val="8"/>
        <color rgb="FF0000FF"/>
        <rFont val="Arial"/>
        <family val="2"/>
      </rPr>
      <t>1/31/2023</t>
    </r>
  </si>
  <si>
    <t>2022 GRC: DOCKET UE-220066, ECOS Module</t>
  </si>
  <si>
    <t>2022 GRC: DOCKET UE-220066, Lighting ECOS Module</t>
  </si>
  <si>
    <t>Lighting COS (Distribution)</t>
  </si>
  <si>
    <t>NEW-PSE-WP Electric Sch 140 Property Tax Rate Spread-Design (2023)</t>
  </si>
  <si>
    <t>ECOS Plant-in-Service Summary</t>
  </si>
  <si>
    <t>Deferral Portion</t>
  </si>
  <si>
    <t>Total Proposed Allocations per Lamp Type</t>
  </si>
  <si>
    <t>Projected Annual Revenue</t>
  </si>
  <si>
    <t>Proposed Distribution Capital Allocation</t>
  </si>
  <si>
    <t>Proposed  Generation Demand Allocation</t>
  </si>
  <si>
    <t>Proposed Generation Energy Allocation</t>
  </si>
  <si>
    <t>Proposed
Base (140A)
Rate</t>
  </si>
  <si>
    <t>Proposed
Deferral (140B)
Rate</t>
  </si>
  <si>
    <t>Proposed
Combined
Rate</t>
  </si>
  <si>
    <t>= (a) + (b) + (c)</t>
  </si>
  <si>
    <t>(e)</t>
  </si>
  <si>
    <t>= (d) * (e)</t>
  </si>
  <si>
    <t>= (i) - (d)</t>
  </si>
  <si>
    <t>Summary of Allocated Lighting Costs</t>
  </si>
  <si>
    <t>Summary of Plant-in-Service Allocations for Lighting</t>
  </si>
  <si>
    <t>per kWh charge</t>
  </si>
  <si>
    <t>Goal Seek Adjustment (try to set cell M212 to zero)</t>
  </si>
  <si>
    <t>Forecasted Test-Year Ended April 30, 2024</t>
  </si>
  <si>
    <t>Proposed Rate Effective May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</si>
</sst>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&quot;$&quot;#,##0.00000"/>
    <numFmt numFmtId="167" formatCode="_(* #,##0_);_(* \(#,##0\);_(* &quot;-&quot;??_);_(@_)"/>
    <numFmt numFmtId="168" formatCode="0.00000%"/>
    <numFmt numFmtId="169" formatCode="&quot;$&quot;#,##0.000000"/>
    <numFmt numFmtId="170" formatCode="_(&quot;$&quot;* #,##0.00000_);_(&quot;$&quot;* \(#,##0.00000\);_(&quot;$&quot;* &quot;-&quot;??_);_(@_)"/>
    <numFmt numFmtId="171" formatCode="_(* #,##0.000_);_(* \(#,##0.000\);_(* &quot;-&quot;??_);_(@_)"/>
    <numFmt numFmtId="172" formatCode="_(&quot;$&quot;* #,##0.000000_);_(&quot;$&quot;* \(#,##0.0000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808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color theme="3" tint="0.39997558519241921"/>
      <name val="Arial"/>
      <family val="2"/>
    </font>
    <font>
      <sz val="8"/>
      <color rgb="FFFF000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sz val="8"/>
      <color rgb="FF008080"/>
      <name val="Arial"/>
      <family val="2"/>
    </font>
    <font>
      <b/>
      <i/>
      <sz val="8"/>
      <name val="Arial"/>
      <family val="2"/>
    </font>
    <font>
      <b/>
      <i/>
      <sz val="11"/>
      <color theme="1"/>
      <name val="Calibri"/>
      <family val="2"/>
      <scheme val="minor"/>
    </font>
    <font>
      <sz val="8"/>
      <color rgb="FF0033CC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 val="singleAccounting"/>
      <sz val="8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97">
    <xf numFmtId="0" fontId="0" fillId="0" borderId="0" xfId="0"/>
    <xf numFmtId="0" fontId="3" fillId="0" borderId="0" xfId="0" applyFont="1" applyFill="1" applyBorder="1"/>
    <xf numFmtId="0" fontId="3" fillId="0" borderId="14" xfId="0" applyFont="1" applyFill="1" applyBorder="1"/>
    <xf numFmtId="0" fontId="3" fillId="0" borderId="0" xfId="0" applyFont="1" applyFill="1" applyAlignment="1">
      <alignment horizontal="center"/>
    </xf>
    <xf numFmtId="166" fontId="3" fillId="0" borderId="15" xfId="0" applyNumberFormat="1" applyFont="1" applyFill="1" applyBorder="1"/>
    <xf numFmtId="4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2" xfId="0" applyFont="1" applyFill="1" applyBorder="1"/>
    <xf numFmtId="0" fontId="4" fillId="0" borderId="16" xfId="0" applyFont="1" applyFill="1" applyBorder="1"/>
    <xf numFmtId="166" fontId="3" fillId="0" borderId="17" xfId="0" applyNumberFormat="1" applyFont="1" applyFill="1" applyBorder="1"/>
    <xf numFmtId="166" fontId="3" fillId="0" borderId="2" xfId="0" applyNumberFormat="1" applyFont="1" applyFill="1" applyBorder="1"/>
    <xf numFmtId="10" fontId="3" fillId="0" borderId="0" xfId="0" applyNumberFormat="1" applyFont="1" applyFill="1" applyBorder="1"/>
    <xf numFmtId="166" fontId="3" fillId="0" borderId="0" xfId="0" applyNumberFormat="1" applyFont="1" applyFill="1" applyBorder="1"/>
    <xf numFmtId="1" fontId="3" fillId="0" borderId="0" xfId="0" applyNumberFormat="1" applyFont="1" applyFill="1" applyBorder="1"/>
    <xf numFmtId="168" fontId="3" fillId="0" borderId="17" xfId="0" applyNumberFormat="1" applyFont="1" applyFill="1" applyBorder="1"/>
    <xf numFmtId="168" fontId="3" fillId="0" borderId="2" xfId="0" applyNumberFormat="1" applyFont="1" applyFill="1" applyBorder="1"/>
    <xf numFmtId="168" fontId="3" fillId="0" borderId="0" xfId="0" applyNumberFormat="1" applyFont="1" applyFill="1" applyBorder="1"/>
    <xf numFmtId="0" fontId="3" fillId="0" borderId="3" xfId="0" applyFont="1" applyFill="1" applyBorder="1"/>
    <xf numFmtId="10" fontId="3" fillId="0" borderId="17" xfId="0" applyNumberFormat="1" applyFont="1" applyFill="1" applyBorder="1"/>
    <xf numFmtId="10" fontId="3" fillId="0" borderId="2" xfId="0" applyNumberFormat="1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right" wrapText="1"/>
    </xf>
    <xf numFmtId="0" fontId="3" fillId="0" borderId="0" xfId="0" quotePrefix="1" applyFont="1" applyFill="1" applyBorder="1" applyAlignment="1"/>
    <xf numFmtId="0" fontId="3" fillId="0" borderId="0" xfId="0" quotePrefix="1" applyFont="1" applyFill="1" applyBorder="1" applyAlignment="1">
      <alignment horizontal="left" indent="1"/>
    </xf>
    <xf numFmtId="0" fontId="3" fillId="0" borderId="0" xfId="0" quotePrefix="1" applyFont="1" applyFill="1" applyBorder="1" applyAlignment="1">
      <alignment horizontal="center"/>
    </xf>
    <xf numFmtId="44" fontId="3" fillId="0" borderId="0" xfId="2" applyFont="1" applyFill="1" applyBorder="1"/>
    <xf numFmtId="170" fontId="3" fillId="0" borderId="0" xfId="2" applyNumberFormat="1" applyFont="1" applyFill="1" applyBorder="1"/>
    <xf numFmtId="0" fontId="3" fillId="0" borderId="0" xfId="0" applyFont="1" applyFill="1" applyBorder="1" applyAlignment="1"/>
    <xf numFmtId="167" fontId="3" fillId="0" borderId="0" xfId="1" applyNumberFormat="1" applyFont="1" applyFill="1" applyBorder="1" applyAlignment="1"/>
    <xf numFmtId="171" fontId="3" fillId="0" borderId="0" xfId="1" applyNumberFormat="1" applyFont="1" applyFill="1" applyBorder="1" applyAlignment="1">
      <alignment horizontal="center"/>
    </xf>
    <xf numFmtId="44" fontId="3" fillId="0" borderId="0" xfId="2" applyFont="1" applyFill="1" applyBorder="1" applyAlignment="1">
      <alignment horizontal="center"/>
    </xf>
    <xf numFmtId="167" fontId="3" fillId="0" borderId="0" xfId="1" applyNumberFormat="1" applyFont="1" applyFill="1" applyBorder="1"/>
    <xf numFmtId="0" fontId="3" fillId="0" borderId="0" xfId="0" applyFont="1" applyFill="1" applyBorder="1" applyAlignment="1">
      <alignment horizontal="right"/>
    </xf>
    <xf numFmtId="44" fontId="3" fillId="0" borderId="2" xfId="2" applyFont="1" applyFill="1" applyBorder="1"/>
    <xf numFmtId="44" fontId="3" fillId="0" borderId="1" xfId="2" applyFont="1" applyFill="1" applyBorder="1"/>
    <xf numFmtId="0" fontId="3" fillId="0" borderId="1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7" fontId="8" fillId="0" borderId="0" xfId="0" applyNumberFormat="1" applyFont="1" applyFill="1"/>
    <xf numFmtId="165" fontId="8" fillId="0" borderId="0" xfId="2" applyNumberFormat="1" applyFont="1" applyFill="1"/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/>
    </xf>
    <xf numFmtId="41" fontId="3" fillId="0" borderId="0" xfId="0" applyNumberFormat="1" applyFont="1" applyFill="1"/>
    <xf numFmtId="165" fontId="8" fillId="0" borderId="0" xfId="0" applyNumberFormat="1" applyFont="1" applyFill="1"/>
    <xf numFmtId="164" fontId="3" fillId="0" borderId="0" xfId="2" applyNumberFormat="1" applyFont="1" applyFill="1"/>
    <xf numFmtId="44" fontId="3" fillId="0" borderId="0" xfId="2" applyFont="1" applyFill="1"/>
    <xf numFmtId="166" fontId="3" fillId="0" borderId="0" xfId="2" applyNumberFormat="1" applyFont="1" applyFill="1"/>
    <xf numFmtId="164" fontId="3" fillId="0" borderId="0" xfId="0" applyNumberFormat="1" applyFont="1" applyFill="1"/>
    <xf numFmtId="0" fontId="8" fillId="0" borderId="0" xfId="0" quotePrefix="1" applyFont="1" applyFill="1" applyAlignment="1">
      <alignment horizontal="left"/>
    </xf>
    <xf numFmtId="41" fontId="8" fillId="0" borderId="0" xfId="0" applyNumberFormat="1" applyFont="1" applyFill="1"/>
    <xf numFmtId="0" fontId="8" fillId="0" borderId="0" xfId="0" applyFont="1" applyFill="1" applyAlignment="1">
      <alignment horizontal="left"/>
    </xf>
    <xf numFmtId="165" fontId="9" fillId="3" borderId="0" xfId="0" applyNumberFormat="1" applyFont="1" applyFill="1"/>
    <xf numFmtId="0" fontId="10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left"/>
    </xf>
    <xf numFmtId="44" fontId="10" fillId="0" borderId="0" xfId="2" applyFont="1" applyFill="1"/>
    <xf numFmtId="0" fontId="8" fillId="0" borderId="0" xfId="0" applyFont="1"/>
    <xf numFmtId="0" fontId="11" fillId="0" borderId="13" xfId="0" applyFont="1" applyBorder="1"/>
    <xf numFmtId="0" fontId="11" fillId="0" borderId="10" xfId="0" applyFont="1" applyBorder="1"/>
    <xf numFmtId="0" fontId="8" fillId="0" borderId="8" xfId="0" quotePrefix="1" applyFont="1" applyBorder="1" applyAlignment="1">
      <alignment horizontal="left"/>
    </xf>
    <xf numFmtId="0" fontId="8" fillId="0" borderId="0" xfId="0" applyFont="1" applyBorder="1"/>
    <xf numFmtId="165" fontId="8" fillId="0" borderId="0" xfId="0" applyNumberFormat="1" applyFont="1" applyBorder="1"/>
    <xf numFmtId="9" fontId="8" fillId="0" borderId="0" xfId="0" applyNumberFormat="1" applyFont="1" applyBorder="1"/>
    <xf numFmtId="165" fontId="8" fillId="0" borderId="7" xfId="0" applyNumberFormat="1" applyFont="1" applyBorder="1"/>
    <xf numFmtId="0" fontId="8" fillId="0" borderId="6" xfId="0" applyFont="1" applyBorder="1"/>
    <xf numFmtId="0" fontId="8" fillId="0" borderId="5" xfId="0" applyFont="1" applyBorder="1"/>
    <xf numFmtId="165" fontId="8" fillId="0" borderId="5" xfId="0" applyNumberFormat="1" applyFont="1" applyBorder="1"/>
    <xf numFmtId="9" fontId="8" fillId="0" borderId="5" xfId="0" applyNumberFormat="1" applyFont="1" applyBorder="1"/>
    <xf numFmtId="165" fontId="8" fillId="0" borderId="4" xfId="0" applyNumberFormat="1" applyFont="1" applyBorder="1"/>
    <xf numFmtId="0" fontId="12" fillId="0" borderId="13" xfId="0" applyFont="1" applyBorder="1"/>
    <xf numFmtId="0" fontId="13" fillId="0" borderId="0" xfId="0" applyFont="1" applyBorder="1"/>
    <xf numFmtId="0" fontId="12" fillId="0" borderId="10" xfId="0" applyFont="1" applyBorder="1"/>
    <xf numFmtId="0" fontId="8" fillId="0" borderId="7" xfId="0" applyFont="1" applyBorder="1"/>
    <xf numFmtId="0" fontId="8" fillId="0" borderId="8" xfId="0" quotePrefix="1" applyFont="1" applyBorder="1" applyAlignment="1">
      <alignment horizontal="left" indent="1"/>
    </xf>
    <xf numFmtId="0" fontId="8" fillId="0" borderId="6" xfId="0" applyFont="1" applyBorder="1" applyAlignment="1">
      <alignment horizontal="left" indent="1"/>
    </xf>
    <xf numFmtId="0" fontId="11" fillId="0" borderId="10" xfId="0" quotePrefix="1" applyFont="1" applyBorder="1" applyAlignment="1">
      <alignment horizontal="left"/>
    </xf>
    <xf numFmtId="0" fontId="8" fillId="0" borderId="8" xfId="0" applyFont="1" applyBorder="1"/>
    <xf numFmtId="0" fontId="8" fillId="0" borderId="4" xfId="0" applyFont="1" applyBorder="1"/>
    <xf numFmtId="9" fontId="8" fillId="0" borderId="7" xfId="0" applyNumberFormat="1" applyFont="1" applyBorder="1"/>
    <xf numFmtId="9" fontId="8" fillId="0" borderId="4" xfId="0" applyNumberFormat="1" applyFont="1" applyBorder="1"/>
    <xf numFmtId="0" fontId="11" fillId="0" borderId="12" xfId="0" quotePrefix="1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11" xfId="0" quotePrefix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9" fontId="15" fillId="0" borderId="0" xfId="3" applyFont="1" applyBorder="1"/>
    <xf numFmtId="9" fontId="15" fillId="0" borderId="5" xfId="3" applyFont="1" applyBorder="1"/>
    <xf numFmtId="165" fontId="16" fillId="0" borderId="5" xfId="0" applyNumberFormat="1" applyFont="1" applyBorder="1"/>
    <xf numFmtId="165" fontId="8" fillId="0" borderId="2" xfId="0" applyNumberFormat="1" applyFont="1" applyBorder="1"/>
    <xf numFmtId="165" fontId="8" fillId="0" borderId="9" xfId="0" applyNumberFormat="1" applyFont="1" applyBorder="1"/>
    <xf numFmtId="165" fontId="16" fillId="0" borderId="1" xfId="0" applyNumberFormat="1" applyFont="1" applyBorder="1"/>
    <xf numFmtId="165" fontId="16" fillId="0" borderId="2" xfId="0" applyNumberFormat="1" applyFont="1" applyBorder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164" fontId="3" fillId="0" borderId="15" xfId="0" applyNumberFormat="1" applyFont="1" applyFill="1" applyBorder="1"/>
    <xf numFmtId="0" fontId="4" fillId="0" borderId="18" xfId="0" applyFont="1" applyFill="1" applyBorder="1" applyAlignment="1"/>
    <xf numFmtId="0" fontId="3" fillId="0" borderId="19" xfId="0" applyFont="1" applyFill="1" applyBorder="1"/>
    <xf numFmtId="0" fontId="3" fillId="0" borderId="19" xfId="0" applyFont="1" applyFill="1" applyBorder="1" applyAlignment="1">
      <alignment wrapText="1"/>
    </xf>
    <xf numFmtId="0" fontId="4" fillId="0" borderId="20" xfId="0" applyFont="1" applyFill="1" applyBorder="1" applyAlignment="1"/>
    <xf numFmtId="0" fontId="3" fillId="0" borderId="20" xfId="0" applyFont="1" applyFill="1" applyBorder="1"/>
    <xf numFmtId="0" fontId="8" fillId="0" borderId="19" xfId="0" applyFont="1" applyBorder="1" applyAlignment="1">
      <alignment horizontal="center"/>
    </xf>
    <xf numFmtId="164" fontId="16" fillId="4" borderId="0" xfId="0" applyNumberFormat="1" applyFont="1" applyFill="1" applyBorder="1"/>
    <xf numFmtId="4" fontId="16" fillId="4" borderId="0" xfId="0" applyNumberFormat="1" applyFont="1" applyFill="1" applyBorder="1"/>
    <xf numFmtId="10" fontId="14" fillId="4" borderId="0" xfId="0" applyNumberFormat="1" applyFont="1" applyFill="1" applyBorder="1"/>
    <xf numFmtId="0" fontId="4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right"/>
    </xf>
    <xf numFmtId="44" fontId="3" fillId="4" borderId="1" xfId="2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171" fontId="3" fillId="4" borderId="1" xfId="1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left"/>
    </xf>
    <xf numFmtId="0" fontId="3" fillId="4" borderId="0" xfId="0" quotePrefix="1" applyFont="1" applyFill="1" applyBorder="1" applyAlignment="1">
      <alignment horizontal="center"/>
    </xf>
    <xf numFmtId="167" fontId="3" fillId="4" borderId="0" xfId="1" quotePrefix="1" applyNumberFormat="1" applyFont="1" applyFill="1" applyBorder="1" applyAlignment="1">
      <alignment horizontal="center"/>
    </xf>
    <xf numFmtId="44" fontId="3" fillId="4" borderId="0" xfId="2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/>
    <xf numFmtId="1" fontId="3" fillId="4" borderId="0" xfId="0" applyNumberFormat="1" applyFont="1" applyFill="1" applyBorder="1" applyAlignment="1">
      <alignment horizontal="center"/>
    </xf>
    <xf numFmtId="171" fontId="3" fillId="4" borderId="0" xfId="1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wrapText="1"/>
    </xf>
    <xf numFmtId="0" fontId="3" fillId="4" borderId="0" xfId="0" quotePrefix="1" applyFont="1" applyFill="1" applyBorder="1" applyAlignment="1">
      <alignment horizontal="right" wrapText="1"/>
    </xf>
    <xf numFmtId="0" fontId="3" fillId="4" borderId="0" xfId="0" quotePrefix="1" applyFont="1" applyFill="1" applyBorder="1" applyAlignment="1">
      <alignment horizontal="center" wrapText="1"/>
    </xf>
    <xf numFmtId="1" fontId="3" fillId="4" borderId="0" xfId="0" quotePrefix="1" applyNumberFormat="1" applyFont="1" applyFill="1" applyBorder="1" applyAlignment="1">
      <alignment horizontal="center" wrapText="1"/>
    </xf>
    <xf numFmtId="44" fontId="3" fillId="4" borderId="0" xfId="2" quotePrefix="1" applyFont="1" applyFill="1" applyBorder="1" applyAlignment="1">
      <alignment horizontal="center" wrapText="1"/>
    </xf>
    <xf numFmtId="167" fontId="3" fillId="4" borderId="0" xfId="5" applyNumberFormat="1" applyFont="1" applyFill="1" applyBorder="1" applyAlignment="1">
      <alignment horizontal="center"/>
    </xf>
    <xf numFmtId="167" fontId="3" fillId="4" borderId="0" xfId="5" applyNumberFormat="1" applyFont="1" applyFill="1" applyBorder="1" applyAlignment="1"/>
    <xf numFmtId="167" fontId="3" fillId="4" borderId="0" xfId="5" applyNumberFormat="1" applyFont="1" applyFill="1" applyBorder="1" applyAlignment="1">
      <alignment horizontal="right"/>
    </xf>
    <xf numFmtId="167" fontId="3" fillId="4" borderId="0" xfId="5" applyNumberFormat="1" applyFont="1" applyFill="1" applyBorder="1"/>
    <xf numFmtId="1" fontId="3" fillId="4" borderId="0" xfId="5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3" fillId="4" borderId="0" xfId="0" quotePrefix="1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44" fontId="3" fillId="4" borderId="2" xfId="2" applyFont="1" applyFill="1" applyBorder="1" applyAlignment="1">
      <alignment horizontal="center"/>
    </xf>
    <xf numFmtId="171" fontId="3" fillId="4" borderId="2" xfId="1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left" indent="1"/>
    </xf>
    <xf numFmtId="0" fontId="3" fillId="4" borderId="0" xfId="0" applyFont="1" applyFill="1" applyBorder="1" applyAlignment="1">
      <alignment horizontal="right"/>
    </xf>
    <xf numFmtId="167" fontId="3" fillId="4" borderId="2" xfId="5" applyNumberFormat="1" applyFont="1" applyFill="1" applyBorder="1"/>
    <xf numFmtId="0" fontId="3" fillId="4" borderId="2" xfId="0" quotePrefix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167" fontId="4" fillId="4" borderId="12" xfId="1" applyNumberFormat="1" applyFont="1" applyFill="1" applyBorder="1" applyAlignment="1">
      <alignment horizontal="center" wrapText="1"/>
    </xf>
    <xf numFmtId="44" fontId="4" fillId="4" borderId="12" xfId="2" applyFont="1" applyFill="1" applyBorder="1" applyAlignment="1">
      <alignment horizontal="center" wrapText="1"/>
    </xf>
    <xf numFmtId="171" fontId="4" fillId="4" borderId="12" xfId="1" applyNumberFormat="1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  <xf numFmtId="0" fontId="4" fillId="4" borderId="21" xfId="0" applyFont="1" applyFill="1" applyBorder="1"/>
    <xf numFmtId="0" fontId="3" fillId="4" borderId="22" xfId="0" applyFont="1" applyFill="1" applyBorder="1" applyAlignment="1"/>
    <xf numFmtId="0" fontId="3" fillId="4" borderId="8" xfId="0" quotePrefix="1" applyFont="1" applyFill="1" applyBorder="1" applyAlignment="1">
      <alignment horizontal="left"/>
    </xf>
    <xf numFmtId="43" fontId="3" fillId="4" borderId="7" xfId="0" applyNumberFormat="1" applyFont="1" applyFill="1" applyBorder="1" applyAlignment="1"/>
    <xf numFmtId="0" fontId="3" fillId="4" borderId="8" xfId="0" applyFont="1" applyFill="1" applyBorder="1" applyAlignment="1">
      <alignment horizontal="center" wrapText="1"/>
    </xf>
    <xf numFmtId="0" fontId="3" fillId="4" borderId="7" xfId="0" quotePrefix="1" applyFont="1" applyFill="1" applyBorder="1" applyAlignment="1">
      <alignment wrapText="1"/>
    </xf>
    <xf numFmtId="0" fontId="3" fillId="4" borderId="8" xfId="0" applyFont="1" applyFill="1" applyBorder="1" applyAlignment="1">
      <alignment horizontal="left"/>
    </xf>
    <xf numFmtId="167" fontId="3" fillId="4" borderId="7" xfId="5" applyNumberFormat="1" applyFont="1" applyFill="1" applyBorder="1" applyAlignment="1"/>
    <xf numFmtId="0" fontId="3" fillId="4" borderId="7" xfId="0" applyFont="1" applyFill="1" applyBorder="1" applyAlignment="1"/>
    <xf numFmtId="0" fontId="3" fillId="4" borderId="10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 indent="1"/>
    </xf>
    <xf numFmtId="0" fontId="3" fillId="4" borderId="8" xfId="0" quotePrefix="1" applyFont="1" applyFill="1" applyBorder="1" applyAlignment="1"/>
    <xf numFmtId="0" fontId="3" fillId="4" borderId="8" xfId="0" applyFont="1" applyFill="1" applyBorder="1" applyAlignment="1"/>
    <xf numFmtId="0" fontId="3" fillId="4" borderId="8" xfId="0" quotePrefix="1" applyFont="1" applyFill="1" applyBorder="1" applyAlignment="1">
      <alignment horizontal="left" indent="1"/>
    </xf>
    <xf numFmtId="0" fontId="3" fillId="4" borderId="8" xfId="0" applyFont="1" applyFill="1" applyBorder="1"/>
    <xf numFmtId="0" fontId="3" fillId="4" borderId="10" xfId="0" quotePrefix="1" applyFont="1" applyFill="1" applyBorder="1" applyAlignment="1">
      <alignment horizontal="left" indent="1"/>
    </xf>
    <xf numFmtId="43" fontId="3" fillId="4" borderId="9" xfId="0" applyNumberFormat="1" applyFont="1" applyFill="1" applyBorder="1" applyAlignment="1"/>
    <xf numFmtId="0" fontId="3" fillId="4" borderId="6" xfId="0" applyFont="1" applyFill="1" applyBorder="1"/>
    <xf numFmtId="0" fontId="3" fillId="4" borderId="5" xfId="0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right"/>
    </xf>
    <xf numFmtId="171" fontId="3" fillId="4" borderId="5" xfId="1" applyNumberFormat="1" applyFont="1" applyFill="1" applyBorder="1" applyAlignment="1">
      <alignment horizontal="center"/>
    </xf>
    <xf numFmtId="44" fontId="3" fillId="4" borderId="5" xfId="2" applyFont="1" applyFill="1" applyBorder="1" applyAlignment="1">
      <alignment horizontal="center"/>
    </xf>
    <xf numFmtId="44" fontId="3" fillId="4" borderId="5" xfId="2" applyFont="1" applyFill="1" applyBorder="1"/>
    <xf numFmtId="0" fontId="3" fillId="4" borderId="4" xfId="0" applyFont="1" applyFill="1" applyBorder="1" applyAlignment="1"/>
    <xf numFmtId="172" fontId="3" fillId="2" borderId="0" xfId="2" applyNumberFormat="1" applyFont="1" applyFill="1" applyBorder="1"/>
    <xf numFmtId="170" fontId="4" fillId="5" borderId="13" xfId="2" applyNumberFormat="1" applyFont="1" applyFill="1" applyBorder="1" applyAlignment="1">
      <alignment horizontal="center" wrapText="1"/>
    </xf>
    <xf numFmtId="170" fontId="4" fillId="5" borderId="12" xfId="2" applyNumberFormat="1" applyFont="1" applyFill="1" applyBorder="1" applyAlignment="1">
      <alignment horizontal="center" wrapText="1"/>
    </xf>
    <xf numFmtId="44" fontId="4" fillId="5" borderId="12" xfId="2" applyFont="1" applyFill="1" applyBorder="1" applyAlignment="1">
      <alignment horizontal="center" wrapText="1"/>
    </xf>
    <xf numFmtId="44" fontId="4" fillId="5" borderId="11" xfId="2" applyFont="1" applyFill="1" applyBorder="1" applyAlignment="1">
      <alignment horizontal="center" wrapText="1"/>
    </xf>
    <xf numFmtId="44" fontId="3" fillId="0" borderId="22" xfId="2" applyFont="1" applyFill="1" applyBorder="1"/>
    <xf numFmtId="44" fontId="3" fillId="0" borderId="7" xfId="2" applyFont="1" applyFill="1" applyBorder="1"/>
    <xf numFmtId="44" fontId="3" fillId="0" borderId="9" xfId="2" applyFont="1" applyFill="1" applyBorder="1"/>
    <xf numFmtId="170" fontId="3" fillId="0" borderId="6" xfId="2" applyNumberFormat="1" applyFont="1" applyFill="1" applyBorder="1"/>
    <xf numFmtId="44" fontId="3" fillId="0" borderId="5" xfId="2" applyFont="1" applyFill="1" applyBorder="1"/>
    <xf numFmtId="44" fontId="3" fillId="0" borderId="4" xfId="2" applyFont="1" applyFill="1" applyBorder="1"/>
    <xf numFmtId="170" fontId="16" fillId="0" borderId="21" xfId="2" applyNumberFormat="1" applyFont="1" applyFill="1" applyBorder="1"/>
    <xf numFmtId="170" fontId="16" fillId="0" borderId="8" xfId="2" applyNumberFormat="1" applyFont="1" applyFill="1" applyBorder="1"/>
    <xf numFmtId="170" fontId="16" fillId="0" borderId="21" xfId="0" applyNumberFormat="1" applyFont="1" applyFill="1" applyBorder="1" applyAlignment="1"/>
    <xf numFmtId="170" fontId="16" fillId="0" borderId="10" xfId="2" applyNumberFormat="1" applyFont="1" applyFill="1" applyBorder="1"/>
    <xf numFmtId="170" fontId="16" fillId="0" borderId="1" xfId="2" applyNumberFormat="1" applyFont="1" applyFill="1" applyBorder="1"/>
    <xf numFmtId="170" fontId="16" fillId="0" borderId="0" xfId="2" applyNumberFormat="1" applyFont="1" applyFill="1" applyBorder="1"/>
    <xf numFmtId="170" fontId="16" fillId="0" borderId="1" xfId="0" applyNumberFormat="1" applyFont="1" applyFill="1" applyBorder="1" applyAlignment="1"/>
    <xf numFmtId="170" fontId="16" fillId="0" borderId="2" xfId="2" applyNumberFormat="1" applyFont="1" applyFill="1" applyBorder="1"/>
    <xf numFmtId="170" fontId="16" fillId="0" borderId="5" xfId="2" applyNumberFormat="1" applyFont="1" applyFill="1" applyBorder="1"/>
    <xf numFmtId="167" fontId="14" fillId="4" borderId="1" xfId="1" applyNumberFormat="1" applyFont="1" applyFill="1" applyBorder="1" applyAlignment="1">
      <alignment horizontal="center"/>
    </xf>
    <xf numFmtId="167" fontId="14" fillId="4" borderId="0" xfId="1" quotePrefix="1" applyNumberFormat="1" applyFont="1" applyFill="1" applyBorder="1" applyAlignment="1">
      <alignment horizontal="center"/>
    </xf>
    <xf numFmtId="167" fontId="14" fillId="4" borderId="0" xfId="1" applyNumberFormat="1" applyFont="1" applyFill="1" applyBorder="1" applyAlignment="1">
      <alignment horizontal="center"/>
    </xf>
    <xf numFmtId="167" fontId="14" fillId="4" borderId="0" xfId="1" applyNumberFormat="1" applyFont="1" applyFill="1" applyBorder="1" applyAlignment="1">
      <alignment horizontal="center" wrapText="1"/>
    </xf>
    <xf numFmtId="167" fontId="14" fillId="4" borderId="2" xfId="1" quotePrefix="1" applyNumberFormat="1" applyFont="1" applyFill="1" applyBorder="1" applyAlignment="1">
      <alignment horizontal="center"/>
    </xf>
    <xf numFmtId="167" fontId="14" fillId="4" borderId="5" xfId="1" applyNumberFormat="1" applyFont="1" applyFill="1" applyBorder="1" applyAlignment="1"/>
    <xf numFmtId="0" fontId="14" fillId="4" borderId="1" xfId="0" applyFont="1" applyFill="1" applyBorder="1"/>
    <xf numFmtId="0" fontId="14" fillId="4" borderId="0" xfId="0" applyFont="1" applyFill="1" applyBorder="1"/>
    <xf numFmtId="0" fontId="14" fillId="4" borderId="2" xfId="0" applyFont="1" applyFill="1" applyBorder="1"/>
    <xf numFmtId="0" fontId="14" fillId="4" borderId="5" xfId="0" applyFont="1" applyFill="1" applyBorder="1"/>
    <xf numFmtId="167" fontId="14" fillId="4" borderId="1" xfId="1" applyNumberFormat="1" applyFont="1" applyFill="1" applyBorder="1" applyAlignment="1"/>
    <xf numFmtId="167" fontId="14" fillId="4" borderId="0" xfId="1" applyNumberFormat="1" applyFont="1" applyFill="1" applyBorder="1" applyAlignment="1"/>
    <xf numFmtId="167" fontId="14" fillId="4" borderId="0" xfId="1" quotePrefix="1" applyNumberFormat="1" applyFont="1" applyFill="1" applyBorder="1" applyAlignment="1">
      <alignment wrapText="1"/>
    </xf>
    <xf numFmtId="41" fontId="8" fillId="0" borderId="15" xfId="0" applyNumberFormat="1" applyFont="1" applyFill="1" applyBorder="1"/>
    <xf numFmtId="165" fontId="8" fillId="0" borderId="15" xfId="0" applyNumberFormat="1" applyFont="1" applyFill="1" applyBorder="1"/>
    <xf numFmtId="9" fontId="16" fillId="0" borderId="0" xfId="3" applyFont="1" applyFill="1" applyAlignment="1">
      <alignment horizontal="center" vertical="center"/>
    </xf>
    <xf numFmtId="0" fontId="8" fillId="5" borderId="0" xfId="0" applyFont="1" applyFill="1" applyAlignment="1">
      <alignment horizontal="center"/>
    </xf>
    <xf numFmtId="0" fontId="8" fillId="5" borderId="0" xfId="0" quotePrefix="1" applyFont="1" applyFill="1" applyAlignment="1">
      <alignment horizontal="left"/>
    </xf>
    <xf numFmtId="0" fontId="3" fillId="5" borderId="0" xfId="0" applyFont="1" applyFill="1" applyBorder="1"/>
    <xf numFmtId="0" fontId="3" fillId="5" borderId="0" xfId="0" quotePrefix="1" applyFont="1" applyFill="1" applyBorder="1" applyAlignment="1">
      <alignment horizontal="right" wrapText="1"/>
    </xf>
    <xf numFmtId="164" fontId="3" fillId="5" borderId="0" xfId="0" applyNumberFormat="1" applyFont="1" applyFill="1" applyBorder="1" applyAlignment="1">
      <alignment horizontal="center"/>
    </xf>
    <xf numFmtId="164" fontId="3" fillId="5" borderId="0" xfId="0" applyNumberFormat="1" applyFont="1" applyFill="1"/>
    <xf numFmtId="0" fontId="3" fillId="5" borderId="0" xfId="0" applyFont="1" applyFill="1"/>
    <xf numFmtId="165" fontId="8" fillId="5" borderId="0" xfId="0" applyNumberFormat="1" applyFont="1" applyFill="1"/>
    <xf numFmtId="0" fontId="10" fillId="5" borderId="0" xfId="0" applyFont="1" applyFill="1"/>
    <xf numFmtId="165" fontId="8" fillId="0" borderId="1" xfId="2" applyNumberFormat="1" applyFont="1" applyFill="1" applyBorder="1"/>
    <xf numFmtId="167" fontId="8" fillId="0" borderId="1" xfId="0" applyNumberFormat="1" applyFont="1" applyFill="1" applyBorder="1"/>
    <xf numFmtId="165" fontId="16" fillId="3" borderId="0" xfId="2" applyNumberFormat="1" applyFont="1" applyFill="1"/>
    <xf numFmtId="167" fontId="10" fillId="0" borderId="1" xfId="0" applyNumberFormat="1" applyFont="1" applyFill="1" applyBorder="1"/>
    <xf numFmtId="165" fontId="10" fillId="0" borderId="1" xfId="2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164" fontId="16" fillId="6" borderId="0" xfId="0" applyNumberFormat="1" applyFont="1" applyFill="1" applyBorder="1"/>
    <xf numFmtId="164" fontId="3" fillId="6" borderId="0" xfId="0" applyNumberFormat="1" applyFont="1" applyFill="1" applyBorder="1"/>
    <xf numFmtId="170" fontId="3" fillId="0" borderId="0" xfId="2" applyNumberFormat="1" applyFont="1" applyFill="1"/>
    <xf numFmtId="9" fontId="16" fillId="0" borderId="0" xfId="3" applyNumberFormat="1" applyFont="1" applyFill="1" applyAlignment="1">
      <alignment horizontal="center" vertical="center"/>
    </xf>
    <xf numFmtId="169" fontId="3" fillId="0" borderId="0" xfId="0" applyNumberFormat="1" applyFont="1" applyFill="1" applyAlignment="1">
      <alignment horizontal="right"/>
    </xf>
    <xf numFmtId="169" fontId="3" fillId="0" borderId="0" xfId="2" applyNumberFormat="1" applyFont="1" applyFill="1"/>
    <xf numFmtId="44" fontId="8" fillId="0" borderId="7" xfId="0" applyNumberFormat="1" applyFont="1" applyBorder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4" fontId="19" fillId="4" borderId="0" xfId="2" applyFont="1" applyFill="1" applyBorder="1" applyAlignment="1">
      <alignment horizontal="center"/>
    </xf>
    <xf numFmtId="44" fontId="19" fillId="4" borderId="2" xfId="2" applyFont="1" applyFill="1" applyBorder="1" applyAlignment="1">
      <alignment horizontal="center"/>
    </xf>
    <xf numFmtId="0" fontId="4" fillId="4" borderId="0" xfId="0" applyFont="1" applyFill="1" applyBorder="1"/>
    <xf numFmtId="167" fontId="16" fillId="0" borderId="0" xfId="0" applyNumberFormat="1" applyFont="1" applyFill="1"/>
    <xf numFmtId="169" fontId="3" fillId="0" borderId="0" xfId="0" applyNumberFormat="1" applyFont="1" applyFill="1" applyBorder="1" applyAlignment="1">
      <alignment horizontal="right"/>
    </xf>
    <xf numFmtId="164" fontId="10" fillId="0" borderId="0" xfId="2" applyNumberFormat="1" applyFont="1" applyFill="1"/>
    <xf numFmtId="166" fontId="10" fillId="0" borderId="0" xfId="2" applyNumberFormat="1" applyFont="1" applyFill="1"/>
    <xf numFmtId="169" fontId="10" fillId="0" borderId="0" xfId="2" applyNumberFormat="1" applyFont="1" applyFill="1"/>
    <xf numFmtId="166" fontId="3" fillId="0" borderId="0" xfId="0" applyNumberFormat="1" applyFont="1" applyFill="1" applyBorder="1" applyAlignment="1">
      <alignment horizontal="right"/>
    </xf>
    <xf numFmtId="166" fontId="3" fillId="0" borderId="0" xfId="0" applyNumberFormat="1" applyFont="1" applyFill="1" applyAlignment="1">
      <alignment horizontal="right"/>
    </xf>
    <xf numFmtId="172" fontId="16" fillId="0" borderId="8" xfId="2" applyNumberFormat="1" applyFont="1" applyFill="1" applyBorder="1"/>
    <xf numFmtId="172" fontId="16" fillId="0" borderId="0" xfId="2" applyNumberFormat="1" applyFont="1" applyFill="1" applyBorder="1"/>
    <xf numFmtId="172" fontId="3" fillId="0" borderId="0" xfId="2" applyNumberFormat="1" applyFont="1" applyFill="1" applyBorder="1"/>
    <xf numFmtId="172" fontId="3" fillId="2" borderId="7" xfId="2" applyNumberFormat="1" applyFont="1" applyFill="1" applyBorder="1"/>
    <xf numFmtId="0" fontId="3" fillId="0" borderId="0" xfId="0" applyFont="1" applyBorder="1" applyAlignment="1">
      <alignment horizontal="center"/>
    </xf>
    <xf numFmtId="165" fontId="14" fillId="0" borderId="0" xfId="0" applyNumberFormat="1" applyFont="1" applyFill="1" applyBorder="1"/>
    <xf numFmtId="165" fontId="22" fillId="0" borderId="0" xfId="0" applyNumberFormat="1" applyFont="1" applyFill="1" applyBorder="1"/>
    <xf numFmtId="9" fontId="13" fillId="0" borderId="7" xfId="0" applyNumberFormat="1" applyFont="1" applyBorder="1"/>
    <xf numFmtId="0" fontId="3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center" vertical="center"/>
    </xf>
    <xf numFmtId="0" fontId="10" fillId="0" borderId="0" xfId="0" quotePrefix="1" applyFont="1" applyFill="1" applyAlignment="1">
      <alignment horizontal="center"/>
    </xf>
    <xf numFmtId="0" fontId="8" fillId="0" borderId="0" xfId="0" applyFont="1" applyFill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8" fillId="0" borderId="0" xfId="0" applyFont="1" applyAlignment="1">
      <alignment horizontal="centerContinuous"/>
    </xf>
    <xf numFmtId="0" fontId="12" fillId="0" borderId="0" xfId="0" applyFont="1" applyFill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44" fontId="3" fillId="0" borderId="0" xfId="2" applyNumberFormat="1" applyFont="1" applyFill="1" applyBorder="1"/>
    <xf numFmtId="0" fontId="4" fillId="0" borderId="0" xfId="4" applyFont="1" applyFill="1" applyAlignment="1">
      <alignment horizontal="center"/>
    </xf>
    <xf numFmtId="0" fontId="11" fillId="0" borderId="11" xfId="0" quotePrefix="1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12" xfId="0" quotePrefix="1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1" fillId="0" borderId="2" xfId="0" quotePrefix="1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7" fillId="4" borderId="23" xfId="0" applyFont="1" applyFill="1" applyBorder="1" applyAlignment="1">
      <alignment horizontal="center" wrapText="1"/>
    </xf>
    <xf numFmtId="0" fontId="18" fillId="4" borderId="24" xfId="0" applyFont="1" applyFill="1" applyBorder="1" applyAlignment="1">
      <alignment horizontal="center" wrapText="1"/>
    </xf>
    <xf numFmtId="0" fontId="18" fillId="4" borderId="25" xfId="0" applyFont="1" applyFill="1" applyBorder="1" applyAlignment="1">
      <alignment horizontal="center" wrapText="1"/>
    </xf>
    <xf numFmtId="170" fontId="17" fillId="5" borderId="8" xfId="2" applyNumberFormat="1" applyFont="1" applyFill="1" applyBorder="1" applyAlignment="1">
      <alignment horizontal="center" wrapText="1"/>
    </xf>
    <xf numFmtId="0" fontId="18" fillId="5" borderId="0" xfId="0" applyFont="1" applyFill="1" applyAlignment="1">
      <alignment horizontal="center" wrapText="1"/>
    </xf>
  </cellXfs>
  <cellStyles count="6">
    <cellStyle name="Comma" xfId="1" builtinId="3"/>
    <cellStyle name="Comma 10" xfId="5"/>
    <cellStyle name="Currency" xfId="2" builtinId="4"/>
    <cellStyle name="Normal" xfId="0" builtinId="0"/>
    <cellStyle name="Normal 2 10" xfId="4"/>
    <cellStyle name="Percent" xfId="3" builtinId="5"/>
  </cellStyles>
  <dxfs count="0"/>
  <tableStyles count="0" defaultTableStyle="TableStyleMedium2" defaultPivotStyle="PivotStyleLight16"/>
  <colors>
    <mruColors>
      <color rgb="FF0000FF"/>
      <color rgb="FFFF33CC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314326</xdr:colOff>
      <xdr:row>8</xdr:row>
      <xdr:rowOff>85724</xdr:rowOff>
    </xdr:from>
    <xdr:to>
      <xdr:col>8</xdr:col>
      <xdr:colOff>133351</xdr:colOff>
      <xdr:row>15</xdr:row>
      <xdr:rowOff>85724</xdr:rowOff>
    </xdr:to>
    <xdr:cxnSp macro="">
      <xdr:nvCxnSpPr>
        <xdr:cNvPr id="2" name="Elbow Connector 1"/>
        <xdr:cNvCxnSpPr/>
      </xdr:nvCxnSpPr>
      <xdr:spPr>
        <a:xfrm rot="10800000" flipV="1">
          <a:off x="11534776" y="1095374"/>
          <a:ext cx="3629025" cy="1019175"/>
        </a:xfrm>
        <a:prstGeom prst="bentConnector3">
          <a:avLst>
            <a:gd name="adj1" fmla="val -131"/>
          </a:avLst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9</xdr:row>
      <xdr:rowOff>76200</xdr:rowOff>
    </xdr:from>
    <xdr:to>
      <xdr:col>8</xdr:col>
      <xdr:colOff>361950</xdr:colOff>
      <xdr:row>23</xdr:row>
      <xdr:rowOff>76199</xdr:rowOff>
    </xdr:to>
    <xdr:cxnSp macro="">
      <xdr:nvCxnSpPr>
        <xdr:cNvPr id="3" name="Elbow Connector 2"/>
        <xdr:cNvCxnSpPr/>
      </xdr:nvCxnSpPr>
      <xdr:spPr>
        <a:xfrm rot="5400000">
          <a:off x="7168515" y="2188845"/>
          <a:ext cx="2560319" cy="895350"/>
        </a:xfrm>
        <a:prstGeom prst="bentConnector3">
          <a:avLst>
            <a:gd name="adj1" fmla="val 99470"/>
          </a:avLst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R278"/>
  <sheetViews>
    <sheetView tabSelected="1" topLeftCell="B1" zoomScaleNormal="100" workbookViewId="0">
      <pane ySplit="7" topLeftCell="A20" activePane="bottomLeft" state="frozen"/>
      <selection activeCell="H85" sqref="H85"/>
      <selection pane="bottomLeft" activeCell="I36" sqref="I36"/>
    </sheetView>
  </sheetViews>
  <sheetFormatPr defaultColWidth="9.109375" defaultRowHeight="10.199999999999999" x14ac:dyDescent="0.2"/>
  <cols>
    <col min="1" max="1" width="6.5546875" style="3" bestFit="1" customWidth="1"/>
    <col min="2" max="2" width="10.109375" style="251" bestFit="1" customWidth="1"/>
    <col min="3" max="4" width="26.44140625" style="1" customWidth="1"/>
    <col min="5" max="5" width="15.6640625" style="1" bestFit="1" customWidth="1"/>
    <col min="6" max="6" width="12" style="1" bestFit="1" customWidth="1"/>
    <col min="7" max="7" width="11.109375" style="1" bestFit="1" customWidth="1"/>
    <col min="8" max="8" width="12.33203125" style="48" customWidth="1"/>
    <col min="9" max="9" width="11.33203125" style="48" bestFit="1" customWidth="1"/>
    <col min="10" max="10" width="12.5546875" style="48" bestFit="1" customWidth="1"/>
    <col min="11" max="11" width="1.5546875" style="48" customWidth="1"/>
    <col min="12" max="12" width="10" style="48" bestFit="1" customWidth="1"/>
    <col min="13" max="13" width="15.109375" style="48" customWidth="1"/>
    <col min="14" max="14" width="1.44140625" style="48" customWidth="1"/>
    <col min="15" max="17" width="10.5546875" style="48" customWidth="1"/>
    <col min="18" max="18" width="10.5546875" style="66" customWidth="1"/>
    <col min="19" max="16384" width="9.109375" style="48"/>
  </cols>
  <sheetData>
    <row r="1" spans="1:18" s="47" customFormat="1" x14ac:dyDescent="0.2">
      <c r="A1" s="275" t="s">
        <v>53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</row>
    <row r="2" spans="1:18" s="47" customFormat="1" x14ac:dyDescent="0.2">
      <c r="A2" s="275" t="s">
        <v>255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</row>
    <row r="3" spans="1:18" s="47" customFormat="1" x14ac:dyDescent="0.2">
      <c r="A3" s="275" t="s">
        <v>275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</row>
    <row r="4" spans="1:18" s="47" customFormat="1" x14ac:dyDescent="0.2">
      <c r="A4" s="275" t="s">
        <v>279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</row>
    <row r="5" spans="1:18" s="47" customFormat="1" x14ac:dyDescent="0.2">
      <c r="A5" s="275" t="s">
        <v>280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</row>
    <row r="6" spans="1:18" x14ac:dyDescent="0.2">
      <c r="B6" s="252"/>
      <c r="C6" s="280"/>
      <c r="D6" s="280"/>
      <c r="E6" s="280"/>
      <c r="F6" s="280"/>
      <c r="G6" s="280"/>
      <c r="H6" s="280"/>
      <c r="I6" s="280"/>
      <c r="J6" s="280"/>
    </row>
    <row r="7" spans="1:18" ht="40.799999999999997" x14ac:dyDescent="0.2">
      <c r="A7" s="23" t="s">
        <v>32</v>
      </c>
      <c r="B7" s="23"/>
      <c r="C7" s="23" t="s">
        <v>31</v>
      </c>
      <c r="D7" s="23"/>
      <c r="E7" s="23" t="s">
        <v>30</v>
      </c>
      <c r="F7" s="23" t="s">
        <v>29</v>
      </c>
      <c r="G7" s="23" t="s">
        <v>265</v>
      </c>
      <c r="H7" s="23" t="s">
        <v>266</v>
      </c>
      <c r="I7" s="23" t="s">
        <v>267</v>
      </c>
      <c r="J7" s="23" t="s">
        <v>263</v>
      </c>
      <c r="L7" s="49" t="s">
        <v>256</v>
      </c>
      <c r="M7" s="50" t="s">
        <v>264</v>
      </c>
      <c r="N7" s="50"/>
      <c r="O7" s="50" t="s">
        <v>268</v>
      </c>
      <c r="P7" s="50" t="s">
        <v>269</v>
      </c>
      <c r="Q7" s="50" t="s">
        <v>270</v>
      </c>
      <c r="R7" s="67" t="s">
        <v>5</v>
      </c>
    </row>
    <row r="8" spans="1:18" ht="13.2" customHeight="1" x14ac:dyDescent="0.2">
      <c r="A8" s="21"/>
      <c r="B8" s="21"/>
      <c r="C8" s="21"/>
      <c r="D8" s="21"/>
      <c r="E8" s="21"/>
      <c r="F8" s="33"/>
      <c r="G8" s="21" t="s">
        <v>26</v>
      </c>
      <c r="H8" s="21" t="s">
        <v>25</v>
      </c>
      <c r="I8" s="21" t="s">
        <v>24</v>
      </c>
      <c r="J8" s="21" t="s">
        <v>23</v>
      </c>
      <c r="K8" s="1"/>
      <c r="L8" s="242" t="s">
        <v>272</v>
      </c>
      <c r="M8" s="242" t="s">
        <v>22</v>
      </c>
      <c r="N8" s="242"/>
      <c r="O8" s="242" t="s">
        <v>21</v>
      </c>
      <c r="P8" s="242" t="s">
        <v>20</v>
      </c>
      <c r="Q8" s="21" t="s">
        <v>19</v>
      </c>
      <c r="R8" s="243" t="s">
        <v>18</v>
      </c>
    </row>
    <row r="9" spans="1:18" ht="13.2" customHeight="1" x14ac:dyDescent="0.2">
      <c r="C9" s="21"/>
      <c r="D9" s="21"/>
      <c r="E9" s="21"/>
      <c r="F9" s="33"/>
      <c r="G9" s="29"/>
      <c r="H9" s="3"/>
      <c r="J9" s="271" t="s">
        <v>271</v>
      </c>
      <c r="L9" s="51"/>
      <c r="M9" s="272" t="s">
        <v>273</v>
      </c>
      <c r="N9" s="51"/>
      <c r="O9" s="247">
        <f>ROUND(+'Plant-in-Service Allocations'!$E$29,2)</f>
        <v>0.93</v>
      </c>
      <c r="P9" s="227">
        <f>ROUND(+'Plant-in-Service Allocations'!$E$30,2)</f>
        <v>7.0000000000000007E-2</v>
      </c>
      <c r="Q9" s="3" t="s">
        <v>17</v>
      </c>
      <c r="R9" s="273" t="s">
        <v>274</v>
      </c>
    </row>
    <row r="10" spans="1:18" ht="13.2" customHeight="1" x14ac:dyDescent="0.2">
      <c r="C10" s="21"/>
      <c r="D10" s="21"/>
      <c r="E10" s="21"/>
      <c r="F10" s="33"/>
      <c r="G10" s="29"/>
      <c r="H10" s="29"/>
      <c r="I10" s="29"/>
      <c r="J10" s="29"/>
      <c r="O10" s="21" t="s">
        <v>16</v>
      </c>
      <c r="P10" s="21" t="s">
        <v>16</v>
      </c>
      <c r="Q10" s="45"/>
      <c r="R10" s="68"/>
    </row>
    <row r="11" spans="1:18" ht="13.2" customHeight="1" x14ac:dyDescent="0.2">
      <c r="A11" s="3">
        <v>1</v>
      </c>
      <c r="C11" s="45" t="s">
        <v>15</v>
      </c>
      <c r="D11" s="45"/>
      <c r="E11" s="21"/>
      <c r="F11" s="33"/>
      <c r="G11" s="29"/>
      <c r="H11" s="29"/>
      <c r="I11" s="29"/>
      <c r="J11" s="29"/>
      <c r="L11" s="52">
        <f>SUM(L25:L34)</f>
        <v>1188</v>
      </c>
      <c r="M11" s="53">
        <f>SUM(M25:M34)</f>
        <v>28</v>
      </c>
    </row>
    <row r="12" spans="1:18" ht="13.2" customHeight="1" x14ac:dyDescent="0.2">
      <c r="A12" s="3">
        <f t="shared" ref="A12:A68" si="0">A11+1</f>
        <v>2</v>
      </c>
      <c r="C12" s="45" t="s">
        <v>14</v>
      </c>
      <c r="D12" s="45"/>
      <c r="E12" s="21"/>
      <c r="F12" s="33"/>
      <c r="G12" s="29"/>
      <c r="H12" s="29"/>
      <c r="I12" s="29"/>
      <c r="J12" s="29"/>
      <c r="L12" s="52">
        <f>SUM(L36:L47)</f>
        <v>138252</v>
      </c>
      <c r="M12" s="53">
        <f>SUM(M36:M47)</f>
        <v>1875</v>
      </c>
    </row>
    <row r="13" spans="1:18" ht="13.2" customHeight="1" x14ac:dyDescent="0.2">
      <c r="A13" s="251">
        <f t="shared" si="0"/>
        <v>3</v>
      </c>
      <c r="C13" s="45" t="s">
        <v>13</v>
      </c>
      <c r="D13" s="45"/>
      <c r="E13" s="21"/>
      <c r="F13" s="33"/>
      <c r="G13" s="29"/>
      <c r="H13" s="29"/>
      <c r="I13" s="29"/>
      <c r="J13" s="29"/>
      <c r="L13" s="52">
        <f>SUM(L49:L64)</f>
        <v>218472</v>
      </c>
      <c r="M13" s="53">
        <f>SUM(M49:M64)</f>
        <v>5973</v>
      </c>
    </row>
    <row r="14" spans="1:18" ht="13.2" customHeight="1" x14ac:dyDescent="0.2">
      <c r="A14" s="251">
        <f t="shared" si="0"/>
        <v>4</v>
      </c>
      <c r="C14" s="45" t="s">
        <v>12</v>
      </c>
      <c r="D14" s="45"/>
      <c r="E14" s="21"/>
      <c r="F14" s="33"/>
      <c r="G14" s="29"/>
      <c r="H14" s="29"/>
      <c r="I14" s="29"/>
      <c r="J14" s="29"/>
      <c r="L14" s="52">
        <f>SUM(L66:L121)</f>
        <v>878892</v>
      </c>
      <c r="M14" s="53">
        <f>SUM(M66:M121)</f>
        <v>455459</v>
      </c>
    </row>
    <row r="15" spans="1:18" ht="13.2" customHeight="1" x14ac:dyDescent="0.2">
      <c r="A15" s="251">
        <f t="shared" si="0"/>
        <v>5</v>
      </c>
      <c r="C15" s="45" t="s">
        <v>11</v>
      </c>
      <c r="D15" s="45"/>
      <c r="E15" s="21"/>
      <c r="F15" s="33"/>
      <c r="G15" s="29"/>
      <c r="H15" s="29"/>
      <c r="I15" s="29"/>
      <c r="J15" s="29"/>
      <c r="L15" s="52">
        <f>SUM(L123:L142)</f>
        <v>128664</v>
      </c>
      <c r="M15" s="53">
        <f>SUM(M123:M142)</f>
        <v>2933</v>
      </c>
    </row>
    <row r="16" spans="1:18" ht="13.2" customHeight="1" x14ac:dyDescent="0.2">
      <c r="A16" s="251">
        <f t="shared" si="0"/>
        <v>6</v>
      </c>
      <c r="C16" s="45" t="s">
        <v>10</v>
      </c>
      <c r="D16" s="45"/>
      <c r="E16" s="21"/>
      <c r="F16" s="33"/>
      <c r="G16" s="29"/>
      <c r="H16" s="29"/>
      <c r="I16" s="29"/>
      <c r="J16" s="29"/>
      <c r="L16" s="52">
        <f>SUM(L144:L162)</f>
        <v>72624</v>
      </c>
      <c r="M16" s="53">
        <f>SUM(M144:M162)</f>
        <v>40410</v>
      </c>
    </row>
    <row r="17" spans="1:18" ht="13.2" customHeight="1" x14ac:dyDescent="0.2">
      <c r="A17" s="251">
        <f t="shared" si="0"/>
        <v>7</v>
      </c>
      <c r="C17" s="45" t="s">
        <v>9</v>
      </c>
      <c r="D17" s="45"/>
      <c r="E17" s="21"/>
      <c r="F17" s="33"/>
      <c r="G17" s="29"/>
      <c r="H17" s="29"/>
      <c r="I17" s="29"/>
      <c r="J17" s="29"/>
      <c r="L17" s="52">
        <f>+L202</f>
        <v>7852896</v>
      </c>
      <c r="M17" s="53">
        <f>+M202</f>
        <v>1564</v>
      </c>
    </row>
    <row r="18" spans="1:18" ht="13.2" customHeight="1" x14ac:dyDescent="0.2">
      <c r="A18" s="251">
        <f t="shared" si="0"/>
        <v>8</v>
      </c>
      <c r="C18" s="45" t="s">
        <v>8</v>
      </c>
      <c r="D18" s="45"/>
      <c r="E18" s="21"/>
      <c r="F18" s="33"/>
      <c r="G18" s="29"/>
      <c r="H18" s="29"/>
      <c r="I18" s="29"/>
      <c r="J18" s="29"/>
      <c r="L18" s="52">
        <f>SUM(L164:L200)</f>
        <v>17772</v>
      </c>
      <c r="M18" s="53">
        <f>SUM(M164:M200)</f>
        <v>12534</v>
      </c>
    </row>
    <row r="19" spans="1:18" ht="13.2" customHeight="1" x14ac:dyDescent="0.2">
      <c r="A19" s="251">
        <f t="shared" si="0"/>
        <v>9</v>
      </c>
      <c r="C19" s="45" t="s">
        <v>7</v>
      </c>
      <c r="D19" s="45"/>
      <c r="E19" s="21"/>
      <c r="F19" s="33"/>
      <c r="G19" s="29"/>
      <c r="H19" s="29"/>
      <c r="I19" s="29"/>
      <c r="J19" s="29"/>
      <c r="L19" s="52">
        <f>SUM(L205:L208)</f>
        <v>12852</v>
      </c>
      <c r="M19" s="53">
        <f>SUM(M205:M208)</f>
        <v>11072</v>
      </c>
    </row>
    <row r="20" spans="1:18" ht="13.2" customHeight="1" x14ac:dyDescent="0.2">
      <c r="A20" s="251">
        <f t="shared" si="0"/>
        <v>10</v>
      </c>
      <c r="C20" s="45" t="s">
        <v>6</v>
      </c>
      <c r="D20" s="45"/>
      <c r="E20" s="21"/>
      <c r="F20" s="33"/>
      <c r="G20" s="29"/>
      <c r="H20" s="29"/>
      <c r="I20" s="29"/>
      <c r="J20" s="29"/>
      <c r="L20" s="238">
        <f>SUM(L11:L19)</f>
        <v>9321612</v>
      </c>
      <c r="M20" s="237">
        <f>SUM(M11:M19)</f>
        <v>531848</v>
      </c>
    </row>
    <row r="21" spans="1:18" ht="13.2" customHeight="1" x14ac:dyDescent="0.2">
      <c r="A21" s="251">
        <f t="shared" si="0"/>
        <v>11</v>
      </c>
      <c r="C21" s="45" t="s">
        <v>5</v>
      </c>
      <c r="D21" s="45"/>
      <c r="E21" s="21"/>
      <c r="F21" s="33"/>
      <c r="G21" s="29"/>
      <c r="H21" s="29"/>
      <c r="I21" s="29"/>
      <c r="J21" s="29"/>
      <c r="L21" s="256">
        <v>9321612</v>
      </c>
      <c r="M21" s="239">
        <v>531848.50305676879</v>
      </c>
    </row>
    <row r="22" spans="1:18" ht="13.2" customHeight="1" x14ac:dyDescent="0.2">
      <c r="A22" s="251">
        <f t="shared" si="0"/>
        <v>12</v>
      </c>
      <c r="C22" s="45" t="s">
        <v>5</v>
      </c>
      <c r="D22" s="45"/>
      <c r="E22" s="21"/>
      <c r="F22" s="33"/>
      <c r="G22" s="29"/>
      <c r="H22" s="29"/>
      <c r="I22" s="29"/>
      <c r="J22" s="29"/>
      <c r="L22" s="240">
        <f>+L20-L21</f>
        <v>0</v>
      </c>
      <c r="M22" s="241">
        <f>+M20-M21</f>
        <v>-0.50305676879361272</v>
      </c>
    </row>
    <row r="23" spans="1:18" ht="13.2" customHeight="1" x14ac:dyDescent="0.2">
      <c r="A23" s="251">
        <f t="shared" si="0"/>
        <v>13</v>
      </c>
      <c r="C23" s="45"/>
      <c r="D23" s="45"/>
      <c r="E23" s="21"/>
      <c r="F23" s="33"/>
      <c r="G23" s="29"/>
      <c r="H23" s="29"/>
      <c r="I23" s="29"/>
      <c r="J23" s="29"/>
    </row>
    <row r="24" spans="1:18" ht="13.2" customHeight="1" x14ac:dyDescent="0.2">
      <c r="A24" s="251">
        <f t="shared" si="0"/>
        <v>14</v>
      </c>
      <c r="B24" s="32" t="str">
        <f>'Adjusted Lamp Cost Allocations'!A3</f>
        <v>Sch 50E</v>
      </c>
      <c r="G24" s="21"/>
    </row>
    <row r="25" spans="1:18" ht="13.2" customHeight="1" x14ac:dyDescent="0.2">
      <c r="A25" s="251">
        <f t="shared" si="0"/>
        <v>15</v>
      </c>
      <c r="C25" s="32" t="str">
        <f>'Adjusted Lamp Cost Allocations'!A4</f>
        <v>003</v>
      </c>
      <c r="D25" s="32"/>
      <c r="E25" s="31" t="str">
        <f>'Adjusted Lamp Cost Allocations'!C4</f>
        <v>Compact Flourescent</v>
      </c>
      <c r="F25" s="30" t="str">
        <f>'Adjusted Lamp Cost Allocations'!D4</f>
        <v>CF 22</v>
      </c>
      <c r="G25" s="54">
        <f>'Adjusted Lamp Cost Allocations'!U4</f>
        <v>0</v>
      </c>
      <c r="H25" s="55">
        <f>'Adjusted Lamp Cost Allocations'!X4</f>
        <v>3.4240099674842693E-3</v>
      </c>
      <c r="I25" s="55">
        <f>'Adjusted Lamp Cost Allocations'!Y4</f>
        <v>8.0913058677477441E-4</v>
      </c>
      <c r="J25" s="55">
        <f>SUM(G25:I25)</f>
        <v>4.2331405542590439E-3</v>
      </c>
      <c r="L25" s="56">
        <v>708</v>
      </c>
      <c r="M25" s="57">
        <f>ROUND(L25*J25,0)</f>
        <v>3</v>
      </c>
      <c r="O25" s="58">
        <f>ROUND(J25-P25,2)</f>
        <v>0</v>
      </c>
      <c r="P25" s="59">
        <f>ROUND(J25*$P$9,2)</f>
        <v>0</v>
      </c>
      <c r="Q25" s="58">
        <f>SUM(O25:P25)</f>
        <v>0</v>
      </c>
      <c r="R25" s="258">
        <f>+Q25-J25</f>
        <v>-4.2331405542590439E-3</v>
      </c>
    </row>
    <row r="26" spans="1:18" ht="13.2" customHeight="1" x14ac:dyDescent="0.2">
      <c r="A26" s="251">
        <f t="shared" si="0"/>
        <v>16</v>
      </c>
      <c r="C26" s="32"/>
      <c r="D26" s="32"/>
      <c r="E26" s="31"/>
      <c r="F26" s="30"/>
      <c r="G26" s="54"/>
      <c r="H26" s="55"/>
      <c r="I26" s="55"/>
      <c r="J26" s="55"/>
      <c r="L26" s="56"/>
      <c r="M26" s="57"/>
      <c r="O26" s="58"/>
      <c r="P26" s="59"/>
      <c r="Q26" s="59"/>
      <c r="R26" s="69"/>
    </row>
    <row r="27" spans="1:18" ht="13.2" customHeight="1" x14ac:dyDescent="0.2">
      <c r="A27" s="251">
        <f t="shared" si="0"/>
        <v>17</v>
      </c>
      <c r="C27" s="32" t="str">
        <f>'Adjusted Lamp Cost Allocations'!A6</f>
        <v>50E-A</v>
      </c>
      <c r="D27" s="32"/>
      <c r="E27" s="31" t="str">
        <f>'Adjusted Lamp Cost Allocations'!C6</f>
        <v>Mercury Vapor</v>
      </c>
      <c r="F27" s="30" t="str">
        <f>'Adjusted Lamp Cost Allocations'!D6</f>
        <v>MV 100</v>
      </c>
      <c r="G27" s="54">
        <f>'Adjusted Lamp Cost Allocations'!U6</f>
        <v>0</v>
      </c>
      <c r="H27" s="55">
        <f>'Adjusted Lamp Cost Allocations'!X6</f>
        <v>1.5563681670383042E-2</v>
      </c>
      <c r="I27" s="55">
        <f>'Adjusted Lamp Cost Allocations'!Y6</f>
        <v>3.6778663035217018E-3</v>
      </c>
      <c r="J27" s="55">
        <f t="shared" ref="J27:J29" si="1">SUM(G27:I27)</f>
        <v>1.9241547973904743E-2</v>
      </c>
      <c r="L27" s="56">
        <v>36</v>
      </c>
      <c r="M27" s="57">
        <f t="shared" ref="M27:M29" si="2">ROUND(L27*J27,0)</f>
        <v>1</v>
      </c>
      <c r="O27" s="58">
        <f t="shared" ref="O27:O29" si="3">ROUND(J27-P27,2)</f>
        <v>0.02</v>
      </c>
      <c r="P27" s="59">
        <f t="shared" ref="P27:P29" si="4">ROUND(J27*$P$9,2)</f>
        <v>0</v>
      </c>
      <c r="Q27" s="58">
        <f t="shared" ref="Q27:Q29" si="5">SUM(O27:P27)</f>
        <v>0.02</v>
      </c>
      <c r="R27" s="258">
        <f t="shared" ref="R27:R29" si="6">+Q27-J27</f>
        <v>7.5845202609525764E-4</v>
      </c>
    </row>
    <row r="28" spans="1:18" ht="13.2" customHeight="1" x14ac:dyDescent="0.2">
      <c r="A28" s="251">
        <f t="shared" si="0"/>
        <v>18</v>
      </c>
      <c r="C28" s="32" t="str">
        <f>'Adjusted Lamp Cost Allocations'!A7</f>
        <v>50E-A</v>
      </c>
      <c r="D28" s="32"/>
      <c r="E28" s="31" t="str">
        <f>'Adjusted Lamp Cost Allocations'!C7</f>
        <v>Mercury Vapor</v>
      </c>
      <c r="F28" s="30" t="str">
        <f>'Adjusted Lamp Cost Allocations'!D7</f>
        <v>MV 175</v>
      </c>
      <c r="G28" s="54">
        <f>'Adjusted Lamp Cost Allocations'!U7</f>
        <v>0</v>
      </c>
      <c r="H28" s="55">
        <f>'Adjusted Lamp Cost Allocations'!X7</f>
        <v>2.7236442923170321E-2</v>
      </c>
      <c r="I28" s="55">
        <f>'Adjusted Lamp Cost Allocations'!Y7</f>
        <v>6.436266031162978E-3</v>
      </c>
      <c r="J28" s="55">
        <f t="shared" si="1"/>
        <v>3.3672708954333302E-2</v>
      </c>
      <c r="L28" s="56">
        <v>228</v>
      </c>
      <c r="M28" s="57">
        <f t="shared" si="2"/>
        <v>8</v>
      </c>
      <c r="O28" s="58">
        <f t="shared" si="3"/>
        <v>0.03</v>
      </c>
      <c r="P28" s="59">
        <f t="shared" si="4"/>
        <v>0</v>
      </c>
      <c r="Q28" s="58">
        <f t="shared" si="5"/>
        <v>0.03</v>
      </c>
      <c r="R28" s="258">
        <f t="shared" si="6"/>
        <v>-3.6727089543333036E-3</v>
      </c>
    </row>
    <row r="29" spans="1:18" ht="13.2" customHeight="1" x14ac:dyDescent="0.2">
      <c r="A29" s="251">
        <f t="shared" si="0"/>
        <v>19</v>
      </c>
      <c r="C29" s="32" t="str">
        <f>'Adjusted Lamp Cost Allocations'!A8</f>
        <v>50E-A</v>
      </c>
      <c r="D29" s="32"/>
      <c r="E29" s="31" t="str">
        <f>'Adjusted Lamp Cost Allocations'!C8</f>
        <v>Mercury Vapor</v>
      </c>
      <c r="F29" s="30" t="str">
        <f>'Adjusted Lamp Cost Allocations'!D8</f>
        <v>MV 400</v>
      </c>
      <c r="G29" s="54">
        <f>'Adjusted Lamp Cost Allocations'!U8</f>
        <v>0</v>
      </c>
      <c r="H29" s="55">
        <f>'Adjusted Lamp Cost Allocations'!X8</f>
        <v>6.2254726681532167E-2</v>
      </c>
      <c r="I29" s="55">
        <f>'Adjusted Lamp Cost Allocations'!Y8</f>
        <v>1.4711465214086807E-2</v>
      </c>
      <c r="J29" s="55">
        <f t="shared" si="1"/>
        <v>7.6966191895618971E-2</v>
      </c>
      <c r="L29" s="56">
        <v>204</v>
      </c>
      <c r="M29" s="57">
        <f t="shared" si="2"/>
        <v>16</v>
      </c>
      <c r="O29" s="58">
        <f t="shared" si="3"/>
        <v>7.0000000000000007E-2</v>
      </c>
      <c r="P29" s="59">
        <f t="shared" si="4"/>
        <v>0.01</v>
      </c>
      <c r="Q29" s="58">
        <f t="shared" si="5"/>
        <v>0.08</v>
      </c>
      <c r="R29" s="258">
        <f t="shared" si="6"/>
        <v>3.0338081043810305E-3</v>
      </c>
    </row>
    <row r="30" spans="1:18" ht="13.2" customHeight="1" x14ac:dyDescent="0.2">
      <c r="A30" s="251">
        <f t="shared" si="0"/>
        <v>20</v>
      </c>
      <c r="C30" s="32"/>
      <c r="D30" s="32"/>
      <c r="E30" s="31"/>
      <c r="F30" s="30"/>
      <c r="G30" s="54"/>
      <c r="H30" s="55"/>
      <c r="I30" s="55"/>
      <c r="J30" s="55"/>
      <c r="L30" s="56"/>
      <c r="M30" s="57"/>
      <c r="O30" s="58"/>
      <c r="P30" s="59"/>
      <c r="Q30" s="59"/>
      <c r="R30" s="69"/>
    </row>
    <row r="31" spans="1:18" ht="13.2" customHeight="1" x14ac:dyDescent="0.2">
      <c r="A31" s="251">
        <f t="shared" si="0"/>
        <v>21</v>
      </c>
      <c r="C31" s="32" t="str">
        <f>'Adjusted Lamp Cost Allocations'!A10</f>
        <v>50E-B</v>
      </c>
      <c r="D31" s="32"/>
      <c r="E31" s="31" t="str">
        <f>'Adjusted Lamp Cost Allocations'!C10</f>
        <v>Mercury Vapor</v>
      </c>
      <c r="F31" s="30" t="str">
        <f>'Adjusted Lamp Cost Allocations'!D10</f>
        <v>MV 100</v>
      </c>
      <c r="G31" s="54">
        <f>'Adjusted Lamp Cost Allocations'!U10</f>
        <v>0</v>
      </c>
      <c r="H31" s="55">
        <f>'Adjusted Lamp Cost Allocations'!X10</f>
        <v>1.5563681670383042E-2</v>
      </c>
      <c r="I31" s="55">
        <f>'Adjusted Lamp Cost Allocations'!Y10</f>
        <v>3.6778663035217018E-3</v>
      </c>
      <c r="J31" s="55">
        <f t="shared" ref="J31:J34" si="7">SUM(G31:I31)</f>
        <v>1.9241547973904743E-2</v>
      </c>
      <c r="L31" s="56">
        <v>0</v>
      </c>
      <c r="M31" s="57">
        <f t="shared" ref="M31:M34" si="8">ROUND(L31*J31,0)</f>
        <v>0</v>
      </c>
      <c r="O31" s="58">
        <f t="shared" ref="O31:O34" si="9">ROUND(J31-P31,2)</f>
        <v>0.02</v>
      </c>
      <c r="P31" s="59">
        <f t="shared" ref="P31:P33" si="10">ROUND(J31*$P$9,2)</f>
        <v>0</v>
      </c>
      <c r="Q31" s="58">
        <f t="shared" ref="Q31:Q34" si="11">SUM(O31:P31)</f>
        <v>0.02</v>
      </c>
      <c r="R31" s="258">
        <f t="shared" ref="R31:R34" si="12">+Q31-J31</f>
        <v>7.5845202609525764E-4</v>
      </c>
    </row>
    <row r="32" spans="1:18" ht="13.2" customHeight="1" x14ac:dyDescent="0.2">
      <c r="A32" s="251">
        <f t="shared" si="0"/>
        <v>22</v>
      </c>
      <c r="C32" s="32" t="str">
        <f>'Adjusted Lamp Cost Allocations'!A11</f>
        <v>50E-B</v>
      </c>
      <c r="D32" s="32"/>
      <c r="E32" s="31" t="str">
        <f>'Adjusted Lamp Cost Allocations'!C11</f>
        <v>Mercury Vapor</v>
      </c>
      <c r="F32" s="30" t="str">
        <f>'Adjusted Lamp Cost Allocations'!D11</f>
        <v>MV 175</v>
      </c>
      <c r="G32" s="54">
        <f>'Adjusted Lamp Cost Allocations'!U11</f>
        <v>0</v>
      </c>
      <c r="H32" s="55">
        <f>'Adjusted Lamp Cost Allocations'!X11</f>
        <v>2.7236442923170321E-2</v>
      </c>
      <c r="I32" s="55">
        <f>'Adjusted Lamp Cost Allocations'!Y11</f>
        <v>6.436266031162978E-3</v>
      </c>
      <c r="J32" s="55">
        <f t="shared" si="7"/>
        <v>3.3672708954333302E-2</v>
      </c>
      <c r="L32" s="56">
        <v>12</v>
      </c>
      <c r="M32" s="57">
        <f t="shared" si="8"/>
        <v>0</v>
      </c>
      <c r="O32" s="58">
        <f t="shared" si="9"/>
        <v>0.03</v>
      </c>
      <c r="P32" s="59">
        <f t="shared" si="10"/>
        <v>0</v>
      </c>
      <c r="Q32" s="58">
        <f t="shared" si="11"/>
        <v>0.03</v>
      </c>
      <c r="R32" s="258">
        <f t="shared" si="12"/>
        <v>-3.6727089543333036E-3</v>
      </c>
    </row>
    <row r="33" spans="1:18" ht="13.2" customHeight="1" x14ac:dyDescent="0.2">
      <c r="A33" s="251">
        <f t="shared" si="0"/>
        <v>23</v>
      </c>
      <c r="C33" s="32" t="str">
        <f>'Adjusted Lamp Cost Allocations'!A12</f>
        <v>50E-B</v>
      </c>
      <c r="D33" s="32"/>
      <c r="E33" s="31" t="str">
        <f>'Adjusted Lamp Cost Allocations'!C12</f>
        <v>Mercury Vapor</v>
      </c>
      <c r="F33" s="30" t="str">
        <f>'Adjusted Lamp Cost Allocations'!D12</f>
        <v>MV 400</v>
      </c>
      <c r="G33" s="54">
        <f>'Adjusted Lamp Cost Allocations'!U12</f>
        <v>0</v>
      </c>
      <c r="H33" s="55">
        <f>'Adjusted Lamp Cost Allocations'!X12</f>
        <v>6.2254726681532167E-2</v>
      </c>
      <c r="I33" s="55">
        <f>'Adjusted Lamp Cost Allocations'!Y12</f>
        <v>1.4711465214086807E-2</v>
      </c>
      <c r="J33" s="55">
        <f t="shared" si="7"/>
        <v>7.6966191895618971E-2</v>
      </c>
      <c r="L33" s="56">
        <v>0</v>
      </c>
      <c r="M33" s="57">
        <f t="shared" si="8"/>
        <v>0</v>
      </c>
      <c r="O33" s="58">
        <f t="shared" si="9"/>
        <v>7.0000000000000007E-2</v>
      </c>
      <c r="P33" s="59">
        <f t="shared" si="10"/>
        <v>0.01</v>
      </c>
      <c r="Q33" s="58">
        <f t="shared" si="11"/>
        <v>0.08</v>
      </c>
      <c r="R33" s="258">
        <f t="shared" si="12"/>
        <v>3.0338081043810305E-3</v>
      </c>
    </row>
    <row r="34" spans="1:18" ht="13.2" customHeight="1" x14ac:dyDescent="0.2">
      <c r="A34" s="251">
        <f t="shared" si="0"/>
        <v>24</v>
      </c>
      <c r="C34" s="32" t="str">
        <f>'Adjusted Lamp Cost Allocations'!A13</f>
        <v>50E-B</v>
      </c>
      <c r="D34" s="32"/>
      <c r="E34" s="31" t="str">
        <f>'Adjusted Lamp Cost Allocations'!C13</f>
        <v>Mercury Vapor</v>
      </c>
      <c r="F34" s="30" t="str">
        <f>'Adjusted Lamp Cost Allocations'!D13</f>
        <v>MV 700</v>
      </c>
      <c r="G34" s="54">
        <f>'Adjusted Lamp Cost Allocations'!U13</f>
        <v>0</v>
      </c>
      <c r="H34" s="55">
        <f>'Adjusted Lamp Cost Allocations'!X13</f>
        <v>0.10894577169268128</v>
      </c>
      <c r="I34" s="55">
        <f>'Adjusted Lamp Cost Allocations'!Y13</f>
        <v>2.5745064124651912E-2</v>
      </c>
      <c r="J34" s="55">
        <f t="shared" si="7"/>
        <v>0.13469083581733321</v>
      </c>
      <c r="L34" s="56">
        <v>0</v>
      </c>
      <c r="M34" s="57">
        <f t="shared" si="8"/>
        <v>0</v>
      </c>
      <c r="O34" s="58">
        <f t="shared" si="9"/>
        <v>0.12</v>
      </c>
      <c r="P34" s="59">
        <f>ROUND(J34*$P$9,2)</f>
        <v>0.01</v>
      </c>
      <c r="Q34" s="58">
        <f t="shared" si="11"/>
        <v>0.13</v>
      </c>
      <c r="R34" s="258">
        <f t="shared" si="12"/>
        <v>-4.6908358173332054E-3</v>
      </c>
    </row>
    <row r="35" spans="1:18" ht="13.2" customHeight="1" x14ac:dyDescent="0.2">
      <c r="A35" s="251">
        <f t="shared" si="0"/>
        <v>25</v>
      </c>
      <c r="B35" s="32" t="str">
        <f>'Adjusted Lamp Cost Allocations'!A14</f>
        <v>Sch 51E</v>
      </c>
      <c r="E35" s="31"/>
      <c r="F35" s="30"/>
      <c r="G35" s="54"/>
      <c r="H35" s="55"/>
      <c r="I35" s="55"/>
      <c r="J35" s="55"/>
      <c r="L35" s="56"/>
      <c r="M35" s="57"/>
      <c r="O35" s="58"/>
      <c r="P35" s="59"/>
      <c r="Q35" s="59"/>
      <c r="R35" s="69"/>
    </row>
    <row r="36" spans="1:18" ht="13.2" customHeight="1" x14ac:dyDescent="0.2">
      <c r="A36" s="251">
        <f t="shared" si="0"/>
        <v>26</v>
      </c>
      <c r="C36" s="32" t="str">
        <f>'Adjusted Lamp Cost Allocations'!A15</f>
        <v>51E</v>
      </c>
      <c r="D36" s="32"/>
      <c r="E36" s="31" t="str">
        <f>'Adjusted Lamp Cost Allocations'!C15</f>
        <v>Light Emitting Diode</v>
      </c>
      <c r="F36" s="30" t="str">
        <f>'Adjusted Lamp Cost Allocations'!D15</f>
        <v>LED 0-030</v>
      </c>
      <c r="G36" s="54">
        <f>'Adjusted Lamp Cost Allocations'!U15</f>
        <v>0</v>
      </c>
      <c r="H36" s="55">
        <f>'Adjusted Lamp Cost Allocations'!X15</f>
        <v>2.3345522505574564E-3</v>
      </c>
      <c r="I36" s="55">
        <f>'Adjusted Lamp Cost Allocations'!Y15</f>
        <v>5.5167994552825532E-4</v>
      </c>
      <c r="J36" s="55">
        <f t="shared" ref="J36:J45" si="13">SUM(G36:I36)</f>
        <v>2.8862321960857118E-3</v>
      </c>
      <c r="L36" s="56">
        <v>0</v>
      </c>
      <c r="M36" s="57">
        <f>ROUND(L36*J36,0)</f>
        <v>0</v>
      </c>
      <c r="O36" s="58">
        <f t="shared" ref="O36" si="14">ROUND(J36-P36,2)</f>
        <v>0</v>
      </c>
      <c r="P36" s="59">
        <f t="shared" ref="P36" si="15">ROUND(J36*$P$9,2)</f>
        <v>0</v>
      </c>
      <c r="Q36" s="58">
        <f t="shared" ref="Q36" si="16">SUM(O36:P36)</f>
        <v>0</v>
      </c>
      <c r="R36" s="258">
        <f t="shared" ref="R36" si="17">+Q36-J36</f>
        <v>-2.8862321960857118E-3</v>
      </c>
    </row>
    <row r="37" spans="1:18" ht="13.2" customHeight="1" x14ac:dyDescent="0.2">
      <c r="A37" s="251">
        <f t="shared" si="0"/>
        <v>27</v>
      </c>
      <c r="C37" s="32" t="str">
        <f>'Adjusted Lamp Cost Allocations'!A16</f>
        <v>51E</v>
      </c>
      <c r="D37" s="32"/>
      <c r="E37" s="31" t="str">
        <f>'Adjusted Lamp Cost Allocations'!C16</f>
        <v>Light Emitting Diode</v>
      </c>
      <c r="F37" s="30" t="str">
        <f>'Adjusted Lamp Cost Allocations'!D16</f>
        <v>LED 030.01-060</v>
      </c>
      <c r="G37" s="54">
        <f>'Adjusted Lamp Cost Allocations'!U16</f>
        <v>0</v>
      </c>
      <c r="H37" s="55">
        <f>'Adjusted Lamp Cost Allocations'!X16</f>
        <v>7.0036567516723689E-3</v>
      </c>
      <c r="I37" s="55">
        <f>'Adjusted Lamp Cost Allocations'!Y16</f>
        <v>1.6550398365847659E-3</v>
      </c>
      <c r="J37" s="55">
        <f t="shared" si="13"/>
        <v>8.6586965882571344E-3</v>
      </c>
      <c r="L37" s="56">
        <v>64020</v>
      </c>
      <c r="M37" s="57">
        <f>ROUND(L37*J37,0)</f>
        <v>554</v>
      </c>
      <c r="O37" s="58">
        <f t="shared" ref="O37:O45" si="18">ROUND(J37-P37,2)</f>
        <v>0.01</v>
      </c>
      <c r="P37" s="59">
        <f t="shared" ref="P37:P45" si="19">ROUND(J37*$P$9,2)</f>
        <v>0</v>
      </c>
      <c r="Q37" s="58">
        <f t="shared" ref="Q37:Q45" si="20">SUM(O37:P37)</f>
        <v>0.01</v>
      </c>
      <c r="R37" s="258">
        <f t="shared" ref="R37:R45" si="21">+Q37-J37</f>
        <v>1.3413034117428658E-3</v>
      </c>
    </row>
    <row r="38" spans="1:18" ht="13.2" customHeight="1" x14ac:dyDescent="0.2">
      <c r="A38" s="251">
        <f t="shared" si="0"/>
        <v>28</v>
      </c>
      <c r="C38" s="32" t="str">
        <f>'Adjusted Lamp Cost Allocations'!A17</f>
        <v>51E</v>
      </c>
      <c r="D38" s="32"/>
      <c r="E38" s="31" t="str">
        <f>'Adjusted Lamp Cost Allocations'!C17</f>
        <v>Light Emitting Diode</v>
      </c>
      <c r="F38" s="30" t="str">
        <f>'Adjusted Lamp Cost Allocations'!D17</f>
        <v>LED 060.01-090</v>
      </c>
      <c r="G38" s="54">
        <f>'Adjusted Lamp Cost Allocations'!U17</f>
        <v>0</v>
      </c>
      <c r="H38" s="55">
        <f>'Adjusted Lamp Cost Allocations'!X17</f>
        <v>1.1672761252787283E-2</v>
      </c>
      <c r="I38" s="55">
        <f>'Adjusted Lamp Cost Allocations'!Y17</f>
        <v>2.7583997276412766E-3</v>
      </c>
      <c r="J38" s="55">
        <f t="shared" si="13"/>
        <v>1.443116098042856E-2</v>
      </c>
      <c r="L38" s="56">
        <v>34692</v>
      </c>
      <c r="M38" s="57">
        <f t="shared" ref="M38:M45" si="22">ROUND(L38*J38,0)</f>
        <v>501</v>
      </c>
      <c r="O38" s="58">
        <f t="shared" si="18"/>
        <v>0.01</v>
      </c>
      <c r="P38" s="59">
        <f t="shared" si="19"/>
        <v>0</v>
      </c>
      <c r="Q38" s="58">
        <f t="shared" si="20"/>
        <v>0.01</v>
      </c>
      <c r="R38" s="258">
        <f>+Q38-J38</f>
        <v>-4.4311609804285595E-3</v>
      </c>
    </row>
    <row r="39" spans="1:18" ht="13.2" customHeight="1" x14ac:dyDescent="0.2">
      <c r="A39" s="251">
        <f t="shared" si="0"/>
        <v>29</v>
      </c>
      <c r="C39" s="32" t="str">
        <f>'Adjusted Lamp Cost Allocations'!A18</f>
        <v>51E</v>
      </c>
      <c r="D39" s="32"/>
      <c r="E39" s="31" t="str">
        <f>'Adjusted Lamp Cost Allocations'!C18</f>
        <v>Light Emitting Diode</v>
      </c>
      <c r="F39" s="30" t="str">
        <f>'Adjusted Lamp Cost Allocations'!D18</f>
        <v>LED 090.01-120</v>
      </c>
      <c r="G39" s="54">
        <f>'Adjusted Lamp Cost Allocations'!U18</f>
        <v>0</v>
      </c>
      <c r="H39" s="55">
        <f>'Adjusted Lamp Cost Allocations'!X18</f>
        <v>1.6341865753902195E-2</v>
      </c>
      <c r="I39" s="55">
        <f>'Adjusted Lamp Cost Allocations'!Y18</f>
        <v>3.8617596186977872E-3</v>
      </c>
      <c r="J39" s="55">
        <f t="shared" si="13"/>
        <v>2.0203625372599981E-2</v>
      </c>
      <c r="L39" s="56">
        <v>15816</v>
      </c>
      <c r="M39" s="57">
        <f t="shared" si="22"/>
        <v>320</v>
      </c>
      <c r="O39" s="58">
        <f t="shared" si="18"/>
        <v>0.02</v>
      </c>
      <c r="P39" s="59">
        <f t="shared" si="19"/>
        <v>0</v>
      </c>
      <c r="Q39" s="58">
        <f t="shared" si="20"/>
        <v>0.02</v>
      </c>
      <c r="R39" s="258">
        <f t="shared" si="21"/>
        <v>-2.0362537259998106E-4</v>
      </c>
    </row>
    <row r="40" spans="1:18" ht="13.2" customHeight="1" x14ac:dyDescent="0.2">
      <c r="A40" s="251">
        <f t="shared" si="0"/>
        <v>30</v>
      </c>
      <c r="C40" s="32" t="str">
        <f>'Adjusted Lamp Cost Allocations'!A19</f>
        <v>51E</v>
      </c>
      <c r="D40" s="32"/>
      <c r="E40" s="31" t="str">
        <f>'Adjusted Lamp Cost Allocations'!C19</f>
        <v>Light Emitting Diode</v>
      </c>
      <c r="F40" s="30" t="str">
        <f>'Adjusted Lamp Cost Allocations'!D19</f>
        <v>LED 120.01-150</v>
      </c>
      <c r="G40" s="54">
        <f>'Adjusted Lamp Cost Allocations'!U19</f>
        <v>0</v>
      </c>
      <c r="H40" s="55">
        <f>'Adjusted Lamp Cost Allocations'!X19</f>
        <v>2.1010970255017105E-2</v>
      </c>
      <c r="I40" s="55">
        <f>'Adjusted Lamp Cost Allocations'!Y19</f>
        <v>4.9651195097542974E-3</v>
      </c>
      <c r="J40" s="55">
        <f t="shared" si="13"/>
        <v>2.5976089764771403E-2</v>
      </c>
      <c r="L40" s="56">
        <v>6912</v>
      </c>
      <c r="M40" s="57">
        <f t="shared" si="22"/>
        <v>180</v>
      </c>
      <c r="O40" s="58">
        <f t="shared" si="18"/>
        <v>0.03</v>
      </c>
      <c r="P40" s="59">
        <f t="shared" si="19"/>
        <v>0</v>
      </c>
      <c r="Q40" s="58">
        <f t="shared" si="20"/>
        <v>0.03</v>
      </c>
      <c r="R40" s="258">
        <f t="shared" si="21"/>
        <v>4.0239102352285956E-3</v>
      </c>
    </row>
    <row r="41" spans="1:18" ht="13.2" customHeight="1" x14ac:dyDescent="0.2">
      <c r="A41" s="251">
        <f t="shared" si="0"/>
        <v>31</v>
      </c>
      <c r="C41" s="32" t="str">
        <f>'Adjusted Lamp Cost Allocations'!A20</f>
        <v>51E</v>
      </c>
      <c r="D41" s="32"/>
      <c r="E41" s="31" t="str">
        <f>'Adjusted Lamp Cost Allocations'!C20</f>
        <v>Light Emitting Diode</v>
      </c>
      <c r="F41" s="30" t="str">
        <f>'Adjusted Lamp Cost Allocations'!D20</f>
        <v>LED 150.01-180</v>
      </c>
      <c r="G41" s="54">
        <f>'Adjusted Lamp Cost Allocations'!U20</f>
        <v>0</v>
      </c>
      <c r="H41" s="55">
        <f>'Adjusted Lamp Cost Allocations'!X20</f>
        <v>2.5680074756132019E-2</v>
      </c>
      <c r="I41" s="55">
        <f>'Adjusted Lamp Cost Allocations'!Y20</f>
        <v>6.068479400810808E-3</v>
      </c>
      <c r="J41" s="55">
        <f t="shared" si="13"/>
        <v>3.1748554156942825E-2</v>
      </c>
      <c r="L41" s="56">
        <v>900</v>
      </c>
      <c r="M41" s="57">
        <f t="shared" si="22"/>
        <v>29</v>
      </c>
      <c r="O41" s="58">
        <f t="shared" si="18"/>
        <v>0.03</v>
      </c>
      <c r="P41" s="59">
        <f t="shared" si="19"/>
        <v>0</v>
      </c>
      <c r="Q41" s="58">
        <f t="shared" si="20"/>
        <v>0.03</v>
      </c>
      <c r="R41" s="258">
        <f t="shared" si="21"/>
        <v>-1.7485541569428262E-3</v>
      </c>
    </row>
    <row r="42" spans="1:18" ht="13.2" customHeight="1" x14ac:dyDescent="0.2">
      <c r="A42" s="251">
        <f t="shared" si="0"/>
        <v>32</v>
      </c>
      <c r="C42" s="32" t="str">
        <f>'Adjusted Lamp Cost Allocations'!A21</f>
        <v>51E</v>
      </c>
      <c r="D42" s="32"/>
      <c r="E42" s="31" t="str">
        <f>'Adjusted Lamp Cost Allocations'!C21</f>
        <v>Light Emitting Diode</v>
      </c>
      <c r="F42" s="30" t="str">
        <f>'Adjusted Lamp Cost Allocations'!D21</f>
        <v>LED 180.01-210</v>
      </c>
      <c r="G42" s="54">
        <f>'Adjusted Lamp Cost Allocations'!U21</f>
        <v>0</v>
      </c>
      <c r="H42" s="55">
        <f>'Adjusted Lamp Cost Allocations'!X21</f>
        <v>3.0349179257246929E-2</v>
      </c>
      <c r="I42" s="55">
        <f>'Adjusted Lamp Cost Allocations'!Y21</f>
        <v>7.1718392918673187E-3</v>
      </c>
      <c r="J42" s="55">
        <f t="shared" si="13"/>
        <v>3.752101854911425E-2</v>
      </c>
      <c r="L42" s="56">
        <v>2412</v>
      </c>
      <c r="M42" s="57">
        <f t="shared" si="22"/>
        <v>91</v>
      </c>
      <c r="O42" s="58">
        <f t="shared" si="18"/>
        <v>0.04</v>
      </c>
      <c r="P42" s="59">
        <f t="shared" si="19"/>
        <v>0</v>
      </c>
      <c r="Q42" s="58">
        <f t="shared" si="20"/>
        <v>0.04</v>
      </c>
      <c r="R42" s="258">
        <f t="shared" si="21"/>
        <v>2.4789814508857505E-3</v>
      </c>
    </row>
    <row r="43" spans="1:18" ht="13.2" customHeight="1" x14ac:dyDescent="0.2">
      <c r="A43" s="251">
        <f t="shared" si="0"/>
        <v>33</v>
      </c>
      <c r="C43" s="32" t="str">
        <f>'Adjusted Lamp Cost Allocations'!A22</f>
        <v>51E</v>
      </c>
      <c r="D43" s="32"/>
      <c r="E43" s="31" t="str">
        <f>'Adjusted Lamp Cost Allocations'!C22</f>
        <v>Light Emitting Diode</v>
      </c>
      <c r="F43" s="30" t="str">
        <f>'Adjusted Lamp Cost Allocations'!D22</f>
        <v>LED 210.01-240</v>
      </c>
      <c r="G43" s="54">
        <f>'Adjusted Lamp Cost Allocations'!U22</f>
        <v>0</v>
      </c>
      <c r="H43" s="55">
        <f>'Adjusted Lamp Cost Allocations'!X22</f>
        <v>3.501828375836185E-2</v>
      </c>
      <c r="I43" s="55">
        <f>'Adjusted Lamp Cost Allocations'!Y22</f>
        <v>8.2751991829238293E-3</v>
      </c>
      <c r="J43" s="55">
        <f t="shared" si="13"/>
        <v>4.3293482941285683E-2</v>
      </c>
      <c r="L43" s="56">
        <v>960</v>
      </c>
      <c r="M43" s="57">
        <f t="shared" si="22"/>
        <v>42</v>
      </c>
      <c r="O43" s="58">
        <f t="shared" si="18"/>
        <v>0.04</v>
      </c>
      <c r="P43" s="59">
        <f t="shared" si="19"/>
        <v>0</v>
      </c>
      <c r="Q43" s="58">
        <f t="shared" si="20"/>
        <v>0.04</v>
      </c>
      <c r="R43" s="258">
        <f t="shared" si="21"/>
        <v>-3.2934829412856817E-3</v>
      </c>
    </row>
    <row r="44" spans="1:18" ht="13.2" customHeight="1" x14ac:dyDescent="0.2">
      <c r="A44" s="251">
        <f t="shared" si="0"/>
        <v>34</v>
      </c>
      <c r="C44" s="32" t="str">
        <f>'Adjusted Lamp Cost Allocations'!A23</f>
        <v>51E</v>
      </c>
      <c r="D44" s="32"/>
      <c r="E44" s="31" t="str">
        <f>'Adjusted Lamp Cost Allocations'!C23</f>
        <v>Light Emitting Diode</v>
      </c>
      <c r="F44" s="30" t="str">
        <f>'Adjusted Lamp Cost Allocations'!D23</f>
        <v>LED 240.01-270</v>
      </c>
      <c r="G44" s="54">
        <f>'Adjusted Lamp Cost Allocations'!U23</f>
        <v>0</v>
      </c>
      <c r="H44" s="55">
        <f>'Adjusted Lamp Cost Allocations'!X23</f>
        <v>3.9687388259476757E-2</v>
      </c>
      <c r="I44" s="55">
        <f>'Adjusted Lamp Cost Allocations'!Y23</f>
        <v>9.3785590739803391E-3</v>
      </c>
      <c r="J44" s="55">
        <f t="shared" si="13"/>
        <v>4.9065947333457094E-2</v>
      </c>
      <c r="L44" s="56">
        <v>96</v>
      </c>
      <c r="M44" s="57">
        <f t="shared" si="22"/>
        <v>5</v>
      </c>
      <c r="O44" s="58">
        <f t="shared" si="18"/>
        <v>0.05</v>
      </c>
      <c r="P44" s="59">
        <f t="shared" si="19"/>
        <v>0</v>
      </c>
      <c r="Q44" s="58">
        <f t="shared" si="20"/>
        <v>0.05</v>
      </c>
      <c r="R44" s="258">
        <f t="shared" si="21"/>
        <v>9.3405266654290886E-4</v>
      </c>
    </row>
    <row r="45" spans="1:18" ht="13.2" customHeight="1" x14ac:dyDescent="0.2">
      <c r="A45" s="251">
        <f t="shared" si="0"/>
        <v>35</v>
      </c>
      <c r="C45" s="32" t="str">
        <f>'Adjusted Lamp Cost Allocations'!A24</f>
        <v>51E</v>
      </c>
      <c r="D45" s="32"/>
      <c r="E45" s="31" t="str">
        <f>'Adjusted Lamp Cost Allocations'!C24</f>
        <v>Light Emitting Diode</v>
      </c>
      <c r="F45" s="30" t="str">
        <f>'Adjusted Lamp Cost Allocations'!D24</f>
        <v>LED 270.01-300</v>
      </c>
      <c r="G45" s="54">
        <f>'Adjusted Lamp Cost Allocations'!U24</f>
        <v>0</v>
      </c>
      <c r="H45" s="55">
        <f>'Adjusted Lamp Cost Allocations'!X24</f>
        <v>4.435649276059167E-2</v>
      </c>
      <c r="I45" s="55">
        <f>'Adjusted Lamp Cost Allocations'!Y24</f>
        <v>1.0481918965036851E-2</v>
      </c>
      <c r="J45" s="55">
        <f t="shared" si="13"/>
        <v>5.4838411725628519E-2</v>
      </c>
      <c r="L45" s="56">
        <v>996</v>
      </c>
      <c r="M45" s="57">
        <f t="shared" si="22"/>
        <v>55</v>
      </c>
      <c r="O45" s="58">
        <f t="shared" si="18"/>
        <v>0.05</v>
      </c>
      <c r="P45" s="59">
        <f t="shared" si="19"/>
        <v>0</v>
      </c>
      <c r="Q45" s="58">
        <f t="shared" si="20"/>
        <v>0.05</v>
      </c>
      <c r="R45" s="258">
        <f t="shared" si="21"/>
        <v>-4.8384117256285164E-3</v>
      </c>
    </row>
    <row r="46" spans="1:18" ht="13.2" customHeight="1" x14ac:dyDescent="0.2">
      <c r="A46" s="251">
        <f t="shared" si="0"/>
        <v>36</v>
      </c>
      <c r="C46" s="32"/>
      <c r="D46" s="32"/>
      <c r="E46" s="31"/>
      <c r="F46" s="30"/>
      <c r="G46" s="54"/>
      <c r="H46" s="55"/>
      <c r="I46" s="55"/>
      <c r="J46" s="55"/>
      <c r="L46" s="56"/>
      <c r="M46" s="57"/>
      <c r="O46" s="249"/>
      <c r="P46" s="249"/>
      <c r="Q46" s="249"/>
      <c r="R46" s="69"/>
    </row>
    <row r="47" spans="1:18" ht="13.2" customHeight="1" x14ac:dyDescent="0.2">
      <c r="A47" s="251">
        <f t="shared" si="0"/>
        <v>37</v>
      </c>
      <c r="C47" s="32" t="str">
        <f>'Adjusted Lamp Cost Allocations'!A27</f>
        <v>51E</v>
      </c>
      <c r="D47" s="32" t="s">
        <v>254</v>
      </c>
      <c r="E47" s="31" t="str">
        <f>'Adjusted Lamp Cost Allocations'!C27</f>
        <v>Light Emitting Diode</v>
      </c>
      <c r="F47" s="30" t="s">
        <v>277</v>
      </c>
      <c r="G47" s="257"/>
      <c r="H47" s="248"/>
      <c r="I47" s="248"/>
      <c r="J47" s="248">
        <v>8.5870000000000009E-3</v>
      </c>
      <c r="L47" s="56">
        <v>11448</v>
      </c>
      <c r="M47" s="57">
        <f>ROUND(L47*J47,0)</f>
        <v>98</v>
      </c>
      <c r="O47" s="249">
        <f t="shared" ref="O47" si="23">ROUND(J47-P47,6)</f>
        <v>7.986E-3</v>
      </c>
      <c r="P47" s="249">
        <f t="shared" ref="P47" si="24">ROUND(J47*$P$9,6)</f>
        <v>6.0099999999999997E-4</v>
      </c>
      <c r="Q47" s="249">
        <f t="shared" ref="Q47" si="25">SUM(O47:P47)</f>
        <v>8.5870000000000009E-3</v>
      </c>
      <c r="R47" s="260">
        <f t="shared" ref="R47" si="26">+Q47-J47</f>
        <v>0</v>
      </c>
    </row>
    <row r="48" spans="1:18" ht="13.2" customHeight="1" x14ac:dyDescent="0.2">
      <c r="A48" s="251">
        <f t="shared" si="0"/>
        <v>38</v>
      </c>
      <c r="B48" s="32" t="str">
        <f>'Adjusted Lamp Cost Allocations'!A36</f>
        <v>Sch 52E</v>
      </c>
      <c r="E48" s="31"/>
      <c r="F48" s="30"/>
      <c r="G48" s="54"/>
      <c r="H48" s="55"/>
      <c r="I48" s="55"/>
      <c r="J48" s="55"/>
      <c r="L48" s="56"/>
      <c r="M48" s="57"/>
      <c r="O48" s="58"/>
      <c r="P48" s="59"/>
      <c r="Q48" s="59"/>
      <c r="R48" s="69"/>
    </row>
    <row r="49" spans="1:18" ht="13.2" customHeight="1" x14ac:dyDescent="0.2">
      <c r="A49" s="251">
        <f t="shared" si="0"/>
        <v>39</v>
      </c>
      <c r="C49" s="32" t="str">
        <f>'Adjusted Lamp Cost Allocations'!A37</f>
        <v xml:space="preserve">52E </v>
      </c>
      <c r="D49" s="32"/>
      <c r="E49" s="31" t="str">
        <f>'Adjusted Lamp Cost Allocations'!C37</f>
        <v>Sodium Vapor</v>
      </c>
      <c r="F49" s="30" t="str">
        <f>'Adjusted Lamp Cost Allocations'!D37</f>
        <v>SV 50</v>
      </c>
      <c r="G49" s="54">
        <f>'Adjusted Lamp Cost Allocations'!U37</f>
        <v>0</v>
      </c>
      <c r="H49" s="55">
        <f>'Adjusted Lamp Cost Allocations'!X37</f>
        <v>7.7818408351915209E-3</v>
      </c>
      <c r="I49" s="55">
        <f>'Adjusted Lamp Cost Allocations'!Y37</f>
        <v>1.8389331517608509E-3</v>
      </c>
      <c r="J49" s="55">
        <f t="shared" ref="J49:J56" si="27">SUM(G49:I49)</f>
        <v>9.6207739869523714E-3</v>
      </c>
      <c r="L49" s="56">
        <v>0</v>
      </c>
      <c r="M49" s="57">
        <f t="shared" ref="M49:M56" si="28">ROUND(L49*J49,0)</f>
        <v>0</v>
      </c>
      <c r="O49" s="58">
        <f t="shared" ref="O49:O56" si="29">ROUND(J49-P49,2)</f>
        <v>0.01</v>
      </c>
      <c r="P49" s="59">
        <f t="shared" ref="P49:P56" si="30">ROUND(J49*$P$9,2)</f>
        <v>0</v>
      </c>
      <c r="Q49" s="58">
        <f t="shared" ref="Q49:Q56" si="31">SUM(O49:P49)</f>
        <v>0.01</v>
      </c>
      <c r="R49" s="258">
        <f t="shared" ref="R49:R56" si="32">+Q49-J49</f>
        <v>3.7922601304762882E-4</v>
      </c>
    </row>
    <row r="50" spans="1:18" ht="13.2" customHeight="1" x14ac:dyDescent="0.2">
      <c r="A50" s="251">
        <f t="shared" si="0"/>
        <v>40</v>
      </c>
      <c r="C50" s="32" t="str">
        <f>'Adjusted Lamp Cost Allocations'!A38</f>
        <v xml:space="preserve">52E </v>
      </c>
      <c r="D50" s="32"/>
      <c r="E50" s="31" t="str">
        <f>'Adjusted Lamp Cost Allocations'!C38</f>
        <v>Sodium Vapor</v>
      </c>
      <c r="F50" s="30" t="str">
        <f>'Adjusted Lamp Cost Allocations'!D38</f>
        <v>SV 070</v>
      </c>
      <c r="G50" s="54">
        <f>'Adjusted Lamp Cost Allocations'!U38</f>
        <v>0</v>
      </c>
      <c r="H50" s="55">
        <f>'Adjusted Lamp Cost Allocations'!X38</f>
        <v>1.089457716926813E-2</v>
      </c>
      <c r="I50" s="55">
        <f>'Adjusted Lamp Cost Allocations'!Y38</f>
        <v>2.5745064124651912E-3</v>
      </c>
      <c r="J50" s="55">
        <f t="shared" si="27"/>
        <v>1.3469083581733321E-2</v>
      </c>
      <c r="L50" s="56">
        <v>8040</v>
      </c>
      <c r="M50" s="57">
        <f t="shared" si="28"/>
        <v>108</v>
      </c>
      <c r="O50" s="58">
        <f t="shared" si="29"/>
        <v>0.01</v>
      </c>
      <c r="P50" s="59">
        <f t="shared" si="30"/>
        <v>0</v>
      </c>
      <c r="Q50" s="58">
        <f t="shared" si="31"/>
        <v>0.01</v>
      </c>
      <c r="R50" s="258">
        <f t="shared" si="32"/>
        <v>-3.4690835817333208E-3</v>
      </c>
    </row>
    <row r="51" spans="1:18" ht="13.2" customHeight="1" x14ac:dyDescent="0.2">
      <c r="A51" s="251">
        <f t="shared" si="0"/>
        <v>41</v>
      </c>
      <c r="C51" s="32" t="str">
        <f>'Adjusted Lamp Cost Allocations'!A39</f>
        <v xml:space="preserve">52E </v>
      </c>
      <c r="D51" s="32"/>
      <c r="E51" s="31" t="str">
        <f>'Adjusted Lamp Cost Allocations'!C39</f>
        <v>Sodium Vapor</v>
      </c>
      <c r="F51" s="30" t="str">
        <f>'Adjusted Lamp Cost Allocations'!D39</f>
        <v>SV 100</v>
      </c>
      <c r="G51" s="54">
        <f>'Adjusted Lamp Cost Allocations'!U39</f>
        <v>0</v>
      </c>
      <c r="H51" s="55">
        <f>'Adjusted Lamp Cost Allocations'!X39</f>
        <v>1.5563681670383042E-2</v>
      </c>
      <c r="I51" s="55">
        <f>'Adjusted Lamp Cost Allocations'!Y39</f>
        <v>3.6778663035217018E-3</v>
      </c>
      <c r="J51" s="55">
        <f t="shared" si="27"/>
        <v>1.9241547973904743E-2</v>
      </c>
      <c r="L51" s="56">
        <v>113976</v>
      </c>
      <c r="M51" s="57">
        <f t="shared" si="28"/>
        <v>2193</v>
      </c>
      <c r="O51" s="58">
        <f t="shared" si="29"/>
        <v>0.02</v>
      </c>
      <c r="P51" s="59">
        <f t="shared" si="30"/>
        <v>0</v>
      </c>
      <c r="Q51" s="58">
        <f t="shared" si="31"/>
        <v>0.02</v>
      </c>
      <c r="R51" s="258">
        <f t="shared" si="32"/>
        <v>7.5845202609525764E-4</v>
      </c>
    </row>
    <row r="52" spans="1:18" ht="13.2" customHeight="1" x14ac:dyDescent="0.2">
      <c r="A52" s="251">
        <f t="shared" si="0"/>
        <v>42</v>
      </c>
      <c r="C52" s="32" t="str">
        <f>'Adjusted Lamp Cost Allocations'!A40</f>
        <v xml:space="preserve">52E </v>
      </c>
      <c r="D52" s="32"/>
      <c r="E52" s="31" t="str">
        <f>'Adjusted Lamp Cost Allocations'!C40</f>
        <v>Sodium Vapor</v>
      </c>
      <c r="F52" s="30" t="str">
        <f>'Adjusted Lamp Cost Allocations'!D40</f>
        <v>SV 150</v>
      </c>
      <c r="G52" s="54">
        <f>'Adjusted Lamp Cost Allocations'!U40</f>
        <v>0</v>
      </c>
      <c r="H52" s="55">
        <f>'Adjusted Lamp Cost Allocations'!X40</f>
        <v>2.3345522505574565E-2</v>
      </c>
      <c r="I52" s="55">
        <f>'Adjusted Lamp Cost Allocations'!Y40</f>
        <v>5.5167994552825532E-3</v>
      </c>
      <c r="J52" s="55">
        <f t="shared" si="27"/>
        <v>2.8862321960857119E-2</v>
      </c>
      <c r="L52" s="56">
        <v>53004</v>
      </c>
      <c r="M52" s="57">
        <f t="shared" si="28"/>
        <v>1530</v>
      </c>
      <c r="O52" s="58">
        <f t="shared" si="29"/>
        <v>0.03</v>
      </c>
      <c r="P52" s="59">
        <f t="shared" si="30"/>
        <v>0</v>
      </c>
      <c r="Q52" s="58">
        <f t="shared" si="31"/>
        <v>0.03</v>
      </c>
      <c r="R52" s="258">
        <f t="shared" si="32"/>
        <v>1.1376780391428795E-3</v>
      </c>
    </row>
    <row r="53" spans="1:18" ht="13.2" customHeight="1" x14ac:dyDescent="0.2">
      <c r="A53" s="251">
        <f t="shared" si="0"/>
        <v>43</v>
      </c>
      <c r="C53" s="32" t="str">
        <f>'Adjusted Lamp Cost Allocations'!A41</f>
        <v xml:space="preserve">52E </v>
      </c>
      <c r="D53" s="32"/>
      <c r="E53" s="31" t="str">
        <f>'Adjusted Lamp Cost Allocations'!C41</f>
        <v>Sodium Vapor</v>
      </c>
      <c r="F53" s="30" t="str">
        <f>'Adjusted Lamp Cost Allocations'!D41</f>
        <v>SV 200</v>
      </c>
      <c r="G53" s="54">
        <f>'Adjusted Lamp Cost Allocations'!U41</f>
        <v>0</v>
      </c>
      <c r="H53" s="55">
        <f>'Adjusted Lamp Cost Allocations'!X41</f>
        <v>3.1127363340766084E-2</v>
      </c>
      <c r="I53" s="55">
        <f>'Adjusted Lamp Cost Allocations'!Y41</f>
        <v>7.3557326070434036E-3</v>
      </c>
      <c r="J53" s="55">
        <f t="shared" si="27"/>
        <v>3.8483095947809486E-2</v>
      </c>
      <c r="L53" s="56">
        <v>11160</v>
      </c>
      <c r="M53" s="57">
        <f t="shared" si="28"/>
        <v>429</v>
      </c>
      <c r="O53" s="58">
        <f t="shared" si="29"/>
        <v>0.04</v>
      </c>
      <c r="P53" s="59">
        <f t="shared" si="30"/>
        <v>0</v>
      </c>
      <c r="Q53" s="58">
        <f t="shared" si="31"/>
        <v>0.04</v>
      </c>
      <c r="R53" s="258">
        <f t="shared" si="32"/>
        <v>1.5169040521905153E-3</v>
      </c>
    </row>
    <row r="54" spans="1:18" ht="13.2" customHeight="1" x14ac:dyDescent="0.2">
      <c r="A54" s="251">
        <f t="shared" si="0"/>
        <v>44</v>
      </c>
      <c r="C54" s="32" t="str">
        <f>'Adjusted Lamp Cost Allocations'!A42</f>
        <v xml:space="preserve">52E </v>
      </c>
      <c r="D54" s="32"/>
      <c r="E54" s="31" t="str">
        <f>'Adjusted Lamp Cost Allocations'!C42</f>
        <v>Sodium Vapor</v>
      </c>
      <c r="F54" s="30" t="str">
        <f>'Adjusted Lamp Cost Allocations'!D42</f>
        <v>SV 250</v>
      </c>
      <c r="G54" s="54">
        <f>'Adjusted Lamp Cost Allocations'!U42</f>
        <v>0</v>
      </c>
      <c r="H54" s="55">
        <f>'Adjusted Lamp Cost Allocations'!X42</f>
        <v>3.8909204175957605E-2</v>
      </c>
      <c r="I54" s="55">
        <f>'Adjusted Lamp Cost Allocations'!Y42</f>
        <v>9.194665758804255E-3</v>
      </c>
      <c r="J54" s="55">
        <f t="shared" si="27"/>
        <v>4.8103869934761859E-2</v>
      </c>
      <c r="L54" s="56">
        <v>16512</v>
      </c>
      <c r="M54" s="57">
        <f t="shared" si="28"/>
        <v>794</v>
      </c>
      <c r="O54" s="58">
        <f t="shared" si="29"/>
        <v>0.05</v>
      </c>
      <c r="P54" s="59">
        <f t="shared" si="30"/>
        <v>0</v>
      </c>
      <c r="Q54" s="58">
        <f t="shared" si="31"/>
        <v>0.05</v>
      </c>
      <c r="R54" s="258">
        <f t="shared" si="32"/>
        <v>1.8961300652381441E-3</v>
      </c>
    </row>
    <row r="55" spans="1:18" ht="13.2" customHeight="1" x14ac:dyDescent="0.2">
      <c r="A55" s="251">
        <f t="shared" si="0"/>
        <v>45</v>
      </c>
      <c r="C55" s="32" t="str">
        <f>'Adjusted Lamp Cost Allocations'!A43</f>
        <v xml:space="preserve">52E </v>
      </c>
      <c r="D55" s="32"/>
      <c r="E55" s="31" t="str">
        <f>'Adjusted Lamp Cost Allocations'!C43</f>
        <v>Sodium Vapor</v>
      </c>
      <c r="F55" s="30" t="str">
        <f>'Adjusted Lamp Cost Allocations'!D43</f>
        <v>SV 310</v>
      </c>
      <c r="G55" s="54">
        <f>'Adjusted Lamp Cost Allocations'!U43</f>
        <v>0</v>
      </c>
      <c r="H55" s="55">
        <f>'Adjusted Lamp Cost Allocations'!X43</f>
        <v>4.8247413178187426E-2</v>
      </c>
      <c r="I55" s="55">
        <f>'Adjusted Lamp Cost Allocations'!Y43</f>
        <v>1.1401385540917276E-2</v>
      </c>
      <c r="J55" s="55">
        <f t="shared" si="27"/>
        <v>5.9648798719104702E-2</v>
      </c>
      <c r="L55" s="56">
        <v>1740</v>
      </c>
      <c r="M55" s="57">
        <f t="shared" si="28"/>
        <v>104</v>
      </c>
      <c r="O55" s="58">
        <f t="shared" si="29"/>
        <v>0.06</v>
      </c>
      <c r="P55" s="59">
        <f t="shared" si="30"/>
        <v>0</v>
      </c>
      <c r="Q55" s="58">
        <f t="shared" si="31"/>
        <v>0.06</v>
      </c>
      <c r="R55" s="258">
        <f t="shared" si="32"/>
        <v>3.5120128089529551E-4</v>
      </c>
    </row>
    <row r="56" spans="1:18" ht="13.2" customHeight="1" x14ac:dyDescent="0.2">
      <c r="A56" s="251">
        <f t="shared" si="0"/>
        <v>46</v>
      </c>
      <c r="C56" s="32" t="str">
        <f>'Adjusted Lamp Cost Allocations'!A44</f>
        <v xml:space="preserve">52E </v>
      </c>
      <c r="D56" s="32"/>
      <c r="E56" s="31" t="str">
        <f>'Adjusted Lamp Cost Allocations'!C44</f>
        <v>Sodium Vapor</v>
      </c>
      <c r="F56" s="30" t="str">
        <f>'Adjusted Lamp Cost Allocations'!D44</f>
        <v>SV 400</v>
      </c>
      <c r="G56" s="54">
        <f>'Adjusted Lamp Cost Allocations'!U44</f>
        <v>0</v>
      </c>
      <c r="H56" s="55">
        <f>'Adjusted Lamp Cost Allocations'!X44</f>
        <v>6.2254726681532167E-2</v>
      </c>
      <c r="I56" s="55">
        <f>'Adjusted Lamp Cost Allocations'!Y44</f>
        <v>1.4711465214086807E-2</v>
      </c>
      <c r="J56" s="55">
        <f t="shared" si="27"/>
        <v>7.6966191895618971E-2</v>
      </c>
      <c r="L56" s="56">
        <v>6936</v>
      </c>
      <c r="M56" s="57">
        <f t="shared" si="28"/>
        <v>534</v>
      </c>
      <c r="O56" s="58">
        <f t="shared" si="29"/>
        <v>7.0000000000000007E-2</v>
      </c>
      <c r="P56" s="59">
        <f t="shared" si="30"/>
        <v>0.01</v>
      </c>
      <c r="Q56" s="58">
        <f t="shared" si="31"/>
        <v>0.08</v>
      </c>
      <c r="R56" s="258">
        <f t="shared" si="32"/>
        <v>3.0338081043810305E-3</v>
      </c>
    </row>
    <row r="57" spans="1:18" ht="13.2" customHeight="1" x14ac:dyDescent="0.2">
      <c r="A57" s="251">
        <f t="shared" si="0"/>
        <v>47</v>
      </c>
      <c r="C57" s="32"/>
      <c r="D57" s="32"/>
      <c r="E57" s="31"/>
      <c r="F57" s="30"/>
      <c r="G57" s="54"/>
      <c r="H57" s="55"/>
      <c r="I57" s="55"/>
      <c r="J57" s="55"/>
      <c r="L57" s="56"/>
      <c r="M57" s="57"/>
      <c r="O57" s="58"/>
      <c r="P57" s="59"/>
      <c r="Q57" s="59"/>
      <c r="R57" s="69"/>
    </row>
    <row r="58" spans="1:18" ht="13.2" customHeight="1" x14ac:dyDescent="0.2">
      <c r="A58" s="251">
        <f t="shared" si="0"/>
        <v>48</v>
      </c>
      <c r="C58" s="32" t="str">
        <f>'Adjusted Lamp Cost Allocations'!A46</f>
        <v xml:space="preserve">52E </v>
      </c>
      <c r="D58" s="32"/>
      <c r="E58" s="31" t="str">
        <f>'Adjusted Lamp Cost Allocations'!C46</f>
        <v>Metal Halide</v>
      </c>
      <c r="F58" s="30" t="str">
        <f>'Adjusted Lamp Cost Allocations'!D46</f>
        <v>MH 070</v>
      </c>
      <c r="G58" s="54">
        <f>'Adjusted Lamp Cost Allocations'!U46</f>
        <v>0</v>
      </c>
      <c r="H58" s="55">
        <f>'Adjusted Lamp Cost Allocations'!X46</f>
        <v>1.089457716926813E-2</v>
      </c>
      <c r="I58" s="55">
        <f>'Adjusted Lamp Cost Allocations'!Y46</f>
        <v>2.5745064124651912E-3</v>
      </c>
      <c r="J58" s="55">
        <f t="shared" ref="J58:J64" si="33">SUM(G58:I58)</f>
        <v>1.3469083581733321E-2</v>
      </c>
      <c r="L58" s="56">
        <v>840</v>
      </c>
      <c r="M58" s="57">
        <f t="shared" ref="M58:M64" si="34">ROUND(L58*J58,0)</f>
        <v>11</v>
      </c>
      <c r="O58" s="58">
        <f t="shared" ref="O58:O64" si="35">ROUND(J58-P58,2)</f>
        <v>0.01</v>
      </c>
      <c r="P58" s="59">
        <f t="shared" ref="P58:P64" si="36">ROUND(J58*$P$9,2)</f>
        <v>0</v>
      </c>
      <c r="Q58" s="58">
        <f t="shared" ref="Q58:Q64" si="37">SUM(O58:P58)</f>
        <v>0.01</v>
      </c>
      <c r="R58" s="258">
        <f t="shared" ref="R58:R64" si="38">+Q58-J58</f>
        <v>-3.4690835817333208E-3</v>
      </c>
    </row>
    <row r="59" spans="1:18" ht="13.2" customHeight="1" x14ac:dyDescent="0.2">
      <c r="A59" s="251">
        <f t="shared" si="0"/>
        <v>49</v>
      </c>
      <c r="C59" s="32" t="str">
        <f>'Adjusted Lamp Cost Allocations'!A47</f>
        <v xml:space="preserve">52E </v>
      </c>
      <c r="D59" s="32"/>
      <c r="E59" s="31" t="str">
        <f>'Adjusted Lamp Cost Allocations'!C47</f>
        <v>Metal Halide</v>
      </c>
      <c r="F59" s="30" t="str">
        <f>'Adjusted Lamp Cost Allocations'!D47</f>
        <v>MH 100</v>
      </c>
      <c r="G59" s="54">
        <f>'Adjusted Lamp Cost Allocations'!U47</f>
        <v>0</v>
      </c>
      <c r="H59" s="55">
        <f>'Adjusted Lamp Cost Allocations'!X47</f>
        <v>1.5563681670383042E-2</v>
      </c>
      <c r="I59" s="55">
        <f>'Adjusted Lamp Cost Allocations'!Y47</f>
        <v>3.6778663035217018E-3</v>
      </c>
      <c r="J59" s="55">
        <f t="shared" si="33"/>
        <v>1.9241547973904743E-2</v>
      </c>
      <c r="L59" s="56">
        <v>48</v>
      </c>
      <c r="M59" s="57">
        <f t="shared" si="34"/>
        <v>1</v>
      </c>
      <c r="O59" s="58">
        <f t="shared" si="35"/>
        <v>0.02</v>
      </c>
      <c r="P59" s="59">
        <f t="shared" si="36"/>
        <v>0</v>
      </c>
      <c r="Q59" s="58">
        <f t="shared" si="37"/>
        <v>0.02</v>
      </c>
      <c r="R59" s="258">
        <f t="shared" si="38"/>
        <v>7.5845202609525764E-4</v>
      </c>
    </row>
    <row r="60" spans="1:18" ht="13.2" customHeight="1" x14ac:dyDescent="0.2">
      <c r="A60" s="251">
        <f t="shared" si="0"/>
        <v>50</v>
      </c>
      <c r="C60" s="32" t="str">
        <f>'Adjusted Lamp Cost Allocations'!A48</f>
        <v xml:space="preserve">52E </v>
      </c>
      <c r="D60" s="32"/>
      <c r="E60" s="31" t="str">
        <f>'Adjusted Lamp Cost Allocations'!C48</f>
        <v>Metal Halide</v>
      </c>
      <c r="F60" s="30" t="str">
        <f>'Adjusted Lamp Cost Allocations'!D48</f>
        <v>MH 150</v>
      </c>
      <c r="G60" s="54">
        <f>'Adjusted Lamp Cost Allocations'!U48</f>
        <v>0</v>
      </c>
      <c r="H60" s="55">
        <f>'Adjusted Lamp Cost Allocations'!X48</f>
        <v>2.3345522505574565E-2</v>
      </c>
      <c r="I60" s="55">
        <f>'Adjusted Lamp Cost Allocations'!Y48</f>
        <v>5.5167994552825532E-3</v>
      </c>
      <c r="J60" s="55">
        <f t="shared" si="33"/>
        <v>2.8862321960857119E-2</v>
      </c>
      <c r="L60" s="56">
        <v>2376</v>
      </c>
      <c r="M60" s="57">
        <f t="shared" si="34"/>
        <v>69</v>
      </c>
      <c r="O60" s="58">
        <f t="shared" si="35"/>
        <v>0.03</v>
      </c>
      <c r="P60" s="59">
        <f t="shared" si="36"/>
        <v>0</v>
      </c>
      <c r="Q60" s="58">
        <f t="shared" si="37"/>
        <v>0.03</v>
      </c>
      <c r="R60" s="258">
        <f t="shared" si="38"/>
        <v>1.1376780391428795E-3</v>
      </c>
    </row>
    <row r="61" spans="1:18" ht="13.2" customHeight="1" x14ac:dyDescent="0.2">
      <c r="A61" s="251">
        <f t="shared" si="0"/>
        <v>51</v>
      </c>
      <c r="C61" s="32" t="str">
        <f>'Adjusted Lamp Cost Allocations'!A49</f>
        <v xml:space="preserve">52E </v>
      </c>
      <c r="D61" s="32"/>
      <c r="E61" s="31" t="str">
        <f>'Adjusted Lamp Cost Allocations'!C49</f>
        <v>Metal Halide</v>
      </c>
      <c r="F61" s="30" t="str">
        <f>'Adjusted Lamp Cost Allocations'!D49</f>
        <v>MH 175</v>
      </c>
      <c r="G61" s="54">
        <f>'Adjusted Lamp Cost Allocations'!U49</f>
        <v>0</v>
      </c>
      <c r="H61" s="55">
        <f>'Adjusted Lamp Cost Allocations'!X49</f>
        <v>2.7236442923170321E-2</v>
      </c>
      <c r="I61" s="55">
        <f>'Adjusted Lamp Cost Allocations'!Y49</f>
        <v>6.436266031162978E-3</v>
      </c>
      <c r="J61" s="55">
        <f t="shared" si="33"/>
        <v>3.3672708954333302E-2</v>
      </c>
      <c r="L61" s="56">
        <v>2508</v>
      </c>
      <c r="M61" s="57">
        <f t="shared" si="34"/>
        <v>84</v>
      </c>
      <c r="O61" s="58">
        <f t="shared" si="35"/>
        <v>0.03</v>
      </c>
      <c r="P61" s="59">
        <f t="shared" si="36"/>
        <v>0</v>
      </c>
      <c r="Q61" s="58">
        <f t="shared" si="37"/>
        <v>0.03</v>
      </c>
      <c r="R61" s="258">
        <f t="shared" si="38"/>
        <v>-3.6727089543333036E-3</v>
      </c>
    </row>
    <row r="62" spans="1:18" ht="13.2" customHeight="1" x14ac:dyDescent="0.2">
      <c r="A62" s="251">
        <f t="shared" si="0"/>
        <v>52</v>
      </c>
      <c r="C62" s="32" t="str">
        <f>'Adjusted Lamp Cost Allocations'!A50</f>
        <v xml:space="preserve">52E </v>
      </c>
      <c r="D62" s="32"/>
      <c r="E62" s="31" t="str">
        <f>'Adjusted Lamp Cost Allocations'!C50</f>
        <v>Metal Halide</v>
      </c>
      <c r="F62" s="30" t="str">
        <f>'Adjusted Lamp Cost Allocations'!D50</f>
        <v>MH 250</v>
      </c>
      <c r="G62" s="54">
        <f>'Adjusted Lamp Cost Allocations'!U50</f>
        <v>0</v>
      </c>
      <c r="H62" s="55">
        <f>'Adjusted Lamp Cost Allocations'!X50</f>
        <v>3.8909204175957605E-2</v>
      </c>
      <c r="I62" s="55">
        <f>'Adjusted Lamp Cost Allocations'!Y50</f>
        <v>9.194665758804255E-3</v>
      </c>
      <c r="J62" s="55">
        <f t="shared" si="33"/>
        <v>4.8103869934761859E-2</v>
      </c>
      <c r="L62" s="56">
        <v>432</v>
      </c>
      <c r="M62" s="57">
        <f t="shared" si="34"/>
        <v>21</v>
      </c>
      <c r="O62" s="58">
        <f t="shared" si="35"/>
        <v>0.05</v>
      </c>
      <c r="P62" s="59">
        <f t="shared" si="36"/>
        <v>0</v>
      </c>
      <c r="Q62" s="58">
        <f t="shared" si="37"/>
        <v>0.05</v>
      </c>
      <c r="R62" s="258">
        <f t="shared" si="38"/>
        <v>1.8961300652381441E-3</v>
      </c>
    </row>
    <row r="63" spans="1:18" ht="13.2" customHeight="1" x14ac:dyDescent="0.2">
      <c r="A63" s="251">
        <f t="shared" si="0"/>
        <v>53</v>
      </c>
      <c r="C63" s="32" t="str">
        <f>'Adjusted Lamp Cost Allocations'!A51</f>
        <v xml:space="preserve">52E </v>
      </c>
      <c r="D63" s="32"/>
      <c r="E63" s="31" t="str">
        <f>'Adjusted Lamp Cost Allocations'!C51</f>
        <v>Metal Halide</v>
      </c>
      <c r="F63" s="30" t="str">
        <f>'Adjusted Lamp Cost Allocations'!D51</f>
        <v>MH 400</v>
      </c>
      <c r="G63" s="54">
        <f>'Adjusted Lamp Cost Allocations'!U51</f>
        <v>0</v>
      </c>
      <c r="H63" s="55">
        <f>'Adjusted Lamp Cost Allocations'!X51</f>
        <v>6.2254726681532167E-2</v>
      </c>
      <c r="I63" s="55">
        <f>'Adjusted Lamp Cost Allocations'!Y51</f>
        <v>1.4711465214086807E-2</v>
      </c>
      <c r="J63" s="55">
        <f t="shared" si="33"/>
        <v>7.6966191895618971E-2</v>
      </c>
      <c r="L63" s="56">
        <v>684</v>
      </c>
      <c r="M63" s="57">
        <f t="shared" si="34"/>
        <v>53</v>
      </c>
      <c r="O63" s="58">
        <f t="shared" si="35"/>
        <v>7.0000000000000007E-2</v>
      </c>
      <c r="P63" s="59">
        <f t="shared" si="36"/>
        <v>0.01</v>
      </c>
      <c r="Q63" s="58">
        <f t="shared" si="37"/>
        <v>0.08</v>
      </c>
      <c r="R63" s="258">
        <f t="shared" si="38"/>
        <v>3.0338081043810305E-3</v>
      </c>
    </row>
    <row r="64" spans="1:18" ht="13.2" customHeight="1" x14ac:dyDescent="0.2">
      <c r="A64" s="251">
        <f t="shared" si="0"/>
        <v>54</v>
      </c>
      <c r="C64" s="32" t="str">
        <f>'Adjusted Lamp Cost Allocations'!A52</f>
        <v xml:space="preserve">52E </v>
      </c>
      <c r="D64" s="32"/>
      <c r="E64" s="31" t="str">
        <f>'Adjusted Lamp Cost Allocations'!C52</f>
        <v>Metal Halide</v>
      </c>
      <c r="F64" s="30" t="str">
        <f>'Adjusted Lamp Cost Allocations'!D52</f>
        <v>MH 1000</v>
      </c>
      <c r="G64" s="54">
        <f>'Adjusted Lamp Cost Allocations'!U52</f>
        <v>0</v>
      </c>
      <c r="H64" s="55">
        <f>'Adjusted Lamp Cost Allocations'!X52</f>
        <v>0.15563681670383042</v>
      </c>
      <c r="I64" s="55">
        <f>'Adjusted Lamp Cost Allocations'!Y52</f>
        <v>3.677866303521702E-2</v>
      </c>
      <c r="J64" s="55">
        <f t="shared" si="33"/>
        <v>0.19241547973904743</v>
      </c>
      <c r="L64" s="56">
        <v>216</v>
      </c>
      <c r="M64" s="57">
        <f t="shared" si="34"/>
        <v>42</v>
      </c>
      <c r="O64" s="58">
        <f t="shared" si="35"/>
        <v>0.18</v>
      </c>
      <c r="P64" s="59">
        <f t="shared" si="36"/>
        <v>0.01</v>
      </c>
      <c r="Q64" s="58">
        <f t="shared" si="37"/>
        <v>0.19</v>
      </c>
      <c r="R64" s="258">
        <f t="shared" si="38"/>
        <v>-2.4154797390474325E-3</v>
      </c>
    </row>
    <row r="65" spans="1:18" ht="13.2" customHeight="1" x14ac:dyDescent="0.2">
      <c r="A65" s="251">
        <f t="shared" si="0"/>
        <v>55</v>
      </c>
      <c r="B65" s="32" t="str">
        <f>'Adjusted Lamp Cost Allocations'!A53</f>
        <v>Sch 53E</v>
      </c>
      <c r="C65" s="48"/>
      <c r="D65" s="48"/>
      <c r="E65" s="31"/>
      <c r="F65" s="30"/>
      <c r="G65" s="54"/>
      <c r="H65" s="55"/>
      <c r="I65" s="55"/>
      <c r="J65" s="55"/>
      <c r="L65" s="56"/>
      <c r="M65" s="57"/>
      <c r="O65" s="58"/>
      <c r="P65" s="59"/>
      <c r="Q65" s="59"/>
      <c r="R65" s="69"/>
    </row>
    <row r="66" spans="1:18" ht="13.2" customHeight="1" x14ac:dyDescent="0.2">
      <c r="A66" s="251">
        <f t="shared" si="0"/>
        <v>56</v>
      </c>
      <c r="C66" s="32" t="str">
        <f>'Adjusted Lamp Cost Allocations'!A54</f>
        <v>53E - Company Owned</v>
      </c>
      <c r="D66" s="32"/>
      <c r="E66" s="31" t="str">
        <f>'Adjusted Lamp Cost Allocations'!C54</f>
        <v>Sodium Vapor</v>
      </c>
      <c r="F66" s="30" t="str">
        <f>'Adjusted Lamp Cost Allocations'!D54</f>
        <v>SV 050</v>
      </c>
      <c r="G66" s="54">
        <f>'Adjusted Lamp Cost Allocations'!U54</f>
        <v>0.52165781352311846</v>
      </c>
      <c r="H66" s="55">
        <f>'Adjusted Lamp Cost Allocations'!X54</f>
        <v>7.7818408351915209E-3</v>
      </c>
      <c r="I66" s="55">
        <f>'Adjusted Lamp Cost Allocations'!Y54</f>
        <v>1.8389331517608509E-3</v>
      </c>
      <c r="J66" s="55">
        <f t="shared" ref="J66:J74" si="39">SUM(G66:I66)</f>
        <v>0.53127858751007084</v>
      </c>
      <c r="L66" s="56">
        <v>0</v>
      </c>
      <c r="M66" s="57">
        <f t="shared" ref="M66:M74" si="40">ROUND(L66*J66,0)</f>
        <v>0</v>
      </c>
      <c r="O66" s="58">
        <f t="shared" ref="O66:O74" si="41">ROUND(J66-P66,2)</f>
        <v>0.49</v>
      </c>
      <c r="P66" s="59">
        <f t="shared" ref="P66:P74" si="42">ROUND(J66*$P$9,2)</f>
        <v>0.04</v>
      </c>
      <c r="Q66" s="58">
        <f t="shared" ref="Q66:Q74" si="43">SUM(O66:P66)</f>
        <v>0.53</v>
      </c>
      <c r="R66" s="258">
        <f t="shared" ref="R66:R74" si="44">+Q66-J66</f>
        <v>-1.2785875100708166E-3</v>
      </c>
    </row>
    <row r="67" spans="1:18" ht="13.2" customHeight="1" x14ac:dyDescent="0.2">
      <c r="A67" s="251">
        <f t="shared" si="0"/>
        <v>57</v>
      </c>
      <c r="C67" s="32" t="str">
        <f>'Adjusted Lamp Cost Allocations'!A55</f>
        <v>53E - Company Owned</v>
      </c>
      <c r="D67" s="32"/>
      <c r="E67" s="31" t="str">
        <f>'Adjusted Lamp Cost Allocations'!C55</f>
        <v>Sodium Vapor</v>
      </c>
      <c r="F67" s="30" t="str">
        <f>'Adjusted Lamp Cost Allocations'!D55</f>
        <v>SV 070</v>
      </c>
      <c r="G67" s="54">
        <f>'Adjusted Lamp Cost Allocations'!U55</f>
        <v>0.55932264979786639</v>
      </c>
      <c r="H67" s="55">
        <f>'Adjusted Lamp Cost Allocations'!X55</f>
        <v>1.089457716926813E-2</v>
      </c>
      <c r="I67" s="55">
        <f>'Adjusted Lamp Cost Allocations'!Y55</f>
        <v>2.5745064124651912E-3</v>
      </c>
      <c r="J67" s="55">
        <f t="shared" si="39"/>
        <v>0.57279173337959965</v>
      </c>
      <c r="L67" s="56">
        <v>38940</v>
      </c>
      <c r="M67" s="57">
        <f t="shared" si="40"/>
        <v>22305</v>
      </c>
      <c r="O67" s="58">
        <f t="shared" si="41"/>
        <v>0.53</v>
      </c>
      <c r="P67" s="59">
        <f t="shared" si="42"/>
        <v>0.04</v>
      </c>
      <c r="Q67" s="58">
        <f t="shared" si="43"/>
        <v>0.57000000000000006</v>
      </c>
      <c r="R67" s="258">
        <f t="shared" si="44"/>
        <v>-2.7917333795995924E-3</v>
      </c>
    </row>
    <row r="68" spans="1:18" ht="13.2" customHeight="1" x14ac:dyDescent="0.2">
      <c r="A68" s="251">
        <f t="shared" si="0"/>
        <v>58</v>
      </c>
      <c r="C68" s="32" t="str">
        <f>'Adjusted Lamp Cost Allocations'!A56</f>
        <v>53E - Company Owned</v>
      </c>
      <c r="D68" s="32"/>
      <c r="E68" s="31" t="str">
        <f>'Adjusted Lamp Cost Allocations'!C56</f>
        <v>Sodium Vapor</v>
      </c>
      <c r="F68" s="30" t="str">
        <f>'Adjusted Lamp Cost Allocations'!D56</f>
        <v>SV 100</v>
      </c>
      <c r="G68" s="54">
        <f>'Adjusted Lamp Cost Allocations'!U56</f>
        <v>0.52702336326203669</v>
      </c>
      <c r="H68" s="55">
        <f>'Adjusted Lamp Cost Allocations'!X56</f>
        <v>1.5563681670383042E-2</v>
      </c>
      <c r="I68" s="55">
        <f>'Adjusted Lamp Cost Allocations'!Y56</f>
        <v>3.6778663035217018E-3</v>
      </c>
      <c r="J68" s="55">
        <f t="shared" si="39"/>
        <v>0.54626491123594145</v>
      </c>
      <c r="L68" s="56">
        <v>317784</v>
      </c>
      <c r="M68" s="57">
        <f t="shared" si="40"/>
        <v>173594</v>
      </c>
      <c r="O68" s="58">
        <f t="shared" si="41"/>
        <v>0.51</v>
      </c>
      <c r="P68" s="59">
        <f t="shared" si="42"/>
        <v>0.04</v>
      </c>
      <c r="Q68" s="58">
        <f t="shared" si="43"/>
        <v>0.55000000000000004</v>
      </c>
      <c r="R68" s="258">
        <f t="shared" si="44"/>
        <v>3.7350887640585917E-3</v>
      </c>
    </row>
    <row r="69" spans="1:18" ht="13.2" customHeight="1" x14ac:dyDescent="0.2">
      <c r="A69" s="251">
        <f t="shared" ref="A69:A123" si="45">A68+1</f>
        <v>59</v>
      </c>
      <c r="C69" s="32" t="str">
        <f>'Adjusted Lamp Cost Allocations'!A57</f>
        <v>53E - Company Owned</v>
      </c>
      <c r="D69" s="32"/>
      <c r="E69" s="31" t="str">
        <f>'Adjusted Lamp Cost Allocations'!C57</f>
        <v>Sodium Vapor</v>
      </c>
      <c r="F69" s="30" t="str">
        <f>'Adjusted Lamp Cost Allocations'!D57</f>
        <v>SV 150</v>
      </c>
      <c r="G69" s="54">
        <f>'Adjusted Lamp Cost Allocations'!U57</f>
        <v>0.52792860542042885</v>
      </c>
      <c r="H69" s="55">
        <f>'Adjusted Lamp Cost Allocations'!X57</f>
        <v>2.3345522505574565E-2</v>
      </c>
      <c r="I69" s="55">
        <f>'Adjusted Lamp Cost Allocations'!Y57</f>
        <v>5.5167994552825532E-3</v>
      </c>
      <c r="J69" s="55">
        <f t="shared" si="39"/>
        <v>0.55679092738128599</v>
      </c>
      <c r="L69" s="56">
        <v>37176</v>
      </c>
      <c r="M69" s="57">
        <f t="shared" si="40"/>
        <v>20699</v>
      </c>
      <c r="O69" s="58">
        <f t="shared" si="41"/>
        <v>0.52</v>
      </c>
      <c r="P69" s="59">
        <f t="shared" si="42"/>
        <v>0.04</v>
      </c>
      <c r="Q69" s="58">
        <f t="shared" si="43"/>
        <v>0.56000000000000005</v>
      </c>
      <c r="R69" s="258">
        <f t="shared" si="44"/>
        <v>3.2090726187140595E-3</v>
      </c>
    </row>
    <row r="70" spans="1:18" ht="13.2" customHeight="1" x14ac:dyDescent="0.2">
      <c r="A70" s="251">
        <f t="shared" si="45"/>
        <v>60</v>
      </c>
      <c r="B70" s="48"/>
      <c r="C70" s="32" t="str">
        <f>'Adjusted Lamp Cost Allocations'!A58</f>
        <v>53E - Company Owned</v>
      </c>
      <c r="D70" s="32"/>
      <c r="E70" s="31" t="str">
        <f>'Adjusted Lamp Cost Allocations'!C58</f>
        <v>Sodium Vapor</v>
      </c>
      <c r="F70" s="30" t="str">
        <f>'Adjusted Lamp Cost Allocations'!D58</f>
        <v>SV 200</v>
      </c>
      <c r="G70" s="54">
        <f>'Adjusted Lamp Cost Allocations'!U58</f>
        <v>0.55845435629900042</v>
      </c>
      <c r="H70" s="55">
        <f>'Adjusted Lamp Cost Allocations'!X58</f>
        <v>3.1127363340766084E-2</v>
      </c>
      <c r="I70" s="55">
        <f>'Adjusted Lamp Cost Allocations'!Y58</f>
        <v>7.3557326070434036E-3</v>
      </c>
      <c r="J70" s="55">
        <f t="shared" si="39"/>
        <v>0.59693745224680983</v>
      </c>
      <c r="L70" s="56">
        <v>47988</v>
      </c>
      <c r="M70" s="57">
        <f t="shared" si="40"/>
        <v>28646</v>
      </c>
      <c r="O70" s="58">
        <f t="shared" si="41"/>
        <v>0.56000000000000005</v>
      </c>
      <c r="P70" s="59">
        <f t="shared" si="42"/>
        <v>0.04</v>
      </c>
      <c r="Q70" s="58">
        <f t="shared" si="43"/>
        <v>0.60000000000000009</v>
      </c>
      <c r="R70" s="258">
        <f t="shared" si="44"/>
        <v>3.062547753190259E-3</v>
      </c>
    </row>
    <row r="71" spans="1:18" ht="13.2" customHeight="1" x14ac:dyDescent="0.2">
      <c r="A71" s="251">
        <f t="shared" si="45"/>
        <v>61</v>
      </c>
      <c r="C71" s="32" t="str">
        <f>'Adjusted Lamp Cost Allocations'!A59</f>
        <v>53E - Company Owned</v>
      </c>
      <c r="D71" s="32"/>
      <c r="E71" s="31" t="str">
        <f>'Adjusted Lamp Cost Allocations'!C59</f>
        <v>Sodium Vapor</v>
      </c>
      <c r="F71" s="30" t="str">
        <f>'Adjusted Lamp Cost Allocations'!D59</f>
        <v>SV 250</v>
      </c>
      <c r="G71" s="54">
        <f>'Adjusted Lamp Cost Allocations'!U59</f>
        <v>0.56838738760163032</v>
      </c>
      <c r="H71" s="55">
        <f>'Adjusted Lamp Cost Allocations'!X59</f>
        <v>3.8909204175957605E-2</v>
      </c>
      <c r="I71" s="55">
        <f>'Adjusted Lamp Cost Allocations'!Y59</f>
        <v>9.194665758804255E-3</v>
      </c>
      <c r="J71" s="55">
        <f t="shared" si="39"/>
        <v>0.61649125753639211</v>
      </c>
      <c r="L71" s="56">
        <v>17184</v>
      </c>
      <c r="M71" s="57">
        <f t="shared" si="40"/>
        <v>10594</v>
      </c>
      <c r="O71" s="58">
        <f t="shared" si="41"/>
        <v>0.57999999999999996</v>
      </c>
      <c r="P71" s="59">
        <f t="shared" si="42"/>
        <v>0.04</v>
      </c>
      <c r="Q71" s="58">
        <f t="shared" si="43"/>
        <v>0.62</v>
      </c>
      <c r="R71" s="258">
        <f t="shared" si="44"/>
        <v>3.5087424636078834E-3</v>
      </c>
    </row>
    <row r="72" spans="1:18" ht="13.2" customHeight="1" x14ac:dyDescent="0.2">
      <c r="A72" s="251">
        <f t="shared" si="45"/>
        <v>62</v>
      </c>
      <c r="C72" s="32" t="str">
        <f>'Adjusted Lamp Cost Allocations'!A60</f>
        <v>53E - Company Owned</v>
      </c>
      <c r="D72" s="32"/>
      <c r="E72" s="31" t="str">
        <f>'Adjusted Lamp Cost Allocations'!C60</f>
        <v>Sodium Vapor</v>
      </c>
      <c r="F72" s="30" t="str">
        <f>'Adjusted Lamp Cost Allocations'!D60</f>
        <v>SV 310</v>
      </c>
      <c r="G72" s="54">
        <f>'Adjusted Lamp Cost Allocations'!U60</f>
        <v>0.59128324028803925</v>
      </c>
      <c r="H72" s="55">
        <f>'Adjusted Lamp Cost Allocations'!X60</f>
        <v>4.8247413178187426E-2</v>
      </c>
      <c r="I72" s="55">
        <f>'Adjusted Lamp Cost Allocations'!Y60</f>
        <v>1.1401385540917276E-2</v>
      </c>
      <c r="J72" s="55">
        <f t="shared" si="39"/>
        <v>0.65093203900714391</v>
      </c>
      <c r="L72" s="56">
        <v>180</v>
      </c>
      <c r="M72" s="57">
        <f t="shared" si="40"/>
        <v>117</v>
      </c>
      <c r="O72" s="58">
        <f t="shared" si="41"/>
        <v>0.6</v>
      </c>
      <c r="P72" s="59">
        <f t="shared" si="42"/>
        <v>0.05</v>
      </c>
      <c r="Q72" s="58">
        <f t="shared" si="43"/>
        <v>0.65</v>
      </c>
      <c r="R72" s="258">
        <f t="shared" si="44"/>
        <v>-9.3203900714389221E-4</v>
      </c>
    </row>
    <row r="73" spans="1:18" ht="13.2" customHeight="1" x14ac:dyDescent="0.2">
      <c r="A73" s="251">
        <f t="shared" si="45"/>
        <v>63</v>
      </c>
      <c r="C73" s="32" t="str">
        <f>'Adjusted Lamp Cost Allocations'!A61</f>
        <v>53E - Company Owned</v>
      </c>
      <c r="D73" s="32"/>
      <c r="E73" s="31" t="str">
        <f>'Adjusted Lamp Cost Allocations'!C61</f>
        <v>Sodium Vapor</v>
      </c>
      <c r="F73" s="30" t="str">
        <f>'Adjusted Lamp Cost Allocations'!D61</f>
        <v>SV 400</v>
      </c>
      <c r="G73" s="54">
        <f>'Adjusted Lamp Cost Allocations'!U61</f>
        <v>0.63422989887733894</v>
      </c>
      <c r="H73" s="55">
        <f>'Adjusted Lamp Cost Allocations'!X61</f>
        <v>6.2254726681532167E-2</v>
      </c>
      <c r="I73" s="55">
        <f>'Adjusted Lamp Cost Allocations'!Y61</f>
        <v>1.4711465214086807E-2</v>
      </c>
      <c r="J73" s="55">
        <f t="shared" si="39"/>
        <v>0.71119609077295798</v>
      </c>
      <c r="L73" s="56">
        <v>7788</v>
      </c>
      <c r="M73" s="57">
        <f t="shared" si="40"/>
        <v>5539</v>
      </c>
      <c r="O73" s="58">
        <f t="shared" si="41"/>
        <v>0.66</v>
      </c>
      <c r="P73" s="59">
        <f t="shared" si="42"/>
        <v>0.05</v>
      </c>
      <c r="Q73" s="58">
        <f t="shared" si="43"/>
        <v>0.71000000000000008</v>
      </c>
      <c r="R73" s="258">
        <f t="shared" si="44"/>
        <v>-1.1960907729579029E-3</v>
      </c>
    </row>
    <row r="74" spans="1:18" ht="13.2" customHeight="1" x14ac:dyDescent="0.2">
      <c r="A74" s="251">
        <f t="shared" si="45"/>
        <v>64</v>
      </c>
      <c r="C74" s="32" t="str">
        <f>'Adjusted Lamp Cost Allocations'!A62</f>
        <v>53E - Company Owned</v>
      </c>
      <c r="D74" s="32"/>
      <c r="E74" s="31" t="str">
        <f>'Adjusted Lamp Cost Allocations'!C62</f>
        <v>Sodium Vapor</v>
      </c>
      <c r="F74" s="30" t="str">
        <f>'Adjusted Lamp Cost Allocations'!D62</f>
        <v>SV 1000</v>
      </c>
      <c r="G74" s="54">
        <f>'Adjusted Lamp Cost Allocations'!U62</f>
        <v>0.78650167771806201</v>
      </c>
      <c r="H74" s="55">
        <f>'Adjusted Lamp Cost Allocations'!X62</f>
        <v>0.15563681670383042</v>
      </c>
      <c r="I74" s="55">
        <f>'Adjusted Lamp Cost Allocations'!Y62</f>
        <v>3.677866303521702E-2</v>
      </c>
      <c r="J74" s="55">
        <f t="shared" si="39"/>
        <v>0.9789171574571095</v>
      </c>
      <c r="L74" s="56">
        <v>0</v>
      </c>
      <c r="M74" s="57">
        <f t="shared" si="40"/>
        <v>0</v>
      </c>
      <c r="O74" s="58">
        <f t="shared" si="41"/>
        <v>0.91</v>
      </c>
      <c r="P74" s="59">
        <f t="shared" si="42"/>
        <v>7.0000000000000007E-2</v>
      </c>
      <c r="Q74" s="58">
        <f t="shared" si="43"/>
        <v>0.98</v>
      </c>
      <c r="R74" s="258">
        <f t="shared" si="44"/>
        <v>1.0828425428904831E-3</v>
      </c>
    </row>
    <row r="75" spans="1:18" ht="13.2" customHeight="1" x14ac:dyDescent="0.2">
      <c r="A75" s="251">
        <f t="shared" si="45"/>
        <v>65</v>
      </c>
      <c r="C75" s="32"/>
      <c r="D75" s="32"/>
      <c r="E75" s="31"/>
      <c r="F75" s="30"/>
      <c r="G75" s="54"/>
      <c r="H75" s="55"/>
      <c r="I75" s="55"/>
      <c r="J75" s="55"/>
      <c r="L75" s="56"/>
      <c r="M75" s="57"/>
      <c r="O75" s="58"/>
      <c r="P75" s="59"/>
      <c r="Q75" s="59"/>
      <c r="R75" s="69"/>
    </row>
    <row r="76" spans="1:18" ht="13.2" customHeight="1" x14ac:dyDescent="0.2">
      <c r="A76" s="251">
        <f t="shared" si="45"/>
        <v>66</v>
      </c>
      <c r="C76" s="32" t="str">
        <f>'Adjusted Lamp Cost Allocations'!A64</f>
        <v>53E - Company Owned</v>
      </c>
      <c r="D76" s="32"/>
      <c r="E76" s="31" t="str">
        <f>'Adjusted Lamp Cost Allocations'!C64</f>
        <v>Metal Halide</v>
      </c>
      <c r="F76" s="30" t="str">
        <f>'Adjusted Lamp Cost Allocations'!D64</f>
        <v>MH 070</v>
      </c>
      <c r="G76" s="54">
        <f>'Adjusted Lamp Cost Allocations'!U64</f>
        <v>0.49519789929813118</v>
      </c>
      <c r="H76" s="55">
        <f>'Adjusted Lamp Cost Allocations'!X64</f>
        <v>1.089457716926813E-2</v>
      </c>
      <c r="I76" s="55">
        <f>'Adjusted Lamp Cost Allocations'!Y64</f>
        <v>2.5745064124651912E-3</v>
      </c>
      <c r="J76" s="55">
        <f t="shared" ref="J76:J80" si="46">SUM(G76:I76)</f>
        <v>0.50866698287986445</v>
      </c>
      <c r="L76" s="56">
        <v>0</v>
      </c>
      <c r="M76" s="57">
        <f>ROUND(L76*J76,0)</f>
        <v>0</v>
      </c>
      <c r="O76" s="58">
        <f t="shared" ref="O76:O80" si="47">ROUND(J76-P76,2)</f>
        <v>0.47</v>
      </c>
      <c r="P76" s="59">
        <f t="shared" ref="P76:P80" si="48">ROUND(J76*$P$9,2)</f>
        <v>0.04</v>
      </c>
      <c r="Q76" s="58">
        <f t="shared" ref="Q76:Q80" si="49">SUM(O76:P76)</f>
        <v>0.51</v>
      </c>
      <c r="R76" s="258">
        <f t="shared" ref="R76:R80" si="50">+Q76-J76</f>
        <v>1.3330171201355601E-3</v>
      </c>
    </row>
    <row r="77" spans="1:18" ht="13.2" customHeight="1" x14ac:dyDescent="0.2">
      <c r="A77" s="251">
        <f t="shared" si="45"/>
        <v>67</v>
      </c>
      <c r="C77" s="32" t="str">
        <f>'Adjusted Lamp Cost Allocations'!A65</f>
        <v>53E - Company Owned</v>
      </c>
      <c r="D77" s="32"/>
      <c r="E77" s="31" t="str">
        <f>'Adjusted Lamp Cost Allocations'!C65</f>
        <v>Metal Halide</v>
      </c>
      <c r="F77" s="30" t="str">
        <f>'Adjusted Lamp Cost Allocations'!D65</f>
        <v>MH 100</v>
      </c>
      <c r="G77" s="54">
        <f>'Adjusted Lamp Cost Allocations'!U65</f>
        <v>0.50365993408662346</v>
      </c>
      <c r="H77" s="55">
        <f>'Adjusted Lamp Cost Allocations'!X65</f>
        <v>1.5563681670383042E-2</v>
      </c>
      <c r="I77" s="55">
        <f>'Adjusted Lamp Cost Allocations'!Y65</f>
        <v>3.6778663035217018E-3</v>
      </c>
      <c r="J77" s="55">
        <f t="shared" si="46"/>
        <v>0.52290148206052822</v>
      </c>
      <c r="L77" s="56">
        <v>0</v>
      </c>
      <c r="M77" s="57">
        <f t="shared" ref="M77:M80" si="51">ROUND(L77*J77,0)</f>
        <v>0</v>
      </c>
      <c r="O77" s="58">
        <f t="shared" si="47"/>
        <v>0.48</v>
      </c>
      <c r="P77" s="59">
        <f t="shared" si="48"/>
        <v>0.04</v>
      </c>
      <c r="Q77" s="58">
        <f t="shared" si="49"/>
        <v>0.52</v>
      </c>
      <c r="R77" s="258">
        <f t="shared" si="50"/>
        <v>-2.9014820605282043E-3</v>
      </c>
    </row>
    <row r="78" spans="1:18" ht="13.2" customHeight="1" x14ac:dyDescent="0.2">
      <c r="A78" s="251">
        <f t="shared" si="45"/>
        <v>68</v>
      </c>
      <c r="C78" s="32" t="str">
        <f>'Adjusted Lamp Cost Allocations'!A66</f>
        <v>53E - Company Owned</v>
      </c>
      <c r="D78" s="32"/>
      <c r="E78" s="31" t="str">
        <f>'Adjusted Lamp Cost Allocations'!C66</f>
        <v>Metal Halide</v>
      </c>
      <c r="F78" s="30" t="str">
        <f>'Adjusted Lamp Cost Allocations'!D66</f>
        <v>MH 150</v>
      </c>
      <c r="G78" s="54">
        <f>'Adjusted Lamp Cost Allocations'!U66</f>
        <v>0.51776332540077719</v>
      </c>
      <c r="H78" s="55">
        <f>'Adjusted Lamp Cost Allocations'!X66</f>
        <v>2.3345522505574565E-2</v>
      </c>
      <c r="I78" s="55">
        <f>'Adjusted Lamp Cost Allocations'!Y66</f>
        <v>5.5167994552825532E-3</v>
      </c>
      <c r="J78" s="55">
        <f t="shared" si="46"/>
        <v>0.54662564736163433</v>
      </c>
      <c r="L78" s="56">
        <v>0</v>
      </c>
      <c r="M78" s="57">
        <f t="shared" si="51"/>
        <v>0</v>
      </c>
      <c r="O78" s="58">
        <f t="shared" si="47"/>
        <v>0.51</v>
      </c>
      <c r="P78" s="59">
        <f t="shared" si="48"/>
        <v>0.04</v>
      </c>
      <c r="Q78" s="58">
        <f t="shared" si="49"/>
        <v>0.55000000000000004</v>
      </c>
      <c r="R78" s="258">
        <f t="shared" si="50"/>
        <v>3.3743526383657185E-3</v>
      </c>
    </row>
    <row r="79" spans="1:18" ht="13.2" customHeight="1" x14ac:dyDescent="0.2">
      <c r="A79" s="251">
        <f t="shared" si="45"/>
        <v>69</v>
      </c>
      <c r="C79" s="32" t="str">
        <f>'Adjusted Lamp Cost Allocations'!A67</f>
        <v>53E - Company Owned</v>
      </c>
      <c r="D79" s="32"/>
      <c r="E79" s="31" t="str">
        <f>'Adjusted Lamp Cost Allocations'!C67</f>
        <v>Metal Halide</v>
      </c>
      <c r="F79" s="30" t="str">
        <f>'Adjusted Lamp Cost Allocations'!D67</f>
        <v>MH 250</v>
      </c>
      <c r="G79" s="54">
        <f>'Adjusted Lamp Cost Allocations'!U67</f>
        <v>0.56373185650132762</v>
      </c>
      <c r="H79" s="55">
        <f>'Adjusted Lamp Cost Allocations'!X67</f>
        <v>3.8909204175957605E-2</v>
      </c>
      <c r="I79" s="55">
        <f>'Adjusted Lamp Cost Allocations'!Y67</f>
        <v>9.194665758804255E-3</v>
      </c>
      <c r="J79" s="55">
        <f t="shared" si="46"/>
        <v>0.61183572643608941</v>
      </c>
      <c r="L79" s="56">
        <v>0</v>
      </c>
      <c r="M79" s="57">
        <f t="shared" si="51"/>
        <v>0</v>
      </c>
      <c r="O79" s="58">
        <f t="shared" si="47"/>
        <v>0.56999999999999995</v>
      </c>
      <c r="P79" s="59">
        <f t="shared" si="48"/>
        <v>0.04</v>
      </c>
      <c r="Q79" s="58">
        <f t="shared" si="49"/>
        <v>0.61</v>
      </c>
      <c r="R79" s="258">
        <f t="shared" si="50"/>
        <v>-1.8357264360894243E-3</v>
      </c>
    </row>
    <row r="80" spans="1:18" ht="13.2" customHeight="1" x14ac:dyDescent="0.2">
      <c r="A80" s="251">
        <f t="shared" si="45"/>
        <v>70</v>
      </c>
      <c r="C80" s="32" t="str">
        <f>'Adjusted Lamp Cost Allocations'!A68</f>
        <v>53E - Company Owned</v>
      </c>
      <c r="D80" s="32"/>
      <c r="E80" s="31" t="str">
        <f>'Adjusted Lamp Cost Allocations'!C68</f>
        <v>Metal Halide</v>
      </c>
      <c r="F80" s="30" t="str">
        <f>'Adjusted Lamp Cost Allocations'!D68</f>
        <v>MH 400</v>
      </c>
      <c r="G80" s="54">
        <f>'Adjusted Lamp Cost Allocations'!U68</f>
        <v>0.56607809638124207</v>
      </c>
      <c r="H80" s="55">
        <f>'Adjusted Lamp Cost Allocations'!X68</f>
        <v>6.2254726681532167E-2</v>
      </c>
      <c r="I80" s="55">
        <f>'Adjusted Lamp Cost Allocations'!Y68</f>
        <v>1.4711465214086807E-2</v>
      </c>
      <c r="J80" s="55">
        <f t="shared" si="46"/>
        <v>0.64304428827686111</v>
      </c>
      <c r="L80" s="56">
        <v>0</v>
      </c>
      <c r="M80" s="57">
        <f t="shared" si="51"/>
        <v>0</v>
      </c>
      <c r="O80" s="58">
        <f t="shared" si="47"/>
        <v>0.59</v>
      </c>
      <c r="P80" s="59">
        <f t="shared" si="48"/>
        <v>0.05</v>
      </c>
      <c r="Q80" s="58">
        <f t="shared" si="49"/>
        <v>0.64</v>
      </c>
      <c r="R80" s="258">
        <f t="shared" si="50"/>
        <v>-3.0442882768610957E-3</v>
      </c>
    </row>
    <row r="81" spans="1:18" ht="13.2" customHeight="1" x14ac:dyDescent="0.2">
      <c r="A81" s="251">
        <f t="shared" si="45"/>
        <v>71</v>
      </c>
      <c r="C81" s="32"/>
      <c r="D81" s="32"/>
      <c r="E81" s="31"/>
      <c r="F81" s="30"/>
      <c r="G81" s="54"/>
      <c r="H81" s="55"/>
      <c r="I81" s="55"/>
      <c r="J81" s="55"/>
      <c r="L81" s="56"/>
      <c r="M81" s="57"/>
      <c r="O81" s="58"/>
      <c r="P81" s="59"/>
      <c r="Q81" s="59"/>
      <c r="R81" s="69"/>
    </row>
    <row r="82" spans="1:18" ht="13.2" customHeight="1" x14ac:dyDescent="0.2">
      <c r="A82" s="251">
        <f t="shared" si="45"/>
        <v>72</v>
      </c>
      <c r="C82" s="32" t="str">
        <f>'Adjusted Lamp Cost Allocations'!A70</f>
        <v>53E - Company Owned</v>
      </c>
      <c r="D82" s="32"/>
      <c r="E82" s="31" t="str">
        <f>'Adjusted Lamp Cost Allocations'!C70</f>
        <v>Light Emitting Diode</v>
      </c>
      <c r="F82" s="30" t="str">
        <f>'Adjusted Lamp Cost Allocations'!D70</f>
        <v>LED 0-030</v>
      </c>
      <c r="G82" s="54">
        <f>'Adjusted Lamp Cost Allocations'!U70</f>
        <v>0.53908875370507325</v>
      </c>
      <c r="H82" s="55">
        <f>'Adjusted Lamp Cost Allocations'!X70</f>
        <v>2.3345522505574564E-3</v>
      </c>
      <c r="I82" s="55">
        <f>'Adjusted Lamp Cost Allocations'!Y70</f>
        <v>5.5167994552825532E-4</v>
      </c>
      <c r="J82" s="55">
        <f t="shared" ref="J82:J90" si="52">SUM(G82:I82)</f>
        <v>0.541974985901159</v>
      </c>
      <c r="L82" s="56">
        <v>0</v>
      </c>
      <c r="M82" s="57">
        <f t="shared" ref="M82:M91" si="53">ROUND(L82*J82,0)</f>
        <v>0</v>
      </c>
      <c r="O82" s="58">
        <f t="shared" ref="O82:O91" si="54">ROUND(J82-P82,2)</f>
        <v>0.5</v>
      </c>
      <c r="P82" s="59">
        <f t="shared" ref="P82:P91" si="55">ROUND(J82*$P$9,2)</f>
        <v>0.04</v>
      </c>
      <c r="Q82" s="58">
        <f t="shared" ref="Q82:Q91" si="56">SUM(O82:P82)</f>
        <v>0.54</v>
      </c>
      <c r="R82" s="258">
        <f t="shared" ref="R82:R91" si="57">+Q82-J82</f>
        <v>-1.9749859011589654E-3</v>
      </c>
    </row>
    <row r="83" spans="1:18" ht="13.2" customHeight="1" x14ac:dyDescent="0.2">
      <c r="A83" s="251">
        <f t="shared" si="45"/>
        <v>73</v>
      </c>
      <c r="C83" s="32" t="str">
        <f>'Adjusted Lamp Cost Allocations'!A71</f>
        <v>53E - Company Owned</v>
      </c>
      <c r="D83" s="32"/>
      <c r="E83" s="31" t="str">
        <f>'Adjusted Lamp Cost Allocations'!C71</f>
        <v>Light Emitting Diode</v>
      </c>
      <c r="F83" s="30" t="str">
        <f>'Adjusted Lamp Cost Allocations'!D71</f>
        <v>LED 030.01-060</v>
      </c>
      <c r="G83" s="54">
        <f>'Adjusted Lamp Cost Allocations'!U71</f>
        <v>0.53603500226638467</v>
      </c>
      <c r="H83" s="55">
        <f>'Adjusted Lamp Cost Allocations'!X71</f>
        <v>7.0036567516723689E-3</v>
      </c>
      <c r="I83" s="55">
        <f>'Adjusted Lamp Cost Allocations'!Y71</f>
        <v>1.6550398365847659E-3</v>
      </c>
      <c r="J83" s="55">
        <f t="shared" si="52"/>
        <v>0.54469369885464181</v>
      </c>
      <c r="L83" s="56">
        <v>274920</v>
      </c>
      <c r="M83" s="57">
        <f t="shared" si="53"/>
        <v>149747</v>
      </c>
      <c r="O83" s="58">
        <f t="shared" si="54"/>
        <v>0.5</v>
      </c>
      <c r="P83" s="59">
        <f t="shared" si="55"/>
        <v>0.04</v>
      </c>
      <c r="Q83" s="58">
        <f t="shared" si="56"/>
        <v>0.54</v>
      </c>
      <c r="R83" s="258">
        <f t="shared" si="57"/>
        <v>-4.6936988546417702E-3</v>
      </c>
    </row>
    <row r="84" spans="1:18" ht="13.2" customHeight="1" x14ac:dyDescent="0.2">
      <c r="A84" s="251">
        <f t="shared" si="45"/>
        <v>74</v>
      </c>
      <c r="C84" s="32" t="str">
        <f>'Adjusted Lamp Cost Allocations'!A72</f>
        <v>53E - Company Owned</v>
      </c>
      <c r="D84" s="32"/>
      <c r="E84" s="31" t="str">
        <f>'Adjusted Lamp Cost Allocations'!C72</f>
        <v>Light Emitting Diode</v>
      </c>
      <c r="F84" s="30" t="str">
        <f>'Adjusted Lamp Cost Allocations'!D72</f>
        <v>LED 060.01-090</v>
      </c>
      <c r="G84" s="54">
        <f>'Adjusted Lamp Cost Allocations'!U72</f>
        <v>0.52413661727705319</v>
      </c>
      <c r="H84" s="55">
        <f>'Adjusted Lamp Cost Allocations'!X72</f>
        <v>1.1672761252787283E-2</v>
      </c>
      <c r="I84" s="55">
        <f>'Adjusted Lamp Cost Allocations'!Y72</f>
        <v>2.7583997276412766E-3</v>
      </c>
      <c r="J84" s="55">
        <f t="shared" si="52"/>
        <v>0.5385677782574817</v>
      </c>
      <c r="L84" s="56">
        <v>8460</v>
      </c>
      <c r="M84" s="57">
        <f t="shared" si="53"/>
        <v>4556</v>
      </c>
      <c r="O84" s="58">
        <f t="shared" si="54"/>
        <v>0.5</v>
      </c>
      <c r="P84" s="59">
        <f t="shared" si="55"/>
        <v>0.04</v>
      </c>
      <c r="Q84" s="58">
        <f t="shared" si="56"/>
        <v>0.54</v>
      </c>
      <c r="R84" s="258">
        <f t="shared" si="57"/>
        <v>1.4322217425183359E-3</v>
      </c>
    </row>
    <row r="85" spans="1:18" ht="13.2" customHeight="1" x14ac:dyDescent="0.2">
      <c r="A85" s="251">
        <f t="shared" si="45"/>
        <v>75</v>
      </c>
      <c r="C85" s="32" t="str">
        <f>'Adjusted Lamp Cost Allocations'!A73</f>
        <v>53E - Company Owned</v>
      </c>
      <c r="D85" s="32"/>
      <c r="E85" s="31" t="str">
        <f>'Adjusted Lamp Cost Allocations'!C73</f>
        <v>Light Emitting Diode</v>
      </c>
      <c r="F85" s="30" t="str">
        <f>'Adjusted Lamp Cost Allocations'!D73</f>
        <v>LED 090.01-120</v>
      </c>
      <c r="G85" s="54">
        <f>'Adjusted Lamp Cost Allocations'!U73</f>
        <v>0.56057284085198911</v>
      </c>
      <c r="H85" s="55">
        <f>'Adjusted Lamp Cost Allocations'!X73</f>
        <v>1.6341865753902195E-2</v>
      </c>
      <c r="I85" s="55">
        <f>'Adjusted Lamp Cost Allocations'!Y73</f>
        <v>3.8617596186977872E-3</v>
      </c>
      <c r="J85" s="55">
        <f t="shared" si="52"/>
        <v>0.58077646622458912</v>
      </c>
      <c r="L85" s="56">
        <v>32796</v>
      </c>
      <c r="M85" s="57">
        <f t="shared" si="53"/>
        <v>19047</v>
      </c>
      <c r="O85" s="58">
        <f t="shared" si="54"/>
        <v>0.54</v>
      </c>
      <c r="P85" s="59">
        <f t="shared" si="55"/>
        <v>0.04</v>
      </c>
      <c r="Q85" s="58">
        <f t="shared" si="56"/>
        <v>0.58000000000000007</v>
      </c>
      <c r="R85" s="258">
        <f t="shared" si="57"/>
        <v>-7.7646622458904524E-4</v>
      </c>
    </row>
    <row r="86" spans="1:18" ht="13.2" customHeight="1" x14ac:dyDescent="0.2">
      <c r="A86" s="251">
        <f t="shared" si="45"/>
        <v>76</v>
      </c>
      <c r="C86" s="32" t="str">
        <f>'Adjusted Lamp Cost Allocations'!A74</f>
        <v>53E - Company Owned</v>
      </c>
      <c r="D86" s="32"/>
      <c r="E86" s="31" t="str">
        <f>'Adjusted Lamp Cost Allocations'!C74</f>
        <v>Light Emitting Diode</v>
      </c>
      <c r="F86" s="30" t="str">
        <f>'Adjusted Lamp Cost Allocations'!D74</f>
        <v>LED 120.01-150</v>
      </c>
      <c r="G86" s="54">
        <f>'Adjusted Lamp Cost Allocations'!U74</f>
        <v>0.57840047433323361</v>
      </c>
      <c r="H86" s="55">
        <f>'Adjusted Lamp Cost Allocations'!X74</f>
        <v>2.1010970255017105E-2</v>
      </c>
      <c r="I86" s="55">
        <f>'Adjusted Lamp Cost Allocations'!Y74</f>
        <v>4.9651195097542974E-3</v>
      </c>
      <c r="J86" s="55">
        <f t="shared" si="52"/>
        <v>0.604376564098005</v>
      </c>
      <c r="L86" s="56">
        <v>22272</v>
      </c>
      <c r="M86" s="57">
        <f t="shared" si="53"/>
        <v>13461</v>
      </c>
      <c r="O86" s="58">
        <f t="shared" si="54"/>
        <v>0.56000000000000005</v>
      </c>
      <c r="P86" s="59">
        <f t="shared" si="55"/>
        <v>0.04</v>
      </c>
      <c r="Q86" s="58">
        <f t="shared" si="56"/>
        <v>0.60000000000000009</v>
      </c>
      <c r="R86" s="258">
        <f t="shared" si="57"/>
        <v>-4.3765640980049092E-3</v>
      </c>
    </row>
    <row r="87" spans="1:18" ht="13.2" customHeight="1" x14ac:dyDescent="0.2">
      <c r="A87" s="251">
        <f t="shared" si="45"/>
        <v>77</v>
      </c>
      <c r="C87" s="32" t="str">
        <f>'Adjusted Lamp Cost Allocations'!A75</f>
        <v>53E - Company Owned</v>
      </c>
      <c r="D87" s="32"/>
      <c r="E87" s="31" t="str">
        <f>'Adjusted Lamp Cost Allocations'!C75</f>
        <v>Light Emitting Diode</v>
      </c>
      <c r="F87" s="30" t="str">
        <f>'Adjusted Lamp Cost Allocations'!D75</f>
        <v>LED 150.01-180</v>
      </c>
      <c r="G87" s="54">
        <f>'Adjusted Lamp Cost Allocations'!U75</f>
        <v>0.55937222258273067</v>
      </c>
      <c r="H87" s="55">
        <f>'Adjusted Lamp Cost Allocations'!X75</f>
        <v>2.5680074756132019E-2</v>
      </c>
      <c r="I87" s="55">
        <f>'Adjusted Lamp Cost Allocations'!Y75</f>
        <v>6.068479400810808E-3</v>
      </c>
      <c r="J87" s="55">
        <f t="shared" si="52"/>
        <v>0.59112077673967345</v>
      </c>
      <c r="L87" s="56">
        <v>1464</v>
      </c>
      <c r="M87" s="57">
        <f t="shared" si="53"/>
        <v>865</v>
      </c>
      <c r="O87" s="58">
        <f t="shared" si="54"/>
        <v>0.55000000000000004</v>
      </c>
      <c r="P87" s="59">
        <f t="shared" si="55"/>
        <v>0.04</v>
      </c>
      <c r="Q87" s="58">
        <f t="shared" si="56"/>
        <v>0.59000000000000008</v>
      </c>
      <c r="R87" s="258">
        <f t="shared" si="57"/>
        <v>-1.1207767396733681E-3</v>
      </c>
    </row>
    <row r="88" spans="1:18" ht="13.2" customHeight="1" x14ac:dyDescent="0.2">
      <c r="A88" s="251">
        <f t="shared" si="45"/>
        <v>78</v>
      </c>
      <c r="C88" s="32" t="str">
        <f>'Adjusted Lamp Cost Allocations'!A76</f>
        <v>53E - Company Owned</v>
      </c>
      <c r="D88" s="32"/>
      <c r="E88" s="31" t="str">
        <f>'Adjusted Lamp Cost Allocations'!C76</f>
        <v>Light Emitting Diode</v>
      </c>
      <c r="F88" s="30" t="str">
        <f>'Adjusted Lamp Cost Allocations'!D76</f>
        <v>LED 180.01-210</v>
      </c>
      <c r="G88" s="54">
        <f>'Adjusted Lamp Cost Allocations'!U76</f>
        <v>0.55937222258273067</v>
      </c>
      <c r="H88" s="55">
        <f>'Adjusted Lamp Cost Allocations'!X76</f>
        <v>3.0349179257246929E-2</v>
      </c>
      <c r="I88" s="55">
        <f>'Adjusted Lamp Cost Allocations'!Y76</f>
        <v>7.1718392918673187E-3</v>
      </c>
      <c r="J88" s="55">
        <f t="shared" si="52"/>
        <v>0.59689324113184483</v>
      </c>
      <c r="L88" s="56">
        <v>5088</v>
      </c>
      <c r="M88" s="57">
        <f t="shared" si="53"/>
        <v>3037</v>
      </c>
      <c r="O88" s="58">
        <f t="shared" si="54"/>
        <v>0.56000000000000005</v>
      </c>
      <c r="P88" s="59">
        <f t="shared" si="55"/>
        <v>0.04</v>
      </c>
      <c r="Q88" s="58">
        <f t="shared" si="56"/>
        <v>0.60000000000000009</v>
      </c>
      <c r="R88" s="258">
        <f t="shared" si="57"/>
        <v>3.1067588681552571E-3</v>
      </c>
    </row>
    <row r="89" spans="1:18" ht="13.2" customHeight="1" x14ac:dyDescent="0.2">
      <c r="A89" s="251">
        <f t="shared" si="45"/>
        <v>79</v>
      </c>
      <c r="C89" s="32" t="str">
        <f>'Adjusted Lamp Cost Allocations'!A77</f>
        <v>53E - Company Owned</v>
      </c>
      <c r="D89" s="32"/>
      <c r="E89" s="31" t="str">
        <f>'Adjusted Lamp Cost Allocations'!C77</f>
        <v>Light Emitting Diode</v>
      </c>
      <c r="F89" s="30" t="str">
        <f>'Adjusted Lamp Cost Allocations'!D77</f>
        <v>LED 210.01-240</v>
      </c>
      <c r="G89" s="54">
        <f>'Adjusted Lamp Cost Allocations'!U77</f>
        <v>0.56230225128315925</v>
      </c>
      <c r="H89" s="55">
        <f>'Adjusted Lamp Cost Allocations'!X77</f>
        <v>3.501828375836185E-2</v>
      </c>
      <c r="I89" s="55">
        <f>'Adjusted Lamp Cost Allocations'!Y77</f>
        <v>8.2751991829238293E-3</v>
      </c>
      <c r="J89" s="55">
        <f t="shared" si="52"/>
        <v>0.6055957342244449</v>
      </c>
      <c r="L89" s="56">
        <v>1092</v>
      </c>
      <c r="M89" s="57">
        <f t="shared" si="53"/>
        <v>661</v>
      </c>
      <c r="O89" s="58">
        <f t="shared" si="54"/>
        <v>0.56999999999999995</v>
      </c>
      <c r="P89" s="59">
        <f t="shared" si="55"/>
        <v>0.04</v>
      </c>
      <c r="Q89" s="58">
        <f t="shared" si="56"/>
        <v>0.61</v>
      </c>
      <c r="R89" s="258">
        <f t="shared" si="57"/>
        <v>4.4042657755550829E-3</v>
      </c>
    </row>
    <row r="90" spans="1:18" ht="13.2" customHeight="1" x14ac:dyDescent="0.2">
      <c r="A90" s="251">
        <f t="shared" si="45"/>
        <v>80</v>
      </c>
      <c r="C90" s="32" t="str">
        <f>'Adjusted Lamp Cost Allocations'!A78</f>
        <v>53E - Company Owned</v>
      </c>
      <c r="D90" s="32"/>
      <c r="E90" s="31" t="str">
        <f>'Adjusted Lamp Cost Allocations'!C78</f>
        <v>Light Emitting Diode</v>
      </c>
      <c r="F90" s="30" t="str">
        <f>'Adjusted Lamp Cost Allocations'!D78</f>
        <v>LED 240.01-270</v>
      </c>
      <c r="G90" s="54">
        <f>'Adjusted Lamp Cost Allocations'!U78</f>
        <v>0.56230225128315925</v>
      </c>
      <c r="H90" s="55">
        <f>'Adjusted Lamp Cost Allocations'!X78</f>
        <v>3.9687388259476757E-2</v>
      </c>
      <c r="I90" s="55">
        <f>'Adjusted Lamp Cost Allocations'!Y78</f>
        <v>9.3785590739803391E-3</v>
      </c>
      <c r="J90" s="55">
        <f t="shared" si="52"/>
        <v>0.61136819861661629</v>
      </c>
      <c r="L90" s="56">
        <v>288</v>
      </c>
      <c r="M90" s="57">
        <f t="shared" si="53"/>
        <v>176</v>
      </c>
      <c r="O90" s="58">
        <f t="shared" si="54"/>
        <v>0.56999999999999995</v>
      </c>
      <c r="P90" s="59">
        <f t="shared" si="55"/>
        <v>0.04</v>
      </c>
      <c r="Q90" s="58">
        <f t="shared" si="56"/>
        <v>0.61</v>
      </c>
      <c r="R90" s="258">
        <f t="shared" si="57"/>
        <v>-1.3681986166163007E-3</v>
      </c>
    </row>
    <row r="91" spans="1:18" ht="13.2" customHeight="1" x14ac:dyDescent="0.2">
      <c r="A91" s="251">
        <f t="shared" si="45"/>
        <v>81</v>
      </c>
      <c r="C91" s="32" t="str">
        <f>'Adjusted Lamp Cost Allocations'!A79</f>
        <v>53E - Company Owned</v>
      </c>
      <c r="D91" s="32"/>
      <c r="E91" s="31" t="str">
        <f>'Adjusted Lamp Cost Allocations'!C79</f>
        <v>Light Emitting Diode</v>
      </c>
      <c r="F91" s="30" t="str">
        <f>'Adjusted Lamp Cost Allocations'!D79</f>
        <v>LED 270.01-300</v>
      </c>
      <c r="G91" s="54">
        <f>'Adjusted Lamp Cost Allocations'!U79</f>
        <v>0.56230225128315925</v>
      </c>
      <c r="H91" s="55">
        <f>'Adjusted Lamp Cost Allocations'!X79</f>
        <v>4.435649276059167E-2</v>
      </c>
      <c r="I91" s="55">
        <f>'Adjusted Lamp Cost Allocations'!Y79</f>
        <v>1.0481918965036851E-2</v>
      </c>
      <c r="J91" s="55">
        <f>SUM(G91:I91)</f>
        <v>0.61714066300878778</v>
      </c>
      <c r="L91" s="56">
        <v>1896</v>
      </c>
      <c r="M91" s="57">
        <f t="shared" si="53"/>
        <v>1170</v>
      </c>
      <c r="O91" s="58">
        <f t="shared" si="54"/>
        <v>0.57999999999999996</v>
      </c>
      <c r="P91" s="59">
        <f t="shared" si="55"/>
        <v>0.04</v>
      </c>
      <c r="Q91" s="58">
        <f t="shared" si="56"/>
        <v>0.62</v>
      </c>
      <c r="R91" s="258">
        <f t="shared" si="57"/>
        <v>2.8593369912122135E-3</v>
      </c>
    </row>
    <row r="92" spans="1:18" ht="13.2" customHeight="1" x14ac:dyDescent="0.2">
      <c r="A92" s="251">
        <f t="shared" si="45"/>
        <v>82</v>
      </c>
      <c r="C92" s="32"/>
      <c r="D92" s="32"/>
      <c r="E92" s="31"/>
      <c r="F92" s="30"/>
      <c r="G92" s="54"/>
      <c r="H92" s="55"/>
      <c r="I92" s="55"/>
      <c r="J92" s="55"/>
      <c r="L92" s="56"/>
      <c r="M92" s="57"/>
      <c r="O92" s="58"/>
      <c r="P92" s="59"/>
      <c r="Q92" s="59"/>
      <c r="R92" s="69"/>
    </row>
    <row r="93" spans="1:18" ht="13.2" customHeight="1" x14ac:dyDescent="0.2">
      <c r="A93" s="251">
        <f t="shared" si="45"/>
        <v>83</v>
      </c>
      <c r="C93" s="32" t="str">
        <f>'Adjusted Lamp Cost Allocations'!A82</f>
        <v>53E - Company Owned</v>
      </c>
      <c r="D93" s="32" t="s">
        <v>254</v>
      </c>
      <c r="E93" s="31" t="str">
        <f>'Adjusted Lamp Cost Allocations'!C82</f>
        <v>Light Emitting Diode</v>
      </c>
      <c r="F93" s="30" t="s">
        <v>277</v>
      </c>
      <c r="G93" s="257"/>
      <c r="H93" s="248"/>
      <c r="I93" s="248"/>
      <c r="J93" s="248">
        <v>8.5870000000000009E-3</v>
      </c>
      <c r="L93" s="56">
        <v>32052</v>
      </c>
      <c r="M93" s="57">
        <f t="shared" ref="M93" si="58">ROUND(L93*J93,0)</f>
        <v>275</v>
      </c>
      <c r="O93" s="249">
        <f t="shared" ref="O93" si="59">ROUND(J93-P93,6)</f>
        <v>7.986E-3</v>
      </c>
      <c r="P93" s="249">
        <f t="shared" ref="P93" si="60">ROUND(J93*$P$9,6)</f>
        <v>6.0099999999999997E-4</v>
      </c>
      <c r="Q93" s="249">
        <f t="shared" ref="Q93" si="61">SUM(O93:P93)</f>
        <v>8.5870000000000009E-3</v>
      </c>
      <c r="R93" s="260">
        <f t="shared" ref="R93" si="62">+Q93-J93</f>
        <v>0</v>
      </c>
    </row>
    <row r="94" spans="1:18" ht="13.2" customHeight="1" x14ac:dyDescent="0.2">
      <c r="A94" s="251">
        <f t="shared" si="45"/>
        <v>84</v>
      </c>
      <c r="C94" s="32"/>
      <c r="D94" s="32"/>
      <c r="E94" s="31"/>
      <c r="F94" s="30"/>
      <c r="G94" s="54"/>
      <c r="H94" s="55"/>
      <c r="I94" s="55"/>
      <c r="J94" s="55"/>
      <c r="L94" s="56"/>
      <c r="M94" s="57"/>
      <c r="O94" s="58"/>
      <c r="P94" s="59"/>
      <c r="Q94" s="59"/>
      <c r="R94" s="69"/>
    </row>
    <row r="95" spans="1:18" ht="13.2" customHeight="1" x14ac:dyDescent="0.2">
      <c r="A95" s="251">
        <f t="shared" si="45"/>
        <v>85</v>
      </c>
      <c r="C95" s="32" t="str">
        <f>'Adjusted Lamp Cost Allocations'!A92</f>
        <v>53E - Customer Owned</v>
      </c>
      <c r="D95" s="32"/>
      <c r="E95" s="31" t="str">
        <f>'Adjusted Lamp Cost Allocations'!C92</f>
        <v>Sodium Vapor</v>
      </c>
      <c r="F95" s="30" t="str">
        <f>'Adjusted Lamp Cost Allocations'!D92</f>
        <v>SV 050</v>
      </c>
      <c r="G95" s="54">
        <f>'Adjusted Lamp Cost Allocations'!U92</f>
        <v>0</v>
      </c>
      <c r="H95" s="55">
        <f>'Adjusted Lamp Cost Allocations'!X92</f>
        <v>7.7818408351915209E-3</v>
      </c>
      <c r="I95" s="55">
        <f>'Adjusted Lamp Cost Allocations'!Y92</f>
        <v>1.8389331517608509E-3</v>
      </c>
      <c r="J95" s="55">
        <f t="shared" ref="J95:J103" si="63">SUM(G95:I95)</f>
        <v>9.6207739869523714E-3</v>
      </c>
      <c r="L95" s="56">
        <v>0</v>
      </c>
      <c r="M95" s="57">
        <f t="shared" ref="M95:M103" si="64">ROUND(L95*J95,0)</f>
        <v>0</v>
      </c>
      <c r="O95" s="58">
        <f t="shared" ref="O95:O103" si="65">ROUND(J95-P95,2)</f>
        <v>0.01</v>
      </c>
      <c r="P95" s="59">
        <f t="shared" ref="P95:P103" si="66">ROUND(J95*$P$9,2)</f>
        <v>0</v>
      </c>
      <c r="Q95" s="58">
        <f t="shared" ref="Q95:Q103" si="67">SUM(O95:P95)</f>
        <v>0.01</v>
      </c>
      <c r="R95" s="258">
        <f t="shared" ref="R95:R103" si="68">+Q95-J95</f>
        <v>3.7922601304762882E-4</v>
      </c>
    </row>
    <row r="96" spans="1:18" ht="13.2" customHeight="1" x14ac:dyDescent="0.2">
      <c r="A96" s="251">
        <f t="shared" si="45"/>
        <v>86</v>
      </c>
      <c r="C96" s="32" t="str">
        <f>'Adjusted Lamp Cost Allocations'!A93</f>
        <v>53E - Customer Owned</v>
      </c>
      <c r="D96" s="32"/>
      <c r="E96" s="31" t="str">
        <f>'Adjusted Lamp Cost Allocations'!C93</f>
        <v>Sodium Vapor</v>
      </c>
      <c r="F96" s="30" t="str">
        <f>'Adjusted Lamp Cost Allocations'!D93</f>
        <v>SV 070</v>
      </c>
      <c r="G96" s="54">
        <f>'Adjusted Lamp Cost Allocations'!U93</f>
        <v>0</v>
      </c>
      <c r="H96" s="55">
        <f>'Adjusted Lamp Cost Allocations'!X93</f>
        <v>1.089457716926813E-2</v>
      </c>
      <c r="I96" s="55">
        <f>'Adjusted Lamp Cost Allocations'!Y93</f>
        <v>2.5745064124651912E-3</v>
      </c>
      <c r="J96" s="55">
        <f t="shared" si="63"/>
        <v>1.3469083581733321E-2</v>
      </c>
      <c r="L96" s="56">
        <v>588</v>
      </c>
      <c r="M96" s="57">
        <f t="shared" si="64"/>
        <v>8</v>
      </c>
      <c r="O96" s="58">
        <f t="shared" si="65"/>
        <v>0.01</v>
      </c>
      <c r="P96" s="59">
        <f t="shared" si="66"/>
        <v>0</v>
      </c>
      <c r="Q96" s="58">
        <f t="shared" si="67"/>
        <v>0.01</v>
      </c>
      <c r="R96" s="258">
        <f t="shared" si="68"/>
        <v>-3.4690835817333208E-3</v>
      </c>
    </row>
    <row r="97" spans="1:18" ht="13.2" customHeight="1" x14ac:dyDescent="0.2">
      <c r="A97" s="251">
        <f t="shared" si="45"/>
        <v>87</v>
      </c>
      <c r="C97" s="32" t="str">
        <f>'Adjusted Lamp Cost Allocations'!A94</f>
        <v>53E - Customer Owned</v>
      </c>
      <c r="D97" s="32"/>
      <c r="E97" s="31" t="str">
        <f>'Adjusted Lamp Cost Allocations'!C94</f>
        <v>Sodium Vapor</v>
      </c>
      <c r="F97" s="30" t="str">
        <f>'Adjusted Lamp Cost Allocations'!D94</f>
        <v>SV 100</v>
      </c>
      <c r="G97" s="54">
        <f>'Adjusted Lamp Cost Allocations'!U94</f>
        <v>0</v>
      </c>
      <c r="H97" s="55">
        <f>'Adjusted Lamp Cost Allocations'!X94</f>
        <v>1.5563681670383042E-2</v>
      </c>
      <c r="I97" s="55">
        <f>'Adjusted Lamp Cost Allocations'!Y94</f>
        <v>3.6778663035217018E-3</v>
      </c>
      <c r="J97" s="55">
        <f t="shared" si="63"/>
        <v>1.9241547973904743E-2</v>
      </c>
      <c r="L97" s="56">
        <v>2292</v>
      </c>
      <c r="M97" s="57">
        <f t="shared" si="64"/>
        <v>44</v>
      </c>
      <c r="O97" s="58">
        <f t="shared" si="65"/>
        <v>0.02</v>
      </c>
      <c r="P97" s="59">
        <f t="shared" si="66"/>
        <v>0</v>
      </c>
      <c r="Q97" s="58">
        <f t="shared" si="67"/>
        <v>0.02</v>
      </c>
      <c r="R97" s="258">
        <f t="shared" si="68"/>
        <v>7.5845202609525764E-4</v>
      </c>
    </row>
    <row r="98" spans="1:18" ht="13.2" customHeight="1" x14ac:dyDescent="0.2">
      <c r="A98" s="251">
        <f t="shared" si="45"/>
        <v>88</v>
      </c>
      <c r="C98" s="32" t="str">
        <f>'Adjusted Lamp Cost Allocations'!A95</f>
        <v>53E - Customer Owned</v>
      </c>
      <c r="D98" s="32"/>
      <c r="E98" s="31" t="str">
        <f>'Adjusted Lamp Cost Allocations'!C95</f>
        <v>Sodium Vapor</v>
      </c>
      <c r="F98" s="30" t="str">
        <f>'Adjusted Lamp Cost Allocations'!D95</f>
        <v>SV 150</v>
      </c>
      <c r="G98" s="54">
        <f>'Adjusted Lamp Cost Allocations'!U95</f>
        <v>0</v>
      </c>
      <c r="H98" s="55">
        <f>'Adjusted Lamp Cost Allocations'!X95</f>
        <v>2.3345522505574565E-2</v>
      </c>
      <c r="I98" s="55">
        <f>'Adjusted Lamp Cost Allocations'!Y95</f>
        <v>5.5167994552825532E-3</v>
      </c>
      <c r="J98" s="55">
        <f t="shared" si="63"/>
        <v>2.8862321960857119E-2</v>
      </c>
      <c r="L98" s="56">
        <v>1056</v>
      </c>
      <c r="M98" s="57">
        <f t="shared" si="64"/>
        <v>30</v>
      </c>
      <c r="O98" s="58">
        <f t="shared" si="65"/>
        <v>0.03</v>
      </c>
      <c r="P98" s="59">
        <f t="shared" si="66"/>
        <v>0</v>
      </c>
      <c r="Q98" s="58">
        <f t="shared" si="67"/>
        <v>0.03</v>
      </c>
      <c r="R98" s="258">
        <f t="shared" si="68"/>
        <v>1.1376780391428795E-3</v>
      </c>
    </row>
    <row r="99" spans="1:18" ht="13.2" customHeight="1" x14ac:dyDescent="0.2">
      <c r="A99" s="251">
        <f t="shared" si="45"/>
        <v>89</v>
      </c>
      <c r="C99" s="32" t="str">
        <f>'Adjusted Lamp Cost Allocations'!A96</f>
        <v>53E - Customer Owned</v>
      </c>
      <c r="D99" s="32"/>
      <c r="E99" s="31" t="str">
        <f>'Adjusted Lamp Cost Allocations'!C96</f>
        <v>Sodium Vapor</v>
      </c>
      <c r="F99" s="30" t="str">
        <f>'Adjusted Lamp Cost Allocations'!D96</f>
        <v>SV 200</v>
      </c>
      <c r="G99" s="54">
        <f>'Adjusted Lamp Cost Allocations'!U96</f>
        <v>0</v>
      </c>
      <c r="H99" s="55">
        <f>'Adjusted Lamp Cost Allocations'!X96</f>
        <v>3.1127363340766084E-2</v>
      </c>
      <c r="I99" s="55">
        <f>'Adjusted Lamp Cost Allocations'!Y96</f>
        <v>7.3557326070434036E-3</v>
      </c>
      <c r="J99" s="55">
        <f t="shared" si="63"/>
        <v>3.8483095947809486E-2</v>
      </c>
      <c r="L99" s="56">
        <v>4584</v>
      </c>
      <c r="M99" s="57">
        <f t="shared" si="64"/>
        <v>176</v>
      </c>
      <c r="O99" s="58">
        <f t="shared" si="65"/>
        <v>0.04</v>
      </c>
      <c r="P99" s="59">
        <f t="shared" si="66"/>
        <v>0</v>
      </c>
      <c r="Q99" s="58">
        <f t="shared" si="67"/>
        <v>0.04</v>
      </c>
      <c r="R99" s="258">
        <f t="shared" si="68"/>
        <v>1.5169040521905153E-3</v>
      </c>
    </row>
    <row r="100" spans="1:18" ht="13.2" customHeight="1" x14ac:dyDescent="0.2">
      <c r="A100" s="251">
        <f t="shared" si="45"/>
        <v>90</v>
      </c>
      <c r="C100" s="32" t="str">
        <f>'Adjusted Lamp Cost Allocations'!A97</f>
        <v>53E - Customer Owned</v>
      </c>
      <c r="D100" s="32"/>
      <c r="E100" s="31" t="str">
        <f>'Adjusted Lamp Cost Allocations'!C97</f>
        <v>Sodium Vapor</v>
      </c>
      <c r="F100" s="30" t="str">
        <f>'Adjusted Lamp Cost Allocations'!D97</f>
        <v>SV 250</v>
      </c>
      <c r="G100" s="54">
        <f>'Adjusted Lamp Cost Allocations'!U97</f>
        <v>0</v>
      </c>
      <c r="H100" s="55">
        <f>'Adjusted Lamp Cost Allocations'!X97</f>
        <v>3.8909204175957605E-2</v>
      </c>
      <c r="I100" s="55">
        <f>'Adjusted Lamp Cost Allocations'!Y97</f>
        <v>9.194665758804255E-3</v>
      </c>
      <c r="J100" s="55">
        <f t="shared" si="63"/>
        <v>4.8103869934761859E-2</v>
      </c>
      <c r="L100" s="56">
        <v>2448</v>
      </c>
      <c r="M100" s="57">
        <f t="shared" si="64"/>
        <v>118</v>
      </c>
      <c r="O100" s="58">
        <f t="shared" si="65"/>
        <v>0.05</v>
      </c>
      <c r="P100" s="59">
        <f t="shared" si="66"/>
        <v>0</v>
      </c>
      <c r="Q100" s="58">
        <f t="shared" si="67"/>
        <v>0.05</v>
      </c>
      <c r="R100" s="258">
        <f t="shared" si="68"/>
        <v>1.8961300652381441E-3</v>
      </c>
    </row>
    <row r="101" spans="1:18" ht="13.2" customHeight="1" x14ac:dyDescent="0.2">
      <c r="A101" s="251">
        <f t="shared" si="45"/>
        <v>91</v>
      </c>
      <c r="C101" s="32" t="str">
        <f>'Adjusted Lamp Cost Allocations'!A98</f>
        <v>53E - Customer Owned</v>
      </c>
      <c r="D101" s="32"/>
      <c r="E101" s="31" t="str">
        <f>'Adjusted Lamp Cost Allocations'!C98</f>
        <v>Sodium Vapor</v>
      </c>
      <c r="F101" s="30" t="str">
        <f>'Adjusted Lamp Cost Allocations'!D98</f>
        <v>SV 310</v>
      </c>
      <c r="G101" s="54">
        <f>'Adjusted Lamp Cost Allocations'!U98</f>
        <v>0</v>
      </c>
      <c r="H101" s="55">
        <f>'Adjusted Lamp Cost Allocations'!X98</f>
        <v>4.8247413178187426E-2</v>
      </c>
      <c r="I101" s="55">
        <f>'Adjusted Lamp Cost Allocations'!Y98</f>
        <v>1.1401385540917276E-2</v>
      </c>
      <c r="J101" s="55">
        <f t="shared" si="63"/>
        <v>5.9648798719104702E-2</v>
      </c>
      <c r="L101" s="56">
        <v>48</v>
      </c>
      <c r="M101" s="57">
        <f t="shared" si="64"/>
        <v>3</v>
      </c>
      <c r="O101" s="58">
        <f t="shared" si="65"/>
        <v>0.06</v>
      </c>
      <c r="P101" s="59">
        <f t="shared" si="66"/>
        <v>0</v>
      </c>
      <c r="Q101" s="58">
        <f t="shared" si="67"/>
        <v>0.06</v>
      </c>
      <c r="R101" s="258">
        <f t="shared" si="68"/>
        <v>3.5120128089529551E-4</v>
      </c>
    </row>
    <row r="102" spans="1:18" ht="13.2" customHeight="1" x14ac:dyDescent="0.2">
      <c r="A102" s="251">
        <f t="shared" si="45"/>
        <v>92</v>
      </c>
      <c r="C102" s="32" t="str">
        <f>'Adjusted Lamp Cost Allocations'!A99</f>
        <v>53E - Customer Owned</v>
      </c>
      <c r="D102" s="32"/>
      <c r="E102" s="31" t="str">
        <f>'Adjusted Lamp Cost Allocations'!C99</f>
        <v>Sodium Vapor</v>
      </c>
      <c r="F102" s="30" t="str">
        <f>'Adjusted Lamp Cost Allocations'!D99</f>
        <v>SV 400</v>
      </c>
      <c r="G102" s="54">
        <f>'Adjusted Lamp Cost Allocations'!U99</f>
        <v>0</v>
      </c>
      <c r="H102" s="55">
        <f>'Adjusted Lamp Cost Allocations'!X99</f>
        <v>6.2254726681532167E-2</v>
      </c>
      <c r="I102" s="55">
        <f>'Adjusted Lamp Cost Allocations'!Y99</f>
        <v>1.4711465214086807E-2</v>
      </c>
      <c r="J102" s="55">
        <f t="shared" si="63"/>
        <v>7.6966191895618971E-2</v>
      </c>
      <c r="L102" s="56">
        <v>3120</v>
      </c>
      <c r="M102" s="57">
        <f t="shared" si="64"/>
        <v>240</v>
      </c>
      <c r="O102" s="58">
        <f t="shared" si="65"/>
        <v>7.0000000000000007E-2</v>
      </c>
      <c r="P102" s="59">
        <f t="shared" si="66"/>
        <v>0.01</v>
      </c>
      <c r="Q102" s="58">
        <f t="shared" si="67"/>
        <v>0.08</v>
      </c>
      <c r="R102" s="258">
        <f t="shared" si="68"/>
        <v>3.0338081043810305E-3</v>
      </c>
    </row>
    <row r="103" spans="1:18" ht="13.2" customHeight="1" x14ac:dyDescent="0.2">
      <c r="A103" s="251">
        <f t="shared" si="45"/>
        <v>93</v>
      </c>
      <c r="C103" s="32" t="str">
        <f>'Adjusted Lamp Cost Allocations'!A100</f>
        <v>53E - Customer Owned</v>
      </c>
      <c r="D103" s="32"/>
      <c r="E103" s="31" t="str">
        <f>'Adjusted Lamp Cost Allocations'!C100</f>
        <v>Sodium Vapor</v>
      </c>
      <c r="F103" s="30" t="str">
        <f>'Adjusted Lamp Cost Allocations'!D100</f>
        <v>SV 1000</v>
      </c>
      <c r="G103" s="54">
        <f>'Adjusted Lamp Cost Allocations'!U100</f>
        <v>0</v>
      </c>
      <c r="H103" s="55">
        <f>'Adjusted Lamp Cost Allocations'!X100</f>
        <v>0.15563681670383042</v>
      </c>
      <c r="I103" s="55">
        <f>'Adjusted Lamp Cost Allocations'!Y100</f>
        <v>3.677866303521702E-2</v>
      </c>
      <c r="J103" s="55">
        <f t="shared" si="63"/>
        <v>0.19241547973904743</v>
      </c>
      <c r="L103" s="56">
        <v>0</v>
      </c>
      <c r="M103" s="57">
        <f t="shared" si="64"/>
        <v>0</v>
      </c>
      <c r="O103" s="58">
        <f t="shared" si="65"/>
        <v>0.18</v>
      </c>
      <c r="P103" s="59">
        <f t="shared" si="66"/>
        <v>0.01</v>
      </c>
      <c r="Q103" s="58">
        <f t="shared" si="67"/>
        <v>0.19</v>
      </c>
      <c r="R103" s="258">
        <f t="shared" si="68"/>
        <v>-2.4154797390474325E-3</v>
      </c>
    </row>
    <row r="104" spans="1:18" ht="13.2" customHeight="1" x14ac:dyDescent="0.2">
      <c r="A104" s="251">
        <f t="shared" si="45"/>
        <v>94</v>
      </c>
      <c r="C104" s="32"/>
      <c r="D104" s="32"/>
      <c r="E104" s="31"/>
      <c r="F104" s="30"/>
      <c r="G104" s="54"/>
      <c r="H104" s="55"/>
      <c r="I104" s="55"/>
      <c r="J104" s="55"/>
      <c r="L104" s="56"/>
      <c r="M104" s="57"/>
      <c r="O104" s="58"/>
      <c r="P104" s="59"/>
      <c r="Q104" s="59"/>
      <c r="R104" s="69"/>
    </row>
    <row r="105" spans="1:18" ht="13.2" customHeight="1" x14ac:dyDescent="0.2">
      <c r="A105" s="251">
        <f t="shared" si="45"/>
        <v>95</v>
      </c>
      <c r="C105" s="32" t="str">
        <f>'Adjusted Lamp Cost Allocations'!A102</f>
        <v>53E - Customer Owned</v>
      </c>
      <c r="D105" s="32"/>
      <c r="E105" s="31" t="str">
        <f>'Adjusted Lamp Cost Allocations'!C102</f>
        <v>Metal Halide</v>
      </c>
      <c r="F105" s="30" t="str">
        <f>'Adjusted Lamp Cost Allocations'!D102</f>
        <v>MH 70</v>
      </c>
      <c r="G105" s="54">
        <f>'Adjusted Lamp Cost Allocations'!U102</f>
        <v>0</v>
      </c>
      <c r="H105" s="55">
        <f>'Adjusted Lamp Cost Allocations'!X102</f>
        <v>1.089457716926813E-2</v>
      </c>
      <c r="I105" s="55">
        <f>'Adjusted Lamp Cost Allocations'!Y102</f>
        <v>2.5745064124651912E-3</v>
      </c>
      <c r="J105" s="55">
        <f t="shared" ref="J105:J110" si="69">SUM(G105:I105)</f>
        <v>1.3469083581733321E-2</v>
      </c>
      <c r="L105" s="56">
        <v>0</v>
      </c>
      <c r="M105" s="57">
        <f t="shared" ref="M105:M110" si="70">ROUND(L105*J105,0)</f>
        <v>0</v>
      </c>
      <c r="O105" s="58">
        <f t="shared" ref="O105:O110" si="71">ROUND(J105-P105,2)</f>
        <v>0.01</v>
      </c>
      <c r="P105" s="59">
        <f t="shared" ref="P105:P110" si="72">ROUND(J105*$P$9,2)</f>
        <v>0</v>
      </c>
      <c r="Q105" s="58">
        <f t="shared" ref="Q105:Q110" si="73">SUM(O105:P105)</f>
        <v>0.01</v>
      </c>
      <c r="R105" s="258">
        <f t="shared" ref="R105:R110" si="74">+Q105-J105</f>
        <v>-3.4690835817333208E-3</v>
      </c>
    </row>
    <row r="106" spans="1:18" ht="13.2" customHeight="1" x14ac:dyDescent="0.2">
      <c r="A106" s="251">
        <f t="shared" si="45"/>
        <v>96</v>
      </c>
      <c r="C106" s="32" t="str">
        <f>'Adjusted Lamp Cost Allocations'!A103</f>
        <v>53E - Customer Owned</v>
      </c>
      <c r="D106" s="32"/>
      <c r="E106" s="31" t="str">
        <f>'Adjusted Lamp Cost Allocations'!C103</f>
        <v>Metal Halide</v>
      </c>
      <c r="F106" s="30" t="str">
        <f>'Adjusted Lamp Cost Allocations'!D103</f>
        <v>MH 100</v>
      </c>
      <c r="G106" s="54">
        <f>'Adjusted Lamp Cost Allocations'!U103</f>
        <v>0</v>
      </c>
      <c r="H106" s="55">
        <f>'Adjusted Lamp Cost Allocations'!X103</f>
        <v>1.5563681670383042E-2</v>
      </c>
      <c r="I106" s="55">
        <f>'Adjusted Lamp Cost Allocations'!Y103</f>
        <v>3.6778663035217018E-3</v>
      </c>
      <c r="J106" s="55">
        <f t="shared" si="69"/>
        <v>1.9241547973904743E-2</v>
      </c>
      <c r="L106" s="56">
        <v>0</v>
      </c>
      <c r="M106" s="57">
        <f t="shared" si="70"/>
        <v>0</v>
      </c>
      <c r="O106" s="58">
        <f t="shared" si="71"/>
        <v>0.02</v>
      </c>
      <c r="P106" s="59">
        <f t="shared" si="72"/>
        <v>0</v>
      </c>
      <c r="Q106" s="58">
        <f t="shared" si="73"/>
        <v>0.02</v>
      </c>
      <c r="R106" s="258">
        <f t="shared" si="74"/>
        <v>7.5845202609525764E-4</v>
      </c>
    </row>
    <row r="107" spans="1:18" ht="13.2" customHeight="1" x14ac:dyDescent="0.2">
      <c r="A107" s="251">
        <f t="shared" si="45"/>
        <v>97</v>
      </c>
      <c r="C107" s="32" t="str">
        <f>'Adjusted Lamp Cost Allocations'!A104</f>
        <v>53E - Customer Owned</v>
      </c>
      <c r="D107" s="32"/>
      <c r="E107" s="31" t="str">
        <f>'Adjusted Lamp Cost Allocations'!C104</f>
        <v>Metal Halide</v>
      </c>
      <c r="F107" s="30" t="str">
        <f>'Adjusted Lamp Cost Allocations'!D104</f>
        <v>MH 150</v>
      </c>
      <c r="G107" s="54">
        <f>'Adjusted Lamp Cost Allocations'!U104</f>
        <v>0</v>
      </c>
      <c r="H107" s="55">
        <f>'Adjusted Lamp Cost Allocations'!X104</f>
        <v>2.3345522505574565E-2</v>
      </c>
      <c r="I107" s="55">
        <f>'Adjusted Lamp Cost Allocations'!Y104</f>
        <v>5.5167994552825532E-3</v>
      </c>
      <c r="J107" s="55">
        <f t="shared" si="69"/>
        <v>2.8862321960857119E-2</v>
      </c>
      <c r="L107" s="56">
        <v>0</v>
      </c>
      <c r="M107" s="57">
        <f t="shared" si="70"/>
        <v>0</v>
      </c>
      <c r="O107" s="58">
        <f t="shared" si="71"/>
        <v>0.03</v>
      </c>
      <c r="P107" s="59">
        <f t="shared" si="72"/>
        <v>0</v>
      </c>
      <c r="Q107" s="58">
        <f t="shared" si="73"/>
        <v>0.03</v>
      </c>
      <c r="R107" s="258">
        <f t="shared" si="74"/>
        <v>1.1376780391428795E-3</v>
      </c>
    </row>
    <row r="108" spans="1:18" ht="13.2" customHeight="1" x14ac:dyDescent="0.2">
      <c r="A108" s="251">
        <f t="shared" si="45"/>
        <v>98</v>
      </c>
      <c r="C108" s="32" t="str">
        <f>'Adjusted Lamp Cost Allocations'!A105</f>
        <v>53E - Customer Owned</v>
      </c>
      <c r="D108" s="32"/>
      <c r="E108" s="31" t="str">
        <f>'Adjusted Lamp Cost Allocations'!C105</f>
        <v>Metal Halide</v>
      </c>
      <c r="F108" s="30" t="str">
        <f>'Adjusted Lamp Cost Allocations'!D105</f>
        <v>MH 175</v>
      </c>
      <c r="G108" s="54">
        <f>'Adjusted Lamp Cost Allocations'!U105</f>
        <v>0</v>
      </c>
      <c r="H108" s="55">
        <f>'Adjusted Lamp Cost Allocations'!X105</f>
        <v>2.7236442923170321E-2</v>
      </c>
      <c r="I108" s="55">
        <f>'Adjusted Lamp Cost Allocations'!Y105</f>
        <v>6.436266031162978E-3</v>
      </c>
      <c r="J108" s="55">
        <f t="shared" si="69"/>
        <v>3.3672708954333302E-2</v>
      </c>
      <c r="L108" s="56">
        <v>48</v>
      </c>
      <c r="M108" s="57">
        <f t="shared" si="70"/>
        <v>2</v>
      </c>
      <c r="O108" s="58">
        <f t="shared" si="71"/>
        <v>0.03</v>
      </c>
      <c r="P108" s="59">
        <f t="shared" si="72"/>
        <v>0</v>
      </c>
      <c r="Q108" s="58">
        <f t="shared" si="73"/>
        <v>0.03</v>
      </c>
      <c r="R108" s="258">
        <f t="shared" si="74"/>
        <v>-3.6727089543333036E-3</v>
      </c>
    </row>
    <row r="109" spans="1:18" ht="13.2" customHeight="1" x14ac:dyDescent="0.2">
      <c r="A109" s="251">
        <f t="shared" si="45"/>
        <v>99</v>
      </c>
      <c r="C109" s="32" t="str">
        <f>'Adjusted Lamp Cost Allocations'!A106</f>
        <v>53E - Customer Owned</v>
      </c>
      <c r="D109" s="32"/>
      <c r="E109" s="31" t="str">
        <f>'Adjusted Lamp Cost Allocations'!C106</f>
        <v>Metal Halide</v>
      </c>
      <c r="F109" s="30" t="str">
        <f>'Adjusted Lamp Cost Allocations'!D106</f>
        <v>MH 250</v>
      </c>
      <c r="G109" s="54">
        <f>'Adjusted Lamp Cost Allocations'!U106</f>
        <v>0</v>
      </c>
      <c r="H109" s="55">
        <f>'Adjusted Lamp Cost Allocations'!X106</f>
        <v>3.8909204175957605E-2</v>
      </c>
      <c r="I109" s="55">
        <f>'Adjusted Lamp Cost Allocations'!Y106</f>
        <v>9.194665758804255E-3</v>
      </c>
      <c r="J109" s="55">
        <f t="shared" si="69"/>
        <v>4.8103869934761859E-2</v>
      </c>
      <c r="L109" s="56">
        <v>0</v>
      </c>
      <c r="M109" s="57">
        <f t="shared" si="70"/>
        <v>0</v>
      </c>
      <c r="O109" s="58">
        <f t="shared" si="71"/>
        <v>0.05</v>
      </c>
      <c r="P109" s="59">
        <f t="shared" si="72"/>
        <v>0</v>
      </c>
      <c r="Q109" s="58">
        <f t="shared" si="73"/>
        <v>0.05</v>
      </c>
      <c r="R109" s="258">
        <f t="shared" si="74"/>
        <v>1.8961300652381441E-3</v>
      </c>
    </row>
    <row r="110" spans="1:18" ht="13.2" customHeight="1" x14ac:dyDescent="0.2">
      <c r="A110" s="251">
        <f t="shared" si="45"/>
        <v>100</v>
      </c>
      <c r="C110" s="32" t="str">
        <f>'Adjusted Lamp Cost Allocations'!A107</f>
        <v>53E - Customer Owned</v>
      </c>
      <c r="D110" s="32"/>
      <c r="E110" s="31" t="str">
        <f>'Adjusted Lamp Cost Allocations'!C107</f>
        <v>Metal Halide</v>
      </c>
      <c r="F110" s="30" t="str">
        <f>'Adjusted Lamp Cost Allocations'!D107</f>
        <v>MH 400</v>
      </c>
      <c r="G110" s="54">
        <f>'Adjusted Lamp Cost Allocations'!U107</f>
        <v>0</v>
      </c>
      <c r="H110" s="55">
        <f>'Adjusted Lamp Cost Allocations'!X107</f>
        <v>6.2254726681532167E-2</v>
      </c>
      <c r="I110" s="55">
        <f>'Adjusted Lamp Cost Allocations'!Y107</f>
        <v>1.4711465214086807E-2</v>
      </c>
      <c r="J110" s="55">
        <f t="shared" si="69"/>
        <v>7.6966191895618971E-2</v>
      </c>
      <c r="L110" s="56">
        <v>0</v>
      </c>
      <c r="M110" s="57">
        <f t="shared" si="70"/>
        <v>0</v>
      </c>
      <c r="O110" s="58">
        <f t="shared" si="71"/>
        <v>7.0000000000000007E-2</v>
      </c>
      <c r="P110" s="59">
        <f t="shared" si="72"/>
        <v>0.01</v>
      </c>
      <c r="Q110" s="58">
        <f t="shared" si="73"/>
        <v>0.08</v>
      </c>
      <c r="R110" s="258">
        <f t="shared" si="74"/>
        <v>3.0338081043810305E-3</v>
      </c>
    </row>
    <row r="111" spans="1:18" ht="13.2" customHeight="1" x14ac:dyDescent="0.2">
      <c r="A111" s="251">
        <f t="shared" si="45"/>
        <v>101</v>
      </c>
      <c r="C111" s="32"/>
      <c r="D111" s="32"/>
      <c r="E111" s="31"/>
      <c r="F111" s="30"/>
      <c r="G111" s="54"/>
      <c r="H111" s="55"/>
      <c r="I111" s="55"/>
      <c r="J111" s="55"/>
      <c r="L111" s="56"/>
      <c r="M111" s="57"/>
      <c r="O111" s="58"/>
      <c r="P111" s="59"/>
      <c r="Q111" s="59"/>
      <c r="R111" s="69"/>
    </row>
    <row r="112" spans="1:18" ht="13.2" customHeight="1" x14ac:dyDescent="0.2">
      <c r="A112" s="251">
        <f t="shared" si="45"/>
        <v>102</v>
      </c>
      <c r="C112" s="32" t="str">
        <f>'Adjusted Lamp Cost Allocations'!A109</f>
        <v>53E - Customer Owned</v>
      </c>
      <c r="D112" s="32"/>
      <c r="E112" s="31" t="str">
        <f>'Adjusted Lamp Cost Allocations'!C109</f>
        <v>Light Emitting Diode</v>
      </c>
      <c r="F112" s="30" t="str">
        <f>'Adjusted Lamp Cost Allocations'!D109</f>
        <v>LED 0-030</v>
      </c>
      <c r="G112" s="54">
        <f>'Adjusted Lamp Cost Allocations'!U109</f>
        <v>0</v>
      </c>
      <c r="H112" s="55">
        <f>'Adjusted Lamp Cost Allocations'!X109</f>
        <v>2.3345522505574564E-3</v>
      </c>
      <c r="I112" s="55">
        <f>'Adjusted Lamp Cost Allocations'!Y109</f>
        <v>5.5167994552825532E-4</v>
      </c>
      <c r="J112" s="55">
        <f t="shared" ref="J112:J121" si="75">SUM(G112:I112)</f>
        <v>2.8862321960857118E-3</v>
      </c>
      <c r="L112" s="56">
        <v>0</v>
      </c>
      <c r="M112" s="57">
        <f t="shared" ref="M112:M121" si="76">ROUND(L112*J112,0)</f>
        <v>0</v>
      </c>
      <c r="O112" s="58">
        <f t="shared" ref="O112:O121" si="77">ROUND(J112-P112,2)</f>
        <v>0</v>
      </c>
      <c r="P112" s="59">
        <f t="shared" ref="P112:P121" si="78">ROUND(J112*$P$9,2)</f>
        <v>0</v>
      </c>
      <c r="Q112" s="58">
        <f t="shared" ref="Q112:Q121" si="79">SUM(O112:P112)</f>
        <v>0</v>
      </c>
      <c r="R112" s="258">
        <f t="shared" ref="R112:R121" si="80">+Q112-J112</f>
        <v>-2.8862321960857118E-3</v>
      </c>
    </row>
    <row r="113" spans="1:18" ht="13.2" customHeight="1" x14ac:dyDescent="0.2">
      <c r="A113" s="251">
        <f t="shared" si="45"/>
        <v>103</v>
      </c>
      <c r="C113" s="32" t="str">
        <f>'Adjusted Lamp Cost Allocations'!A110</f>
        <v>53E - Customer Owned</v>
      </c>
      <c r="D113" s="32"/>
      <c r="E113" s="31" t="str">
        <f>'Adjusted Lamp Cost Allocations'!C110</f>
        <v>Light Emitting Diode</v>
      </c>
      <c r="F113" s="30" t="str">
        <f>'Adjusted Lamp Cost Allocations'!D110</f>
        <v>LED 030.01-060</v>
      </c>
      <c r="G113" s="54">
        <f>'Adjusted Lamp Cost Allocations'!U110</f>
        <v>0</v>
      </c>
      <c r="H113" s="55">
        <f>'Adjusted Lamp Cost Allocations'!X110</f>
        <v>7.0036567516723689E-3</v>
      </c>
      <c r="I113" s="55">
        <f>'Adjusted Lamp Cost Allocations'!Y110</f>
        <v>1.6550398365847659E-3</v>
      </c>
      <c r="J113" s="55">
        <f t="shared" si="75"/>
        <v>8.6586965882571344E-3</v>
      </c>
      <c r="L113" s="56">
        <v>4632</v>
      </c>
      <c r="M113" s="57">
        <f t="shared" si="76"/>
        <v>40</v>
      </c>
      <c r="O113" s="58">
        <f t="shared" si="77"/>
        <v>0.01</v>
      </c>
      <c r="P113" s="59">
        <f t="shared" si="78"/>
        <v>0</v>
      </c>
      <c r="Q113" s="58">
        <f t="shared" si="79"/>
        <v>0.01</v>
      </c>
      <c r="R113" s="258">
        <f t="shared" si="80"/>
        <v>1.3413034117428658E-3</v>
      </c>
    </row>
    <row r="114" spans="1:18" ht="13.2" customHeight="1" x14ac:dyDescent="0.2">
      <c r="A114" s="251">
        <f t="shared" si="45"/>
        <v>104</v>
      </c>
      <c r="C114" s="32" t="str">
        <f>'Adjusted Lamp Cost Allocations'!A111</f>
        <v>53E - Customer Owned</v>
      </c>
      <c r="D114" s="32"/>
      <c r="E114" s="31" t="str">
        <f>'Adjusted Lamp Cost Allocations'!C111</f>
        <v>Light Emitting Diode</v>
      </c>
      <c r="F114" s="30" t="str">
        <f>'Adjusted Lamp Cost Allocations'!D111</f>
        <v>LED 060.01-090</v>
      </c>
      <c r="G114" s="54">
        <f>'Adjusted Lamp Cost Allocations'!U111</f>
        <v>0</v>
      </c>
      <c r="H114" s="55">
        <f>'Adjusted Lamp Cost Allocations'!X111</f>
        <v>1.1672761252787283E-2</v>
      </c>
      <c r="I114" s="55">
        <f>'Adjusted Lamp Cost Allocations'!Y111</f>
        <v>2.7583997276412766E-3</v>
      </c>
      <c r="J114" s="55">
        <f t="shared" si="75"/>
        <v>1.443116098042856E-2</v>
      </c>
      <c r="L114" s="56">
        <v>1992</v>
      </c>
      <c r="M114" s="57">
        <f t="shared" si="76"/>
        <v>29</v>
      </c>
      <c r="O114" s="58">
        <f t="shared" si="77"/>
        <v>0.01</v>
      </c>
      <c r="P114" s="59">
        <f t="shared" si="78"/>
        <v>0</v>
      </c>
      <c r="Q114" s="58">
        <f t="shared" si="79"/>
        <v>0.01</v>
      </c>
      <c r="R114" s="258">
        <f t="shared" si="80"/>
        <v>-4.4311609804285595E-3</v>
      </c>
    </row>
    <row r="115" spans="1:18" ht="13.2" customHeight="1" x14ac:dyDescent="0.2">
      <c r="A115" s="251">
        <f t="shared" si="45"/>
        <v>105</v>
      </c>
      <c r="C115" s="32" t="str">
        <f>'Adjusted Lamp Cost Allocations'!A112</f>
        <v>53E - Customer Owned</v>
      </c>
      <c r="D115" s="32"/>
      <c r="E115" s="31" t="str">
        <f>'Adjusted Lamp Cost Allocations'!C112</f>
        <v>Light Emitting Diode</v>
      </c>
      <c r="F115" s="30" t="str">
        <f>'Adjusted Lamp Cost Allocations'!D112</f>
        <v>LED 090.01-120</v>
      </c>
      <c r="G115" s="54">
        <f>'Adjusted Lamp Cost Allocations'!U112</f>
        <v>0</v>
      </c>
      <c r="H115" s="55">
        <f>'Adjusted Lamp Cost Allocations'!X112</f>
        <v>1.6341865753902195E-2</v>
      </c>
      <c r="I115" s="55">
        <f>'Adjusted Lamp Cost Allocations'!Y112</f>
        <v>3.8617596186977872E-3</v>
      </c>
      <c r="J115" s="55">
        <f t="shared" si="75"/>
        <v>2.0203625372599981E-2</v>
      </c>
      <c r="L115" s="56">
        <v>5256</v>
      </c>
      <c r="M115" s="57">
        <f t="shared" si="76"/>
        <v>106</v>
      </c>
      <c r="O115" s="58">
        <f t="shared" si="77"/>
        <v>0.02</v>
      </c>
      <c r="P115" s="59">
        <f t="shared" si="78"/>
        <v>0</v>
      </c>
      <c r="Q115" s="58">
        <f t="shared" si="79"/>
        <v>0.02</v>
      </c>
      <c r="R115" s="258">
        <f t="shared" si="80"/>
        <v>-2.0362537259998106E-4</v>
      </c>
    </row>
    <row r="116" spans="1:18" ht="13.2" customHeight="1" x14ac:dyDescent="0.2">
      <c r="A116" s="251">
        <f t="shared" si="45"/>
        <v>106</v>
      </c>
      <c r="C116" s="32" t="str">
        <f>'Adjusted Lamp Cost Allocations'!A113</f>
        <v>53E - Customer Owned</v>
      </c>
      <c r="D116" s="32"/>
      <c r="E116" s="31" t="str">
        <f>'Adjusted Lamp Cost Allocations'!C113</f>
        <v>Light Emitting Diode</v>
      </c>
      <c r="F116" s="30" t="str">
        <f>'Adjusted Lamp Cost Allocations'!D113</f>
        <v>LED 120.01-150</v>
      </c>
      <c r="G116" s="54">
        <f>'Adjusted Lamp Cost Allocations'!U113</f>
        <v>0</v>
      </c>
      <c r="H116" s="55">
        <f>'Adjusted Lamp Cost Allocations'!X113</f>
        <v>2.1010970255017105E-2</v>
      </c>
      <c r="I116" s="55">
        <f>'Adjusted Lamp Cost Allocations'!Y113</f>
        <v>4.9651195097542974E-3</v>
      </c>
      <c r="J116" s="55">
        <f t="shared" si="75"/>
        <v>2.5976089764771403E-2</v>
      </c>
      <c r="L116" s="56">
        <v>1176</v>
      </c>
      <c r="M116" s="57">
        <f t="shared" si="76"/>
        <v>31</v>
      </c>
      <c r="O116" s="58">
        <f t="shared" si="77"/>
        <v>0.03</v>
      </c>
      <c r="P116" s="59">
        <f t="shared" si="78"/>
        <v>0</v>
      </c>
      <c r="Q116" s="58">
        <f t="shared" si="79"/>
        <v>0.03</v>
      </c>
      <c r="R116" s="258">
        <f t="shared" si="80"/>
        <v>4.0239102352285956E-3</v>
      </c>
    </row>
    <row r="117" spans="1:18" ht="13.2" customHeight="1" x14ac:dyDescent="0.2">
      <c r="A117" s="251">
        <f t="shared" si="45"/>
        <v>107</v>
      </c>
      <c r="C117" s="32" t="str">
        <f>'Adjusted Lamp Cost Allocations'!A114</f>
        <v>53E - Customer Owned</v>
      </c>
      <c r="D117" s="32"/>
      <c r="E117" s="31" t="str">
        <f>'Adjusted Lamp Cost Allocations'!C114</f>
        <v>Light Emitting Diode</v>
      </c>
      <c r="F117" s="30" t="str">
        <f>'Adjusted Lamp Cost Allocations'!D114</f>
        <v>LED 150.01-180</v>
      </c>
      <c r="G117" s="54">
        <f>'Adjusted Lamp Cost Allocations'!U114</f>
        <v>0</v>
      </c>
      <c r="H117" s="55">
        <f>'Adjusted Lamp Cost Allocations'!X114</f>
        <v>2.5680074756132019E-2</v>
      </c>
      <c r="I117" s="55">
        <f>'Adjusted Lamp Cost Allocations'!Y114</f>
        <v>6.068479400810808E-3</v>
      </c>
      <c r="J117" s="55">
        <f t="shared" si="75"/>
        <v>3.1748554156942825E-2</v>
      </c>
      <c r="L117" s="56">
        <v>3024</v>
      </c>
      <c r="M117" s="57">
        <f t="shared" si="76"/>
        <v>96</v>
      </c>
      <c r="O117" s="58">
        <f t="shared" si="77"/>
        <v>0.03</v>
      </c>
      <c r="P117" s="59">
        <f t="shared" si="78"/>
        <v>0</v>
      </c>
      <c r="Q117" s="58">
        <f t="shared" si="79"/>
        <v>0.03</v>
      </c>
      <c r="R117" s="258">
        <f t="shared" si="80"/>
        <v>-1.7485541569428262E-3</v>
      </c>
    </row>
    <row r="118" spans="1:18" ht="13.2" customHeight="1" x14ac:dyDescent="0.2">
      <c r="A118" s="251">
        <f t="shared" si="45"/>
        <v>108</v>
      </c>
      <c r="C118" s="32" t="str">
        <f>'Adjusted Lamp Cost Allocations'!A115</f>
        <v>53E - Customer Owned</v>
      </c>
      <c r="D118" s="32"/>
      <c r="E118" s="31" t="str">
        <f>'Adjusted Lamp Cost Allocations'!C115</f>
        <v>Light Emitting Diode</v>
      </c>
      <c r="F118" s="30" t="str">
        <f>'Adjusted Lamp Cost Allocations'!D115</f>
        <v>LED 180.01-210</v>
      </c>
      <c r="G118" s="54">
        <f>'Adjusted Lamp Cost Allocations'!U115</f>
        <v>0</v>
      </c>
      <c r="H118" s="55">
        <f>'Adjusted Lamp Cost Allocations'!X115</f>
        <v>3.0349179257246929E-2</v>
      </c>
      <c r="I118" s="55">
        <f>'Adjusted Lamp Cost Allocations'!Y115</f>
        <v>7.1718392918673187E-3</v>
      </c>
      <c r="J118" s="55">
        <f t="shared" si="75"/>
        <v>3.752101854911425E-2</v>
      </c>
      <c r="L118" s="56">
        <v>1236</v>
      </c>
      <c r="M118" s="57">
        <f t="shared" si="76"/>
        <v>46</v>
      </c>
      <c r="O118" s="58">
        <f t="shared" si="77"/>
        <v>0.04</v>
      </c>
      <c r="P118" s="59">
        <f t="shared" si="78"/>
        <v>0</v>
      </c>
      <c r="Q118" s="58">
        <f t="shared" si="79"/>
        <v>0.04</v>
      </c>
      <c r="R118" s="258">
        <f t="shared" si="80"/>
        <v>2.4789814508857505E-3</v>
      </c>
    </row>
    <row r="119" spans="1:18" ht="13.2" customHeight="1" x14ac:dyDescent="0.2">
      <c r="A119" s="251">
        <f t="shared" si="45"/>
        <v>109</v>
      </c>
      <c r="C119" s="32" t="str">
        <f>'Adjusted Lamp Cost Allocations'!A116</f>
        <v>53E - Customer Owned</v>
      </c>
      <c r="D119" s="32"/>
      <c r="E119" s="31" t="str">
        <f>'Adjusted Lamp Cost Allocations'!C116</f>
        <v>Light Emitting Diode</v>
      </c>
      <c r="F119" s="30" t="str">
        <f>'Adjusted Lamp Cost Allocations'!D116</f>
        <v>LED 210.01-240</v>
      </c>
      <c r="G119" s="54">
        <f>'Adjusted Lamp Cost Allocations'!U116</f>
        <v>0</v>
      </c>
      <c r="H119" s="55">
        <f>'Adjusted Lamp Cost Allocations'!X116</f>
        <v>3.501828375836185E-2</v>
      </c>
      <c r="I119" s="55">
        <f>'Adjusted Lamp Cost Allocations'!Y116</f>
        <v>8.2751991829238293E-3</v>
      </c>
      <c r="J119" s="55">
        <f t="shared" si="75"/>
        <v>4.3293482941285683E-2</v>
      </c>
      <c r="L119" s="56">
        <v>0</v>
      </c>
      <c r="M119" s="57">
        <f t="shared" si="76"/>
        <v>0</v>
      </c>
      <c r="O119" s="58">
        <f t="shared" si="77"/>
        <v>0.04</v>
      </c>
      <c r="P119" s="59">
        <f t="shared" si="78"/>
        <v>0</v>
      </c>
      <c r="Q119" s="58">
        <f t="shared" si="79"/>
        <v>0.04</v>
      </c>
      <c r="R119" s="258">
        <f t="shared" si="80"/>
        <v>-3.2934829412856817E-3</v>
      </c>
    </row>
    <row r="120" spans="1:18" ht="13.2" customHeight="1" x14ac:dyDescent="0.2">
      <c r="A120" s="251">
        <f t="shared" si="45"/>
        <v>110</v>
      </c>
      <c r="C120" s="32" t="str">
        <f>'Adjusted Lamp Cost Allocations'!A117</f>
        <v>53E - Customer Owned</v>
      </c>
      <c r="D120" s="32"/>
      <c r="E120" s="31" t="str">
        <f>'Adjusted Lamp Cost Allocations'!C117</f>
        <v>Light Emitting Diode</v>
      </c>
      <c r="F120" s="30" t="str">
        <f>'Adjusted Lamp Cost Allocations'!D117</f>
        <v>LED 240.01-270</v>
      </c>
      <c r="G120" s="54">
        <f>'Adjusted Lamp Cost Allocations'!U117</f>
        <v>0</v>
      </c>
      <c r="H120" s="55">
        <f>'Adjusted Lamp Cost Allocations'!X117</f>
        <v>3.9687388259476757E-2</v>
      </c>
      <c r="I120" s="55">
        <f>'Adjusted Lamp Cost Allocations'!Y117</f>
        <v>9.3785590739803391E-3</v>
      </c>
      <c r="J120" s="55">
        <f t="shared" si="75"/>
        <v>4.9065947333457094E-2</v>
      </c>
      <c r="L120" s="56">
        <v>24</v>
      </c>
      <c r="M120" s="57">
        <f t="shared" si="76"/>
        <v>1</v>
      </c>
      <c r="O120" s="58">
        <f t="shared" si="77"/>
        <v>0.05</v>
      </c>
      <c r="P120" s="59">
        <f t="shared" si="78"/>
        <v>0</v>
      </c>
      <c r="Q120" s="58">
        <f t="shared" si="79"/>
        <v>0.05</v>
      </c>
      <c r="R120" s="258">
        <f t="shared" si="80"/>
        <v>9.3405266654290886E-4</v>
      </c>
    </row>
    <row r="121" spans="1:18" ht="13.2" customHeight="1" x14ac:dyDescent="0.2">
      <c r="A121" s="251">
        <f t="shared" si="45"/>
        <v>111</v>
      </c>
      <c r="C121" s="32" t="str">
        <f>'Adjusted Lamp Cost Allocations'!A118</f>
        <v>53E - Customer Owned</v>
      </c>
      <c r="D121" s="32"/>
      <c r="E121" s="31" t="str">
        <f>'Adjusted Lamp Cost Allocations'!C118</f>
        <v>Light Emitting Diode</v>
      </c>
      <c r="F121" s="30" t="str">
        <f>'Adjusted Lamp Cost Allocations'!D118</f>
        <v>LED 270.01-300</v>
      </c>
      <c r="G121" s="54">
        <f>'Adjusted Lamp Cost Allocations'!U118</f>
        <v>0</v>
      </c>
      <c r="H121" s="55">
        <f>'Adjusted Lamp Cost Allocations'!X118</f>
        <v>4.435649276059167E-2</v>
      </c>
      <c r="I121" s="55">
        <f>'Adjusted Lamp Cost Allocations'!Y118</f>
        <v>1.0481918965036851E-2</v>
      </c>
      <c r="J121" s="55">
        <f t="shared" si="75"/>
        <v>5.4838411725628519E-2</v>
      </c>
      <c r="L121" s="56">
        <v>0</v>
      </c>
      <c r="M121" s="57">
        <f t="shared" si="76"/>
        <v>0</v>
      </c>
      <c r="O121" s="58">
        <f t="shared" si="77"/>
        <v>0.05</v>
      </c>
      <c r="P121" s="59">
        <f t="shared" si="78"/>
        <v>0</v>
      </c>
      <c r="Q121" s="58">
        <f t="shared" si="79"/>
        <v>0.05</v>
      </c>
      <c r="R121" s="258">
        <f t="shared" si="80"/>
        <v>-4.8384117256285164E-3</v>
      </c>
    </row>
    <row r="122" spans="1:18" ht="13.2" customHeight="1" x14ac:dyDescent="0.2">
      <c r="A122" s="251">
        <f t="shared" si="45"/>
        <v>112</v>
      </c>
      <c r="B122" s="32" t="str">
        <f>'Adjusted Lamp Cost Allocations'!A119</f>
        <v>Sch 54E</v>
      </c>
      <c r="C122" s="48"/>
      <c r="D122" s="48"/>
      <c r="E122" s="31"/>
      <c r="F122" s="30"/>
      <c r="G122" s="54"/>
      <c r="H122" s="55"/>
      <c r="I122" s="55"/>
      <c r="J122" s="55"/>
      <c r="L122" s="56"/>
      <c r="M122" s="57"/>
      <c r="O122" s="58"/>
      <c r="P122" s="59"/>
      <c r="Q122" s="59"/>
      <c r="R122" s="69"/>
    </row>
    <row r="123" spans="1:18" ht="13.2" customHeight="1" x14ac:dyDescent="0.2">
      <c r="A123" s="251">
        <f t="shared" si="45"/>
        <v>113</v>
      </c>
      <c r="C123" s="32" t="str">
        <f>'Adjusted Lamp Cost Allocations'!A120</f>
        <v>54E</v>
      </c>
      <c r="D123" s="32"/>
      <c r="E123" s="31" t="str">
        <f>'Adjusted Lamp Cost Allocations'!C120</f>
        <v>Sodium Vapor</v>
      </c>
      <c r="F123" s="30" t="str">
        <f>'Adjusted Lamp Cost Allocations'!D120</f>
        <v>SV 050</v>
      </c>
      <c r="G123" s="54">
        <f>'Adjusted Lamp Cost Allocations'!U120</f>
        <v>0</v>
      </c>
      <c r="H123" s="55">
        <f>'Adjusted Lamp Cost Allocations'!X120</f>
        <v>7.7818408351915209E-3</v>
      </c>
      <c r="I123" s="55">
        <f>'Adjusted Lamp Cost Allocations'!Y120</f>
        <v>1.8389331517608509E-3</v>
      </c>
      <c r="J123" s="55">
        <f t="shared" ref="J123:J131" si="81">SUM(G123:I123)</f>
        <v>9.6207739869523714E-3</v>
      </c>
      <c r="L123" s="56">
        <v>456</v>
      </c>
      <c r="M123" s="57">
        <f t="shared" ref="M123:M131" si="82">ROUND(L123*J123,0)</f>
        <v>4</v>
      </c>
      <c r="O123" s="58">
        <f t="shared" ref="O123:O131" si="83">ROUND(J123-P123,2)</f>
        <v>0.01</v>
      </c>
      <c r="P123" s="59">
        <f t="shared" ref="P123:P131" si="84">ROUND(J123*$P$9,2)</f>
        <v>0</v>
      </c>
      <c r="Q123" s="58">
        <f t="shared" ref="Q123:Q131" si="85">SUM(O123:P123)</f>
        <v>0.01</v>
      </c>
      <c r="R123" s="258">
        <f t="shared" ref="R123:R131" si="86">+Q123-J123</f>
        <v>3.7922601304762882E-4</v>
      </c>
    </row>
    <row r="124" spans="1:18" ht="13.2" customHeight="1" x14ac:dyDescent="0.2">
      <c r="A124" s="251">
        <f t="shared" ref="A124:A187" si="87">A123+1</f>
        <v>114</v>
      </c>
      <c r="C124" s="32" t="str">
        <f>'Adjusted Lamp Cost Allocations'!A121</f>
        <v>54E</v>
      </c>
      <c r="D124" s="32"/>
      <c r="E124" s="31" t="str">
        <f>'Adjusted Lamp Cost Allocations'!C121</f>
        <v>Sodium Vapor</v>
      </c>
      <c r="F124" s="30" t="str">
        <f>'Adjusted Lamp Cost Allocations'!D121</f>
        <v>SV 070</v>
      </c>
      <c r="G124" s="54">
        <f>'Adjusted Lamp Cost Allocations'!U121</f>
        <v>0</v>
      </c>
      <c r="H124" s="55">
        <f>'Adjusted Lamp Cost Allocations'!X121</f>
        <v>1.089457716926813E-2</v>
      </c>
      <c r="I124" s="55">
        <f>'Adjusted Lamp Cost Allocations'!Y121</f>
        <v>2.5745064124651912E-3</v>
      </c>
      <c r="J124" s="55">
        <f t="shared" si="81"/>
        <v>1.3469083581733321E-2</v>
      </c>
      <c r="L124" s="56">
        <v>1800</v>
      </c>
      <c r="M124" s="57">
        <f t="shared" si="82"/>
        <v>24</v>
      </c>
      <c r="O124" s="58">
        <f t="shared" si="83"/>
        <v>0.01</v>
      </c>
      <c r="P124" s="59">
        <f t="shared" si="84"/>
        <v>0</v>
      </c>
      <c r="Q124" s="58">
        <f t="shared" si="85"/>
        <v>0.01</v>
      </c>
      <c r="R124" s="258">
        <f t="shared" si="86"/>
        <v>-3.4690835817333208E-3</v>
      </c>
    </row>
    <row r="125" spans="1:18" ht="13.2" customHeight="1" x14ac:dyDescent="0.2">
      <c r="A125" s="251">
        <f t="shared" si="87"/>
        <v>115</v>
      </c>
      <c r="C125" s="32" t="str">
        <f>'Adjusted Lamp Cost Allocations'!A122</f>
        <v>54E</v>
      </c>
      <c r="D125" s="32"/>
      <c r="E125" s="31" t="str">
        <f>'Adjusted Lamp Cost Allocations'!C122</f>
        <v>Sodium Vapor</v>
      </c>
      <c r="F125" s="30" t="str">
        <f>'Adjusted Lamp Cost Allocations'!D122</f>
        <v>SV 100</v>
      </c>
      <c r="G125" s="54">
        <f>'Adjusted Lamp Cost Allocations'!U122</f>
        <v>0</v>
      </c>
      <c r="H125" s="55">
        <f>'Adjusted Lamp Cost Allocations'!X122</f>
        <v>1.5563681670383042E-2</v>
      </c>
      <c r="I125" s="55">
        <f>'Adjusted Lamp Cost Allocations'!Y122</f>
        <v>3.6778663035217018E-3</v>
      </c>
      <c r="J125" s="55">
        <f t="shared" si="81"/>
        <v>1.9241547973904743E-2</v>
      </c>
      <c r="L125" s="56">
        <v>11712</v>
      </c>
      <c r="M125" s="57">
        <f t="shared" si="82"/>
        <v>225</v>
      </c>
      <c r="O125" s="58">
        <f t="shared" si="83"/>
        <v>0.02</v>
      </c>
      <c r="P125" s="59">
        <f t="shared" si="84"/>
        <v>0</v>
      </c>
      <c r="Q125" s="58">
        <f t="shared" si="85"/>
        <v>0.02</v>
      </c>
      <c r="R125" s="258">
        <f t="shared" si="86"/>
        <v>7.5845202609525764E-4</v>
      </c>
    </row>
    <row r="126" spans="1:18" ht="13.2" customHeight="1" x14ac:dyDescent="0.2">
      <c r="A126" s="251">
        <f t="shared" si="87"/>
        <v>116</v>
      </c>
      <c r="C126" s="32" t="str">
        <f>'Adjusted Lamp Cost Allocations'!A123</f>
        <v>54E</v>
      </c>
      <c r="D126" s="32"/>
      <c r="E126" s="31" t="str">
        <f>'Adjusted Lamp Cost Allocations'!C123</f>
        <v>Sodium Vapor</v>
      </c>
      <c r="F126" s="30" t="str">
        <f>'Adjusted Lamp Cost Allocations'!D123</f>
        <v>SV 150</v>
      </c>
      <c r="G126" s="54">
        <f>'Adjusted Lamp Cost Allocations'!U123</f>
        <v>0</v>
      </c>
      <c r="H126" s="55">
        <f>'Adjusted Lamp Cost Allocations'!X123</f>
        <v>2.3345522505574565E-2</v>
      </c>
      <c r="I126" s="55">
        <f>'Adjusted Lamp Cost Allocations'!Y123</f>
        <v>5.5167994552825532E-3</v>
      </c>
      <c r="J126" s="55">
        <f t="shared" si="81"/>
        <v>2.8862321960857119E-2</v>
      </c>
      <c r="L126" s="56">
        <v>4212</v>
      </c>
      <c r="M126" s="57">
        <f t="shared" si="82"/>
        <v>122</v>
      </c>
      <c r="O126" s="58">
        <f t="shared" si="83"/>
        <v>0.03</v>
      </c>
      <c r="P126" s="59">
        <f t="shared" si="84"/>
        <v>0</v>
      </c>
      <c r="Q126" s="58">
        <f t="shared" si="85"/>
        <v>0.03</v>
      </c>
      <c r="R126" s="258">
        <f t="shared" si="86"/>
        <v>1.1376780391428795E-3</v>
      </c>
    </row>
    <row r="127" spans="1:18" ht="13.2" customHeight="1" x14ac:dyDescent="0.2">
      <c r="A127" s="251">
        <f t="shared" si="87"/>
        <v>117</v>
      </c>
      <c r="B127" s="48"/>
      <c r="C127" s="32" t="str">
        <f>'Adjusted Lamp Cost Allocations'!A124</f>
        <v>54E</v>
      </c>
      <c r="D127" s="32"/>
      <c r="E127" s="31" t="str">
        <f>'Adjusted Lamp Cost Allocations'!C124</f>
        <v>Sodium Vapor</v>
      </c>
      <c r="F127" s="30" t="str">
        <f>'Adjusted Lamp Cost Allocations'!D124</f>
        <v>SV 200</v>
      </c>
      <c r="G127" s="54">
        <f>'Adjusted Lamp Cost Allocations'!U124</f>
        <v>0</v>
      </c>
      <c r="H127" s="55">
        <f>'Adjusted Lamp Cost Allocations'!X124</f>
        <v>3.1127363340766084E-2</v>
      </c>
      <c r="I127" s="55">
        <f>'Adjusted Lamp Cost Allocations'!Y124</f>
        <v>7.3557326070434036E-3</v>
      </c>
      <c r="J127" s="55">
        <f t="shared" si="81"/>
        <v>3.8483095947809486E-2</v>
      </c>
      <c r="L127" s="56">
        <v>3444</v>
      </c>
      <c r="M127" s="57">
        <f t="shared" si="82"/>
        <v>133</v>
      </c>
      <c r="O127" s="58">
        <f t="shared" si="83"/>
        <v>0.04</v>
      </c>
      <c r="P127" s="59">
        <f t="shared" si="84"/>
        <v>0</v>
      </c>
      <c r="Q127" s="58">
        <f t="shared" si="85"/>
        <v>0.04</v>
      </c>
      <c r="R127" s="258">
        <f t="shared" si="86"/>
        <v>1.5169040521905153E-3</v>
      </c>
    </row>
    <row r="128" spans="1:18" ht="13.2" customHeight="1" x14ac:dyDescent="0.2">
      <c r="A128" s="251">
        <f t="shared" si="87"/>
        <v>118</v>
      </c>
      <c r="C128" s="32" t="str">
        <f>'Adjusted Lamp Cost Allocations'!A125</f>
        <v>54E</v>
      </c>
      <c r="D128" s="32"/>
      <c r="E128" s="31" t="str">
        <f>'Adjusted Lamp Cost Allocations'!C125</f>
        <v>Sodium Vapor</v>
      </c>
      <c r="F128" s="30" t="str">
        <f>'Adjusted Lamp Cost Allocations'!D125</f>
        <v>SV 250</v>
      </c>
      <c r="G128" s="54">
        <f>'Adjusted Lamp Cost Allocations'!U125</f>
        <v>0</v>
      </c>
      <c r="H128" s="55">
        <f>'Adjusted Lamp Cost Allocations'!X125</f>
        <v>3.8909204175957605E-2</v>
      </c>
      <c r="I128" s="55">
        <f>'Adjusted Lamp Cost Allocations'!Y125</f>
        <v>9.194665758804255E-3</v>
      </c>
      <c r="J128" s="55">
        <f t="shared" si="81"/>
        <v>4.8103869934761859E-2</v>
      </c>
      <c r="L128" s="56">
        <v>3552</v>
      </c>
      <c r="M128" s="57">
        <f t="shared" si="82"/>
        <v>171</v>
      </c>
      <c r="O128" s="58">
        <f t="shared" si="83"/>
        <v>0.05</v>
      </c>
      <c r="P128" s="59">
        <f t="shared" si="84"/>
        <v>0</v>
      </c>
      <c r="Q128" s="58">
        <f t="shared" si="85"/>
        <v>0.05</v>
      </c>
      <c r="R128" s="258">
        <f t="shared" si="86"/>
        <v>1.8961300652381441E-3</v>
      </c>
    </row>
    <row r="129" spans="1:18" ht="13.2" customHeight="1" x14ac:dyDescent="0.2">
      <c r="A129" s="251">
        <f t="shared" si="87"/>
        <v>119</v>
      </c>
      <c r="C129" s="32" t="str">
        <f>'Adjusted Lamp Cost Allocations'!A126</f>
        <v>54E</v>
      </c>
      <c r="D129" s="32"/>
      <c r="E129" s="31" t="str">
        <f>'Adjusted Lamp Cost Allocations'!C126</f>
        <v>Sodium Vapor</v>
      </c>
      <c r="F129" s="30" t="str">
        <f>'Adjusted Lamp Cost Allocations'!D126</f>
        <v>SV 310</v>
      </c>
      <c r="G129" s="54">
        <f>'Adjusted Lamp Cost Allocations'!U126</f>
        <v>0</v>
      </c>
      <c r="H129" s="55">
        <f>'Adjusted Lamp Cost Allocations'!X126</f>
        <v>4.8247413178187426E-2</v>
      </c>
      <c r="I129" s="55">
        <f>'Adjusted Lamp Cost Allocations'!Y126</f>
        <v>1.1401385540917276E-2</v>
      </c>
      <c r="J129" s="55">
        <f t="shared" si="81"/>
        <v>5.9648798719104702E-2</v>
      </c>
      <c r="L129" s="56">
        <v>660</v>
      </c>
      <c r="M129" s="57">
        <f t="shared" si="82"/>
        <v>39</v>
      </c>
      <c r="O129" s="58">
        <f t="shared" si="83"/>
        <v>0.06</v>
      </c>
      <c r="P129" s="59">
        <f t="shared" si="84"/>
        <v>0</v>
      </c>
      <c r="Q129" s="58">
        <f t="shared" si="85"/>
        <v>0.06</v>
      </c>
      <c r="R129" s="258">
        <f t="shared" si="86"/>
        <v>3.5120128089529551E-4</v>
      </c>
    </row>
    <row r="130" spans="1:18" ht="13.2" customHeight="1" x14ac:dyDescent="0.2">
      <c r="A130" s="251">
        <f t="shared" si="87"/>
        <v>120</v>
      </c>
      <c r="C130" s="32" t="str">
        <f>'Adjusted Lamp Cost Allocations'!A127</f>
        <v>54E</v>
      </c>
      <c r="D130" s="32"/>
      <c r="E130" s="31" t="str">
        <f>'Adjusted Lamp Cost Allocations'!C127</f>
        <v>Sodium Vapor</v>
      </c>
      <c r="F130" s="30" t="str">
        <f>'Adjusted Lamp Cost Allocations'!D127</f>
        <v>SV 400</v>
      </c>
      <c r="G130" s="54">
        <f>'Adjusted Lamp Cost Allocations'!U127</f>
        <v>0</v>
      </c>
      <c r="H130" s="55">
        <f>'Adjusted Lamp Cost Allocations'!X127</f>
        <v>6.2254726681532167E-2</v>
      </c>
      <c r="I130" s="55">
        <f>'Adjusted Lamp Cost Allocations'!Y127</f>
        <v>1.4711465214086807E-2</v>
      </c>
      <c r="J130" s="55">
        <f t="shared" si="81"/>
        <v>7.6966191895618971E-2</v>
      </c>
      <c r="L130" s="56">
        <v>6696</v>
      </c>
      <c r="M130" s="57">
        <f t="shared" si="82"/>
        <v>515</v>
      </c>
      <c r="O130" s="58">
        <f t="shared" si="83"/>
        <v>7.0000000000000007E-2</v>
      </c>
      <c r="P130" s="59">
        <f t="shared" si="84"/>
        <v>0.01</v>
      </c>
      <c r="Q130" s="58">
        <f t="shared" si="85"/>
        <v>0.08</v>
      </c>
      <c r="R130" s="258">
        <f t="shared" si="86"/>
        <v>3.0338081043810305E-3</v>
      </c>
    </row>
    <row r="131" spans="1:18" ht="13.2" customHeight="1" x14ac:dyDescent="0.2">
      <c r="A131" s="251">
        <f t="shared" si="87"/>
        <v>121</v>
      </c>
      <c r="C131" s="32" t="str">
        <f>'Adjusted Lamp Cost Allocations'!A128</f>
        <v>54E</v>
      </c>
      <c r="D131" s="32"/>
      <c r="E131" s="31" t="str">
        <f>'Adjusted Lamp Cost Allocations'!C128</f>
        <v>Sodium Vapor</v>
      </c>
      <c r="F131" s="30" t="str">
        <f>'Adjusted Lamp Cost Allocations'!D128</f>
        <v>SV 1000</v>
      </c>
      <c r="G131" s="54">
        <f>'Adjusted Lamp Cost Allocations'!U128</f>
        <v>0</v>
      </c>
      <c r="H131" s="55">
        <f>'Adjusted Lamp Cost Allocations'!X128</f>
        <v>0.15563681670383042</v>
      </c>
      <c r="I131" s="55">
        <f>'Adjusted Lamp Cost Allocations'!Y128</f>
        <v>3.677866303521702E-2</v>
      </c>
      <c r="J131" s="55">
        <f t="shared" si="81"/>
        <v>0.19241547973904743</v>
      </c>
      <c r="L131" s="56">
        <v>0</v>
      </c>
      <c r="M131" s="57">
        <f t="shared" si="82"/>
        <v>0</v>
      </c>
      <c r="O131" s="58">
        <f t="shared" si="83"/>
        <v>0.18</v>
      </c>
      <c r="P131" s="59">
        <f t="shared" si="84"/>
        <v>0.01</v>
      </c>
      <c r="Q131" s="58">
        <f t="shared" si="85"/>
        <v>0.19</v>
      </c>
      <c r="R131" s="258">
        <f t="shared" si="86"/>
        <v>-2.4154797390474325E-3</v>
      </c>
    </row>
    <row r="132" spans="1:18" ht="13.2" customHeight="1" x14ac:dyDescent="0.2">
      <c r="A132" s="251">
        <f t="shared" si="87"/>
        <v>122</v>
      </c>
      <c r="C132" s="32"/>
      <c r="D132" s="32"/>
      <c r="E132" s="31"/>
      <c r="F132" s="30"/>
      <c r="G132" s="54"/>
      <c r="H132" s="55"/>
      <c r="I132" s="55"/>
      <c r="J132" s="55"/>
      <c r="L132" s="56"/>
      <c r="M132" s="57"/>
      <c r="O132" s="58"/>
      <c r="P132" s="59"/>
      <c r="Q132" s="59"/>
      <c r="R132" s="69"/>
    </row>
    <row r="133" spans="1:18" ht="13.2" customHeight="1" x14ac:dyDescent="0.2">
      <c r="A133" s="251">
        <f t="shared" si="87"/>
        <v>123</v>
      </c>
      <c r="C133" s="32" t="str">
        <f>'Adjusted Lamp Cost Allocations'!A130</f>
        <v>54E</v>
      </c>
      <c r="D133" s="32"/>
      <c r="E133" s="31" t="str">
        <f>'Adjusted Lamp Cost Allocations'!C130</f>
        <v>Light Emitting Diode</v>
      </c>
      <c r="F133" s="30" t="str">
        <f>'Adjusted Lamp Cost Allocations'!D130</f>
        <v>LED 0-030</v>
      </c>
      <c r="G133" s="54">
        <f>'Adjusted Lamp Cost Allocations'!U130</f>
        <v>0</v>
      </c>
      <c r="H133" s="55">
        <f>'Adjusted Lamp Cost Allocations'!X130</f>
        <v>2.3345522505574564E-3</v>
      </c>
      <c r="I133" s="55">
        <f>'Adjusted Lamp Cost Allocations'!Y130</f>
        <v>5.5167994552825532E-4</v>
      </c>
      <c r="J133" s="55">
        <f t="shared" ref="J133:J142" si="88">SUM(G133:I133)</f>
        <v>2.8862321960857118E-3</v>
      </c>
      <c r="L133" s="56">
        <v>0</v>
      </c>
      <c r="M133" s="57">
        <f t="shared" ref="M133:M142" si="89">ROUND(L133*J133,0)</f>
        <v>0</v>
      </c>
      <c r="O133" s="58">
        <f t="shared" ref="O133:O142" si="90">ROUND(J133-P133,2)</f>
        <v>0</v>
      </c>
      <c r="P133" s="59">
        <f t="shared" ref="P133:P142" si="91">ROUND(J133*$P$9,2)</f>
        <v>0</v>
      </c>
      <c r="Q133" s="58">
        <f t="shared" ref="Q133:Q142" si="92">SUM(O133:P133)</f>
        <v>0</v>
      </c>
      <c r="R133" s="258">
        <f t="shared" ref="R133:R142" si="93">+Q133-J133</f>
        <v>-2.8862321960857118E-3</v>
      </c>
    </row>
    <row r="134" spans="1:18" ht="13.2" customHeight="1" x14ac:dyDescent="0.2">
      <c r="A134" s="251">
        <f t="shared" si="87"/>
        <v>124</v>
      </c>
      <c r="C134" s="32" t="str">
        <f>'Adjusted Lamp Cost Allocations'!A131</f>
        <v>54E</v>
      </c>
      <c r="D134" s="32"/>
      <c r="E134" s="31" t="str">
        <f>'Adjusted Lamp Cost Allocations'!C131</f>
        <v>Light Emitting Diode</v>
      </c>
      <c r="F134" s="30" t="str">
        <f>'Adjusted Lamp Cost Allocations'!D131</f>
        <v>LED 030.01-060</v>
      </c>
      <c r="G134" s="54">
        <f>'Adjusted Lamp Cost Allocations'!U131</f>
        <v>0</v>
      </c>
      <c r="H134" s="55">
        <f>'Adjusted Lamp Cost Allocations'!X131</f>
        <v>7.0036567516723689E-3</v>
      </c>
      <c r="I134" s="55">
        <f>'Adjusted Lamp Cost Allocations'!Y131</f>
        <v>1.6550398365847659E-3</v>
      </c>
      <c r="J134" s="55">
        <f t="shared" si="88"/>
        <v>8.6586965882571344E-3</v>
      </c>
      <c r="L134" s="56">
        <v>35568</v>
      </c>
      <c r="M134" s="57">
        <f t="shared" si="89"/>
        <v>308</v>
      </c>
      <c r="O134" s="58">
        <f t="shared" si="90"/>
        <v>0.01</v>
      </c>
      <c r="P134" s="59">
        <f t="shared" si="91"/>
        <v>0</v>
      </c>
      <c r="Q134" s="58">
        <f t="shared" si="92"/>
        <v>0.01</v>
      </c>
      <c r="R134" s="258">
        <f t="shared" si="93"/>
        <v>1.3413034117428658E-3</v>
      </c>
    </row>
    <row r="135" spans="1:18" ht="13.2" customHeight="1" x14ac:dyDescent="0.2">
      <c r="A135" s="251">
        <f t="shared" si="87"/>
        <v>125</v>
      </c>
      <c r="C135" s="32" t="str">
        <f>'Adjusted Lamp Cost Allocations'!A132</f>
        <v>54E</v>
      </c>
      <c r="D135" s="32"/>
      <c r="E135" s="31" t="str">
        <f>'Adjusted Lamp Cost Allocations'!C132</f>
        <v>Light Emitting Diode</v>
      </c>
      <c r="F135" s="30" t="str">
        <f>'Adjusted Lamp Cost Allocations'!D132</f>
        <v>LED 060.01-090</v>
      </c>
      <c r="G135" s="54">
        <f>'Adjusted Lamp Cost Allocations'!U132</f>
        <v>0</v>
      </c>
      <c r="H135" s="55">
        <f>'Adjusted Lamp Cost Allocations'!X132</f>
        <v>1.1672761252787283E-2</v>
      </c>
      <c r="I135" s="55">
        <f>'Adjusted Lamp Cost Allocations'!Y132</f>
        <v>2.7583997276412766E-3</v>
      </c>
      <c r="J135" s="55">
        <f t="shared" si="88"/>
        <v>1.443116098042856E-2</v>
      </c>
      <c r="L135" s="56">
        <v>2820</v>
      </c>
      <c r="M135" s="57">
        <f t="shared" si="89"/>
        <v>41</v>
      </c>
      <c r="O135" s="58">
        <f t="shared" si="90"/>
        <v>0.01</v>
      </c>
      <c r="P135" s="59">
        <f t="shared" si="91"/>
        <v>0</v>
      </c>
      <c r="Q135" s="58">
        <f t="shared" si="92"/>
        <v>0.01</v>
      </c>
      <c r="R135" s="258">
        <f t="shared" si="93"/>
        <v>-4.4311609804285595E-3</v>
      </c>
    </row>
    <row r="136" spans="1:18" ht="13.2" customHeight="1" x14ac:dyDescent="0.2">
      <c r="A136" s="251">
        <f t="shared" si="87"/>
        <v>126</v>
      </c>
      <c r="C136" s="32" t="str">
        <f>'Adjusted Lamp Cost Allocations'!A133</f>
        <v>54E</v>
      </c>
      <c r="D136" s="32"/>
      <c r="E136" s="31" t="str">
        <f>'Adjusted Lamp Cost Allocations'!C133</f>
        <v>Light Emitting Diode</v>
      </c>
      <c r="F136" s="30" t="str">
        <f>'Adjusted Lamp Cost Allocations'!D133</f>
        <v>LED 090.01-120</v>
      </c>
      <c r="G136" s="54">
        <f>'Adjusted Lamp Cost Allocations'!U133</f>
        <v>0</v>
      </c>
      <c r="H136" s="55">
        <f>'Adjusted Lamp Cost Allocations'!X133</f>
        <v>1.6341865753902195E-2</v>
      </c>
      <c r="I136" s="55">
        <f>'Adjusted Lamp Cost Allocations'!Y133</f>
        <v>3.8617596186977872E-3</v>
      </c>
      <c r="J136" s="55">
        <f t="shared" si="88"/>
        <v>2.0203625372599981E-2</v>
      </c>
      <c r="L136" s="56">
        <v>36816</v>
      </c>
      <c r="M136" s="57">
        <f t="shared" si="89"/>
        <v>744</v>
      </c>
      <c r="O136" s="58">
        <f t="shared" si="90"/>
        <v>0.02</v>
      </c>
      <c r="P136" s="59">
        <f t="shared" si="91"/>
        <v>0</v>
      </c>
      <c r="Q136" s="58">
        <f t="shared" si="92"/>
        <v>0.02</v>
      </c>
      <c r="R136" s="258">
        <f t="shared" si="93"/>
        <v>-2.0362537259998106E-4</v>
      </c>
    </row>
    <row r="137" spans="1:18" ht="13.2" customHeight="1" x14ac:dyDescent="0.2">
      <c r="A137" s="251">
        <f t="shared" si="87"/>
        <v>127</v>
      </c>
      <c r="C137" s="32" t="str">
        <f>'Adjusted Lamp Cost Allocations'!A134</f>
        <v>54E</v>
      </c>
      <c r="D137" s="32"/>
      <c r="E137" s="31" t="str">
        <f>'Adjusted Lamp Cost Allocations'!C134</f>
        <v>Light Emitting Diode</v>
      </c>
      <c r="F137" s="30" t="str">
        <f>'Adjusted Lamp Cost Allocations'!D134</f>
        <v>LED 120.01-150</v>
      </c>
      <c r="G137" s="54">
        <f>'Adjusted Lamp Cost Allocations'!U134</f>
        <v>0</v>
      </c>
      <c r="H137" s="55">
        <f>'Adjusted Lamp Cost Allocations'!X134</f>
        <v>2.1010970255017105E-2</v>
      </c>
      <c r="I137" s="55">
        <f>'Adjusted Lamp Cost Allocations'!Y134</f>
        <v>4.9651195097542974E-3</v>
      </c>
      <c r="J137" s="55">
        <f t="shared" si="88"/>
        <v>2.5976089764771403E-2</v>
      </c>
      <c r="L137" s="56">
        <v>13044</v>
      </c>
      <c r="M137" s="57">
        <f t="shared" si="89"/>
        <v>339</v>
      </c>
      <c r="O137" s="58">
        <f t="shared" si="90"/>
        <v>0.03</v>
      </c>
      <c r="P137" s="59">
        <f t="shared" si="91"/>
        <v>0</v>
      </c>
      <c r="Q137" s="58">
        <f t="shared" si="92"/>
        <v>0.03</v>
      </c>
      <c r="R137" s="258">
        <f t="shared" si="93"/>
        <v>4.0239102352285956E-3</v>
      </c>
    </row>
    <row r="138" spans="1:18" ht="13.2" customHeight="1" x14ac:dyDescent="0.2">
      <c r="A138" s="251">
        <f t="shared" si="87"/>
        <v>128</v>
      </c>
      <c r="C138" s="32" t="str">
        <f>'Adjusted Lamp Cost Allocations'!A135</f>
        <v>54E</v>
      </c>
      <c r="D138" s="32"/>
      <c r="E138" s="31" t="str">
        <f>'Adjusted Lamp Cost Allocations'!C135</f>
        <v>Light Emitting Diode</v>
      </c>
      <c r="F138" s="30" t="str">
        <f>'Adjusted Lamp Cost Allocations'!D135</f>
        <v>LED 150.01-180</v>
      </c>
      <c r="G138" s="54">
        <f>'Adjusted Lamp Cost Allocations'!U135</f>
        <v>0</v>
      </c>
      <c r="H138" s="55">
        <f>'Adjusted Lamp Cost Allocations'!X135</f>
        <v>2.5680074756132019E-2</v>
      </c>
      <c r="I138" s="55">
        <f>'Adjusted Lamp Cost Allocations'!Y135</f>
        <v>6.068479400810808E-3</v>
      </c>
      <c r="J138" s="55">
        <f t="shared" si="88"/>
        <v>3.1748554156942825E-2</v>
      </c>
      <c r="L138" s="56">
        <v>5352</v>
      </c>
      <c r="M138" s="57">
        <f t="shared" si="89"/>
        <v>170</v>
      </c>
      <c r="O138" s="58">
        <f t="shared" si="90"/>
        <v>0.03</v>
      </c>
      <c r="P138" s="59">
        <f t="shared" si="91"/>
        <v>0</v>
      </c>
      <c r="Q138" s="58">
        <f t="shared" si="92"/>
        <v>0.03</v>
      </c>
      <c r="R138" s="258">
        <f t="shared" si="93"/>
        <v>-1.7485541569428262E-3</v>
      </c>
    </row>
    <row r="139" spans="1:18" ht="13.2" customHeight="1" x14ac:dyDescent="0.2">
      <c r="A139" s="251">
        <f t="shared" si="87"/>
        <v>129</v>
      </c>
      <c r="C139" s="32" t="str">
        <f>'Adjusted Lamp Cost Allocations'!A136</f>
        <v>54E</v>
      </c>
      <c r="D139" s="32"/>
      <c r="E139" s="31" t="str">
        <f>'Adjusted Lamp Cost Allocations'!C136</f>
        <v>Light Emitting Diode</v>
      </c>
      <c r="F139" s="30" t="str">
        <f>'Adjusted Lamp Cost Allocations'!D136</f>
        <v>LED 180.01-210</v>
      </c>
      <c r="G139" s="54">
        <f>'Adjusted Lamp Cost Allocations'!U136</f>
        <v>0</v>
      </c>
      <c r="H139" s="55">
        <f>'Adjusted Lamp Cost Allocations'!X136</f>
        <v>3.0349179257246929E-2</v>
      </c>
      <c r="I139" s="55">
        <f>'Adjusted Lamp Cost Allocations'!Y136</f>
        <v>7.1718392918673187E-3</v>
      </c>
      <c r="J139" s="55">
        <f t="shared" si="88"/>
        <v>3.752101854911425E-2</v>
      </c>
      <c r="L139" s="56">
        <v>2016</v>
      </c>
      <c r="M139" s="57">
        <f t="shared" si="89"/>
        <v>76</v>
      </c>
      <c r="O139" s="58">
        <f t="shared" si="90"/>
        <v>0.04</v>
      </c>
      <c r="P139" s="59">
        <f t="shared" si="91"/>
        <v>0</v>
      </c>
      <c r="Q139" s="58">
        <f t="shared" si="92"/>
        <v>0.04</v>
      </c>
      <c r="R139" s="258">
        <f t="shared" si="93"/>
        <v>2.4789814508857505E-3</v>
      </c>
    </row>
    <row r="140" spans="1:18" ht="13.2" customHeight="1" x14ac:dyDescent="0.2">
      <c r="A140" s="251">
        <f t="shared" si="87"/>
        <v>130</v>
      </c>
      <c r="C140" s="32" t="str">
        <f>'Adjusted Lamp Cost Allocations'!A137</f>
        <v>54E</v>
      </c>
      <c r="D140" s="32"/>
      <c r="E140" s="31" t="str">
        <f>'Adjusted Lamp Cost Allocations'!C137</f>
        <v>Light Emitting Diode</v>
      </c>
      <c r="F140" s="30" t="str">
        <f>'Adjusted Lamp Cost Allocations'!D137</f>
        <v>LED 210.01-240</v>
      </c>
      <c r="G140" s="54">
        <f>'Adjusted Lamp Cost Allocations'!U137</f>
        <v>0</v>
      </c>
      <c r="H140" s="55">
        <f>'Adjusted Lamp Cost Allocations'!X137</f>
        <v>3.501828375836185E-2</v>
      </c>
      <c r="I140" s="55">
        <f>'Adjusted Lamp Cost Allocations'!Y137</f>
        <v>8.2751991829238293E-3</v>
      </c>
      <c r="J140" s="55">
        <f t="shared" si="88"/>
        <v>4.3293482941285683E-2</v>
      </c>
      <c r="L140" s="56">
        <v>468</v>
      </c>
      <c r="M140" s="57">
        <f t="shared" si="89"/>
        <v>20</v>
      </c>
      <c r="O140" s="58">
        <f t="shared" si="90"/>
        <v>0.04</v>
      </c>
      <c r="P140" s="59">
        <f t="shared" si="91"/>
        <v>0</v>
      </c>
      <c r="Q140" s="58">
        <f t="shared" si="92"/>
        <v>0.04</v>
      </c>
      <c r="R140" s="258">
        <f t="shared" si="93"/>
        <v>-3.2934829412856817E-3</v>
      </c>
    </row>
    <row r="141" spans="1:18" ht="13.2" customHeight="1" x14ac:dyDescent="0.2">
      <c r="A141" s="251">
        <f t="shared" si="87"/>
        <v>131</v>
      </c>
      <c r="C141" s="32" t="str">
        <f>'Adjusted Lamp Cost Allocations'!A138</f>
        <v>54E</v>
      </c>
      <c r="D141" s="32"/>
      <c r="E141" s="31" t="str">
        <f>'Adjusted Lamp Cost Allocations'!C138</f>
        <v>Light Emitting Diode</v>
      </c>
      <c r="F141" s="30" t="str">
        <f>'Adjusted Lamp Cost Allocations'!D138</f>
        <v>LED 240.01-270</v>
      </c>
      <c r="G141" s="54">
        <f>'Adjusted Lamp Cost Allocations'!U138</f>
        <v>0</v>
      </c>
      <c r="H141" s="55">
        <f>'Adjusted Lamp Cost Allocations'!X138</f>
        <v>3.9687388259476757E-2</v>
      </c>
      <c r="I141" s="55">
        <f>'Adjusted Lamp Cost Allocations'!Y138</f>
        <v>9.3785590739803391E-3</v>
      </c>
      <c r="J141" s="55">
        <f t="shared" si="88"/>
        <v>4.9065947333457094E-2</v>
      </c>
      <c r="L141" s="56">
        <v>48</v>
      </c>
      <c r="M141" s="57">
        <f t="shared" si="89"/>
        <v>2</v>
      </c>
      <c r="O141" s="58">
        <f t="shared" si="90"/>
        <v>0.05</v>
      </c>
      <c r="P141" s="59">
        <f t="shared" si="91"/>
        <v>0</v>
      </c>
      <c r="Q141" s="58">
        <f t="shared" si="92"/>
        <v>0.05</v>
      </c>
      <c r="R141" s="258">
        <f t="shared" si="93"/>
        <v>9.3405266654290886E-4</v>
      </c>
    </row>
    <row r="142" spans="1:18" ht="13.2" customHeight="1" x14ac:dyDescent="0.2">
      <c r="A142" s="251">
        <f t="shared" si="87"/>
        <v>132</v>
      </c>
      <c r="C142" s="32" t="str">
        <f>'Adjusted Lamp Cost Allocations'!A139</f>
        <v>54E</v>
      </c>
      <c r="D142" s="32"/>
      <c r="E142" s="31" t="str">
        <f>'Adjusted Lamp Cost Allocations'!C139</f>
        <v>Light Emitting Diode</v>
      </c>
      <c r="F142" s="30" t="str">
        <f>'Adjusted Lamp Cost Allocations'!D139</f>
        <v>LED 270.01-300</v>
      </c>
      <c r="G142" s="54">
        <f>'Adjusted Lamp Cost Allocations'!U139</f>
        <v>0</v>
      </c>
      <c r="H142" s="55">
        <f>'Adjusted Lamp Cost Allocations'!X139</f>
        <v>4.435649276059167E-2</v>
      </c>
      <c r="I142" s="55">
        <f>'Adjusted Lamp Cost Allocations'!Y139</f>
        <v>1.0481918965036851E-2</v>
      </c>
      <c r="J142" s="55">
        <f t="shared" si="88"/>
        <v>5.4838411725628519E-2</v>
      </c>
      <c r="L142" s="56">
        <v>0</v>
      </c>
      <c r="M142" s="57">
        <f t="shared" si="89"/>
        <v>0</v>
      </c>
      <c r="O142" s="58">
        <f t="shared" si="90"/>
        <v>0.05</v>
      </c>
      <c r="P142" s="59">
        <f t="shared" si="91"/>
        <v>0</v>
      </c>
      <c r="Q142" s="58">
        <f t="shared" si="92"/>
        <v>0.05</v>
      </c>
      <c r="R142" s="258">
        <f t="shared" si="93"/>
        <v>-4.8384117256285164E-3</v>
      </c>
    </row>
    <row r="143" spans="1:18" ht="13.2" customHeight="1" x14ac:dyDescent="0.2">
      <c r="A143" s="251">
        <f t="shared" si="87"/>
        <v>133</v>
      </c>
      <c r="B143" s="32" t="str">
        <f>'Adjusted Lamp Cost Allocations'!A140</f>
        <v>Sch 55 &amp; 56</v>
      </c>
      <c r="C143" s="32"/>
      <c r="D143" s="32"/>
      <c r="E143" s="31"/>
      <c r="F143" s="30"/>
      <c r="G143" s="54"/>
      <c r="H143" s="55"/>
      <c r="I143" s="55"/>
      <c r="J143" s="55"/>
      <c r="L143" s="56"/>
      <c r="M143" s="57"/>
      <c r="O143" s="58"/>
      <c r="P143" s="59"/>
      <c r="Q143" s="59"/>
      <c r="R143" s="69"/>
    </row>
    <row r="144" spans="1:18" ht="13.2" customHeight="1" x14ac:dyDescent="0.2">
      <c r="A144" s="251">
        <f t="shared" si="87"/>
        <v>134</v>
      </c>
      <c r="C144" s="31" t="str">
        <f>'Adjusted Lamp Cost Allocations'!A141</f>
        <v>55E &amp; 56E</v>
      </c>
      <c r="D144" s="31"/>
      <c r="E144" s="31" t="str">
        <f>'Adjusted Lamp Cost Allocations'!C141</f>
        <v>Sodium Vapor</v>
      </c>
      <c r="F144" s="31" t="str">
        <f>'Adjusted Lamp Cost Allocations'!D141</f>
        <v>SV 070</v>
      </c>
      <c r="G144" s="54">
        <f>'Adjusted Lamp Cost Allocations'!U141</f>
        <v>0.55932264979786639</v>
      </c>
      <c r="H144" s="55">
        <f>'Adjusted Lamp Cost Allocations'!X141</f>
        <v>1.1054026384552636E-2</v>
      </c>
      <c r="I144" s="55">
        <f>'Adjusted Lamp Cost Allocations'!Y141</f>
        <v>2.5745064124651912E-3</v>
      </c>
      <c r="J144" s="55">
        <f t="shared" ref="J144" si="94">SUM(G144:I144)</f>
        <v>0.5729511825948842</v>
      </c>
      <c r="L144" s="56">
        <v>180</v>
      </c>
      <c r="M144" s="57">
        <f t="shared" ref="M144:M148" si="95">ROUND(L144*J144,0)</f>
        <v>103</v>
      </c>
      <c r="O144" s="58">
        <f t="shared" ref="O144:O149" si="96">ROUND(J144-P144,2)</f>
        <v>0.53</v>
      </c>
      <c r="P144" s="59">
        <f t="shared" ref="P144:P149" si="97">ROUND(J144*$P$9,2)</f>
        <v>0.04</v>
      </c>
      <c r="Q144" s="58">
        <f t="shared" ref="Q144:Q149" si="98">SUM(O144:P144)</f>
        <v>0.57000000000000006</v>
      </c>
      <c r="R144" s="258">
        <f t="shared" ref="R144:R149" si="99">+Q144-J144</f>
        <v>-2.9511825948841386E-3</v>
      </c>
    </row>
    <row r="145" spans="1:18" ht="13.2" customHeight="1" x14ac:dyDescent="0.2">
      <c r="A145" s="251">
        <f t="shared" si="87"/>
        <v>135</v>
      </c>
      <c r="C145" s="31" t="str">
        <f>'Adjusted Lamp Cost Allocations'!A142</f>
        <v>55E &amp; 56E</v>
      </c>
      <c r="D145" s="32"/>
      <c r="E145" s="31" t="str">
        <f>'Adjusted Lamp Cost Allocations'!C142</f>
        <v>Sodium Vapor</v>
      </c>
      <c r="F145" s="31" t="str">
        <f>'Adjusted Lamp Cost Allocations'!D142</f>
        <v>SV 100</v>
      </c>
      <c r="G145" s="54">
        <f>'Adjusted Lamp Cost Allocations'!U142</f>
        <v>0.52702336326203669</v>
      </c>
      <c r="H145" s="55">
        <f>'Adjusted Lamp Cost Allocations'!X142</f>
        <v>1.5791466263646622E-2</v>
      </c>
      <c r="I145" s="55">
        <f>'Adjusted Lamp Cost Allocations'!Y142</f>
        <v>3.6778663035217018E-3</v>
      </c>
      <c r="J145" s="55">
        <f t="shared" ref="J145:J149" si="100">SUM(G145:I145)</f>
        <v>0.54649269582920501</v>
      </c>
      <c r="L145" s="56">
        <v>41544</v>
      </c>
      <c r="M145" s="57">
        <f t="shared" si="95"/>
        <v>22703</v>
      </c>
      <c r="O145" s="58">
        <f t="shared" si="96"/>
        <v>0.51</v>
      </c>
      <c r="P145" s="59">
        <f t="shared" si="97"/>
        <v>0.04</v>
      </c>
      <c r="Q145" s="58">
        <f t="shared" si="98"/>
        <v>0.55000000000000004</v>
      </c>
      <c r="R145" s="258">
        <f t="shared" si="99"/>
        <v>3.5073041707950336E-3</v>
      </c>
    </row>
    <row r="146" spans="1:18" ht="13.2" customHeight="1" x14ac:dyDescent="0.2">
      <c r="A146" s="251">
        <f t="shared" si="87"/>
        <v>136</v>
      </c>
      <c r="C146" s="31" t="str">
        <f>'Adjusted Lamp Cost Allocations'!A143</f>
        <v>55E &amp; 56E</v>
      </c>
      <c r="D146" s="32"/>
      <c r="E146" s="31" t="str">
        <f>'Adjusted Lamp Cost Allocations'!C143</f>
        <v>Sodium Vapor</v>
      </c>
      <c r="F146" s="31" t="str">
        <f>'Adjusted Lamp Cost Allocations'!D143</f>
        <v>SV 150</v>
      </c>
      <c r="G146" s="54">
        <f>'Adjusted Lamp Cost Allocations'!U143</f>
        <v>0.52792860542042885</v>
      </c>
      <c r="H146" s="55">
        <f>'Adjusted Lamp Cost Allocations'!X143</f>
        <v>2.3687199395469934E-2</v>
      </c>
      <c r="I146" s="55">
        <f>'Adjusted Lamp Cost Allocations'!Y143</f>
        <v>5.5167994552825532E-3</v>
      </c>
      <c r="J146" s="55">
        <f t="shared" si="100"/>
        <v>0.55713260427118139</v>
      </c>
      <c r="L146" s="56">
        <v>5616</v>
      </c>
      <c r="M146" s="57">
        <f t="shared" si="95"/>
        <v>3129</v>
      </c>
      <c r="O146" s="58">
        <f t="shared" si="96"/>
        <v>0.52</v>
      </c>
      <c r="P146" s="59">
        <f t="shared" si="97"/>
        <v>0.04</v>
      </c>
      <c r="Q146" s="58">
        <f t="shared" si="98"/>
        <v>0.56000000000000005</v>
      </c>
      <c r="R146" s="258">
        <f t="shared" si="99"/>
        <v>2.8673957288186669E-3</v>
      </c>
    </row>
    <row r="147" spans="1:18" ht="13.2" customHeight="1" x14ac:dyDescent="0.2">
      <c r="A147" s="251">
        <f t="shared" si="87"/>
        <v>137</v>
      </c>
      <c r="B147" s="48"/>
      <c r="C147" s="31" t="str">
        <f>'Adjusted Lamp Cost Allocations'!A144</f>
        <v>55E &amp; 56E</v>
      </c>
      <c r="D147" s="32"/>
      <c r="E147" s="31" t="str">
        <f>'Adjusted Lamp Cost Allocations'!C144</f>
        <v>Sodium Vapor</v>
      </c>
      <c r="F147" s="31" t="str">
        <f>'Adjusted Lamp Cost Allocations'!D144</f>
        <v>SV 200</v>
      </c>
      <c r="G147" s="54">
        <f>'Adjusted Lamp Cost Allocations'!U144</f>
        <v>0.55845435629900042</v>
      </c>
      <c r="H147" s="55">
        <f>'Adjusted Lamp Cost Allocations'!X144</f>
        <v>3.1582932527293245E-2</v>
      </c>
      <c r="I147" s="55">
        <f>'Adjusted Lamp Cost Allocations'!Y144</f>
        <v>7.3557326070434036E-3</v>
      </c>
      <c r="J147" s="55">
        <f t="shared" si="100"/>
        <v>0.59739302143333706</v>
      </c>
      <c r="L147" s="56">
        <v>11580</v>
      </c>
      <c r="M147" s="57">
        <f t="shared" si="95"/>
        <v>6918</v>
      </c>
      <c r="O147" s="58">
        <f t="shared" si="96"/>
        <v>0.56000000000000005</v>
      </c>
      <c r="P147" s="59">
        <f t="shared" si="97"/>
        <v>0.04</v>
      </c>
      <c r="Q147" s="58">
        <f t="shared" si="98"/>
        <v>0.60000000000000009</v>
      </c>
      <c r="R147" s="258">
        <f t="shared" si="99"/>
        <v>2.6069785666630318E-3</v>
      </c>
    </row>
    <row r="148" spans="1:18" ht="13.2" customHeight="1" x14ac:dyDescent="0.2">
      <c r="A148" s="251">
        <f t="shared" si="87"/>
        <v>138</v>
      </c>
      <c r="C148" s="31" t="str">
        <f>'Adjusted Lamp Cost Allocations'!A145</f>
        <v>55E &amp; 56E</v>
      </c>
      <c r="D148" s="32"/>
      <c r="E148" s="31" t="str">
        <f>'Adjusted Lamp Cost Allocations'!C145</f>
        <v>Sodium Vapor</v>
      </c>
      <c r="F148" s="31" t="str">
        <f>'Adjusted Lamp Cost Allocations'!D145</f>
        <v>SV 250</v>
      </c>
      <c r="G148" s="54">
        <f>'Adjusted Lamp Cost Allocations'!U145</f>
        <v>0.56838738760163032</v>
      </c>
      <c r="H148" s="55">
        <f>'Adjusted Lamp Cost Allocations'!X145</f>
        <v>3.9478665659116556E-2</v>
      </c>
      <c r="I148" s="55">
        <f>'Adjusted Lamp Cost Allocations'!Y145</f>
        <v>9.194665758804255E-3</v>
      </c>
      <c r="J148" s="55">
        <f t="shared" si="100"/>
        <v>0.61706071901955106</v>
      </c>
      <c r="L148" s="56">
        <v>1260</v>
      </c>
      <c r="M148" s="57">
        <f t="shared" si="95"/>
        <v>777</v>
      </c>
      <c r="O148" s="58">
        <f t="shared" si="96"/>
        <v>0.57999999999999996</v>
      </c>
      <c r="P148" s="59">
        <f t="shared" si="97"/>
        <v>0.04</v>
      </c>
      <c r="Q148" s="58">
        <f t="shared" si="98"/>
        <v>0.62</v>
      </c>
      <c r="R148" s="258">
        <f t="shared" si="99"/>
        <v>2.9392809804489328E-3</v>
      </c>
    </row>
    <row r="149" spans="1:18" ht="13.2" customHeight="1" x14ac:dyDescent="0.2">
      <c r="A149" s="251">
        <f t="shared" si="87"/>
        <v>139</v>
      </c>
      <c r="C149" s="31" t="str">
        <f>'Adjusted Lamp Cost Allocations'!A146</f>
        <v>55E &amp; 56E</v>
      </c>
      <c r="D149" s="32"/>
      <c r="E149" s="31" t="str">
        <f>'Adjusted Lamp Cost Allocations'!C146</f>
        <v>Sodium Vapor</v>
      </c>
      <c r="F149" s="31" t="str">
        <f>'Adjusted Lamp Cost Allocations'!D146</f>
        <v>SV 400</v>
      </c>
      <c r="G149" s="54">
        <f>'Adjusted Lamp Cost Allocations'!U146</f>
        <v>0.63422989887733894</v>
      </c>
      <c r="H149" s="55">
        <f>'Adjusted Lamp Cost Allocations'!X146</f>
        <v>6.316586505458649E-2</v>
      </c>
      <c r="I149" s="55">
        <f>'Adjusted Lamp Cost Allocations'!Y146</f>
        <v>1.4711465214086807E-2</v>
      </c>
      <c r="J149" s="55">
        <f t="shared" si="100"/>
        <v>0.71210722914601232</v>
      </c>
      <c r="L149" s="56">
        <v>468</v>
      </c>
      <c r="M149" s="57">
        <f>ROUND(L149*J149,0)</f>
        <v>333</v>
      </c>
      <c r="O149" s="58">
        <f t="shared" si="96"/>
        <v>0.66</v>
      </c>
      <c r="P149" s="59">
        <f t="shared" si="97"/>
        <v>0.05</v>
      </c>
      <c r="Q149" s="58">
        <f t="shared" si="98"/>
        <v>0.71000000000000008</v>
      </c>
      <c r="R149" s="258">
        <f t="shared" si="99"/>
        <v>-2.1072291460122461E-3</v>
      </c>
    </row>
    <row r="150" spans="1:18" ht="13.2" customHeight="1" x14ac:dyDescent="0.2">
      <c r="A150" s="251">
        <f t="shared" si="87"/>
        <v>140</v>
      </c>
      <c r="C150" s="31"/>
      <c r="D150" s="32"/>
      <c r="E150" s="31"/>
      <c r="F150" s="30"/>
      <c r="G150" s="54"/>
      <c r="H150" s="55"/>
      <c r="I150" s="55"/>
      <c r="J150" s="55"/>
      <c r="M150" s="57"/>
      <c r="O150" s="58"/>
      <c r="P150" s="59"/>
      <c r="Q150" s="59"/>
      <c r="R150" s="69"/>
    </row>
    <row r="151" spans="1:18" ht="13.2" customHeight="1" x14ac:dyDescent="0.2">
      <c r="A151" s="251">
        <f t="shared" si="87"/>
        <v>141</v>
      </c>
      <c r="C151" s="31" t="str">
        <f>'Adjusted Lamp Cost Allocations'!A148</f>
        <v>55E &amp; 56E</v>
      </c>
      <c r="D151" s="32"/>
      <c r="E151" s="31" t="str">
        <f>'Adjusted Lamp Cost Allocations'!C148</f>
        <v>Metal Halide</v>
      </c>
      <c r="F151" s="30" t="str">
        <f>'Adjusted Lamp Cost Allocations'!D148</f>
        <v>MH 250</v>
      </c>
      <c r="G151" s="54">
        <f>'Adjusted Lamp Cost Allocations'!U148</f>
        <v>0.56373185650132762</v>
      </c>
      <c r="H151" s="55">
        <f>'Adjusted Lamp Cost Allocations'!X148</f>
        <v>3.9478665659116556E-2</v>
      </c>
      <c r="I151" s="55">
        <f>'Adjusted Lamp Cost Allocations'!Y148</f>
        <v>9.194665758804255E-3</v>
      </c>
      <c r="J151" s="55">
        <f t="shared" ref="J151" si="101">SUM(G151:I151)</f>
        <v>0.61240518791924836</v>
      </c>
      <c r="L151" s="56">
        <v>84</v>
      </c>
      <c r="M151" s="57">
        <f t="shared" ref="M151" si="102">ROUND(L151*J151,0)</f>
        <v>51</v>
      </c>
      <c r="O151" s="58">
        <f t="shared" ref="O151" si="103">ROUND(J151-P151,2)</f>
        <v>0.56999999999999995</v>
      </c>
      <c r="P151" s="59">
        <f t="shared" ref="P151" si="104">ROUND(J151*$P$9,2)</f>
        <v>0.04</v>
      </c>
      <c r="Q151" s="58">
        <f t="shared" ref="Q151" si="105">SUM(O151:P151)</f>
        <v>0.61</v>
      </c>
      <c r="R151" s="258">
        <f t="shared" ref="R151" si="106">+Q151-J151</f>
        <v>-2.4051879192483749E-3</v>
      </c>
    </row>
    <row r="152" spans="1:18" ht="13.2" customHeight="1" x14ac:dyDescent="0.2">
      <c r="A152" s="251">
        <f t="shared" si="87"/>
        <v>142</v>
      </c>
      <c r="C152" s="32"/>
      <c r="D152" s="32"/>
      <c r="E152" s="31"/>
      <c r="F152" s="30"/>
      <c r="G152" s="54"/>
      <c r="H152" s="55"/>
      <c r="I152" s="55"/>
      <c r="J152" s="55"/>
      <c r="L152" s="56"/>
      <c r="M152" s="57"/>
      <c r="O152" s="58"/>
      <c r="P152" s="59"/>
      <c r="Q152" s="59"/>
      <c r="R152" s="69"/>
    </row>
    <row r="153" spans="1:18" ht="13.2" customHeight="1" x14ac:dyDescent="0.2">
      <c r="A153" s="251">
        <f t="shared" si="87"/>
        <v>143</v>
      </c>
      <c r="C153" s="31" t="str">
        <f>'Adjusted Lamp Cost Allocations'!A150</f>
        <v>55E &amp; 56E</v>
      </c>
      <c r="D153" s="32"/>
      <c r="E153" s="31" t="str">
        <f>'Adjusted Lamp Cost Allocations'!C150</f>
        <v>Light Emitting Diode</v>
      </c>
      <c r="F153" s="30" t="str">
        <f>'Adjusted Lamp Cost Allocations'!D150</f>
        <v>LED 0-030</v>
      </c>
      <c r="G153" s="54">
        <f>'Adjusted Lamp Cost Allocations'!U150</f>
        <v>0.42520722653094728</v>
      </c>
      <c r="H153" s="55">
        <f>'Adjusted Lamp Cost Allocations'!X150</f>
        <v>2.3687199395469936E-3</v>
      </c>
      <c r="I153" s="55">
        <f>'Adjusted Lamp Cost Allocations'!Y150</f>
        <v>5.5167994552825532E-4</v>
      </c>
      <c r="J153" s="55">
        <f t="shared" ref="J153:J162" si="107">SUM(G153:I153)</f>
        <v>0.42812762641602253</v>
      </c>
      <c r="L153" s="48">
        <v>0</v>
      </c>
      <c r="M153" s="57">
        <f t="shared" ref="M153:M162" si="108">ROUND(L153*J153,0)</f>
        <v>0</v>
      </c>
      <c r="O153" s="58">
        <f t="shared" ref="O153:O162" si="109">ROUND(J153-P153,2)</f>
        <v>0.4</v>
      </c>
      <c r="P153" s="59">
        <f t="shared" ref="P153:P162" si="110">ROUND(J153*$P$9,2)</f>
        <v>0.03</v>
      </c>
      <c r="Q153" s="58">
        <f t="shared" ref="Q153:Q162" si="111">SUM(O153:P153)</f>
        <v>0.43000000000000005</v>
      </c>
      <c r="R153" s="258">
        <f t="shared" ref="R153:R162" si="112">+Q153-J153</f>
        <v>1.8723735839775157E-3</v>
      </c>
    </row>
    <row r="154" spans="1:18" ht="13.2" customHeight="1" x14ac:dyDescent="0.2">
      <c r="A154" s="251">
        <f t="shared" si="87"/>
        <v>144</v>
      </c>
      <c r="C154" s="31" t="str">
        <f>'Adjusted Lamp Cost Allocations'!A151</f>
        <v>55E &amp; 56E</v>
      </c>
      <c r="D154" s="32"/>
      <c r="E154" s="31" t="str">
        <f>'Adjusted Lamp Cost Allocations'!C151</f>
        <v>Light Emitting Diode</v>
      </c>
      <c r="F154" s="30" t="str">
        <f>'Adjusted Lamp Cost Allocations'!D151</f>
        <v>LED 030.01-060</v>
      </c>
      <c r="G154" s="54">
        <f>'Adjusted Lamp Cost Allocations'!U151</f>
        <v>0.49213767055937208</v>
      </c>
      <c r="H154" s="55">
        <f>'Adjusted Lamp Cost Allocations'!X151</f>
        <v>7.1061598186409796E-3</v>
      </c>
      <c r="I154" s="55">
        <f>'Adjusted Lamp Cost Allocations'!Y151</f>
        <v>1.6550398365847659E-3</v>
      </c>
      <c r="J154" s="55">
        <f t="shared" si="107"/>
        <v>0.50089887021459778</v>
      </c>
      <c r="L154" s="56">
        <v>9576</v>
      </c>
      <c r="M154" s="57">
        <f t="shared" si="108"/>
        <v>4797</v>
      </c>
      <c r="O154" s="58">
        <f t="shared" si="109"/>
        <v>0.46</v>
      </c>
      <c r="P154" s="59">
        <f t="shared" si="110"/>
        <v>0.04</v>
      </c>
      <c r="Q154" s="58">
        <f t="shared" si="111"/>
        <v>0.5</v>
      </c>
      <c r="R154" s="258">
        <f t="shared" si="112"/>
        <v>-8.9887021459778005E-4</v>
      </c>
    </row>
    <row r="155" spans="1:18" ht="13.2" customHeight="1" x14ac:dyDescent="0.2">
      <c r="A155" s="251">
        <f t="shared" si="87"/>
        <v>145</v>
      </c>
      <c r="C155" s="31" t="str">
        <f>'Adjusted Lamp Cost Allocations'!A152</f>
        <v>55E &amp; 56E</v>
      </c>
      <c r="D155" s="32"/>
      <c r="E155" s="31" t="str">
        <f>'Adjusted Lamp Cost Allocations'!C152</f>
        <v>Light Emitting Diode</v>
      </c>
      <c r="F155" s="30" t="str">
        <f>'Adjusted Lamp Cost Allocations'!D152</f>
        <v>LED 060.01-090</v>
      </c>
      <c r="G155" s="54">
        <f>'Adjusted Lamp Cost Allocations'!U152</f>
        <v>0.653640261348442</v>
      </c>
      <c r="H155" s="55">
        <f>'Adjusted Lamp Cost Allocations'!X152</f>
        <v>1.1843599697734967E-2</v>
      </c>
      <c r="I155" s="55">
        <f>'Adjusted Lamp Cost Allocations'!Y152</f>
        <v>2.7583997276412766E-3</v>
      </c>
      <c r="J155" s="55">
        <f t="shared" si="107"/>
        <v>0.66824226077381821</v>
      </c>
      <c r="L155" s="56">
        <v>324</v>
      </c>
      <c r="M155" s="57">
        <f t="shared" si="108"/>
        <v>217</v>
      </c>
      <c r="O155" s="58">
        <f t="shared" si="109"/>
        <v>0.62</v>
      </c>
      <c r="P155" s="59">
        <f t="shared" si="110"/>
        <v>0.05</v>
      </c>
      <c r="Q155" s="58">
        <f t="shared" si="111"/>
        <v>0.67</v>
      </c>
      <c r="R155" s="258">
        <f t="shared" si="112"/>
        <v>1.7577392261818314E-3</v>
      </c>
    </row>
    <row r="156" spans="1:18" ht="13.2" customHeight="1" x14ac:dyDescent="0.2">
      <c r="A156" s="251">
        <f t="shared" si="87"/>
        <v>146</v>
      </c>
      <c r="C156" s="31" t="str">
        <f>'Adjusted Lamp Cost Allocations'!A153</f>
        <v>55E &amp; 56E</v>
      </c>
      <c r="D156" s="32"/>
      <c r="E156" s="31" t="str">
        <f>'Adjusted Lamp Cost Allocations'!C153</f>
        <v>Light Emitting Diode</v>
      </c>
      <c r="F156" s="30" t="str">
        <f>'Adjusted Lamp Cost Allocations'!D153</f>
        <v>LED 090.01-120</v>
      </c>
      <c r="G156" s="54">
        <f>'Adjusted Lamp Cost Allocations'!U153</f>
        <v>0.67328463199654431</v>
      </c>
      <c r="H156" s="55">
        <f>'Adjusted Lamp Cost Allocations'!X153</f>
        <v>1.6581039576828951E-2</v>
      </c>
      <c r="I156" s="55">
        <f>'Adjusted Lamp Cost Allocations'!Y153</f>
        <v>3.8617596186977872E-3</v>
      </c>
      <c r="J156" s="55">
        <f t="shared" si="107"/>
        <v>0.69372743119207114</v>
      </c>
      <c r="L156" s="56">
        <v>1992</v>
      </c>
      <c r="M156" s="57">
        <f t="shared" si="108"/>
        <v>1382</v>
      </c>
      <c r="O156" s="58">
        <f t="shared" si="109"/>
        <v>0.64</v>
      </c>
      <c r="P156" s="59">
        <f t="shared" si="110"/>
        <v>0.05</v>
      </c>
      <c r="Q156" s="58">
        <f t="shared" si="111"/>
        <v>0.69000000000000006</v>
      </c>
      <c r="R156" s="258">
        <f t="shared" si="112"/>
        <v>-3.7274311920710845E-3</v>
      </c>
    </row>
    <row r="157" spans="1:18" ht="13.2" customHeight="1" x14ac:dyDescent="0.2">
      <c r="A157" s="251">
        <f t="shared" si="87"/>
        <v>147</v>
      </c>
      <c r="C157" s="31" t="str">
        <f>'Adjusted Lamp Cost Allocations'!A154</f>
        <v>55E &amp; 56E</v>
      </c>
      <c r="D157" s="32"/>
      <c r="E157" s="31" t="str">
        <f>'Adjusted Lamp Cost Allocations'!C154</f>
        <v>Light Emitting Diode</v>
      </c>
      <c r="F157" s="30" t="str">
        <f>'Adjusted Lamp Cost Allocations'!D154</f>
        <v>LED 120.01-150</v>
      </c>
      <c r="G157" s="54">
        <f>'Adjusted Lamp Cost Allocations'!U154</f>
        <v>0.78750114940529159</v>
      </c>
      <c r="H157" s="55">
        <f>'Adjusted Lamp Cost Allocations'!X154</f>
        <v>2.131847945592294E-2</v>
      </c>
      <c r="I157" s="55">
        <f>'Adjusted Lamp Cost Allocations'!Y154</f>
        <v>4.9651195097542974E-3</v>
      </c>
      <c r="J157" s="55">
        <f t="shared" si="107"/>
        <v>0.81378474837096881</v>
      </c>
      <c r="L157" s="56">
        <v>0</v>
      </c>
      <c r="M157" s="57">
        <f t="shared" si="108"/>
        <v>0</v>
      </c>
      <c r="O157" s="58">
        <f t="shared" si="109"/>
        <v>0.75</v>
      </c>
      <c r="P157" s="59">
        <f t="shared" si="110"/>
        <v>0.06</v>
      </c>
      <c r="Q157" s="58">
        <f t="shared" si="111"/>
        <v>0.81</v>
      </c>
      <c r="R157" s="258">
        <f t="shared" si="112"/>
        <v>-3.7847483709687602E-3</v>
      </c>
    </row>
    <row r="158" spans="1:18" ht="13.2" customHeight="1" x14ac:dyDescent="0.2">
      <c r="A158" s="251">
        <f t="shared" si="87"/>
        <v>148</v>
      </c>
      <c r="C158" s="31" t="str">
        <f>'Adjusted Lamp Cost Allocations'!A155</f>
        <v>55E &amp; 56E</v>
      </c>
      <c r="D158" s="32"/>
      <c r="E158" s="31" t="str">
        <f>'Adjusted Lamp Cost Allocations'!C155</f>
        <v>Light Emitting Diode</v>
      </c>
      <c r="F158" s="30" t="str">
        <f>'Adjusted Lamp Cost Allocations'!D155</f>
        <v>LED 150.01-180</v>
      </c>
      <c r="G158" s="54">
        <f>'Adjusted Lamp Cost Allocations'!U155</f>
        <v>0.87807463012387765</v>
      </c>
      <c r="H158" s="55">
        <f>'Adjusted Lamp Cost Allocations'!X155</f>
        <v>2.6055919335016928E-2</v>
      </c>
      <c r="I158" s="55">
        <f>'Adjusted Lamp Cost Allocations'!Y155</f>
        <v>6.068479400810808E-3</v>
      </c>
      <c r="J158" s="55">
        <f t="shared" si="107"/>
        <v>0.91019902885970538</v>
      </c>
      <c r="L158" s="56">
        <v>0</v>
      </c>
      <c r="M158" s="57">
        <f t="shared" si="108"/>
        <v>0</v>
      </c>
      <c r="O158" s="58">
        <f t="shared" si="109"/>
        <v>0.85</v>
      </c>
      <c r="P158" s="59">
        <f t="shared" si="110"/>
        <v>0.06</v>
      </c>
      <c r="Q158" s="58">
        <f t="shared" si="111"/>
        <v>0.90999999999999992</v>
      </c>
      <c r="R158" s="258">
        <f t="shared" si="112"/>
        <v>-1.9902885970546347E-4</v>
      </c>
    </row>
    <row r="159" spans="1:18" ht="13.2" customHeight="1" x14ac:dyDescent="0.2">
      <c r="A159" s="251">
        <f t="shared" si="87"/>
        <v>149</v>
      </c>
      <c r="C159" s="31" t="str">
        <f>'Adjusted Lamp Cost Allocations'!A156</f>
        <v>55E &amp; 56E</v>
      </c>
      <c r="D159" s="32"/>
      <c r="E159" s="31" t="str">
        <f>'Adjusted Lamp Cost Allocations'!C156</f>
        <v>Light Emitting Diode</v>
      </c>
      <c r="F159" s="30" t="str">
        <f>'Adjusted Lamp Cost Allocations'!D156</f>
        <v>LED 180.01-210</v>
      </c>
      <c r="G159" s="54">
        <f>'Adjusted Lamp Cost Allocations'!U156</f>
        <v>0.96864811084246372</v>
      </c>
      <c r="H159" s="55">
        <f>'Adjusted Lamp Cost Allocations'!X156</f>
        <v>3.0793359214110916E-2</v>
      </c>
      <c r="I159" s="55">
        <f>'Adjusted Lamp Cost Allocations'!Y156</f>
        <v>7.1718392918673187E-3</v>
      </c>
      <c r="J159" s="55">
        <f t="shared" si="107"/>
        <v>1.006613309348442</v>
      </c>
      <c r="L159" s="56">
        <v>0</v>
      </c>
      <c r="M159" s="57">
        <f t="shared" si="108"/>
        <v>0</v>
      </c>
      <c r="O159" s="58">
        <f t="shared" si="109"/>
        <v>0.94</v>
      </c>
      <c r="P159" s="59">
        <f t="shared" si="110"/>
        <v>7.0000000000000007E-2</v>
      </c>
      <c r="Q159" s="58">
        <f t="shared" si="111"/>
        <v>1.01</v>
      </c>
      <c r="R159" s="258">
        <f t="shared" si="112"/>
        <v>3.3866906515580553E-3</v>
      </c>
    </row>
    <row r="160" spans="1:18" ht="13.2" customHeight="1" x14ac:dyDescent="0.2">
      <c r="A160" s="251">
        <f t="shared" si="87"/>
        <v>150</v>
      </c>
      <c r="C160" s="31" t="str">
        <f>'Adjusted Lamp Cost Allocations'!A157</f>
        <v>55E &amp; 56E</v>
      </c>
      <c r="D160" s="32"/>
      <c r="E160" s="31" t="str">
        <f>'Adjusted Lamp Cost Allocations'!C157</f>
        <v>Light Emitting Diode</v>
      </c>
      <c r="F160" s="30" t="str">
        <f>'Adjusted Lamp Cost Allocations'!D157</f>
        <v>LED 210.01-240</v>
      </c>
      <c r="G160" s="54">
        <f>'Adjusted Lamp Cost Allocations'!U157</f>
        <v>1.0592215915610499</v>
      </c>
      <c r="H160" s="55">
        <f>'Adjusted Lamp Cost Allocations'!X157</f>
        <v>3.5530799093204897E-2</v>
      </c>
      <c r="I160" s="55">
        <f>'Adjusted Lamp Cost Allocations'!Y157</f>
        <v>8.2751991829238293E-3</v>
      </c>
      <c r="J160" s="55">
        <f t="shared" si="107"/>
        <v>1.1030275898371786</v>
      </c>
      <c r="L160" s="56">
        <v>0</v>
      </c>
      <c r="M160" s="57">
        <f t="shared" si="108"/>
        <v>0</v>
      </c>
      <c r="O160" s="58">
        <f t="shared" si="109"/>
        <v>1.02</v>
      </c>
      <c r="P160" s="59">
        <f t="shared" si="110"/>
        <v>0.08</v>
      </c>
      <c r="Q160" s="58">
        <f t="shared" si="111"/>
        <v>1.1000000000000001</v>
      </c>
      <c r="R160" s="258">
        <f t="shared" si="112"/>
        <v>-3.0275898371785459E-3</v>
      </c>
    </row>
    <row r="161" spans="1:18" ht="13.2" customHeight="1" x14ac:dyDescent="0.2">
      <c r="A161" s="251">
        <f t="shared" si="87"/>
        <v>151</v>
      </c>
      <c r="C161" s="31" t="str">
        <f>'Adjusted Lamp Cost Allocations'!A158</f>
        <v>55E &amp; 56E</v>
      </c>
      <c r="D161" s="32"/>
      <c r="E161" s="31" t="str">
        <f>'Adjusted Lamp Cost Allocations'!C158</f>
        <v>Light Emitting Diode</v>
      </c>
      <c r="F161" s="30" t="str">
        <f>'Adjusted Lamp Cost Allocations'!D158</f>
        <v>LED 240.01-270</v>
      </c>
      <c r="G161" s="54">
        <f>'Adjusted Lamp Cost Allocations'!U158</f>
        <v>1.149795072279636</v>
      </c>
      <c r="H161" s="55">
        <f>'Adjusted Lamp Cost Allocations'!X158</f>
        <v>4.0268238972298892E-2</v>
      </c>
      <c r="I161" s="55">
        <f>'Adjusted Lamp Cost Allocations'!Y158</f>
        <v>9.3785590739803391E-3</v>
      </c>
      <c r="J161" s="55">
        <f t="shared" si="107"/>
        <v>1.1994418703259151</v>
      </c>
      <c r="L161" s="56">
        <v>0</v>
      </c>
      <c r="M161" s="57">
        <f t="shared" si="108"/>
        <v>0</v>
      </c>
      <c r="O161" s="58">
        <f t="shared" si="109"/>
        <v>1.1200000000000001</v>
      </c>
      <c r="P161" s="59">
        <f t="shared" si="110"/>
        <v>0.08</v>
      </c>
      <c r="Q161" s="58">
        <f t="shared" si="111"/>
        <v>1.2000000000000002</v>
      </c>
      <c r="R161" s="258">
        <f t="shared" si="112"/>
        <v>5.5812967408508385E-4</v>
      </c>
    </row>
    <row r="162" spans="1:18" ht="13.2" customHeight="1" x14ac:dyDescent="0.2">
      <c r="A162" s="251">
        <f t="shared" si="87"/>
        <v>152</v>
      </c>
      <c r="C162" s="31" t="str">
        <f>'Adjusted Lamp Cost Allocations'!A159</f>
        <v>55E &amp; 56E</v>
      </c>
      <c r="D162" s="32"/>
      <c r="E162" s="31" t="str">
        <f>'Adjusted Lamp Cost Allocations'!C159</f>
        <v>Light Emitting Diode</v>
      </c>
      <c r="F162" s="30" t="str">
        <f>'Adjusted Lamp Cost Allocations'!D159</f>
        <v>LED 270.01-300</v>
      </c>
      <c r="G162" s="54">
        <f>'Adjusted Lamp Cost Allocations'!U159</f>
        <v>1.240368552998222</v>
      </c>
      <c r="H162" s="55">
        <f>'Adjusted Lamp Cost Allocations'!X159</f>
        <v>4.5005678851392873E-2</v>
      </c>
      <c r="I162" s="55">
        <f>'Adjusted Lamp Cost Allocations'!Y159</f>
        <v>1.0481918965036851E-2</v>
      </c>
      <c r="J162" s="55">
        <f t="shared" si="107"/>
        <v>1.2958561508146518</v>
      </c>
      <c r="L162" s="56">
        <v>0</v>
      </c>
      <c r="M162" s="57">
        <f t="shared" si="108"/>
        <v>0</v>
      </c>
      <c r="O162" s="58">
        <f t="shared" si="109"/>
        <v>1.21</v>
      </c>
      <c r="P162" s="59">
        <f t="shared" si="110"/>
        <v>0.09</v>
      </c>
      <c r="Q162" s="58">
        <f t="shared" si="111"/>
        <v>1.3</v>
      </c>
      <c r="R162" s="258">
        <f t="shared" si="112"/>
        <v>4.1438491853482695E-3</v>
      </c>
    </row>
    <row r="163" spans="1:18" ht="13.2" customHeight="1" x14ac:dyDescent="0.2">
      <c r="A163" s="251">
        <f t="shared" si="87"/>
        <v>153</v>
      </c>
      <c r="B163" s="32" t="str">
        <f>'Adjusted Lamp Cost Allocations'!A160</f>
        <v>Sch 58 &amp; 59</v>
      </c>
      <c r="C163" s="48"/>
      <c r="D163" s="48"/>
      <c r="E163" s="31"/>
      <c r="F163" s="30"/>
      <c r="G163" s="54"/>
      <c r="H163" s="55"/>
      <c r="I163" s="55"/>
      <c r="J163" s="55"/>
      <c r="L163" s="56"/>
      <c r="M163" s="57"/>
      <c r="O163" s="58"/>
      <c r="P163" s="59"/>
      <c r="Q163" s="59"/>
      <c r="R163" s="69"/>
    </row>
    <row r="164" spans="1:18" ht="13.2" customHeight="1" x14ac:dyDescent="0.2">
      <c r="A164" s="251">
        <f t="shared" si="87"/>
        <v>154</v>
      </c>
      <c r="C164" s="31" t="str">
        <f>'Adjusted Lamp Cost Allocations'!A161</f>
        <v>58E &amp; 59E</v>
      </c>
      <c r="D164" s="31" t="str">
        <f>'Adjusted Lamp Cost Allocations'!B161</f>
        <v>Directional</v>
      </c>
      <c r="E164" s="31" t="str">
        <f>'Adjusted Lamp Cost Allocations'!C161</f>
        <v>Sodium Vapor</v>
      </c>
      <c r="F164" s="30" t="str">
        <f>'Adjusted Lamp Cost Allocations'!D161</f>
        <v>DS 070</v>
      </c>
      <c r="G164" s="54">
        <f>'Adjusted Lamp Cost Allocations'!U161</f>
        <v>0.55932264979786639</v>
      </c>
      <c r="H164" s="55">
        <f>'Adjusted Lamp Cost Allocations'!X161</f>
        <v>1.1054026384552636E-2</v>
      </c>
      <c r="I164" s="55">
        <f>'Adjusted Lamp Cost Allocations'!Y161</f>
        <v>2.5745064124651912E-3</v>
      </c>
      <c r="J164" s="55">
        <f t="shared" ref="J164:J169" si="113">SUM(G164:I164)</f>
        <v>0.5729511825948842</v>
      </c>
      <c r="L164" s="56">
        <v>744</v>
      </c>
      <c r="M164" s="57">
        <f t="shared" ref="M164:M169" si="114">ROUND(L164*J164,0)</f>
        <v>426</v>
      </c>
      <c r="O164" s="58">
        <f t="shared" ref="O164:O169" si="115">ROUND(J164-P164,2)</f>
        <v>0.53</v>
      </c>
      <c r="P164" s="59">
        <f t="shared" ref="P164:P169" si="116">ROUND(J164*$P$9,2)</f>
        <v>0.04</v>
      </c>
      <c r="Q164" s="58">
        <f t="shared" ref="Q164:Q169" si="117">SUM(O164:P164)</f>
        <v>0.57000000000000006</v>
      </c>
      <c r="R164" s="258">
        <f t="shared" ref="R164:R169" si="118">+Q164-J164</f>
        <v>-2.9511825948841386E-3</v>
      </c>
    </row>
    <row r="165" spans="1:18" ht="13.2" customHeight="1" x14ac:dyDescent="0.2">
      <c r="A165" s="251">
        <f t="shared" si="87"/>
        <v>155</v>
      </c>
      <c r="C165" s="31" t="str">
        <f>'Adjusted Lamp Cost Allocations'!A162</f>
        <v>58E &amp; 59E</v>
      </c>
      <c r="D165" s="31" t="str">
        <f>'Adjusted Lamp Cost Allocations'!B162</f>
        <v>Directional</v>
      </c>
      <c r="E165" s="31" t="str">
        <f>'Adjusted Lamp Cost Allocations'!C162</f>
        <v>Sodium Vapor</v>
      </c>
      <c r="F165" s="30" t="str">
        <f>'Adjusted Lamp Cost Allocations'!D162</f>
        <v>DS 100</v>
      </c>
      <c r="G165" s="54">
        <f>'Adjusted Lamp Cost Allocations'!U162</f>
        <v>0.52702336326203669</v>
      </c>
      <c r="H165" s="55">
        <f>'Adjusted Lamp Cost Allocations'!X162</f>
        <v>1.5791466263646622E-2</v>
      </c>
      <c r="I165" s="55">
        <f>'Adjusted Lamp Cost Allocations'!Y162</f>
        <v>3.6778663035217018E-3</v>
      </c>
      <c r="J165" s="55">
        <f t="shared" si="113"/>
        <v>0.54649269582920501</v>
      </c>
      <c r="L165" s="56">
        <v>120</v>
      </c>
      <c r="M165" s="57">
        <f t="shared" si="114"/>
        <v>66</v>
      </c>
      <c r="O165" s="58">
        <f t="shared" si="115"/>
        <v>0.51</v>
      </c>
      <c r="P165" s="59">
        <f t="shared" si="116"/>
        <v>0.04</v>
      </c>
      <c r="Q165" s="58">
        <f t="shared" si="117"/>
        <v>0.55000000000000004</v>
      </c>
      <c r="R165" s="258">
        <f t="shared" si="118"/>
        <v>3.5073041707950336E-3</v>
      </c>
    </row>
    <row r="166" spans="1:18" ht="13.2" customHeight="1" x14ac:dyDescent="0.2">
      <c r="A166" s="251">
        <f t="shared" si="87"/>
        <v>156</v>
      </c>
      <c r="C166" s="31" t="str">
        <f>'Adjusted Lamp Cost Allocations'!A163</f>
        <v>58E &amp; 59E</v>
      </c>
      <c r="D166" s="31" t="str">
        <f>'Adjusted Lamp Cost Allocations'!B163</f>
        <v>Directional</v>
      </c>
      <c r="E166" s="31" t="str">
        <f>'Adjusted Lamp Cost Allocations'!C163</f>
        <v>Sodium Vapor</v>
      </c>
      <c r="F166" s="30" t="str">
        <f>'Adjusted Lamp Cost Allocations'!D163</f>
        <v>DS 150</v>
      </c>
      <c r="G166" s="54">
        <f>'Adjusted Lamp Cost Allocations'!U163</f>
        <v>0.52792860542042885</v>
      </c>
      <c r="H166" s="55">
        <f>'Adjusted Lamp Cost Allocations'!X163</f>
        <v>2.3687199395469934E-2</v>
      </c>
      <c r="I166" s="55">
        <f>'Adjusted Lamp Cost Allocations'!Y163</f>
        <v>5.5167994552825532E-3</v>
      </c>
      <c r="J166" s="55">
        <f t="shared" si="113"/>
        <v>0.55713260427118139</v>
      </c>
      <c r="L166" s="56">
        <v>1788</v>
      </c>
      <c r="M166" s="57">
        <f t="shared" si="114"/>
        <v>996</v>
      </c>
      <c r="O166" s="58">
        <f t="shared" si="115"/>
        <v>0.52</v>
      </c>
      <c r="P166" s="59">
        <f t="shared" si="116"/>
        <v>0.04</v>
      </c>
      <c r="Q166" s="58">
        <f t="shared" si="117"/>
        <v>0.56000000000000005</v>
      </c>
      <c r="R166" s="258">
        <f t="shared" si="118"/>
        <v>2.8673957288186669E-3</v>
      </c>
    </row>
    <row r="167" spans="1:18" ht="13.2" customHeight="1" x14ac:dyDescent="0.2">
      <c r="A167" s="251">
        <f t="shared" si="87"/>
        <v>157</v>
      </c>
      <c r="C167" s="31" t="str">
        <f>'Adjusted Lamp Cost Allocations'!A164</f>
        <v>58E &amp; 59E</v>
      </c>
      <c r="D167" s="31" t="str">
        <f>'Adjusted Lamp Cost Allocations'!B164</f>
        <v>Directional</v>
      </c>
      <c r="E167" s="31" t="str">
        <f>'Adjusted Lamp Cost Allocations'!C164</f>
        <v>Sodium Vapor</v>
      </c>
      <c r="F167" s="30" t="str">
        <f>'Adjusted Lamp Cost Allocations'!D164</f>
        <v>DS 200</v>
      </c>
      <c r="G167" s="54">
        <f>'Adjusted Lamp Cost Allocations'!U164</f>
        <v>0.55845435629900042</v>
      </c>
      <c r="H167" s="55">
        <f>'Adjusted Lamp Cost Allocations'!X164</f>
        <v>3.1582932527293245E-2</v>
      </c>
      <c r="I167" s="55">
        <f>'Adjusted Lamp Cost Allocations'!Y164</f>
        <v>7.3557326070434036E-3</v>
      </c>
      <c r="J167" s="55">
        <f t="shared" si="113"/>
        <v>0.59739302143333706</v>
      </c>
      <c r="L167" s="56">
        <v>3048</v>
      </c>
      <c r="M167" s="57">
        <f t="shared" si="114"/>
        <v>1821</v>
      </c>
      <c r="O167" s="58">
        <f t="shared" si="115"/>
        <v>0.56000000000000005</v>
      </c>
      <c r="P167" s="59">
        <f t="shared" si="116"/>
        <v>0.04</v>
      </c>
      <c r="Q167" s="58">
        <f t="shared" si="117"/>
        <v>0.60000000000000009</v>
      </c>
      <c r="R167" s="258">
        <f t="shared" si="118"/>
        <v>2.6069785666630318E-3</v>
      </c>
    </row>
    <row r="168" spans="1:18" ht="13.2" customHeight="1" x14ac:dyDescent="0.2">
      <c r="A168" s="251">
        <f t="shared" si="87"/>
        <v>158</v>
      </c>
      <c r="B168" s="48"/>
      <c r="C168" s="31" t="str">
        <f>'Adjusted Lamp Cost Allocations'!A165</f>
        <v>58E &amp; 59E</v>
      </c>
      <c r="D168" s="31" t="str">
        <f>'Adjusted Lamp Cost Allocations'!B165</f>
        <v>Directional</v>
      </c>
      <c r="E168" s="31" t="str">
        <f>'Adjusted Lamp Cost Allocations'!C165</f>
        <v>Sodium Vapor</v>
      </c>
      <c r="F168" s="30" t="str">
        <f>'Adjusted Lamp Cost Allocations'!D165</f>
        <v>DS 250</v>
      </c>
      <c r="G168" s="54">
        <f>'Adjusted Lamp Cost Allocations'!U165</f>
        <v>0.56838738760163032</v>
      </c>
      <c r="H168" s="55">
        <f>'Adjusted Lamp Cost Allocations'!X165</f>
        <v>3.9478665659116556E-2</v>
      </c>
      <c r="I168" s="55">
        <f>'Adjusted Lamp Cost Allocations'!Y165</f>
        <v>9.194665758804255E-3</v>
      </c>
      <c r="J168" s="55">
        <f t="shared" si="113"/>
        <v>0.61706071901955106</v>
      </c>
      <c r="L168" s="56">
        <v>444</v>
      </c>
      <c r="M168" s="57">
        <f t="shared" si="114"/>
        <v>274</v>
      </c>
      <c r="O168" s="58">
        <f t="shared" si="115"/>
        <v>0.57999999999999996</v>
      </c>
      <c r="P168" s="59">
        <f t="shared" si="116"/>
        <v>0.04</v>
      </c>
      <c r="Q168" s="58">
        <f t="shared" si="117"/>
        <v>0.62</v>
      </c>
      <c r="R168" s="258">
        <f t="shared" si="118"/>
        <v>2.9392809804489328E-3</v>
      </c>
    </row>
    <row r="169" spans="1:18" ht="13.2" customHeight="1" x14ac:dyDescent="0.2">
      <c r="A169" s="251">
        <f t="shared" si="87"/>
        <v>159</v>
      </c>
      <c r="C169" s="31" t="str">
        <f>'Adjusted Lamp Cost Allocations'!A166</f>
        <v>58E &amp; 59E</v>
      </c>
      <c r="D169" s="31" t="str">
        <f>'Adjusted Lamp Cost Allocations'!B166</f>
        <v>Directional</v>
      </c>
      <c r="E169" s="31" t="str">
        <f>'Adjusted Lamp Cost Allocations'!C166</f>
        <v>Sodium Vapor</v>
      </c>
      <c r="F169" s="30" t="str">
        <f>'Adjusted Lamp Cost Allocations'!D166</f>
        <v>DS 400</v>
      </c>
      <c r="G169" s="54">
        <f>'Adjusted Lamp Cost Allocations'!U166</f>
        <v>0.63422989887733894</v>
      </c>
      <c r="H169" s="55">
        <f>'Adjusted Lamp Cost Allocations'!X166</f>
        <v>6.316586505458649E-2</v>
      </c>
      <c r="I169" s="55">
        <f>'Adjusted Lamp Cost Allocations'!Y166</f>
        <v>1.4711465214086807E-2</v>
      </c>
      <c r="J169" s="55">
        <f t="shared" si="113"/>
        <v>0.71210722914601232</v>
      </c>
      <c r="L169" s="56">
        <v>3996</v>
      </c>
      <c r="M169" s="57">
        <f t="shared" si="114"/>
        <v>2846</v>
      </c>
      <c r="O169" s="58">
        <f t="shared" si="115"/>
        <v>0.66</v>
      </c>
      <c r="P169" s="59">
        <f t="shared" si="116"/>
        <v>0.05</v>
      </c>
      <c r="Q169" s="58">
        <f t="shared" si="117"/>
        <v>0.71000000000000008</v>
      </c>
      <c r="R169" s="258">
        <f t="shared" si="118"/>
        <v>-2.1072291460122461E-3</v>
      </c>
    </row>
    <row r="170" spans="1:18" ht="13.2" customHeight="1" x14ac:dyDescent="0.2">
      <c r="A170" s="251">
        <f t="shared" si="87"/>
        <v>160</v>
      </c>
      <c r="C170" s="32"/>
      <c r="D170" s="31"/>
      <c r="E170" s="31"/>
      <c r="F170" s="30"/>
      <c r="G170" s="54"/>
      <c r="H170" s="55"/>
      <c r="I170" s="55"/>
      <c r="J170" s="55"/>
      <c r="L170" s="56"/>
      <c r="M170" s="57"/>
      <c r="O170" s="58"/>
      <c r="P170" s="59"/>
      <c r="Q170" s="59"/>
      <c r="R170" s="69"/>
    </row>
    <row r="171" spans="1:18" ht="13.2" customHeight="1" x14ac:dyDescent="0.2">
      <c r="A171" s="251">
        <f t="shared" si="87"/>
        <v>161</v>
      </c>
      <c r="C171" s="31" t="str">
        <f>'Adjusted Lamp Cost Allocations'!A168</f>
        <v>58E &amp; 59E</v>
      </c>
      <c r="D171" s="31" t="str">
        <f>'Adjusted Lamp Cost Allocations'!B168</f>
        <v>Horizontal</v>
      </c>
      <c r="E171" s="31" t="str">
        <f>'Adjusted Lamp Cost Allocations'!C168</f>
        <v>Sodium Vapor</v>
      </c>
      <c r="F171" s="30" t="str">
        <f>'Adjusted Lamp Cost Allocations'!D168</f>
        <v>HS 100</v>
      </c>
      <c r="G171" s="54">
        <f>'Adjusted Lamp Cost Allocations'!U168</f>
        <v>0.52702336326203669</v>
      </c>
      <c r="H171" s="55">
        <f>'Adjusted Lamp Cost Allocations'!X168</f>
        <v>1.5791466263646622E-2</v>
      </c>
      <c r="I171" s="55">
        <f>'Adjusted Lamp Cost Allocations'!Y168</f>
        <v>3.6778663035217018E-3</v>
      </c>
      <c r="J171" s="55">
        <f t="shared" ref="J171:J200" si="119">SUM(G171:I171)</f>
        <v>0.54649269582920501</v>
      </c>
      <c r="L171" s="56">
        <v>0</v>
      </c>
      <c r="M171" s="57">
        <f t="shared" ref="M171:M175" si="120">ROUND(L171*J171,0)</f>
        <v>0</v>
      </c>
      <c r="O171" s="58">
        <f t="shared" ref="O171:O175" si="121">ROUND(J171-P171,2)</f>
        <v>0.51</v>
      </c>
      <c r="P171" s="59">
        <f t="shared" ref="P171:P175" si="122">ROUND(J171*$P$9,2)</f>
        <v>0.04</v>
      </c>
      <c r="Q171" s="58">
        <f t="shared" ref="Q171:Q175" si="123">SUM(O171:P171)</f>
        <v>0.55000000000000004</v>
      </c>
      <c r="R171" s="258">
        <f t="shared" ref="R171:R175" si="124">+Q171-J171</f>
        <v>3.5073041707950336E-3</v>
      </c>
    </row>
    <row r="172" spans="1:18" ht="13.2" customHeight="1" x14ac:dyDescent="0.2">
      <c r="A172" s="251">
        <f t="shared" si="87"/>
        <v>162</v>
      </c>
      <c r="C172" s="31" t="str">
        <f>'Adjusted Lamp Cost Allocations'!A169</f>
        <v>58E &amp; 59E</v>
      </c>
      <c r="D172" s="31" t="str">
        <f>'Adjusted Lamp Cost Allocations'!B169</f>
        <v>Horizontal</v>
      </c>
      <c r="E172" s="31" t="str">
        <f>'Adjusted Lamp Cost Allocations'!C169</f>
        <v>Sodium Vapor</v>
      </c>
      <c r="F172" s="30" t="str">
        <f>'Adjusted Lamp Cost Allocations'!D169</f>
        <v>HS 150</v>
      </c>
      <c r="G172" s="54">
        <f>'Adjusted Lamp Cost Allocations'!U169</f>
        <v>0.52792860542042885</v>
      </c>
      <c r="H172" s="55">
        <f>'Adjusted Lamp Cost Allocations'!X169</f>
        <v>2.3687199395469934E-2</v>
      </c>
      <c r="I172" s="55">
        <f>'Adjusted Lamp Cost Allocations'!Y169</f>
        <v>5.5167994552825532E-3</v>
      </c>
      <c r="J172" s="55">
        <f t="shared" si="119"/>
        <v>0.55713260427118139</v>
      </c>
      <c r="L172" s="56">
        <v>144</v>
      </c>
      <c r="M172" s="57">
        <f t="shared" si="120"/>
        <v>80</v>
      </c>
      <c r="O172" s="58">
        <f t="shared" si="121"/>
        <v>0.52</v>
      </c>
      <c r="P172" s="59">
        <f t="shared" si="122"/>
        <v>0.04</v>
      </c>
      <c r="Q172" s="58">
        <f t="shared" si="123"/>
        <v>0.56000000000000005</v>
      </c>
      <c r="R172" s="258">
        <f t="shared" si="124"/>
        <v>2.8673957288186669E-3</v>
      </c>
    </row>
    <row r="173" spans="1:18" ht="13.2" customHeight="1" x14ac:dyDescent="0.2">
      <c r="A173" s="251">
        <f t="shared" si="87"/>
        <v>163</v>
      </c>
      <c r="C173" s="31" t="str">
        <f>'Adjusted Lamp Cost Allocations'!A170</f>
        <v>58E &amp; 59E</v>
      </c>
      <c r="D173" s="31" t="str">
        <f>'Adjusted Lamp Cost Allocations'!B170</f>
        <v>Horizontal</v>
      </c>
      <c r="E173" s="31" t="str">
        <f>'Adjusted Lamp Cost Allocations'!C170</f>
        <v>Sodium Vapor</v>
      </c>
      <c r="F173" s="30" t="str">
        <f>'Adjusted Lamp Cost Allocations'!D170</f>
        <v>HS 200</v>
      </c>
      <c r="G173" s="54">
        <f>'Adjusted Lamp Cost Allocations'!U170</f>
        <v>0.55845435629900042</v>
      </c>
      <c r="H173" s="55">
        <f>'Adjusted Lamp Cost Allocations'!X170</f>
        <v>3.1582932527293245E-2</v>
      </c>
      <c r="I173" s="55">
        <f>'Adjusted Lamp Cost Allocations'!Y170</f>
        <v>7.3557326070434036E-3</v>
      </c>
      <c r="J173" s="55">
        <f t="shared" si="119"/>
        <v>0.59739302143333706</v>
      </c>
      <c r="L173" s="56">
        <v>108</v>
      </c>
      <c r="M173" s="57">
        <f t="shared" si="120"/>
        <v>65</v>
      </c>
      <c r="O173" s="58">
        <f t="shared" si="121"/>
        <v>0.56000000000000005</v>
      </c>
      <c r="P173" s="59">
        <f t="shared" si="122"/>
        <v>0.04</v>
      </c>
      <c r="Q173" s="58">
        <f t="shared" si="123"/>
        <v>0.60000000000000009</v>
      </c>
      <c r="R173" s="258">
        <f t="shared" si="124"/>
        <v>2.6069785666630318E-3</v>
      </c>
    </row>
    <row r="174" spans="1:18" ht="13.2" customHeight="1" x14ac:dyDescent="0.2">
      <c r="A174" s="251">
        <f t="shared" si="87"/>
        <v>164</v>
      </c>
      <c r="C174" s="31" t="str">
        <f>'Adjusted Lamp Cost Allocations'!A171</f>
        <v>58E &amp; 59E</v>
      </c>
      <c r="D174" s="31" t="str">
        <f>'Adjusted Lamp Cost Allocations'!B171</f>
        <v>Horizontal</v>
      </c>
      <c r="E174" s="31" t="str">
        <f>'Adjusted Lamp Cost Allocations'!C171</f>
        <v>Sodium Vapor</v>
      </c>
      <c r="F174" s="30" t="str">
        <f>'Adjusted Lamp Cost Allocations'!D171</f>
        <v>HS 250</v>
      </c>
      <c r="G174" s="54">
        <f>'Adjusted Lamp Cost Allocations'!U171</f>
        <v>0.56838738760163032</v>
      </c>
      <c r="H174" s="55">
        <f>'Adjusted Lamp Cost Allocations'!X171</f>
        <v>3.9478665659116556E-2</v>
      </c>
      <c r="I174" s="55">
        <f>'Adjusted Lamp Cost Allocations'!Y171</f>
        <v>9.194665758804255E-3</v>
      </c>
      <c r="J174" s="55">
        <f t="shared" si="119"/>
        <v>0.61706071901955106</v>
      </c>
      <c r="L174" s="56">
        <v>360</v>
      </c>
      <c r="M174" s="57">
        <f t="shared" si="120"/>
        <v>222</v>
      </c>
      <c r="O174" s="58">
        <f t="shared" si="121"/>
        <v>0.57999999999999996</v>
      </c>
      <c r="P174" s="59">
        <f t="shared" si="122"/>
        <v>0.04</v>
      </c>
      <c r="Q174" s="58">
        <f t="shared" si="123"/>
        <v>0.62</v>
      </c>
      <c r="R174" s="258">
        <f t="shared" si="124"/>
        <v>2.9392809804489328E-3</v>
      </c>
    </row>
    <row r="175" spans="1:18" ht="13.2" customHeight="1" x14ac:dyDescent="0.2">
      <c r="A175" s="251">
        <f t="shared" si="87"/>
        <v>165</v>
      </c>
      <c r="C175" s="31" t="str">
        <f>'Adjusted Lamp Cost Allocations'!A172</f>
        <v>58E &amp; 59E</v>
      </c>
      <c r="D175" s="31" t="str">
        <f>'Adjusted Lamp Cost Allocations'!B172</f>
        <v>Horizontal</v>
      </c>
      <c r="E175" s="31" t="str">
        <f>'Adjusted Lamp Cost Allocations'!C172</f>
        <v>Sodium Vapor</v>
      </c>
      <c r="F175" s="30" t="str">
        <f>'Adjusted Lamp Cost Allocations'!D172</f>
        <v>HS 400</v>
      </c>
      <c r="G175" s="54">
        <f>'Adjusted Lamp Cost Allocations'!U172</f>
        <v>0.63422989887733894</v>
      </c>
      <c r="H175" s="55">
        <f>'Adjusted Lamp Cost Allocations'!X172</f>
        <v>6.316586505458649E-2</v>
      </c>
      <c r="I175" s="55">
        <f>'Adjusted Lamp Cost Allocations'!Y172</f>
        <v>1.4711465214086807E-2</v>
      </c>
      <c r="J175" s="55">
        <f t="shared" si="119"/>
        <v>0.71210722914601232</v>
      </c>
      <c r="L175" s="56">
        <v>588</v>
      </c>
      <c r="M175" s="57">
        <f t="shared" si="120"/>
        <v>419</v>
      </c>
      <c r="O175" s="58">
        <f t="shared" si="121"/>
        <v>0.66</v>
      </c>
      <c r="P175" s="59">
        <f t="shared" si="122"/>
        <v>0.05</v>
      </c>
      <c r="Q175" s="58">
        <f t="shared" si="123"/>
        <v>0.71000000000000008</v>
      </c>
      <c r="R175" s="258">
        <f t="shared" si="124"/>
        <v>-2.1072291460122461E-3</v>
      </c>
    </row>
    <row r="176" spans="1:18" ht="13.2" customHeight="1" x14ac:dyDescent="0.2">
      <c r="A176" s="251">
        <f t="shared" si="87"/>
        <v>166</v>
      </c>
      <c r="C176" s="32"/>
      <c r="D176" s="31"/>
      <c r="E176" s="31"/>
      <c r="F176" s="30"/>
      <c r="G176" s="54"/>
      <c r="H176" s="55"/>
      <c r="I176" s="55"/>
      <c r="J176" s="55"/>
      <c r="L176" s="56"/>
      <c r="M176" s="57"/>
      <c r="O176" s="58"/>
      <c r="P176" s="59"/>
      <c r="Q176" s="59"/>
      <c r="R176" s="69"/>
    </row>
    <row r="177" spans="1:18" ht="13.2" customHeight="1" x14ac:dyDescent="0.2">
      <c r="A177" s="251">
        <f t="shared" si="87"/>
        <v>167</v>
      </c>
      <c r="C177" s="31" t="str">
        <f>'Adjusted Lamp Cost Allocations'!A174</f>
        <v>58E &amp; 59E</v>
      </c>
      <c r="D177" s="31" t="str">
        <f>'Adjusted Lamp Cost Allocations'!B174</f>
        <v>Directional</v>
      </c>
      <c r="E177" s="31" t="str">
        <f>'Adjusted Lamp Cost Allocations'!C174</f>
        <v>Metal Halide</v>
      </c>
      <c r="F177" s="30" t="str">
        <f>'Adjusted Lamp Cost Allocations'!D174</f>
        <v>DM 175</v>
      </c>
      <c r="G177" s="54">
        <f>'Adjusted Lamp Cost Allocations'!U174</f>
        <v>0.52481502105785405</v>
      </c>
      <c r="H177" s="55">
        <f>'Adjusted Lamp Cost Allocations'!X174</f>
        <v>2.7635065961381589E-2</v>
      </c>
      <c r="I177" s="55">
        <f>'Adjusted Lamp Cost Allocations'!Y174</f>
        <v>6.436266031162978E-3</v>
      </c>
      <c r="J177" s="55">
        <f t="shared" si="119"/>
        <v>0.55888635305039858</v>
      </c>
      <c r="L177" s="56">
        <v>36</v>
      </c>
      <c r="M177" s="57">
        <f t="shared" ref="M177:M180" si="125">ROUND(L177*J177,0)</f>
        <v>20</v>
      </c>
      <c r="O177" s="58">
        <f t="shared" ref="O177:O180" si="126">ROUND(J177-P177,2)</f>
        <v>0.52</v>
      </c>
      <c r="P177" s="59">
        <f t="shared" ref="P177:P180" si="127">ROUND(J177*$P$9,2)</f>
        <v>0.04</v>
      </c>
      <c r="Q177" s="58">
        <f t="shared" ref="Q177:Q180" si="128">SUM(O177:P177)</f>
        <v>0.56000000000000005</v>
      </c>
      <c r="R177" s="258">
        <f t="shared" ref="R177:R180" si="129">+Q177-J177</f>
        <v>1.1136469496014767E-3</v>
      </c>
    </row>
    <row r="178" spans="1:18" ht="13.2" customHeight="1" x14ac:dyDescent="0.2">
      <c r="A178" s="251">
        <f t="shared" si="87"/>
        <v>168</v>
      </c>
      <c r="C178" s="31" t="str">
        <f>'Adjusted Lamp Cost Allocations'!A175</f>
        <v>58E &amp; 59E</v>
      </c>
      <c r="D178" s="31" t="str">
        <f>'Adjusted Lamp Cost Allocations'!B175</f>
        <v>Directional</v>
      </c>
      <c r="E178" s="31" t="str">
        <f>'Adjusted Lamp Cost Allocations'!C175</f>
        <v>Metal Halide</v>
      </c>
      <c r="F178" s="30" t="str">
        <f>'Adjusted Lamp Cost Allocations'!D175</f>
        <v>DM 250</v>
      </c>
      <c r="G178" s="54">
        <f>'Adjusted Lamp Cost Allocations'!U175</f>
        <v>0.56373185650132762</v>
      </c>
      <c r="H178" s="55">
        <f>'Adjusted Lamp Cost Allocations'!X175</f>
        <v>3.9478665659116556E-2</v>
      </c>
      <c r="I178" s="55">
        <f>'Adjusted Lamp Cost Allocations'!Y175</f>
        <v>9.194665758804255E-3</v>
      </c>
      <c r="J178" s="55">
        <f t="shared" si="119"/>
        <v>0.61240518791924836</v>
      </c>
      <c r="L178" s="56">
        <v>204</v>
      </c>
      <c r="M178" s="57">
        <f t="shared" si="125"/>
        <v>125</v>
      </c>
      <c r="O178" s="58">
        <f t="shared" si="126"/>
        <v>0.56999999999999995</v>
      </c>
      <c r="P178" s="59">
        <f t="shared" si="127"/>
        <v>0.04</v>
      </c>
      <c r="Q178" s="58">
        <f t="shared" si="128"/>
        <v>0.61</v>
      </c>
      <c r="R178" s="258">
        <f t="shared" si="129"/>
        <v>-2.4051879192483749E-3</v>
      </c>
    </row>
    <row r="179" spans="1:18" ht="13.2" customHeight="1" x14ac:dyDescent="0.2">
      <c r="A179" s="251">
        <f t="shared" si="87"/>
        <v>169</v>
      </c>
      <c r="C179" s="31" t="str">
        <f>'Adjusted Lamp Cost Allocations'!A176</f>
        <v>58E &amp; 59E</v>
      </c>
      <c r="D179" s="31" t="str">
        <f>'Adjusted Lamp Cost Allocations'!B176</f>
        <v>Directional</v>
      </c>
      <c r="E179" s="31" t="str">
        <f>'Adjusted Lamp Cost Allocations'!C176</f>
        <v>Metal Halide</v>
      </c>
      <c r="F179" s="30" t="str">
        <f>'Adjusted Lamp Cost Allocations'!D176</f>
        <v>DM 400</v>
      </c>
      <c r="G179" s="54">
        <f>'Adjusted Lamp Cost Allocations'!U176</f>
        <v>0.56607809638124207</v>
      </c>
      <c r="H179" s="55">
        <f>'Adjusted Lamp Cost Allocations'!X176</f>
        <v>6.316586505458649E-2</v>
      </c>
      <c r="I179" s="55">
        <f>'Adjusted Lamp Cost Allocations'!Y176</f>
        <v>1.4711465214086807E-2</v>
      </c>
      <c r="J179" s="55">
        <f t="shared" si="119"/>
        <v>0.64395542664991534</v>
      </c>
      <c r="L179" s="56">
        <v>936</v>
      </c>
      <c r="M179" s="57">
        <f t="shared" si="125"/>
        <v>603</v>
      </c>
      <c r="O179" s="58">
        <f t="shared" si="126"/>
        <v>0.59</v>
      </c>
      <c r="P179" s="59">
        <f t="shared" si="127"/>
        <v>0.05</v>
      </c>
      <c r="Q179" s="58">
        <f t="shared" si="128"/>
        <v>0.64</v>
      </c>
      <c r="R179" s="258">
        <f t="shared" si="129"/>
        <v>-3.9554266499153279E-3</v>
      </c>
    </row>
    <row r="180" spans="1:18" ht="13.2" customHeight="1" x14ac:dyDescent="0.2">
      <c r="A180" s="251">
        <f t="shared" si="87"/>
        <v>170</v>
      </c>
      <c r="C180" s="31" t="str">
        <f>'Adjusted Lamp Cost Allocations'!A177</f>
        <v>58E &amp; 59E</v>
      </c>
      <c r="D180" s="31" t="str">
        <f>'Adjusted Lamp Cost Allocations'!B177</f>
        <v>Directional</v>
      </c>
      <c r="E180" s="31" t="str">
        <f>'Adjusted Lamp Cost Allocations'!C177</f>
        <v>Metal Halide</v>
      </c>
      <c r="F180" s="30" t="str">
        <f>'Adjusted Lamp Cost Allocations'!D177</f>
        <v>DM 1000</v>
      </c>
      <c r="G180" s="54">
        <f>'Adjusted Lamp Cost Allocations'!U177</f>
        <v>0.76196141485945146</v>
      </c>
      <c r="H180" s="55">
        <f>'Adjusted Lamp Cost Allocations'!X177</f>
        <v>0.15791466263646622</v>
      </c>
      <c r="I180" s="55">
        <f>'Adjusted Lamp Cost Allocations'!Y177</f>
        <v>3.677866303521702E-2</v>
      </c>
      <c r="J180" s="55">
        <f t="shared" si="119"/>
        <v>0.95665474053113475</v>
      </c>
      <c r="L180" s="56">
        <v>1380</v>
      </c>
      <c r="M180" s="57">
        <f t="shared" si="125"/>
        <v>1320</v>
      </c>
      <c r="O180" s="58">
        <f t="shared" si="126"/>
        <v>0.89</v>
      </c>
      <c r="P180" s="59">
        <f t="shared" si="127"/>
        <v>7.0000000000000007E-2</v>
      </c>
      <c r="Q180" s="58">
        <f t="shared" si="128"/>
        <v>0.96</v>
      </c>
      <c r="R180" s="258">
        <f t="shared" si="129"/>
        <v>3.3452594688652137E-3</v>
      </c>
    </row>
    <row r="181" spans="1:18" ht="13.2" customHeight="1" x14ac:dyDescent="0.2">
      <c r="A181" s="251">
        <f t="shared" si="87"/>
        <v>171</v>
      </c>
      <c r="C181" s="32"/>
      <c r="D181" s="31"/>
      <c r="E181" s="31"/>
      <c r="F181" s="30"/>
      <c r="G181" s="54"/>
      <c r="H181" s="55"/>
      <c r="I181" s="55"/>
      <c r="J181" s="55"/>
      <c r="L181" s="56"/>
      <c r="M181" s="57"/>
      <c r="O181" s="58"/>
      <c r="P181" s="59"/>
      <c r="Q181" s="59"/>
      <c r="R181" s="69"/>
    </row>
    <row r="182" spans="1:18" ht="13.2" customHeight="1" x14ac:dyDescent="0.2">
      <c r="A182" s="251">
        <f t="shared" si="87"/>
        <v>172</v>
      </c>
      <c r="C182" s="31" t="str">
        <f>'Adjusted Lamp Cost Allocations'!A179</f>
        <v>58E &amp; 59E</v>
      </c>
      <c r="D182" s="31" t="str">
        <f>'Adjusted Lamp Cost Allocations'!B179</f>
        <v>Horizontal</v>
      </c>
      <c r="E182" s="31" t="str">
        <f>'Adjusted Lamp Cost Allocations'!C179</f>
        <v>Metal Halide</v>
      </c>
      <c r="F182" s="30" t="str">
        <f>'Adjusted Lamp Cost Allocations'!D179</f>
        <v>HM 250</v>
      </c>
      <c r="G182" s="54">
        <f>'Adjusted Lamp Cost Allocations'!U179</f>
        <v>0.56373185650132762</v>
      </c>
      <c r="H182" s="55">
        <f>'Adjusted Lamp Cost Allocations'!X179</f>
        <v>3.9478665659116556E-2</v>
      </c>
      <c r="I182" s="55">
        <f>'Adjusted Lamp Cost Allocations'!Y179</f>
        <v>9.194665758804255E-3</v>
      </c>
      <c r="J182" s="55">
        <f t="shared" si="119"/>
        <v>0.61240518791924836</v>
      </c>
      <c r="L182" s="56">
        <v>108</v>
      </c>
      <c r="M182" s="57">
        <f t="shared" ref="M182:M183" si="130">ROUND(L182*J182,0)</f>
        <v>66</v>
      </c>
      <c r="O182" s="58">
        <f t="shared" ref="O182:O183" si="131">ROUND(J182-P182,2)</f>
        <v>0.56999999999999995</v>
      </c>
      <c r="P182" s="59">
        <f t="shared" ref="P182:P183" si="132">ROUND(J182*$P$9,2)</f>
        <v>0.04</v>
      </c>
      <c r="Q182" s="58">
        <f t="shared" ref="Q182:Q183" si="133">SUM(O182:P182)</f>
        <v>0.61</v>
      </c>
      <c r="R182" s="258">
        <f t="shared" ref="R182:R183" si="134">+Q182-J182</f>
        <v>-2.4051879192483749E-3</v>
      </c>
    </row>
    <row r="183" spans="1:18" ht="13.2" customHeight="1" x14ac:dyDescent="0.2">
      <c r="A183" s="251">
        <f t="shared" si="87"/>
        <v>173</v>
      </c>
      <c r="C183" s="31" t="str">
        <f>'Adjusted Lamp Cost Allocations'!A180</f>
        <v>58E &amp; 59E</v>
      </c>
      <c r="D183" s="31" t="str">
        <f>'Adjusted Lamp Cost Allocations'!B180</f>
        <v>Horizontal</v>
      </c>
      <c r="E183" s="31" t="str">
        <f>'Adjusted Lamp Cost Allocations'!C180</f>
        <v>Metal Halide</v>
      </c>
      <c r="F183" s="30" t="str">
        <f>'Adjusted Lamp Cost Allocations'!D180</f>
        <v>HM 400</v>
      </c>
      <c r="G183" s="54">
        <f>'Adjusted Lamp Cost Allocations'!U180</f>
        <v>0.56607809638124207</v>
      </c>
      <c r="H183" s="55">
        <f>'Adjusted Lamp Cost Allocations'!X180</f>
        <v>6.316586505458649E-2</v>
      </c>
      <c r="I183" s="55">
        <f>'Adjusted Lamp Cost Allocations'!Y180</f>
        <v>1.4711465214086807E-2</v>
      </c>
      <c r="J183" s="55">
        <f t="shared" si="119"/>
        <v>0.64395542664991534</v>
      </c>
      <c r="L183" s="56">
        <v>468</v>
      </c>
      <c r="M183" s="57">
        <f t="shared" si="130"/>
        <v>301</v>
      </c>
      <c r="O183" s="58">
        <f t="shared" si="131"/>
        <v>0.59</v>
      </c>
      <c r="P183" s="59">
        <f t="shared" si="132"/>
        <v>0.05</v>
      </c>
      <c r="Q183" s="58">
        <f t="shared" si="133"/>
        <v>0.64</v>
      </c>
      <c r="R183" s="258">
        <f t="shared" si="134"/>
        <v>-3.9554266499153279E-3</v>
      </c>
    </row>
    <row r="184" spans="1:18" ht="13.2" customHeight="1" x14ac:dyDescent="0.2">
      <c r="A184" s="251">
        <f t="shared" si="87"/>
        <v>174</v>
      </c>
      <c r="C184" s="32"/>
      <c r="D184" s="32"/>
      <c r="E184" s="31"/>
      <c r="F184" s="30"/>
      <c r="G184" s="54"/>
      <c r="H184" s="55"/>
      <c r="I184" s="55"/>
      <c r="J184" s="55"/>
      <c r="L184" s="56"/>
      <c r="M184" s="57"/>
      <c r="O184" s="58"/>
      <c r="P184" s="59"/>
      <c r="Q184" s="59"/>
      <c r="R184" s="69"/>
    </row>
    <row r="185" spans="1:18" ht="13.2" customHeight="1" x14ac:dyDescent="0.2">
      <c r="A185" s="251">
        <f t="shared" si="87"/>
        <v>175</v>
      </c>
      <c r="C185" s="31" t="str">
        <f>'Adjusted Lamp Cost Allocations'!A182</f>
        <v>58E &amp; 59E</v>
      </c>
      <c r="D185" s="32"/>
      <c r="E185" s="31" t="str">
        <f>'Adjusted Lamp Cost Allocations'!C182</f>
        <v>Light Emitting Diode</v>
      </c>
      <c r="F185" s="30" t="str">
        <f>'Adjusted Lamp Cost Allocations'!D182</f>
        <v>LED 0-030</v>
      </c>
      <c r="G185" s="54">
        <f>'Adjusted Lamp Cost Allocations'!U182</f>
        <v>0.47051654662661724</v>
      </c>
      <c r="H185" s="55">
        <f>'Adjusted Lamp Cost Allocations'!X182</f>
        <v>2.3687199395469936E-3</v>
      </c>
      <c r="I185" s="55">
        <f>'Adjusted Lamp Cost Allocations'!Y182</f>
        <v>5.5167994552825532E-4</v>
      </c>
      <c r="J185" s="55">
        <f t="shared" si="119"/>
        <v>0.47343694651169249</v>
      </c>
      <c r="L185" s="56">
        <v>0</v>
      </c>
      <c r="M185" s="57">
        <f t="shared" ref="M185:M200" si="135">ROUND(L185*J185,0)</f>
        <v>0</v>
      </c>
      <c r="O185" s="58">
        <f t="shared" ref="O185:O200" si="136">ROUND(J185-P185,2)</f>
        <v>0.44</v>
      </c>
      <c r="P185" s="59">
        <f t="shared" ref="P185:P200" si="137">ROUND(J185*$P$9,2)</f>
        <v>0.03</v>
      </c>
      <c r="Q185" s="58">
        <f t="shared" ref="Q185:Q200" si="138">SUM(O185:P185)</f>
        <v>0.47</v>
      </c>
      <c r="R185" s="258">
        <f t="shared" ref="R185:R200" si="139">+Q185-J185</f>
        <v>-3.436946511692518E-3</v>
      </c>
    </row>
    <row r="186" spans="1:18" ht="13.2" customHeight="1" x14ac:dyDescent="0.2">
      <c r="A186" s="251">
        <f t="shared" si="87"/>
        <v>176</v>
      </c>
      <c r="C186" s="31" t="str">
        <f>'Adjusted Lamp Cost Allocations'!A183</f>
        <v>58E &amp; 59E</v>
      </c>
      <c r="D186" s="32"/>
      <c r="E186" s="31" t="str">
        <f>'Adjusted Lamp Cost Allocations'!C183</f>
        <v>Light Emitting Diode</v>
      </c>
      <c r="F186" s="30" t="str">
        <f>'Adjusted Lamp Cost Allocations'!D183</f>
        <v>LED 030.01-060</v>
      </c>
      <c r="G186" s="54">
        <f>'Adjusted Lamp Cost Allocations'!U183</f>
        <v>0.56521596099229698</v>
      </c>
      <c r="H186" s="55">
        <f>'Adjusted Lamp Cost Allocations'!X183</f>
        <v>7.1061598186409796E-3</v>
      </c>
      <c r="I186" s="55">
        <f>'Adjusted Lamp Cost Allocations'!Y183</f>
        <v>1.6550398365847659E-3</v>
      </c>
      <c r="J186" s="55">
        <f t="shared" si="119"/>
        <v>0.57397716064752269</v>
      </c>
      <c r="L186" s="56">
        <v>36</v>
      </c>
      <c r="M186" s="57">
        <f t="shared" si="135"/>
        <v>21</v>
      </c>
      <c r="O186" s="58">
        <f t="shared" si="136"/>
        <v>0.53</v>
      </c>
      <c r="P186" s="59">
        <f t="shared" si="137"/>
        <v>0.04</v>
      </c>
      <c r="Q186" s="58">
        <f t="shared" si="138"/>
        <v>0.57000000000000006</v>
      </c>
      <c r="R186" s="258">
        <f t="shared" si="139"/>
        <v>-3.9771606475226262E-3</v>
      </c>
    </row>
    <row r="187" spans="1:18" ht="13.2" customHeight="1" x14ac:dyDescent="0.2">
      <c r="A187" s="251">
        <f t="shared" si="87"/>
        <v>177</v>
      </c>
      <c r="C187" s="31" t="str">
        <f>'Adjusted Lamp Cost Allocations'!A184</f>
        <v>58E &amp; 59E</v>
      </c>
      <c r="D187" s="32"/>
      <c r="E187" s="31" t="str">
        <f>'Adjusted Lamp Cost Allocations'!C184</f>
        <v>Light Emitting Diode</v>
      </c>
      <c r="F187" s="30" t="str">
        <f>'Adjusted Lamp Cost Allocations'!D184</f>
        <v>LED 060.01-090</v>
      </c>
      <c r="G187" s="54">
        <f>'Adjusted Lamp Cost Allocations'!U184</f>
        <v>0.65991537535797673</v>
      </c>
      <c r="H187" s="55">
        <f>'Adjusted Lamp Cost Allocations'!X184</f>
        <v>1.1843599697734967E-2</v>
      </c>
      <c r="I187" s="55">
        <f>'Adjusted Lamp Cost Allocations'!Y184</f>
        <v>2.7583997276412766E-3</v>
      </c>
      <c r="J187" s="55">
        <f t="shared" si="119"/>
        <v>0.67451737478335294</v>
      </c>
      <c r="L187" s="56">
        <v>792</v>
      </c>
      <c r="M187" s="57">
        <f t="shared" si="135"/>
        <v>534</v>
      </c>
      <c r="O187" s="58">
        <f t="shared" si="136"/>
        <v>0.62</v>
      </c>
      <c r="P187" s="59">
        <f t="shared" si="137"/>
        <v>0.05</v>
      </c>
      <c r="Q187" s="58">
        <f t="shared" si="138"/>
        <v>0.67</v>
      </c>
      <c r="R187" s="258">
        <f t="shared" si="139"/>
        <v>-4.517374783352901E-3</v>
      </c>
    </row>
    <row r="188" spans="1:18" ht="13.2" customHeight="1" x14ac:dyDescent="0.2">
      <c r="A188" s="251">
        <f t="shared" ref="A188:A215" si="140">A187+1</f>
        <v>178</v>
      </c>
      <c r="C188" s="31" t="str">
        <f>'Adjusted Lamp Cost Allocations'!A185</f>
        <v>58E &amp; 59E</v>
      </c>
      <c r="D188" s="32"/>
      <c r="E188" s="31" t="str">
        <f>'Adjusted Lamp Cost Allocations'!C185</f>
        <v>Light Emitting Diode</v>
      </c>
      <c r="F188" s="30" t="str">
        <f>'Adjusted Lamp Cost Allocations'!D185</f>
        <v>LED 090.01-120</v>
      </c>
      <c r="G188" s="54">
        <f>'Adjusted Lamp Cost Allocations'!U185</f>
        <v>0.75461478972365659</v>
      </c>
      <c r="H188" s="55">
        <f>'Adjusted Lamp Cost Allocations'!X185</f>
        <v>1.6581039576828951E-2</v>
      </c>
      <c r="I188" s="55">
        <f>'Adjusted Lamp Cost Allocations'!Y185</f>
        <v>3.8617596186977872E-3</v>
      </c>
      <c r="J188" s="55">
        <f t="shared" si="119"/>
        <v>0.77505758891918342</v>
      </c>
      <c r="L188" s="56">
        <v>180</v>
      </c>
      <c r="M188" s="57">
        <f t="shared" si="135"/>
        <v>140</v>
      </c>
      <c r="O188" s="58">
        <f t="shared" si="136"/>
        <v>0.73</v>
      </c>
      <c r="P188" s="59">
        <f t="shared" si="137"/>
        <v>0.05</v>
      </c>
      <c r="Q188" s="58">
        <f t="shared" si="138"/>
        <v>0.78</v>
      </c>
      <c r="R188" s="258">
        <f t="shared" si="139"/>
        <v>4.9424110808166111E-3</v>
      </c>
    </row>
    <row r="189" spans="1:18" ht="13.2" customHeight="1" x14ac:dyDescent="0.2">
      <c r="A189" s="251">
        <f t="shared" si="140"/>
        <v>179</v>
      </c>
      <c r="C189" s="31" t="str">
        <f>'Adjusted Lamp Cost Allocations'!A186</f>
        <v>58E &amp; 59E</v>
      </c>
      <c r="D189" s="32"/>
      <c r="E189" s="31" t="str">
        <f>'Adjusted Lamp Cost Allocations'!C186</f>
        <v>Light Emitting Diode</v>
      </c>
      <c r="F189" s="30" t="str">
        <f>'Adjusted Lamp Cost Allocations'!D186</f>
        <v>LED 120.01-150</v>
      </c>
      <c r="G189" s="54">
        <f>'Adjusted Lamp Cost Allocations'!U186</f>
        <v>0.84931420408933644</v>
      </c>
      <c r="H189" s="55">
        <f>'Adjusted Lamp Cost Allocations'!X186</f>
        <v>2.131847945592294E-2</v>
      </c>
      <c r="I189" s="55">
        <f>'Adjusted Lamp Cost Allocations'!Y186</f>
        <v>4.9651195097542974E-3</v>
      </c>
      <c r="J189" s="55">
        <f t="shared" si="119"/>
        <v>0.87559780305501367</v>
      </c>
      <c r="L189" s="56">
        <v>1632</v>
      </c>
      <c r="M189" s="57">
        <f t="shared" si="135"/>
        <v>1429</v>
      </c>
      <c r="O189" s="58">
        <f t="shared" si="136"/>
        <v>0.82</v>
      </c>
      <c r="P189" s="59">
        <f t="shared" si="137"/>
        <v>0.06</v>
      </c>
      <c r="Q189" s="58">
        <f t="shared" si="138"/>
        <v>0.87999999999999989</v>
      </c>
      <c r="R189" s="258">
        <f t="shared" si="139"/>
        <v>4.4021969449862253E-3</v>
      </c>
    </row>
    <row r="190" spans="1:18" ht="13.2" customHeight="1" x14ac:dyDescent="0.2">
      <c r="A190" s="251">
        <f t="shared" si="140"/>
        <v>180</v>
      </c>
      <c r="C190" s="31" t="str">
        <f>'Adjusted Lamp Cost Allocations'!A187</f>
        <v>58E &amp; 59E</v>
      </c>
      <c r="D190" s="32"/>
      <c r="E190" s="31" t="str">
        <f>'Adjusted Lamp Cost Allocations'!C187</f>
        <v>Light Emitting Diode</v>
      </c>
      <c r="F190" s="30" t="str">
        <f>'Adjusted Lamp Cost Allocations'!D187</f>
        <v>LED 150.01-180</v>
      </c>
      <c r="G190" s="54">
        <f>'Adjusted Lamp Cost Allocations'!U187</f>
        <v>0.94401361845501619</v>
      </c>
      <c r="H190" s="55">
        <f>'Adjusted Lamp Cost Allocations'!X187</f>
        <v>2.6055919335016928E-2</v>
      </c>
      <c r="I190" s="55">
        <f>'Adjusted Lamp Cost Allocations'!Y187</f>
        <v>6.068479400810808E-3</v>
      </c>
      <c r="J190" s="55">
        <f t="shared" si="119"/>
        <v>0.97613801719084392</v>
      </c>
      <c r="L190" s="56">
        <v>216</v>
      </c>
      <c r="M190" s="57">
        <f t="shared" si="135"/>
        <v>211</v>
      </c>
      <c r="O190" s="58">
        <f t="shared" si="136"/>
        <v>0.91</v>
      </c>
      <c r="P190" s="59">
        <f t="shared" si="137"/>
        <v>7.0000000000000007E-2</v>
      </c>
      <c r="Q190" s="58">
        <f t="shared" si="138"/>
        <v>0.98</v>
      </c>
      <c r="R190" s="258">
        <f t="shared" si="139"/>
        <v>3.8619828091560615E-3</v>
      </c>
    </row>
    <row r="191" spans="1:18" ht="13.2" customHeight="1" x14ac:dyDescent="0.2">
      <c r="A191" s="251">
        <f t="shared" si="140"/>
        <v>181</v>
      </c>
      <c r="C191" s="31" t="str">
        <f>'Adjusted Lamp Cost Allocations'!A188</f>
        <v>58E &amp; 59E</v>
      </c>
      <c r="D191" s="32"/>
      <c r="E191" s="31" t="str">
        <f>'Adjusted Lamp Cost Allocations'!C188</f>
        <v>Light Emitting Diode</v>
      </c>
      <c r="F191" s="30" t="str">
        <f>'Adjusted Lamp Cost Allocations'!D188</f>
        <v>LED 180.01-210</v>
      </c>
      <c r="G191" s="54">
        <f>'Adjusted Lamp Cost Allocations'!U188</f>
        <v>1.0387130328206959</v>
      </c>
      <c r="H191" s="55">
        <f>'Adjusted Lamp Cost Allocations'!X188</f>
        <v>3.0793359214110916E-2</v>
      </c>
      <c r="I191" s="55">
        <f>'Adjusted Lamp Cost Allocations'!Y188</f>
        <v>7.1718392918673187E-3</v>
      </c>
      <c r="J191" s="55">
        <f t="shared" si="119"/>
        <v>1.0766782313266743</v>
      </c>
      <c r="L191" s="56">
        <v>0</v>
      </c>
      <c r="M191" s="57">
        <f t="shared" si="135"/>
        <v>0</v>
      </c>
      <c r="O191" s="58">
        <f t="shared" si="136"/>
        <v>1</v>
      </c>
      <c r="P191" s="59">
        <f t="shared" si="137"/>
        <v>0.08</v>
      </c>
      <c r="Q191" s="58">
        <f t="shared" si="138"/>
        <v>1.08</v>
      </c>
      <c r="R191" s="258">
        <f t="shared" si="139"/>
        <v>3.3217686733257867E-3</v>
      </c>
    </row>
    <row r="192" spans="1:18" ht="13.2" customHeight="1" x14ac:dyDescent="0.2">
      <c r="A192" s="251">
        <f t="shared" si="140"/>
        <v>182</v>
      </c>
      <c r="C192" s="31" t="str">
        <f>'Adjusted Lamp Cost Allocations'!A189</f>
        <v>58E &amp; 59E</v>
      </c>
      <c r="D192" s="32"/>
      <c r="E192" s="31" t="str">
        <f>'Adjusted Lamp Cost Allocations'!C189</f>
        <v>Light Emitting Diode</v>
      </c>
      <c r="F192" s="30" t="str">
        <f>'Adjusted Lamp Cost Allocations'!D189</f>
        <v>LED 210.01-240</v>
      </c>
      <c r="G192" s="54">
        <f>'Adjusted Lamp Cost Allocations'!U189</f>
        <v>1.1334124471863758</v>
      </c>
      <c r="H192" s="55">
        <f>'Adjusted Lamp Cost Allocations'!X189</f>
        <v>3.5530799093204897E-2</v>
      </c>
      <c r="I192" s="55">
        <f>'Adjusted Lamp Cost Allocations'!Y189</f>
        <v>8.2751991829238293E-3</v>
      </c>
      <c r="J192" s="55">
        <f t="shared" si="119"/>
        <v>1.1772184454625045</v>
      </c>
      <c r="L192" s="56">
        <v>180</v>
      </c>
      <c r="M192" s="57">
        <f t="shared" si="135"/>
        <v>212</v>
      </c>
      <c r="O192" s="58">
        <f t="shared" si="136"/>
        <v>1.1000000000000001</v>
      </c>
      <c r="P192" s="59">
        <f t="shared" si="137"/>
        <v>0.08</v>
      </c>
      <c r="Q192" s="58">
        <f t="shared" si="138"/>
        <v>1.1800000000000002</v>
      </c>
      <c r="R192" s="258">
        <f t="shared" si="139"/>
        <v>2.781554537495623E-3</v>
      </c>
    </row>
    <row r="193" spans="1:18" ht="13.2" customHeight="1" x14ac:dyDescent="0.2">
      <c r="A193" s="251">
        <f t="shared" si="140"/>
        <v>183</v>
      </c>
      <c r="C193" s="31" t="str">
        <f>'Adjusted Lamp Cost Allocations'!A190</f>
        <v>58E &amp; 59E</v>
      </c>
      <c r="D193" s="32"/>
      <c r="E193" s="31" t="str">
        <f>'Adjusted Lamp Cost Allocations'!C190</f>
        <v>Light Emitting Diode</v>
      </c>
      <c r="F193" s="30" t="str">
        <f>'Adjusted Lamp Cost Allocations'!D190</f>
        <v>LED 240.01-270</v>
      </c>
      <c r="G193" s="54">
        <f>'Adjusted Lamp Cost Allocations'!U190</f>
        <v>1.2281118615520557</v>
      </c>
      <c r="H193" s="55">
        <f>'Adjusted Lamp Cost Allocations'!X190</f>
        <v>4.0268238972298892E-2</v>
      </c>
      <c r="I193" s="55">
        <f>'Adjusted Lamp Cost Allocations'!Y190</f>
        <v>9.3785590739803391E-3</v>
      </c>
      <c r="J193" s="55">
        <f t="shared" si="119"/>
        <v>1.2777586595983348</v>
      </c>
      <c r="L193" s="56">
        <v>264</v>
      </c>
      <c r="M193" s="57">
        <f t="shared" si="135"/>
        <v>337</v>
      </c>
      <c r="O193" s="58">
        <f t="shared" si="136"/>
        <v>1.19</v>
      </c>
      <c r="P193" s="59">
        <f t="shared" si="137"/>
        <v>0.09</v>
      </c>
      <c r="Q193" s="58">
        <f t="shared" si="138"/>
        <v>1.28</v>
      </c>
      <c r="R193" s="258">
        <f t="shared" si="139"/>
        <v>2.2413404016652372E-3</v>
      </c>
    </row>
    <row r="194" spans="1:18" ht="13.2" customHeight="1" x14ac:dyDescent="0.2">
      <c r="A194" s="251">
        <f t="shared" si="140"/>
        <v>184</v>
      </c>
      <c r="C194" s="31" t="str">
        <f>'Adjusted Lamp Cost Allocations'!A191</f>
        <v>58E &amp; 59E</v>
      </c>
      <c r="D194" s="32"/>
      <c r="E194" s="31" t="str">
        <f>'Adjusted Lamp Cost Allocations'!C191</f>
        <v>Light Emitting Diode</v>
      </c>
      <c r="F194" s="30" t="str">
        <f>'Adjusted Lamp Cost Allocations'!D191</f>
        <v>LED 270.01-300</v>
      </c>
      <c r="G194" s="54">
        <f>'Adjusted Lamp Cost Allocations'!U191</f>
        <v>1.3228112759177353</v>
      </c>
      <c r="H194" s="55">
        <f>'Adjusted Lamp Cost Allocations'!X191</f>
        <v>4.5005678851392873E-2</v>
      </c>
      <c r="I194" s="55">
        <f>'Adjusted Lamp Cost Allocations'!Y191</f>
        <v>1.0481918965036851E-2</v>
      </c>
      <c r="J194" s="55">
        <f t="shared" si="119"/>
        <v>1.378298873734165</v>
      </c>
      <c r="L194" s="56">
        <v>0</v>
      </c>
      <c r="M194" s="57">
        <f t="shared" si="135"/>
        <v>0</v>
      </c>
      <c r="O194" s="58">
        <f t="shared" si="136"/>
        <v>1.28</v>
      </c>
      <c r="P194" s="59">
        <f t="shared" si="137"/>
        <v>0.1</v>
      </c>
      <c r="Q194" s="58">
        <f t="shared" si="138"/>
        <v>1.3800000000000001</v>
      </c>
      <c r="R194" s="258">
        <f t="shared" si="139"/>
        <v>1.7011262658350734E-3</v>
      </c>
    </row>
    <row r="195" spans="1:18" ht="13.2" customHeight="1" x14ac:dyDescent="0.2">
      <c r="A195" s="251">
        <f t="shared" si="140"/>
        <v>185</v>
      </c>
      <c r="C195" s="31" t="str">
        <f>'Adjusted Lamp Cost Allocations'!A192</f>
        <v>58E &amp; 59E</v>
      </c>
      <c r="D195" s="32"/>
      <c r="E195" s="31" t="str">
        <f>'Adjusted Lamp Cost Allocations'!C192</f>
        <v>Light Emitting Diode</v>
      </c>
      <c r="F195" s="30" t="str">
        <f>'Adjusted Lamp Cost Allocations'!D192</f>
        <v>LED 300.01-400</v>
      </c>
      <c r="G195" s="54">
        <f>'Adjusted Lamp Cost Allocations'!U192</f>
        <v>1.5279933403767083</v>
      </c>
      <c r="H195" s="55">
        <f>'Adjusted Lamp Cost Allocations'!X192</f>
        <v>5.5270131922763178E-2</v>
      </c>
      <c r="I195" s="55">
        <f>'Adjusted Lamp Cost Allocations'!Y192</f>
        <v>1.2872532062325956E-2</v>
      </c>
      <c r="J195" s="55">
        <f t="shared" si="119"/>
        <v>1.5961360043617974</v>
      </c>
      <c r="L195" s="56">
        <v>0</v>
      </c>
      <c r="M195" s="57">
        <f t="shared" si="135"/>
        <v>0</v>
      </c>
      <c r="O195" s="58">
        <f t="shared" si="136"/>
        <v>1.49</v>
      </c>
      <c r="P195" s="59">
        <f t="shared" si="137"/>
        <v>0.11</v>
      </c>
      <c r="Q195" s="58">
        <f t="shared" si="138"/>
        <v>1.6</v>
      </c>
      <c r="R195" s="258">
        <f t="shared" si="139"/>
        <v>3.8639956382027218E-3</v>
      </c>
    </row>
    <row r="196" spans="1:18" ht="13.2" customHeight="1" x14ac:dyDescent="0.2">
      <c r="A196" s="251">
        <f t="shared" si="140"/>
        <v>186</v>
      </c>
      <c r="C196" s="31" t="str">
        <f>'Adjusted Lamp Cost Allocations'!A193</f>
        <v>58E &amp; 59E</v>
      </c>
      <c r="D196" s="32"/>
      <c r="E196" s="31" t="str">
        <f>'Adjusted Lamp Cost Allocations'!C193</f>
        <v>Light Emitting Diode</v>
      </c>
      <c r="F196" s="30" t="str">
        <f>'Adjusted Lamp Cost Allocations'!D193</f>
        <v>LED 400.01-500</v>
      </c>
      <c r="G196" s="54">
        <f>'Adjusted Lamp Cost Allocations'!U193</f>
        <v>1.8436580549289741</v>
      </c>
      <c r="H196" s="55">
        <f>'Adjusted Lamp Cost Allocations'!X193</f>
        <v>7.1061598186409794E-2</v>
      </c>
      <c r="I196" s="55">
        <f>'Adjusted Lamp Cost Allocations'!Y193</f>
        <v>1.6550398365847659E-2</v>
      </c>
      <c r="J196" s="55">
        <f t="shared" si="119"/>
        <v>1.9312700514812315</v>
      </c>
      <c r="L196" s="56">
        <v>0</v>
      </c>
      <c r="M196" s="57">
        <f t="shared" si="135"/>
        <v>0</v>
      </c>
      <c r="O196" s="58">
        <f t="shared" si="136"/>
        <v>1.79</v>
      </c>
      <c r="P196" s="59">
        <f t="shared" si="137"/>
        <v>0.14000000000000001</v>
      </c>
      <c r="Q196" s="58">
        <f t="shared" si="138"/>
        <v>1.9300000000000002</v>
      </c>
      <c r="R196" s="258">
        <f t="shared" si="139"/>
        <v>-1.2700514812313823E-3</v>
      </c>
    </row>
    <row r="197" spans="1:18" ht="13.2" customHeight="1" x14ac:dyDescent="0.2">
      <c r="A197" s="251">
        <f t="shared" si="140"/>
        <v>187</v>
      </c>
      <c r="C197" s="31" t="str">
        <f>'Adjusted Lamp Cost Allocations'!A194</f>
        <v>58E &amp; 59E</v>
      </c>
      <c r="D197" s="32"/>
      <c r="E197" s="31" t="str">
        <f>'Adjusted Lamp Cost Allocations'!C194</f>
        <v>Light Emitting Diode</v>
      </c>
      <c r="F197" s="30" t="str">
        <f>'Adjusted Lamp Cost Allocations'!D194</f>
        <v>LED 500.01-600</v>
      </c>
      <c r="G197" s="54">
        <f>'Adjusted Lamp Cost Allocations'!U194</f>
        <v>2.15932276948124</v>
      </c>
      <c r="H197" s="55">
        <f>'Adjusted Lamp Cost Allocations'!X194</f>
        <v>8.6853064450056416E-2</v>
      </c>
      <c r="I197" s="55">
        <f>'Adjusted Lamp Cost Allocations'!Y194</f>
        <v>2.0228264669369361E-2</v>
      </c>
      <c r="J197" s="55">
        <f t="shared" si="119"/>
        <v>2.2664040986006659</v>
      </c>
      <c r="L197" s="56">
        <v>0</v>
      </c>
      <c r="M197" s="57">
        <f t="shared" si="135"/>
        <v>0</v>
      </c>
      <c r="O197" s="58">
        <f t="shared" si="136"/>
        <v>2.11</v>
      </c>
      <c r="P197" s="59">
        <f t="shared" si="137"/>
        <v>0.16</v>
      </c>
      <c r="Q197" s="58">
        <f t="shared" si="138"/>
        <v>2.27</v>
      </c>
      <c r="R197" s="258">
        <f t="shared" si="139"/>
        <v>3.5959013993340783E-3</v>
      </c>
    </row>
    <row r="198" spans="1:18" ht="13.2" customHeight="1" x14ac:dyDescent="0.2">
      <c r="A198" s="251">
        <f t="shared" si="140"/>
        <v>188</v>
      </c>
      <c r="C198" s="31" t="str">
        <f>'Adjusted Lamp Cost Allocations'!A195</f>
        <v>58E &amp; 59E</v>
      </c>
      <c r="D198" s="32"/>
      <c r="E198" s="31" t="str">
        <f>'Adjusted Lamp Cost Allocations'!C195</f>
        <v>Light Emitting Diode</v>
      </c>
      <c r="F198" s="30" t="str">
        <f>'Adjusted Lamp Cost Allocations'!D195</f>
        <v>LED 600.01-700</v>
      </c>
      <c r="G198" s="54">
        <f>'Adjusted Lamp Cost Allocations'!U195</f>
        <v>2.4749874840335062</v>
      </c>
      <c r="H198" s="55">
        <f>'Adjusted Lamp Cost Allocations'!X195</f>
        <v>0.10264453071370305</v>
      </c>
      <c r="I198" s="55">
        <f>'Adjusted Lamp Cost Allocations'!Y195</f>
        <v>2.3906130972891064E-2</v>
      </c>
      <c r="J198" s="55">
        <f t="shared" si="119"/>
        <v>2.6015381457201001</v>
      </c>
      <c r="L198" s="56">
        <v>0</v>
      </c>
      <c r="M198" s="57">
        <f t="shared" si="135"/>
        <v>0</v>
      </c>
      <c r="O198" s="58">
        <f t="shared" si="136"/>
        <v>2.42</v>
      </c>
      <c r="P198" s="59">
        <f t="shared" si="137"/>
        <v>0.18</v>
      </c>
      <c r="Q198" s="58">
        <f t="shared" si="138"/>
        <v>2.6</v>
      </c>
      <c r="R198" s="258">
        <f t="shared" si="139"/>
        <v>-1.5381457201000259E-3</v>
      </c>
    </row>
    <row r="199" spans="1:18" ht="13.2" customHeight="1" x14ac:dyDescent="0.2">
      <c r="A199" s="251">
        <f t="shared" si="140"/>
        <v>189</v>
      </c>
      <c r="C199" s="31" t="str">
        <f>'Adjusted Lamp Cost Allocations'!A196</f>
        <v>58E &amp; 59E</v>
      </c>
      <c r="D199" s="32"/>
      <c r="E199" s="31" t="str">
        <f>'Adjusted Lamp Cost Allocations'!C196</f>
        <v>Light Emitting Diode</v>
      </c>
      <c r="F199" s="30" t="str">
        <f>'Adjusted Lamp Cost Allocations'!D196</f>
        <v>LED 700.01-800</v>
      </c>
      <c r="G199" s="54">
        <f>'Adjusted Lamp Cost Allocations'!U196</f>
        <v>2.7906521985857724</v>
      </c>
      <c r="H199" s="55">
        <f>'Adjusted Lamp Cost Allocations'!X196</f>
        <v>0.11843599697734968</v>
      </c>
      <c r="I199" s="55">
        <f>'Adjusted Lamp Cost Allocations'!Y196</f>
        <v>2.7583997276412763E-2</v>
      </c>
      <c r="J199" s="55">
        <f t="shared" si="119"/>
        <v>2.9366721928395352</v>
      </c>
      <c r="L199" s="56">
        <v>0</v>
      </c>
      <c r="M199" s="57">
        <f t="shared" si="135"/>
        <v>0</v>
      </c>
      <c r="O199" s="58">
        <f t="shared" si="136"/>
        <v>2.73</v>
      </c>
      <c r="P199" s="59">
        <f t="shared" si="137"/>
        <v>0.21</v>
      </c>
      <c r="Q199" s="58">
        <f t="shared" si="138"/>
        <v>2.94</v>
      </c>
      <c r="R199" s="258">
        <f t="shared" si="139"/>
        <v>3.3278071604647685E-3</v>
      </c>
    </row>
    <row r="200" spans="1:18" ht="13.2" customHeight="1" x14ac:dyDescent="0.2">
      <c r="A200" s="251">
        <f t="shared" si="140"/>
        <v>190</v>
      </c>
      <c r="C200" s="31" t="str">
        <f>'Adjusted Lamp Cost Allocations'!A197</f>
        <v>58E &amp; 59E</v>
      </c>
      <c r="D200" s="32"/>
      <c r="E200" s="31" t="str">
        <f>'Adjusted Lamp Cost Allocations'!C197</f>
        <v>Light Emitting Diode</v>
      </c>
      <c r="F200" s="30" t="str">
        <f>'Adjusted Lamp Cost Allocations'!D197</f>
        <v>LED 800.01-900</v>
      </c>
      <c r="G200" s="54">
        <f>'Adjusted Lamp Cost Allocations'!U197</f>
        <v>3.1063169131380381</v>
      </c>
      <c r="H200" s="55">
        <f>'Adjusted Lamp Cost Allocations'!X197</f>
        <v>0.1342274632409963</v>
      </c>
      <c r="I200" s="55">
        <f>'Adjusted Lamp Cost Allocations'!Y197</f>
        <v>3.1261863579934469E-2</v>
      </c>
      <c r="J200" s="55">
        <f t="shared" si="119"/>
        <v>3.2718062399589689</v>
      </c>
      <c r="L200" s="56">
        <v>0</v>
      </c>
      <c r="M200" s="57">
        <f t="shared" si="135"/>
        <v>0</v>
      </c>
      <c r="O200" s="58">
        <f t="shared" si="136"/>
        <v>3.04</v>
      </c>
      <c r="P200" s="59">
        <f t="shared" si="137"/>
        <v>0.23</v>
      </c>
      <c r="Q200" s="58">
        <f t="shared" si="138"/>
        <v>3.27</v>
      </c>
      <c r="R200" s="258">
        <f t="shared" si="139"/>
        <v>-1.8062399589688916E-3</v>
      </c>
    </row>
    <row r="201" spans="1:18" ht="13.2" customHeight="1" x14ac:dyDescent="0.2">
      <c r="A201" s="251">
        <f t="shared" si="140"/>
        <v>191</v>
      </c>
      <c r="B201" s="32" t="str">
        <f>'Adjusted Lamp Cost Allocations'!A198</f>
        <v>Sch 57</v>
      </c>
      <c r="C201" s="48"/>
      <c r="D201" s="48"/>
      <c r="E201" s="31"/>
      <c r="F201" s="30"/>
      <c r="G201" s="54"/>
      <c r="H201" s="55"/>
      <c r="I201" s="55"/>
      <c r="J201" s="55"/>
      <c r="L201" s="56"/>
      <c r="M201" s="57"/>
      <c r="O201" s="58"/>
      <c r="P201" s="59"/>
      <c r="Q201" s="59"/>
      <c r="R201" s="69"/>
    </row>
    <row r="202" spans="1:18" ht="13.2" customHeight="1" x14ac:dyDescent="0.2">
      <c r="A202" s="251">
        <f t="shared" si="140"/>
        <v>192</v>
      </c>
      <c r="C202" s="31" t="str">
        <f>'Adjusted Lamp Cost Allocations'!A199</f>
        <v>57E</v>
      </c>
      <c r="D202" s="32"/>
      <c r="E202" s="31" t="str">
        <f>'Adjusted Lamp Cost Allocations'!C199</f>
        <v>Per W charge</v>
      </c>
      <c r="F202" s="30" t="str">
        <f>'Adjusted Lamp Cost Allocations'!D199</f>
        <v>TRFC</v>
      </c>
      <c r="G202" s="261">
        <f>'Adjusted Lamp Cost Allocations'!U199</f>
        <v>6.1581099210352252E-7</v>
      </c>
      <c r="H202" s="262">
        <f>'Adjusted Lamp Cost Allocations'!X199</f>
        <v>1.217998090969671E-4</v>
      </c>
      <c r="I202" s="262">
        <f>'Adjusted Lamp Cost Allocations'!Y199</f>
        <v>7.6709782902024067E-5</v>
      </c>
      <c r="J202" s="262">
        <f>SUM(G202:I202)</f>
        <v>1.9912540299109468E-4</v>
      </c>
      <c r="L202" s="56">
        <v>7852896</v>
      </c>
      <c r="M202" s="57">
        <f t="shared" ref="M202" si="141">ROUND(L202*J202,0)</f>
        <v>1564</v>
      </c>
      <c r="O202" s="60">
        <f>ROUND(J202-P202,5)</f>
        <v>1.9000000000000001E-4</v>
      </c>
      <c r="P202" s="60">
        <f>ROUND(J202*$P$9,5)</f>
        <v>1.0000000000000001E-5</v>
      </c>
      <c r="Q202" s="60">
        <f t="shared" ref="Q202" si="142">SUM(O202:P202)</f>
        <v>2.0000000000000001E-4</v>
      </c>
      <c r="R202" s="259">
        <f>+Q202-J202</f>
        <v>8.7459700890533021E-7</v>
      </c>
    </row>
    <row r="203" spans="1:18" ht="13.2" customHeight="1" x14ac:dyDescent="0.2">
      <c r="A203" s="251">
        <f t="shared" si="140"/>
        <v>193</v>
      </c>
      <c r="B203" s="251" t="s">
        <v>145</v>
      </c>
      <c r="C203" s="32"/>
      <c r="D203" s="32"/>
      <c r="E203" s="31"/>
      <c r="F203" s="30"/>
      <c r="G203" s="54"/>
      <c r="H203" s="55"/>
      <c r="I203" s="55"/>
      <c r="J203" s="55"/>
      <c r="L203" s="56"/>
      <c r="M203" s="57"/>
      <c r="O203" s="58"/>
      <c r="P203" s="59"/>
      <c r="Q203" s="59"/>
      <c r="R203" s="69"/>
    </row>
    <row r="204" spans="1:18" ht="13.2" customHeight="1" x14ac:dyDescent="0.2">
      <c r="A204" s="251">
        <f t="shared" si="140"/>
        <v>194</v>
      </c>
      <c r="C204" s="32" t="str">
        <f>'Adjusted Lamp Cost Allocations'!A200</f>
        <v>Pole Rental Rates</v>
      </c>
      <c r="D204" s="32"/>
      <c r="E204" s="31"/>
      <c r="F204" s="30"/>
      <c r="G204" s="54"/>
      <c r="H204" s="55"/>
      <c r="I204" s="55"/>
      <c r="J204" s="55"/>
      <c r="M204" s="57"/>
      <c r="O204" s="58"/>
      <c r="P204" s="59"/>
      <c r="Q204" s="59"/>
      <c r="R204" s="69"/>
    </row>
    <row r="205" spans="1:18" ht="13.2" customHeight="1" x14ac:dyDescent="0.2">
      <c r="A205" s="251">
        <f t="shared" si="140"/>
        <v>195</v>
      </c>
      <c r="C205" s="32" t="str">
        <f>'Adjusted Lamp Cost Allocations'!A201</f>
        <v>55 &amp; 56</v>
      </c>
      <c r="D205" s="32"/>
      <c r="E205" s="31" t="str">
        <f>'Adjusted Lamp Cost Allocations'!C201</f>
        <v>Pole</v>
      </c>
      <c r="F205" s="30" t="str">
        <f>'Adjusted Lamp Cost Allocations'!D201</f>
        <v>Old</v>
      </c>
      <c r="G205" s="54">
        <f>'Adjusted Lamp Cost Allocations'!U201</f>
        <v>0.59072160577998822</v>
      </c>
      <c r="H205" s="55">
        <f>'Adjusted Lamp Cost Allocations'!X201</f>
        <v>0</v>
      </c>
      <c r="I205" s="55">
        <f>'Adjusted Lamp Cost Allocations'!Y201</f>
        <v>0</v>
      </c>
      <c r="J205" s="55">
        <f>SUM(G205:I205)</f>
        <v>0.59072160577998822</v>
      </c>
      <c r="L205" s="56">
        <v>6960</v>
      </c>
      <c r="M205" s="57">
        <f t="shared" ref="M205:M206" si="143">ROUND(L205*J205,0)</f>
        <v>4111</v>
      </c>
      <c r="O205" s="58">
        <f t="shared" ref="O205:O206" si="144">ROUND(J205-P205,2)</f>
        <v>0.55000000000000004</v>
      </c>
      <c r="P205" s="59">
        <f t="shared" ref="P205:P206" si="145">ROUND(J205*$P$9,2)</f>
        <v>0.04</v>
      </c>
      <c r="Q205" s="58">
        <f t="shared" ref="Q205:Q206" si="146">SUM(O205:P205)</f>
        <v>0.59000000000000008</v>
      </c>
      <c r="R205" s="258">
        <f t="shared" ref="R205:R206" si="147">+Q205-J205</f>
        <v>-7.2160577998814368E-4</v>
      </c>
    </row>
    <row r="206" spans="1:18" ht="13.2" customHeight="1" x14ac:dyDescent="0.2">
      <c r="A206" s="251">
        <f t="shared" si="140"/>
        <v>196</v>
      </c>
      <c r="B206" s="48"/>
      <c r="C206" s="32" t="str">
        <f>'Adjusted Lamp Cost Allocations'!A202</f>
        <v>56 &amp; 56</v>
      </c>
      <c r="D206" s="32"/>
      <c r="E206" s="31" t="str">
        <f>'Adjusted Lamp Cost Allocations'!C202</f>
        <v>Pole</v>
      </c>
      <c r="F206" s="30" t="str">
        <f>'Adjusted Lamp Cost Allocations'!D202</f>
        <v>New</v>
      </c>
      <c r="G206" s="54">
        <f>'Adjusted Lamp Cost Allocations'!U202</f>
        <v>1.1814432115599764</v>
      </c>
      <c r="H206" s="55">
        <f>'Adjusted Lamp Cost Allocations'!X202</f>
        <v>0</v>
      </c>
      <c r="I206" s="55">
        <f>'Adjusted Lamp Cost Allocations'!Y202</f>
        <v>0</v>
      </c>
      <c r="J206" s="55">
        <f>SUM(G206:I206)</f>
        <v>1.1814432115599764</v>
      </c>
      <c r="L206" s="56">
        <v>4080</v>
      </c>
      <c r="M206" s="57">
        <f t="shared" si="143"/>
        <v>4820</v>
      </c>
      <c r="O206" s="58">
        <f t="shared" si="144"/>
        <v>1.1000000000000001</v>
      </c>
      <c r="P206" s="59">
        <f t="shared" si="145"/>
        <v>0.08</v>
      </c>
      <c r="Q206" s="58">
        <f t="shared" si="146"/>
        <v>1.1800000000000002</v>
      </c>
      <c r="R206" s="258">
        <f t="shared" si="147"/>
        <v>-1.4432115599762874E-3</v>
      </c>
    </row>
    <row r="207" spans="1:18" ht="13.2" customHeight="1" x14ac:dyDescent="0.2">
      <c r="A207" s="251">
        <f t="shared" si="140"/>
        <v>197</v>
      </c>
      <c r="C207" s="32"/>
      <c r="D207" s="32"/>
      <c r="E207" s="31"/>
      <c r="F207" s="30"/>
      <c r="G207" s="54"/>
      <c r="H207" s="55"/>
      <c r="I207" s="55"/>
      <c r="J207" s="55"/>
      <c r="L207" s="56"/>
      <c r="M207" s="57"/>
      <c r="O207" s="60"/>
      <c r="P207" s="60"/>
      <c r="Q207" s="246"/>
      <c r="R207" s="69"/>
    </row>
    <row r="208" spans="1:18" ht="13.2" customHeight="1" x14ac:dyDescent="0.2">
      <c r="A208" s="251">
        <f t="shared" si="140"/>
        <v>198</v>
      </c>
      <c r="C208" s="32" t="str">
        <f>'Adjusted Lamp Cost Allocations'!A204</f>
        <v>58 &amp; 59</v>
      </c>
      <c r="D208" s="32"/>
      <c r="E208" s="31" t="str">
        <f>'Adjusted Lamp Cost Allocations'!C204</f>
        <v>Pole</v>
      </c>
      <c r="F208" s="30" t="str">
        <f>'Adjusted Lamp Cost Allocations'!D204</f>
        <v>New</v>
      </c>
      <c r="G208" s="54">
        <f>'Adjusted Lamp Cost Allocations'!U204</f>
        <v>1.1814432115599764</v>
      </c>
      <c r="H208" s="55">
        <f>'Adjusted Lamp Cost Allocations'!X204</f>
        <v>0</v>
      </c>
      <c r="I208" s="55">
        <f>'Adjusted Lamp Cost Allocations'!Y204</f>
        <v>0</v>
      </c>
      <c r="J208" s="55">
        <f>SUM(G208:I208)</f>
        <v>1.1814432115599764</v>
      </c>
      <c r="L208" s="56">
        <v>1812</v>
      </c>
      <c r="M208" s="57">
        <f t="shared" ref="M208" si="148">ROUND(L208*J208,0)</f>
        <v>2141</v>
      </c>
      <c r="O208" s="58">
        <f t="shared" ref="O208" si="149">ROUND(J208-P208,2)</f>
        <v>1.1000000000000001</v>
      </c>
      <c r="P208" s="59">
        <f t="shared" ref="P208" si="150">ROUND(J208*$P$9,2)</f>
        <v>0.08</v>
      </c>
      <c r="Q208" s="58">
        <f t="shared" ref="Q208" si="151">SUM(O208:P208)</f>
        <v>1.1800000000000002</v>
      </c>
      <c r="R208" s="258">
        <f t="shared" ref="R208" si="152">+Q208-J208</f>
        <v>-1.4432115599762874E-3</v>
      </c>
    </row>
    <row r="209" spans="1:18" ht="13.2" customHeight="1" x14ac:dyDescent="0.2">
      <c r="A209" s="251">
        <f t="shared" si="140"/>
        <v>199</v>
      </c>
      <c r="C209" s="32"/>
      <c r="D209" s="32"/>
      <c r="E209" s="31"/>
      <c r="F209" s="30"/>
      <c r="G209" s="54"/>
      <c r="H209" s="55"/>
      <c r="I209" s="55"/>
      <c r="J209" s="55"/>
      <c r="L209" s="56"/>
      <c r="M209" s="57"/>
      <c r="O209" s="60"/>
      <c r="P209" s="60"/>
      <c r="Q209" s="246"/>
      <c r="R209" s="69"/>
    </row>
    <row r="210" spans="1:18" ht="13.2" customHeight="1" x14ac:dyDescent="0.2">
      <c r="A210" s="251">
        <f t="shared" si="140"/>
        <v>200</v>
      </c>
      <c r="C210" s="62" t="s">
        <v>3</v>
      </c>
      <c r="D210" s="62"/>
      <c r="F210" s="30"/>
      <c r="G210" s="28"/>
      <c r="H210" s="61"/>
      <c r="I210" s="61"/>
      <c r="J210" s="61"/>
      <c r="L210" s="63">
        <f>SUM(L25:L208)</f>
        <v>9321612</v>
      </c>
      <c r="M210" s="57">
        <f>SUM(M25:M209)</f>
        <v>531848</v>
      </c>
    </row>
    <row r="211" spans="1:18" ht="13.2" customHeight="1" x14ac:dyDescent="0.2">
      <c r="A211" s="251">
        <f t="shared" si="140"/>
        <v>201</v>
      </c>
      <c r="C211" s="64" t="s">
        <v>2</v>
      </c>
      <c r="D211" s="64"/>
      <c r="F211" s="30"/>
      <c r="G211" s="28"/>
      <c r="H211" s="61"/>
      <c r="I211" s="61"/>
      <c r="J211" s="61"/>
      <c r="L211" s="63">
        <f>L21</f>
        <v>9321612</v>
      </c>
      <c r="M211" s="65">
        <v>531848.50305676879</v>
      </c>
    </row>
    <row r="212" spans="1:18" ht="13.2" customHeight="1" thickBot="1" x14ac:dyDescent="0.25">
      <c r="A212" s="251">
        <f t="shared" si="140"/>
        <v>202</v>
      </c>
      <c r="C212" s="1" t="s">
        <v>1</v>
      </c>
      <c r="F212" s="30"/>
      <c r="G212" s="28"/>
      <c r="H212" s="61"/>
      <c r="I212" s="61"/>
      <c r="J212" s="61"/>
      <c r="L212" s="225">
        <f>+L210-L211</f>
        <v>0</v>
      </c>
      <c r="M212" s="226">
        <f>+M210-M211</f>
        <v>-0.50305676879361272</v>
      </c>
    </row>
    <row r="213" spans="1:18" ht="13.2" customHeight="1" thickTop="1" x14ac:dyDescent="0.2">
      <c r="A213" s="251">
        <f t="shared" si="140"/>
        <v>203</v>
      </c>
      <c r="F213" s="30"/>
      <c r="G213" s="28"/>
      <c r="H213" s="61"/>
      <c r="I213" s="61"/>
      <c r="J213" s="61"/>
      <c r="L213" s="56"/>
      <c r="M213" s="47"/>
    </row>
    <row r="214" spans="1:18" ht="13.2" customHeight="1" x14ac:dyDescent="0.2">
      <c r="A214" s="251">
        <f t="shared" si="140"/>
        <v>204</v>
      </c>
      <c r="C214" s="62" t="s">
        <v>0</v>
      </c>
      <c r="D214" s="62"/>
      <c r="F214" s="30"/>
      <c r="G214" s="28"/>
      <c r="H214" s="61"/>
      <c r="I214" s="61"/>
      <c r="J214" s="61"/>
      <c r="L214" s="56"/>
      <c r="M214" s="57">
        <f>+M211+M215</f>
        <v>548191.50305676879</v>
      </c>
    </row>
    <row r="215" spans="1:18" ht="13.2" customHeight="1" x14ac:dyDescent="0.2">
      <c r="A215" s="228">
        <f t="shared" si="140"/>
        <v>205</v>
      </c>
      <c r="B215" s="228"/>
      <c r="C215" s="228" t="s">
        <v>278</v>
      </c>
      <c r="D215" s="229"/>
      <c r="E215" s="230"/>
      <c r="F215" s="231"/>
      <c r="G215" s="232"/>
      <c r="H215" s="233"/>
      <c r="I215" s="233"/>
      <c r="J215" s="233"/>
      <c r="K215" s="234"/>
      <c r="L215" s="234"/>
      <c r="M215" s="235">
        <v>16343</v>
      </c>
      <c r="N215" s="234"/>
      <c r="O215" s="234"/>
      <c r="P215" s="234"/>
      <c r="Q215" s="234"/>
      <c r="R215" s="236"/>
    </row>
    <row r="216" spans="1:18" ht="13.2" customHeight="1" x14ac:dyDescent="0.2">
      <c r="C216" s="32"/>
      <c r="D216" s="32"/>
      <c r="E216" s="31"/>
      <c r="F216" s="30"/>
      <c r="G216" s="28"/>
      <c r="H216" s="61"/>
      <c r="I216" s="61"/>
      <c r="J216" s="61"/>
      <c r="L216" s="56"/>
    </row>
    <row r="217" spans="1:18" ht="13.2" customHeight="1" x14ac:dyDescent="0.2">
      <c r="G217" s="23"/>
      <c r="L217" s="56"/>
    </row>
    <row r="218" spans="1:18" ht="13.2" customHeight="1" x14ac:dyDescent="0.2">
      <c r="C218" s="27"/>
      <c r="D218" s="27"/>
      <c r="L218" s="56"/>
    </row>
    <row r="219" spans="1:18" ht="13.2" customHeight="1" x14ac:dyDescent="0.2">
      <c r="L219" s="56"/>
    </row>
    <row r="220" spans="1:18" ht="13.2" customHeight="1" x14ac:dyDescent="0.2">
      <c r="C220" s="27"/>
      <c r="D220" s="27"/>
      <c r="L220" s="56"/>
    </row>
    <row r="221" spans="1:18" ht="13.2" customHeight="1" x14ac:dyDescent="0.2">
      <c r="C221" s="27"/>
      <c r="D221" s="27"/>
      <c r="L221" s="56"/>
    </row>
    <row r="222" spans="1:18" x14ac:dyDescent="0.2">
      <c r="L222" s="56"/>
    </row>
    <row r="223" spans="1:18" x14ac:dyDescent="0.2">
      <c r="L223" s="56"/>
    </row>
    <row r="224" spans="1:18" x14ac:dyDescent="0.2">
      <c r="L224" s="56"/>
    </row>
    <row r="225" spans="12:12" x14ac:dyDescent="0.2">
      <c r="L225" s="56"/>
    </row>
    <row r="226" spans="12:12" x14ac:dyDescent="0.2">
      <c r="L226" s="56"/>
    </row>
    <row r="227" spans="12:12" x14ac:dyDescent="0.2">
      <c r="L227" s="56"/>
    </row>
    <row r="228" spans="12:12" x14ac:dyDescent="0.2">
      <c r="L228" s="56"/>
    </row>
    <row r="229" spans="12:12" x14ac:dyDescent="0.2">
      <c r="L229" s="56"/>
    </row>
    <row r="230" spans="12:12" x14ac:dyDescent="0.2">
      <c r="L230" s="56"/>
    </row>
    <row r="235" spans="12:12" x14ac:dyDescent="0.2">
      <c r="L235" s="47"/>
    </row>
    <row r="236" spans="12:12" x14ac:dyDescent="0.2">
      <c r="L236" s="47"/>
    </row>
    <row r="237" spans="12:12" x14ac:dyDescent="0.2">
      <c r="L237" s="47"/>
    </row>
    <row r="238" spans="12:12" x14ac:dyDescent="0.2">
      <c r="L238" s="56"/>
    </row>
    <row r="239" spans="12:12" x14ac:dyDescent="0.2">
      <c r="L239" s="56"/>
    </row>
    <row r="240" spans="12:12" x14ac:dyDescent="0.2">
      <c r="L240" s="56"/>
    </row>
    <row r="241" spans="12:12" x14ac:dyDescent="0.2">
      <c r="L241" s="56"/>
    </row>
    <row r="242" spans="12:12" x14ac:dyDescent="0.2">
      <c r="L242" s="56"/>
    </row>
    <row r="243" spans="12:12" x14ac:dyDescent="0.2">
      <c r="L243" s="56"/>
    </row>
    <row r="244" spans="12:12" x14ac:dyDescent="0.2">
      <c r="L244" s="56"/>
    </row>
    <row r="245" spans="12:12" x14ac:dyDescent="0.2">
      <c r="L245" s="56"/>
    </row>
    <row r="246" spans="12:12" x14ac:dyDescent="0.2">
      <c r="L246" s="56"/>
    </row>
    <row r="247" spans="12:12" x14ac:dyDescent="0.2">
      <c r="L247" s="56"/>
    </row>
    <row r="248" spans="12:12" x14ac:dyDescent="0.2">
      <c r="L248" s="56"/>
    </row>
    <row r="249" spans="12:12" x14ac:dyDescent="0.2">
      <c r="L249" s="56"/>
    </row>
    <row r="250" spans="12:12" x14ac:dyDescent="0.2">
      <c r="L250" s="56"/>
    </row>
    <row r="251" spans="12:12" x14ac:dyDescent="0.2">
      <c r="L251" s="56"/>
    </row>
    <row r="252" spans="12:12" x14ac:dyDescent="0.2">
      <c r="L252" s="56"/>
    </row>
    <row r="253" spans="12:12" x14ac:dyDescent="0.2">
      <c r="L253" s="56"/>
    </row>
    <row r="254" spans="12:12" x14ac:dyDescent="0.2">
      <c r="L254" s="56"/>
    </row>
    <row r="255" spans="12:12" x14ac:dyDescent="0.2">
      <c r="L255" s="56"/>
    </row>
    <row r="256" spans="12:12" x14ac:dyDescent="0.2">
      <c r="L256" s="56"/>
    </row>
    <row r="257" spans="12:12" x14ac:dyDescent="0.2">
      <c r="L257" s="56"/>
    </row>
    <row r="258" spans="12:12" x14ac:dyDescent="0.2">
      <c r="L258" s="56"/>
    </row>
    <row r="259" spans="12:12" x14ac:dyDescent="0.2">
      <c r="L259" s="56"/>
    </row>
    <row r="260" spans="12:12" x14ac:dyDescent="0.2">
      <c r="L260" s="56"/>
    </row>
    <row r="261" spans="12:12" x14ac:dyDescent="0.2">
      <c r="L261" s="56"/>
    </row>
    <row r="262" spans="12:12" x14ac:dyDescent="0.2">
      <c r="L262" s="56"/>
    </row>
    <row r="263" spans="12:12" x14ac:dyDescent="0.2">
      <c r="L263" s="56"/>
    </row>
    <row r="264" spans="12:12" x14ac:dyDescent="0.2">
      <c r="L264" s="56"/>
    </row>
    <row r="265" spans="12:12" x14ac:dyDescent="0.2">
      <c r="L265" s="56"/>
    </row>
    <row r="266" spans="12:12" x14ac:dyDescent="0.2">
      <c r="L266" s="56"/>
    </row>
    <row r="267" spans="12:12" x14ac:dyDescent="0.2">
      <c r="L267" s="56"/>
    </row>
    <row r="268" spans="12:12" x14ac:dyDescent="0.2">
      <c r="L268" s="56"/>
    </row>
    <row r="269" spans="12:12" x14ac:dyDescent="0.2">
      <c r="L269" s="56"/>
    </row>
    <row r="270" spans="12:12" x14ac:dyDescent="0.2">
      <c r="L270" s="56"/>
    </row>
    <row r="271" spans="12:12" x14ac:dyDescent="0.2">
      <c r="L271" s="56"/>
    </row>
    <row r="272" spans="12:12" x14ac:dyDescent="0.2">
      <c r="L272" s="56"/>
    </row>
    <row r="273" spans="12:12" x14ac:dyDescent="0.2">
      <c r="L273" s="56"/>
    </row>
    <row r="274" spans="12:12" x14ac:dyDescent="0.2">
      <c r="L274" s="56"/>
    </row>
    <row r="275" spans="12:12" x14ac:dyDescent="0.2">
      <c r="L275" s="56"/>
    </row>
    <row r="276" spans="12:12" x14ac:dyDescent="0.2">
      <c r="L276" s="56"/>
    </row>
    <row r="277" spans="12:12" x14ac:dyDescent="0.2">
      <c r="L277" s="56"/>
    </row>
    <row r="278" spans="12:12" x14ac:dyDescent="0.2">
      <c r="L278" s="56"/>
    </row>
  </sheetData>
  <mergeCells count="1">
    <mergeCell ref="C6:J6"/>
  </mergeCells>
  <pageMargins left="0.7" right="0.7" top="0.75" bottom="0.75" header="0.3" footer="0.3"/>
  <pageSetup scale="42" fitToHeight="2" orientation="portrait" r:id="rId1"/>
  <headerFooter>
    <oddFooter>&amp;R&amp;F
&amp;A
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I31"/>
  <sheetViews>
    <sheetView workbookViewId="0">
      <selection activeCell="E17" sqref="E17"/>
    </sheetView>
  </sheetViews>
  <sheetFormatPr defaultColWidth="9.109375" defaultRowHeight="10.199999999999999" x14ac:dyDescent="0.2"/>
  <cols>
    <col min="1" max="1" width="2.109375" style="70" customWidth="1"/>
    <col min="2" max="2" width="24" style="70" bestFit="1" customWidth="1"/>
    <col min="3" max="3" width="49.109375" style="99" bestFit="1" customWidth="1"/>
    <col min="4" max="4" width="17.5546875" style="70" customWidth="1"/>
    <col min="5" max="8" width="14.33203125" style="70" customWidth="1"/>
    <col min="9" max="16384" width="9.109375" style="70"/>
  </cols>
  <sheetData>
    <row r="1" spans="1:9" s="74" customFormat="1" x14ac:dyDescent="0.2">
      <c r="A1" s="277" t="s">
        <v>53</v>
      </c>
      <c r="B1" s="278"/>
      <c r="C1" s="278"/>
      <c r="D1" s="278"/>
      <c r="E1" s="278"/>
      <c r="F1" s="278"/>
      <c r="G1" s="278"/>
      <c r="H1" s="278"/>
      <c r="I1" s="278"/>
    </row>
    <row r="2" spans="1:9" s="74" customFormat="1" x14ac:dyDescent="0.2">
      <c r="A2" s="277" t="s">
        <v>255</v>
      </c>
      <c r="B2" s="278"/>
      <c r="C2" s="278"/>
      <c r="D2" s="278"/>
      <c r="E2" s="278"/>
      <c r="F2" s="278"/>
      <c r="G2" s="278"/>
      <c r="H2" s="278"/>
      <c r="I2" s="278"/>
    </row>
    <row r="3" spans="1:9" s="74" customFormat="1" x14ac:dyDescent="0.2">
      <c r="A3" s="277" t="s">
        <v>276</v>
      </c>
      <c r="B3" s="278"/>
      <c r="C3" s="278"/>
      <c r="D3" s="278"/>
      <c r="E3" s="278"/>
      <c r="F3" s="278"/>
      <c r="G3" s="278"/>
      <c r="H3" s="278"/>
      <c r="I3" s="278"/>
    </row>
    <row r="4" spans="1:9" s="74" customFormat="1" x14ac:dyDescent="0.2">
      <c r="A4" s="277" t="str">
        <f>'Sch 140 Lighting RD'!A4</f>
        <v>Forecasted Test-Year Ended April 30, 2024</v>
      </c>
      <c r="B4" s="278"/>
      <c r="C4" s="278"/>
      <c r="D4" s="278"/>
      <c r="E4" s="278"/>
      <c r="F4" s="278"/>
      <c r="G4" s="278"/>
      <c r="H4" s="278"/>
      <c r="I4" s="278"/>
    </row>
    <row r="5" spans="1:9" x14ac:dyDescent="0.2">
      <c r="A5" s="275"/>
      <c r="B5" s="276"/>
      <c r="C5" s="276"/>
      <c r="D5" s="276"/>
      <c r="E5" s="276"/>
      <c r="F5" s="276"/>
      <c r="G5" s="276"/>
      <c r="H5" s="276"/>
      <c r="I5" s="276"/>
    </row>
    <row r="6" spans="1:9" ht="10.8" thickBot="1" x14ac:dyDescent="0.25"/>
    <row r="7" spans="1:9" ht="20.399999999999999" x14ac:dyDescent="0.2">
      <c r="B7" s="71"/>
      <c r="C7" s="100"/>
      <c r="D7" s="283" t="s">
        <v>33</v>
      </c>
      <c r="E7" s="94" t="s">
        <v>52</v>
      </c>
      <c r="F7" s="95" t="s">
        <v>36</v>
      </c>
      <c r="G7" s="94" t="s">
        <v>51</v>
      </c>
      <c r="H7" s="96" t="s">
        <v>48</v>
      </c>
    </row>
    <row r="8" spans="1:9" x14ac:dyDescent="0.2">
      <c r="B8" s="72" t="s">
        <v>261</v>
      </c>
      <c r="C8" s="101" t="s">
        <v>245</v>
      </c>
      <c r="D8" s="284"/>
      <c r="E8" s="97"/>
      <c r="F8" s="97"/>
      <c r="G8" s="97"/>
      <c r="H8" s="98"/>
    </row>
    <row r="9" spans="1:9" x14ac:dyDescent="0.2">
      <c r="B9" s="73" t="s">
        <v>50</v>
      </c>
      <c r="C9" s="267" t="s">
        <v>257</v>
      </c>
      <c r="D9" s="75">
        <v>6609463.2979488224</v>
      </c>
      <c r="E9" s="75">
        <f>+D9</f>
        <v>6609463.2979488224</v>
      </c>
      <c r="F9" s="76">
        <f>+E9/$E$12</f>
        <v>6.1244532521377015E-2</v>
      </c>
      <c r="G9" s="74"/>
      <c r="H9" s="77">
        <f>+F9*$G$12</f>
        <v>33573.732336902824</v>
      </c>
    </row>
    <row r="10" spans="1:9" x14ac:dyDescent="0.2">
      <c r="B10" s="73" t="s">
        <v>34</v>
      </c>
      <c r="C10" s="267" t="s">
        <v>257</v>
      </c>
      <c r="D10" s="75">
        <v>101309774.97269732</v>
      </c>
      <c r="E10" s="75">
        <f>+D10</f>
        <v>101309774.97269732</v>
      </c>
      <c r="F10" s="76">
        <f>+E10/$E$12</f>
        <v>0.93875546747862304</v>
      </c>
      <c r="G10" s="74"/>
      <c r="H10" s="77">
        <f>+F10*$G$12</f>
        <v>514617.77071986598</v>
      </c>
    </row>
    <row r="11" spans="1:9" x14ac:dyDescent="0.2">
      <c r="B11" s="73" t="s">
        <v>49</v>
      </c>
      <c r="C11" s="267" t="s">
        <v>257</v>
      </c>
      <c r="D11" s="109">
        <v>9576655.2041193657</v>
      </c>
      <c r="E11" s="109">
        <v>0</v>
      </c>
      <c r="F11" s="76">
        <f>+E11/$E$12</f>
        <v>0</v>
      </c>
      <c r="G11" s="74"/>
      <c r="H11" s="110">
        <f>+F11*$G$12</f>
        <v>0</v>
      </c>
    </row>
    <row r="12" spans="1:9" ht="10.8" thickBot="1" x14ac:dyDescent="0.25">
      <c r="B12" s="78"/>
      <c r="C12" s="103"/>
      <c r="D12" s="80">
        <f>SUM(D9:D11)</f>
        <v>117495893.47476551</v>
      </c>
      <c r="E12" s="80">
        <f>SUM(E9:E11)</f>
        <v>107919238.27064614</v>
      </c>
      <c r="F12" s="81">
        <f>SUM(F9:F11)</f>
        <v>1</v>
      </c>
      <c r="G12" s="108">
        <f>'Sch 140 Lighting RD'!M214</f>
        <v>548191.50305676879</v>
      </c>
      <c r="H12" s="82">
        <f>SUM(H9:H11)</f>
        <v>548191.50305676879</v>
      </c>
    </row>
    <row r="13" spans="1:9" ht="10.8" thickBot="1" x14ac:dyDescent="0.25"/>
    <row r="14" spans="1:9" x14ac:dyDescent="0.2">
      <c r="B14" s="83"/>
      <c r="C14" s="104"/>
      <c r="D14" s="285" t="s">
        <v>48</v>
      </c>
      <c r="E14" s="287" t="s">
        <v>47</v>
      </c>
      <c r="F14" s="281" t="s">
        <v>46</v>
      </c>
      <c r="H14" s="84"/>
    </row>
    <row r="15" spans="1:9" x14ac:dyDescent="0.2">
      <c r="B15" s="85"/>
      <c r="C15" s="105"/>
      <c r="D15" s="284"/>
      <c r="E15" s="288"/>
      <c r="F15" s="282"/>
      <c r="H15" s="84"/>
    </row>
    <row r="16" spans="1:9" x14ac:dyDescent="0.2">
      <c r="B16" s="73" t="s">
        <v>45</v>
      </c>
      <c r="C16" s="102"/>
      <c r="D16" s="75">
        <f>+H9</f>
        <v>33573.732336902824</v>
      </c>
      <c r="E16" s="74"/>
      <c r="F16" s="86"/>
      <c r="H16" s="74"/>
    </row>
    <row r="17" spans="2:8" x14ac:dyDescent="0.2">
      <c r="B17" s="87" t="s">
        <v>44</v>
      </c>
      <c r="C17" s="102" t="s">
        <v>257</v>
      </c>
      <c r="D17" s="74"/>
      <c r="E17" s="106">
        <v>0.20391522002479368</v>
      </c>
      <c r="F17" s="77">
        <f>+$D$16*E17</f>
        <v>6846.19501653307</v>
      </c>
      <c r="H17" s="74"/>
    </row>
    <row r="18" spans="2:8" ht="10.8" thickBot="1" x14ac:dyDescent="0.25">
      <c r="B18" s="88" t="s">
        <v>43</v>
      </c>
      <c r="C18" s="103" t="s">
        <v>257</v>
      </c>
      <c r="D18" s="79"/>
      <c r="E18" s="107">
        <v>0.79608477997520632</v>
      </c>
      <c r="F18" s="82">
        <f>+$D$16*E18</f>
        <v>26727.537320369753</v>
      </c>
      <c r="H18" s="74"/>
    </row>
    <row r="19" spans="2:8" ht="10.8" thickBot="1" x14ac:dyDescent="0.25">
      <c r="H19" s="74"/>
    </row>
    <row r="20" spans="2:8" x14ac:dyDescent="0.2">
      <c r="B20" s="71"/>
      <c r="C20" s="100"/>
      <c r="D20" s="285" t="s">
        <v>42</v>
      </c>
      <c r="E20" s="283" t="s">
        <v>36</v>
      </c>
      <c r="F20" s="285" t="s">
        <v>41</v>
      </c>
      <c r="G20" s="281" t="s">
        <v>40</v>
      </c>
      <c r="H20" s="74"/>
    </row>
    <row r="21" spans="2:8" ht="14.4" customHeight="1" x14ac:dyDescent="0.2">
      <c r="B21" s="89" t="s">
        <v>259</v>
      </c>
      <c r="C21" s="101"/>
      <c r="D21" s="289"/>
      <c r="E21" s="284"/>
      <c r="F21" s="284"/>
      <c r="G21" s="282"/>
    </row>
    <row r="22" spans="2:8" x14ac:dyDescent="0.2">
      <c r="B22" s="90" t="s">
        <v>39</v>
      </c>
      <c r="C22" s="102" t="s">
        <v>258</v>
      </c>
      <c r="D22" s="111">
        <f>'Unitized Lighting'!E19</f>
        <v>68100922.699889734</v>
      </c>
      <c r="E22" s="76">
        <f>+D22/D24</f>
        <v>0.97790552500325012</v>
      </c>
      <c r="F22" s="74"/>
      <c r="G22" s="250">
        <f>+E22*$F$24</f>
        <v>503247.56125181273</v>
      </c>
    </row>
    <row r="23" spans="2:8" x14ac:dyDescent="0.2">
      <c r="B23" s="90" t="s">
        <v>38</v>
      </c>
      <c r="C23" s="102" t="s">
        <v>258</v>
      </c>
      <c r="D23" s="112">
        <f>'Unitized Lighting'!E25</f>
        <v>1538649.7932336619</v>
      </c>
      <c r="E23" s="76">
        <f>+D23/D24</f>
        <v>2.2094474996749828E-2</v>
      </c>
      <c r="F23" s="74"/>
      <c r="G23" s="250">
        <f>+E23*$F$24</f>
        <v>11370.209468053214</v>
      </c>
    </row>
    <row r="24" spans="2:8" x14ac:dyDescent="0.2">
      <c r="B24" s="90"/>
      <c r="C24" s="102"/>
      <c r="D24" s="75">
        <f>SUM(D22:D23)</f>
        <v>69639572.493123397</v>
      </c>
      <c r="E24" s="76">
        <f>SUM(E22:E23)</f>
        <v>1</v>
      </c>
      <c r="F24" s="75">
        <f>+H10</f>
        <v>514617.77071986598</v>
      </c>
      <c r="G24" s="77">
        <f>SUM(G22:G23)</f>
        <v>514617.77071986592</v>
      </c>
    </row>
    <row r="25" spans="2:8" ht="10.8" thickBot="1" x14ac:dyDescent="0.25">
      <c r="B25" s="78"/>
      <c r="C25" s="103"/>
      <c r="D25" s="79"/>
      <c r="E25" s="79"/>
      <c r="F25" s="79"/>
      <c r="G25" s="91"/>
    </row>
    <row r="26" spans="2:8" ht="10.8" thickBot="1" x14ac:dyDescent="0.25"/>
    <row r="27" spans="2:8" ht="14.4" customHeight="1" x14ac:dyDescent="0.2">
      <c r="B27" s="83"/>
      <c r="C27" s="104"/>
      <c r="D27" s="285" t="s">
        <v>37</v>
      </c>
      <c r="E27" s="286" t="s">
        <v>36</v>
      </c>
    </row>
    <row r="28" spans="2:8" x14ac:dyDescent="0.2">
      <c r="B28" s="85"/>
      <c r="C28" s="105"/>
      <c r="D28" s="284"/>
      <c r="E28" s="282"/>
    </row>
    <row r="29" spans="2:8" x14ac:dyDescent="0.2">
      <c r="B29" s="90" t="s">
        <v>35</v>
      </c>
      <c r="C29" s="102" t="s">
        <v>260</v>
      </c>
      <c r="D29" s="268">
        <v>492521.23338956141</v>
      </c>
      <c r="E29" s="92">
        <f>+D29/D31</f>
        <v>0.92605550369856049</v>
      </c>
    </row>
    <row r="30" spans="2:8" ht="12" x14ac:dyDescent="0.35">
      <c r="B30" s="90" t="s">
        <v>262</v>
      </c>
      <c r="C30" s="102" t="s">
        <v>260</v>
      </c>
      <c r="D30" s="269">
        <v>39327.269667207394</v>
      </c>
      <c r="E30" s="270">
        <f>+D30/D31</f>
        <v>7.3944496301439538E-2</v>
      </c>
    </row>
    <row r="31" spans="2:8" ht="10.8" thickBot="1" x14ac:dyDescent="0.25">
      <c r="B31" s="78" t="s">
        <v>33</v>
      </c>
      <c r="C31" s="103"/>
      <c r="D31" s="80">
        <f>SUM(D29:D30)</f>
        <v>531848.50305676879</v>
      </c>
      <c r="E31" s="93">
        <f>SUM(E29:E30)</f>
        <v>1</v>
      </c>
    </row>
  </sheetData>
  <mergeCells count="10">
    <mergeCell ref="G20:G21"/>
    <mergeCell ref="D7:D8"/>
    <mergeCell ref="D27:D28"/>
    <mergeCell ref="E27:E28"/>
    <mergeCell ref="D14:D15"/>
    <mergeCell ref="E14:E15"/>
    <mergeCell ref="F14:F15"/>
    <mergeCell ref="D20:D21"/>
    <mergeCell ref="E20:E21"/>
    <mergeCell ref="F20:F21"/>
  </mergeCells>
  <pageMargins left="0.7" right="0.7" top="0.75" bottom="0.75" header="0.3" footer="0.3"/>
  <pageSetup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H124"/>
  <sheetViews>
    <sheetView zoomScaleNormal="100" workbookViewId="0">
      <pane ySplit="7" topLeftCell="A8" activePane="bottomLeft" state="frozen"/>
      <selection activeCell="E19" sqref="E19"/>
      <selection pane="bottomLeft" activeCell="A3" sqref="A3:E3"/>
    </sheetView>
  </sheetViews>
  <sheetFormatPr defaultColWidth="9.109375" defaultRowHeight="10.199999999999999" x14ac:dyDescent="0.2"/>
  <cols>
    <col min="1" max="1" width="9.33203125" style="3" bestFit="1" customWidth="1"/>
    <col min="2" max="2" width="9.5546875" style="1" bestFit="1" customWidth="1"/>
    <col min="3" max="3" width="53.44140625" style="2" customWidth="1"/>
    <col min="4" max="4" width="38.6640625" style="1" bestFit="1" customWidth="1"/>
    <col min="5" max="5" width="11.6640625" style="1" bestFit="1" customWidth="1"/>
    <col min="6" max="6" width="29.6640625" style="1" bestFit="1" customWidth="1"/>
    <col min="7" max="7" width="9.109375" style="1"/>
    <col min="8" max="8" width="10.5546875" style="1" bestFit="1" customWidth="1"/>
    <col min="9" max="16384" width="9.109375" style="1"/>
  </cols>
  <sheetData>
    <row r="1" spans="1:5" x14ac:dyDescent="0.2">
      <c r="A1" s="290" t="s">
        <v>53</v>
      </c>
      <c r="B1" s="290"/>
      <c r="C1" s="290"/>
      <c r="D1" s="290"/>
      <c r="E1" s="290"/>
    </row>
    <row r="2" spans="1:5" x14ac:dyDescent="0.2">
      <c r="A2" s="290" t="s">
        <v>250</v>
      </c>
      <c r="B2" s="290"/>
      <c r="C2" s="290"/>
      <c r="D2" s="290"/>
      <c r="E2" s="290"/>
    </row>
    <row r="3" spans="1:5" x14ac:dyDescent="0.2">
      <c r="A3" s="291" t="str">
        <f>'Sch 140 Lighting RD'!A4:R4</f>
        <v>Forecasted Test-Year Ended April 30, 2024</v>
      </c>
      <c r="B3" s="291"/>
      <c r="C3" s="291"/>
      <c r="D3" s="291"/>
      <c r="E3" s="291"/>
    </row>
    <row r="4" spans="1:5" x14ac:dyDescent="0.2">
      <c r="A4" s="290"/>
      <c r="B4" s="290"/>
      <c r="C4" s="290"/>
      <c r="D4" s="290"/>
      <c r="E4" s="290"/>
    </row>
    <row r="5" spans="1:5" x14ac:dyDescent="0.2">
      <c r="A5" s="291"/>
      <c r="B5" s="291"/>
      <c r="C5" s="291"/>
      <c r="D5" s="291"/>
      <c r="E5" s="291"/>
    </row>
    <row r="6" spans="1:5" x14ac:dyDescent="0.2">
      <c r="C6" s="1"/>
    </row>
    <row r="7" spans="1:5" x14ac:dyDescent="0.2">
      <c r="A7" s="26" t="s">
        <v>32</v>
      </c>
      <c r="B7" s="25" t="s">
        <v>126</v>
      </c>
      <c r="C7" s="24" t="s">
        <v>125</v>
      </c>
      <c r="D7" s="24" t="s">
        <v>247</v>
      </c>
      <c r="E7" s="7"/>
    </row>
    <row r="8" spans="1:5" x14ac:dyDescent="0.2">
      <c r="A8" s="23"/>
      <c r="B8" s="22" t="s">
        <v>26</v>
      </c>
      <c r="C8" s="21" t="s">
        <v>25</v>
      </c>
      <c r="D8" s="21"/>
      <c r="E8" s="21" t="s">
        <v>24</v>
      </c>
    </row>
    <row r="9" spans="1:5" x14ac:dyDescent="0.2">
      <c r="A9" s="3">
        <v>1</v>
      </c>
      <c r="B9" s="8" t="s">
        <v>124</v>
      </c>
      <c r="C9" s="7"/>
      <c r="D9" s="7"/>
      <c r="E9" s="7"/>
    </row>
    <row r="10" spans="1:5" x14ac:dyDescent="0.2">
      <c r="A10" s="3">
        <f t="shared" ref="A10:A54" si="0">A9+1</f>
        <v>2</v>
      </c>
      <c r="B10" s="2"/>
      <c r="C10" s="113" t="s">
        <v>123</v>
      </c>
      <c r="D10" s="116"/>
      <c r="E10" s="7"/>
    </row>
    <row r="11" spans="1:5" x14ac:dyDescent="0.2">
      <c r="A11" s="3">
        <f t="shared" si="0"/>
        <v>3</v>
      </c>
      <c r="B11" s="2"/>
      <c r="C11" s="1" t="s">
        <v>122</v>
      </c>
      <c r="D11" s="117"/>
      <c r="E11" s="6"/>
    </row>
    <row r="12" spans="1:5" x14ac:dyDescent="0.2">
      <c r="A12" s="3">
        <f t="shared" si="0"/>
        <v>4</v>
      </c>
      <c r="B12" s="2"/>
      <c r="C12" s="1" t="s">
        <v>121</v>
      </c>
      <c r="D12" s="117"/>
      <c r="E12" s="6"/>
    </row>
    <row r="13" spans="1:5" x14ac:dyDescent="0.2">
      <c r="A13" s="3">
        <f t="shared" si="0"/>
        <v>5</v>
      </c>
      <c r="B13" s="2"/>
      <c r="C13" s="1" t="s">
        <v>120</v>
      </c>
      <c r="D13" s="117"/>
      <c r="E13" s="11"/>
    </row>
    <row r="14" spans="1:5" x14ac:dyDescent="0.2">
      <c r="A14" s="3">
        <f t="shared" si="0"/>
        <v>6</v>
      </c>
      <c r="B14" s="2"/>
      <c r="C14" s="1" t="s">
        <v>119</v>
      </c>
      <c r="D14" s="117"/>
      <c r="E14" s="6"/>
    </row>
    <row r="15" spans="1:5" x14ac:dyDescent="0.2">
      <c r="A15" s="3">
        <f t="shared" si="0"/>
        <v>7</v>
      </c>
      <c r="B15" s="2"/>
      <c r="C15" s="1" t="s">
        <v>118</v>
      </c>
      <c r="D15" s="117" t="s">
        <v>248</v>
      </c>
      <c r="E15" s="244">
        <f>'Plant-in-Service Allocations'!G22</f>
        <v>503247.56125181273</v>
      </c>
    </row>
    <row r="16" spans="1:5" x14ac:dyDescent="0.2">
      <c r="A16" s="3">
        <f t="shared" si="0"/>
        <v>8</v>
      </c>
      <c r="B16" s="2"/>
      <c r="C16" s="1" t="s">
        <v>117</v>
      </c>
      <c r="D16" s="117"/>
      <c r="E16" s="6">
        <v>0</v>
      </c>
    </row>
    <row r="17" spans="1:5" ht="10.8" thickBot="1" x14ac:dyDescent="0.25">
      <c r="A17" s="3">
        <f t="shared" si="0"/>
        <v>9</v>
      </c>
      <c r="B17" s="2"/>
      <c r="C17" s="20" t="s">
        <v>102</v>
      </c>
      <c r="D17" s="118"/>
      <c r="E17" s="115">
        <f>E15-E16</f>
        <v>503247.56125181273</v>
      </c>
    </row>
    <row r="18" spans="1:5" ht="10.8" thickTop="1" x14ac:dyDescent="0.2">
      <c r="A18" s="3">
        <f t="shared" si="0"/>
        <v>10</v>
      </c>
      <c r="B18" s="2"/>
      <c r="C18" s="1"/>
      <c r="D18" s="117"/>
      <c r="E18" s="6"/>
    </row>
    <row r="19" spans="1:5" ht="15.75" customHeight="1" x14ac:dyDescent="0.2">
      <c r="A19" s="3">
        <f t="shared" si="0"/>
        <v>11</v>
      </c>
      <c r="B19" s="2"/>
      <c r="C19" s="1" t="s">
        <v>39</v>
      </c>
      <c r="D19" s="121" t="s">
        <v>246</v>
      </c>
      <c r="E19" s="122">
        <f>SUM('Adjusted Lamp Cost Allocations'!L4:L197)</f>
        <v>68100922.699889734</v>
      </c>
    </row>
    <row r="20" spans="1:5" x14ac:dyDescent="0.2">
      <c r="A20" s="3">
        <f t="shared" si="0"/>
        <v>12</v>
      </c>
      <c r="B20" s="2"/>
      <c r="C20" s="1" t="s">
        <v>116</v>
      </c>
      <c r="D20" s="117"/>
      <c r="E20" s="10">
        <f>E17/E19</f>
        <v>7.3897319052422701E-3</v>
      </c>
    </row>
    <row r="21" spans="1:5" ht="10.8" thickBot="1" x14ac:dyDescent="0.25">
      <c r="A21" s="3">
        <f t="shared" si="0"/>
        <v>13</v>
      </c>
      <c r="B21" s="2"/>
      <c r="C21" s="1" t="s">
        <v>115</v>
      </c>
      <c r="D21" s="117"/>
      <c r="E21" s="4">
        <f>(E20/12)</f>
        <v>6.1581099210352255E-4</v>
      </c>
    </row>
    <row r="22" spans="1:5" ht="10.8" thickTop="1" x14ac:dyDescent="0.2">
      <c r="A22" s="3">
        <f t="shared" si="0"/>
        <v>14</v>
      </c>
      <c r="B22" s="2"/>
      <c r="C22" s="1"/>
      <c r="D22" s="117"/>
    </row>
    <row r="23" spans="1:5" x14ac:dyDescent="0.2">
      <c r="A23" s="3">
        <f t="shared" si="0"/>
        <v>15</v>
      </c>
      <c r="B23" s="2"/>
      <c r="C23" s="113" t="s">
        <v>114</v>
      </c>
      <c r="D23" s="119"/>
      <c r="E23" s="7"/>
    </row>
    <row r="24" spans="1:5" x14ac:dyDescent="0.2">
      <c r="A24" s="3">
        <f t="shared" si="0"/>
        <v>16</v>
      </c>
      <c r="B24" s="2"/>
      <c r="C24" s="1" t="s">
        <v>113</v>
      </c>
      <c r="D24" s="117" t="s">
        <v>248</v>
      </c>
      <c r="E24" s="244">
        <f>'Plant-in-Service Allocations'!G23</f>
        <v>11370.209468053214</v>
      </c>
    </row>
    <row r="25" spans="1:5" x14ac:dyDescent="0.2">
      <c r="A25" s="3">
        <f t="shared" si="0"/>
        <v>17</v>
      </c>
      <c r="B25" s="2"/>
      <c r="C25" s="1" t="s">
        <v>38</v>
      </c>
      <c r="D25" s="121" t="s">
        <v>246</v>
      </c>
      <c r="E25" s="122">
        <f>SUM('Adjusted Lamp Cost Allocations'!L201:L204)</f>
        <v>1538649.7932336619</v>
      </c>
    </row>
    <row r="26" spans="1:5" x14ac:dyDescent="0.2">
      <c r="A26" s="3">
        <f t="shared" si="0"/>
        <v>18</v>
      </c>
      <c r="B26" s="2"/>
      <c r="C26" s="1" t="s">
        <v>112</v>
      </c>
      <c r="D26" s="117"/>
      <c r="E26" s="10">
        <f>E24/E25</f>
        <v>7.3897319052422701E-3</v>
      </c>
    </row>
    <row r="27" spans="1:5" ht="10.8" thickBot="1" x14ac:dyDescent="0.25">
      <c r="A27" s="3">
        <f t="shared" si="0"/>
        <v>19</v>
      </c>
      <c r="B27" s="2"/>
      <c r="C27" s="1" t="s">
        <v>111</v>
      </c>
      <c r="D27" s="117"/>
      <c r="E27" s="9">
        <f>E26/12</f>
        <v>6.1581099210352255E-4</v>
      </c>
    </row>
    <row r="28" spans="1:5" ht="10.8" thickTop="1" x14ac:dyDescent="0.2">
      <c r="A28" s="3">
        <f t="shared" si="0"/>
        <v>20</v>
      </c>
      <c r="B28" s="2"/>
      <c r="C28" s="1"/>
      <c r="D28" s="117"/>
    </row>
    <row r="29" spans="1:5" x14ac:dyDescent="0.2">
      <c r="A29" s="3">
        <f t="shared" si="0"/>
        <v>21</v>
      </c>
      <c r="B29" s="2"/>
      <c r="C29" s="113" t="s">
        <v>110</v>
      </c>
      <c r="D29" s="119"/>
      <c r="E29" s="7"/>
    </row>
    <row r="30" spans="1:5" x14ac:dyDescent="0.2">
      <c r="A30" s="3">
        <f t="shared" si="0"/>
        <v>22</v>
      </c>
      <c r="B30" s="2"/>
      <c r="C30" s="1" t="s">
        <v>109</v>
      </c>
      <c r="D30" s="117"/>
      <c r="E30" s="6"/>
    </row>
    <row r="31" spans="1:5" x14ac:dyDescent="0.2">
      <c r="A31" s="3">
        <f t="shared" si="0"/>
        <v>23</v>
      </c>
      <c r="B31" s="2"/>
      <c r="C31" s="1" t="s">
        <v>108</v>
      </c>
      <c r="D31" s="117"/>
      <c r="E31" s="11"/>
    </row>
    <row r="32" spans="1:5" x14ac:dyDescent="0.2">
      <c r="A32" s="3">
        <f t="shared" si="0"/>
        <v>24</v>
      </c>
      <c r="B32" s="2"/>
      <c r="C32" s="1" t="s">
        <v>107</v>
      </c>
      <c r="D32" s="117"/>
      <c r="E32" s="6"/>
    </row>
    <row r="33" spans="1:6" x14ac:dyDescent="0.2">
      <c r="A33" s="3">
        <f t="shared" si="0"/>
        <v>25</v>
      </c>
      <c r="B33" s="2"/>
      <c r="C33" s="20" t="s">
        <v>106</v>
      </c>
      <c r="D33" s="118"/>
      <c r="E33" s="6"/>
    </row>
    <row r="34" spans="1:6" x14ac:dyDescent="0.2">
      <c r="A34" s="3">
        <f t="shared" si="0"/>
        <v>26</v>
      </c>
      <c r="B34" s="2"/>
      <c r="C34" s="1" t="s">
        <v>105</v>
      </c>
      <c r="D34" s="117"/>
      <c r="E34" s="19"/>
    </row>
    <row r="35" spans="1:6" ht="10.8" thickBot="1" x14ac:dyDescent="0.25">
      <c r="A35" s="3">
        <f t="shared" si="0"/>
        <v>27</v>
      </c>
      <c r="B35" s="2"/>
      <c r="C35" s="1" t="s">
        <v>104</v>
      </c>
      <c r="D35" s="117"/>
      <c r="E35" s="18"/>
    </row>
    <row r="36" spans="1:6" ht="10.8" thickTop="1" x14ac:dyDescent="0.2">
      <c r="A36" s="3">
        <f t="shared" si="0"/>
        <v>28</v>
      </c>
      <c r="B36" s="2"/>
      <c r="C36" s="1"/>
      <c r="D36" s="117"/>
      <c r="E36" s="11"/>
    </row>
    <row r="37" spans="1:6" x14ac:dyDescent="0.2">
      <c r="A37" s="3">
        <f t="shared" si="0"/>
        <v>29</v>
      </c>
      <c r="B37" s="8" t="s">
        <v>28</v>
      </c>
      <c r="C37" s="7"/>
      <c r="D37" s="120"/>
      <c r="E37" s="7"/>
    </row>
    <row r="38" spans="1:6" x14ac:dyDescent="0.2">
      <c r="A38" s="3">
        <f t="shared" si="0"/>
        <v>30</v>
      </c>
      <c r="B38" s="2"/>
      <c r="C38" s="114" t="s">
        <v>103</v>
      </c>
      <c r="D38" s="116"/>
      <c r="E38" s="17"/>
    </row>
    <row r="39" spans="1:6" x14ac:dyDescent="0.2">
      <c r="A39" s="3">
        <f t="shared" si="0"/>
        <v>31</v>
      </c>
      <c r="B39" s="2"/>
      <c r="C39" s="1" t="s">
        <v>56</v>
      </c>
      <c r="D39" s="117"/>
      <c r="E39" s="6"/>
    </row>
    <row r="40" spans="1:6" x14ac:dyDescent="0.2">
      <c r="A40" s="3">
        <f t="shared" si="0"/>
        <v>32</v>
      </c>
      <c r="B40" s="2"/>
      <c r="C40" s="1" t="s">
        <v>92</v>
      </c>
      <c r="D40" s="117"/>
      <c r="E40" s="6"/>
    </row>
    <row r="41" spans="1:6" x14ac:dyDescent="0.2">
      <c r="A41" s="3">
        <f t="shared" si="0"/>
        <v>33</v>
      </c>
      <c r="B41" s="2"/>
      <c r="C41" s="20" t="s">
        <v>102</v>
      </c>
      <c r="D41" s="118"/>
      <c r="E41" s="6"/>
    </row>
    <row r="42" spans="1:6" x14ac:dyDescent="0.2">
      <c r="A42" s="3">
        <f t="shared" si="0"/>
        <v>34</v>
      </c>
      <c r="B42" s="2"/>
      <c r="C42" s="1"/>
      <c r="D42" s="117"/>
    </row>
    <row r="43" spans="1:6" x14ac:dyDescent="0.2">
      <c r="A43" s="3">
        <f t="shared" si="0"/>
        <v>35</v>
      </c>
      <c r="B43" s="2"/>
      <c r="C43" s="1" t="s">
        <v>101</v>
      </c>
      <c r="D43" s="117"/>
      <c r="E43" s="5"/>
    </row>
    <row r="44" spans="1:6" x14ac:dyDescent="0.2">
      <c r="A44" s="3">
        <f t="shared" si="0"/>
        <v>36</v>
      </c>
      <c r="B44" s="2"/>
      <c r="C44" s="1" t="s">
        <v>100</v>
      </c>
      <c r="D44" s="117"/>
      <c r="E44" s="10"/>
    </row>
    <row r="45" spans="1:6" ht="10.8" thickBot="1" x14ac:dyDescent="0.25">
      <c r="A45" s="3">
        <f t="shared" si="0"/>
        <v>37</v>
      </c>
      <c r="B45" s="2"/>
      <c r="C45" s="1" t="s">
        <v>99</v>
      </c>
      <c r="D45" s="117"/>
      <c r="E45" s="9"/>
      <c r="F45" s="12"/>
    </row>
    <row r="46" spans="1:6" ht="10.8" thickTop="1" x14ac:dyDescent="0.2">
      <c r="A46" s="3">
        <f t="shared" si="0"/>
        <v>38</v>
      </c>
      <c r="B46" s="2"/>
      <c r="C46" s="1"/>
      <c r="D46" s="117"/>
    </row>
    <row r="47" spans="1:6" x14ac:dyDescent="0.2">
      <c r="A47" s="3">
        <f t="shared" si="0"/>
        <v>39</v>
      </c>
      <c r="B47" s="2"/>
      <c r="C47" s="113" t="s">
        <v>98</v>
      </c>
      <c r="D47" s="119"/>
      <c r="E47" s="7"/>
    </row>
    <row r="48" spans="1:6" x14ac:dyDescent="0.2">
      <c r="A48" s="3">
        <f t="shared" si="0"/>
        <v>40</v>
      </c>
      <c r="B48" s="2"/>
      <c r="C48" s="1" t="s">
        <v>56</v>
      </c>
      <c r="D48" s="117"/>
      <c r="E48" s="6"/>
    </row>
    <row r="49" spans="1:5" x14ac:dyDescent="0.2">
      <c r="A49" s="3">
        <f t="shared" si="0"/>
        <v>41</v>
      </c>
      <c r="B49" s="2"/>
      <c r="C49" s="1" t="s">
        <v>94</v>
      </c>
      <c r="D49" s="117"/>
      <c r="E49" s="11"/>
    </row>
    <row r="50" spans="1:5" x14ac:dyDescent="0.2">
      <c r="A50" s="3">
        <f t="shared" si="0"/>
        <v>42</v>
      </c>
      <c r="B50" s="2"/>
      <c r="C50" s="1" t="s">
        <v>97</v>
      </c>
      <c r="D50" s="117"/>
      <c r="E50" s="6"/>
    </row>
    <row r="51" spans="1:5" x14ac:dyDescent="0.2">
      <c r="A51" s="3">
        <f t="shared" si="0"/>
        <v>43</v>
      </c>
      <c r="B51" s="2"/>
      <c r="C51" s="1" t="s">
        <v>96</v>
      </c>
      <c r="D51" s="117"/>
      <c r="E51" s="6"/>
    </row>
    <row r="52" spans="1:5" x14ac:dyDescent="0.2">
      <c r="A52" s="3">
        <f t="shared" si="0"/>
        <v>44</v>
      </c>
      <c r="B52" s="2"/>
      <c r="C52" s="1"/>
      <c r="D52" s="117"/>
      <c r="E52" s="6"/>
    </row>
    <row r="53" spans="1:5" x14ac:dyDescent="0.2">
      <c r="A53" s="3">
        <f t="shared" si="0"/>
        <v>45</v>
      </c>
      <c r="B53" s="2"/>
      <c r="C53" s="1" t="s">
        <v>91</v>
      </c>
      <c r="D53" s="117"/>
      <c r="E53" s="15"/>
    </row>
    <row r="54" spans="1:5" ht="10.8" thickBot="1" x14ac:dyDescent="0.25">
      <c r="A54" s="3">
        <f t="shared" si="0"/>
        <v>46</v>
      </c>
      <c r="B54" s="2"/>
      <c r="C54" s="1" t="s">
        <v>90</v>
      </c>
      <c r="D54" s="117"/>
      <c r="E54" s="14"/>
    </row>
    <row r="55" spans="1:5" ht="10.8" thickTop="1" x14ac:dyDescent="0.2">
      <c r="B55" s="2"/>
      <c r="C55" s="1"/>
      <c r="D55" s="117"/>
      <c r="E55" s="16"/>
    </row>
    <row r="56" spans="1:5" x14ac:dyDescent="0.2">
      <c r="A56" s="3">
        <f>A54+1</f>
        <v>47</v>
      </c>
      <c r="B56" s="2"/>
      <c r="C56" s="113" t="s">
        <v>95</v>
      </c>
      <c r="D56" s="119"/>
      <c r="E56" s="7"/>
    </row>
    <row r="57" spans="1:5" x14ac:dyDescent="0.2">
      <c r="A57" s="3">
        <f t="shared" ref="A57:A63" si="1">A56+1</f>
        <v>48</v>
      </c>
      <c r="B57" s="2"/>
      <c r="C57" s="1" t="s">
        <v>56</v>
      </c>
      <c r="D57" s="117"/>
      <c r="E57" s="6"/>
    </row>
    <row r="58" spans="1:5" x14ac:dyDescent="0.2">
      <c r="A58" s="3">
        <f t="shared" si="1"/>
        <v>49</v>
      </c>
      <c r="B58" s="2"/>
      <c r="C58" s="1" t="s">
        <v>94</v>
      </c>
      <c r="D58" s="117"/>
      <c r="E58" s="11"/>
    </row>
    <row r="59" spans="1:5" x14ac:dyDescent="0.2">
      <c r="A59" s="3">
        <f t="shared" si="1"/>
        <v>50</v>
      </c>
      <c r="B59" s="2"/>
      <c r="C59" s="1" t="s">
        <v>93</v>
      </c>
      <c r="D59" s="117"/>
      <c r="E59" s="6"/>
    </row>
    <row r="60" spans="1:5" x14ac:dyDescent="0.2">
      <c r="A60" s="3">
        <f t="shared" si="1"/>
        <v>51</v>
      </c>
      <c r="B60" s="2"/>
      <c r="C60" s="1" t="s">
        <v>92</v>
      </c>
      <c r="D60" s="117"/>
      <c r="E60" s="6"/>
    </row>
    <row r="61" spans="1:5" x14ac:dyDescent="0.2">
      <c r="A61" s="3">
        <f t="shared" si="1"/>
        <v>52</v>
      </c>
      <c r="B61" s="2"/>
      <c r="C61" s="1"/>
      <c r="D61" s="117"/>
      <c r="E61" s="6"/>
    </row>
    <row r="62" spans="1:5" x14ac:dyDescent="0.2">
      <c r="A62" s="3">
        <f t="shared" si="1"/>
        <v>53</v>
      </c>
      <c r="B62" s="2"/>
      <c r="C62" s="1" t="s">
        <v>91</v>
      </c>
      <c r="D62" s="117"/>
      <c r="E62" s="15"/>
    </row>
    <row r="63" spans="1:5" ht="10.8" thickBot="1" x14ac:dyDescent="0.25">
      <c r="A63" s="3">
        <f t="shared" si="1"/>
        <v>54</v>
      </c>
      <c r="B63" s="2"/>
      <c r="C63" s="1" t="s">
        <v>90</v>
      </c>
      <c r="D63" s="117"/>
      <c r="E63" s="14"/>
    </row>
    <row r="64" spans="1:5" ht="10.8" thickTop="1" x14ac:dyDescent="0.2">
      <c r="A64" s="3">
        <f>A54+1</f>
        <v>47</v>
      </c>
      <c r="B64" s="8" t="s">
        <v>27</v>
      </c>
      <c r="C64" s="7"/>
      <c r="D64" s="120"/>
      <c r="E64" s="7"/>
    </row>
    <row r="65" spans="1:8" x14ac:dyDescent="0.2">
      <c r="A65" s="3">
        <f t="shared" ref="A65:A96" si="2">A64+1</f>
        <v>48</v>
      </c>
      <c r="B65" s="2"/>
      <c r="C65" s="113" t="s">
        <v>89</v>
      </c>
      <c r="D65" s="119"/>
      <c r="E65" s="7"/>
      <c r="F65" s="6"/>
      <c r="H65" s="12"/>
    </row>
    <row r="66" spans="1:8" x14ac:dyDescent="0.2">
      <c r="A66" s="3">
        <f t="shared" si="2"/>
        <v>49</v>
      </c>
      <c r="B66" s="2"/>
      <c r="C66" s="1" t="s">
        <v>85</v>
      </c>
      <c r="D66" s="117"/>
      <c r="E66" s="13"/>
      <c r="F66" s="6"/>
      <c r="H66" s="12"/>
    </row>
    <row r="67" spans="1:8" x14ac:dyDescent="0.2">
      <c r="A67" s="3">
        <f t="shared" si="2"/>
        <v>50</v>
      </c>
      <c r="B67" s="2"/>
      <c r="C67" s="1" t="s">
        <v>84</v>
      </c>
      <c r="D67" s="117"/>
      <c r="E67" s="13"/>
      <c r="F67" s="6"/>
      <c r="H67" s="12"/>
    </row>
    <row r="68" spans="1:8" x14ac:dyDescent="0.2">
      <c r="A68" s="3">
        <f t="shared" si="2"/>
        <v>51</v>
      </c>
      <c r="B68" s="2"/>
      <c r="C68" s="1" t="s">
        <v>83</v>
      </c>
      <c r="D68" s="117"/>
      <c r="E68" s="13"/>
      <c r="F68" s="6"/>
      <c r="H68" s="12"/>
    </row>
    <row r="69" spans="1:8" x14ac:dyDescent="0.2">
      <c r="A69" s="3">
        <f t="shared" si="2"/>
        <v>52</v>
      </c>
      <c r="B69" s="2"/>
      <c r="C69" s="1" t="s">
        <v>88</v>
      </c>
      <c r="D69" s="117"/>
      <c r="E69" s="11"/>
      <c r="F69" s="6"/>
      <c r="H69" s="12"/>
    </row>
    <row r="70" spans="1:8" x14ac:dyDescent="0.2">
      <c r="A70" s="3">
        <f t="shared" si="2"/>
        <v>53</v>
      </c>
      <c r="B70" s="2"/>
      <c r="C70" s="1" t="s">
        <v>56</v>
      </c>
      <c r="D70" s="117"/>
      <c r="E70" s="6"/>
      <c r="F70" s="6"/>
      <c r="H70" s="12"/>
    </row>
    <row r="71" spans="1:8" x14ac:dyDescent="0.2">
      <c r="A71" s="3">
        <f t="shared" si="2"/>
        <v>54</v>
      </c>
      <c r="B71" s="2"/>
      <c r="C71" s="1" t="s">
        <v>81</v>
      </c>
      <c r="D71" s="117"/>
      <c r="E71" s="6"/>
      <c r="F71" s="6"/>
      <c r="H71" s="12"/>
    </row>
    <row r="72" spans="1:8" x14ac:dyDescent="0.2">
      <c r="A72" s="3">
        <f t="shared" si="2"/>
        <v>55</v>
      </c>
      <c r="B72" s="2"/>
      <c r="C72" s="1"/>
      <c r="D72" s="117"/>
      <c r="E72" s="11"/>
      <c r="F72" s="6"/>
      <c r="H72" s="12"/>
    </row>
    <row r="73" spans="1:8" x14ac:dyDescent="0.2">
      <c r="A73" s="3">
        <f t="shared" si="2"/>
        <v>56</v>
      </c>
      <c r="B73" s="2"/>
      <c r="C73" s="1" t="s">
        <v>55</v>
      </c>
      <c r="D73" s="117"/>
      <c r="E73" s="5"/>
      <c r="F73" s="6"/>
      <c r="H73" s="12"/>
    </row>
    <row r="74" spans="1:8" ht="10.8" thickBot="1" x14ac:dyDescent="0.25">
      <c r="A74" s="3">
        <f t="shared" si="2"/>
        <v>57</v>
      </c>
      <c r="B74" s="2"/>
      <c r="C74" s="1" t="s">
        <v>87</v>
      </c>
      <c r="D74" s="117"/>
      <c r="E74" s="4"/>
      <c r="F74" s="6"/>
      <c r="H74" s="12"/>
    </row>
    <row r="75" spans="1:8" ht="10.8" thickTop="1" x14ac:dyDescent="0.2">
      <c r="A75" s="3">
        <f t="shared" si="2"/>
        <v>58</v>
      </c>
      <c r="B75" s="2"/>
      <c r="C75" s="1"/>
      <c r="D75" s="117"/>
      <c r="F75" s="6"/>
      <c r="H75" s="12"/>
    </row>
    <row r="76" spans="1:8" x14ac:dyDescent="0.2">
      <c r="A76" s="3">
        <f t="shared" si="2"/>
        <v>59</v>
      </c>
      <c r="B76" s="2"/>
      <c r="C76" s="113" t="s">
        <v>86</v>
      </c>
      <c r="D76" s="119"/>
      <c r="E76" s="7"/>
      <c r="H76" s="6"/>
    </row>
    <row r="77" spans="1:8" x14ac:dyDescent="0.2">
      <c r="A77" s="3">
        <f t="shared" si="2"/>
        <v>60</v>
      </c>
      <c r="B77" s="2"/>
      <c r="C77" s="1" t="s">
        <v>85</v>
      </c>
      <c r="D77" s="117"/>
      <c r="E77" s="13"/>
      <c r="H77" s="6"/>
    </row>
    <row r="78" spans="1:8" x14ac:dyDescent="0.2">
      <c r="A78" s="3">
        <f t="shared" si="2"/>
        <v>61</v>
      </c>
      <c r="B78" s="2"/>
      <c r="C78" s="1" t="s">
        <v>84</v>
      </c>
      <c r="D78" s="117"/>
      <c r="E78" s="13"/>
      <c r="H78" s="6"/>
    </row>
    <row r="79" spans="1:8" x14ac:dyDescent="0.2">
      <c r="A79" s="3">
        <f t="shared" si="2"/>
        <v>62</v>
      </c>
      <c r="B79" s="2"/>
      <c r="C79" s="1" t="s">
        <v>83</v>
      </c>
      <c r="D79" s="117"/>
      <c r="E79" s="13"/>
      <c r="H79" s="6"/>
    </row>
    <row r="80" spans="1:8" x14ac:dyDescent="0.2">
      <c r="A80" s="3">
        <f t="shared" si="2"/>
        <v>63</v>
      </c>
      <c r="B80" s="2"/>
      <c r="C80" s="1" t="s">
        <v>82</v>
      </c>
      <c r="D80" s="117"/>
      <c r="E80" s="11"/>
      <c r="H80" s="6"/>
    </row>
    <row r="81" spans="1:8" x14ac:dyDescent="0.2">
      <c r="A81" s="3">
        <f t="shared" si="2"/>
        <v>64</v>
      </c>
      <c r="B81" s="2"/>
      <c r="C81" s="1" t="s">
        <v>56</v>
      </c>
      <c r="D81" s="117"/>
      <c r="E81" s="6"/>
      <c r="H81" s="6"/>
    </row>
    <row r="82" spans="1:8" x14ac:dyDescent="0.2">
      <c r="A82" s="3">
        <f t="shared" si="2"/>
        <v>65</v>
      </c>
      <c r="B82" s="2"/>
      <c r="C82" s="1" t="s">
        <v>81</v>
      </c>
      <c r="D82" s="117"/>
      <c r="E82" s="6"/>
      <c r="H82" s="6"/>
    </row>
    <row r="83" spans="1:8" x14ac:dyDescent="0.2">
      <c r="A83" s="3">
        <f t="shared" si="2"/>
        <v>66</v>
      </c>
      <c r="B83" s="2"/>
      <c r="C83" s="1"/>
      <c r="D83" s="117"/>
      <c r="E83" s="11"/>
      <c r="H83" s="12"/>
    </row>
    <row r="84" spans="1:8" x14ac:dyDescent="0.2">
      <c r="A84" s="3">
        <f t="shared" si="2"/>
        <v>67</v>
      </c>
      <c r="B84" s="2"/>
      <c r="C84" s="1" t="s">
        <v>80</v>
      </c>
      <c r="D84" s="117"/>
      <c r="E84" s="5"/>
    </row>
    <row r="85" spans="1:8" x14ac:dyDescent="0.2">
      <c r="A85" s="3">
        <f t="shared" si="2"/>
        <v>68</v>
      </c>
      <c r="B85" s="2"/>
      <c r="C85" s="1" t="s">
        <v>79</v>
      </c>
      <c r="D85" s="117"/>
      <c r="E85" s="10"/>
    </row>
    <row r="86" spans="1:8" ht="10.8" thickBot="1" x14ac:dyDescent="0.25">
      <c r="A86" s="3">
        <f t="shared" si="2"/>
        <v>69</v>
      </c>
      <c r="B86" s="2"/>
      <c r="C86" s="1" t="s">
        <v>78</v>
      </c>
      <c r="D86" s="117"/>
      <c r="E86" s="9"/>
    </row>
    <row r="87" spans="1:8" ht="10.8" thickTop="1" x14ac:dyDescent="0.2">
      <c r="A87" s="3">
        <f t="shared" si="2"/>
        <v>70</v>
      </c>
      <c r="B87" s="8" t="s">
        <v>77</v>
      </c>
      <c r="C87" s="7"/>
      <c r="D87" s="120"/>
      <c r="E87" s="7"/>
    </row>
    <row r="88" spans="1:8" x14ac:dyDescent="0.2">
      <c r="A88" s="3">
        <f t="shared" si="2"/>
        <v>71</v>
      </c>
      <c r="B88" s="2"/>
      <c r="C88" s="113" t="s">
        <v>76</v>
      </c>
      <c r="D88" s="119"/>
      <c r="E88" s="7"/>
    </row>
    <row r="89" spans="1:8" x14ac:dyDescent="0.2">
      <c r="A89" s="3">
        <f t="shared" si="2"/>
        <v>72</v>
      </c>
      <c r="B89" s="2"/>
      <c r="C89" s="20" t="s">
        <v>66</v>
      </c>
      <c r="D89" s="118"/>
      <c r="E89" s="6"/>
    </row>
    <row r="90" spans="1:8" x14ac:dyDescent="0.2">
      <c r="A90" s="3">
        <f t="shared" si="2"/>
        <v>73</v>
      </c>
      <c r="B90" s="2"/>
      <c r="C90" s="20" t="s">
        <v>57</v>
      </c>
      <c r="D90" s="118"/>
      <c r="E90" s="6"/>
    </row>
    <row r="91" spans="1:8" x14ac:dyDescent="0.2">
      <c r="A91" s="3">
        <f t="shared" si="2"/>
        <v>74</v>
      </c>
      <c r="B91" s="2"/>
      <c r="C91" s="1" t="s">
        <v>75</v>
      </c>
      <c r="D91" s="117" t="s">
        <v>248</v>
      </c>
      <c r="E91" s="244">
        <f>'Plant-in-Service Allocations'!F18</f>
        <v>26727.537320369753</v>
      </c>
    </row>
    <row r="92" spans="1:8" x14ac:dyDescent="0.2">
      <c r="A92" s="3">
        <f t="shared" si="2"/>
        <v>75</v>
      </c>
      <c r="B92" s="2"/>
      <c r="C92" s="1" t="s">
        <v>74</v>
      </c>
      <c r="D92" s="121" t="s">
        <v>246</v>
      </c>
      <c r="E92" s="124">
        <v>5.1158669229439277E-2</v>
      </c>
    </row>
    <row r="93" spans="1:8" x14ac:dyDescent="0.2">
      <c r="A93" s="3">
        <f t="shared" si="2"/>
        <v>76</v>
      </c>
      <c r="B93" s="2"/>
      <c r="C93" s="20" t="s">
        <v>73</v>
      </c>
      <c r="D93" s="121"/>
      <c r="E93" s="6">
        <f>E91*E92</f>
        <v>1367.3452410902901</v>
      </c>
    </row>
    <row r="94" spans="1:8" x14ac:dyDescent="0.2">
      <c r="A94" s="3">
        <f t="shared" si="2"/>
        <v>77</v>
      </c>
      <c r="B94" s="2"/>
      <c r="C94" s="1" t="s">
        <v>72</v>
      </c>
      <c r="D94" s="121" t="s">
        <v>246</v>
      </c>
      <c r="E94" s="123">
        <f>'Adjusted Lamp Cost Allocations'!M199</f>
        <v>935.51408333333336</v>
      </c>
    </row>
    <row r="95" spans="1:8" x14ac:dyDescent="0.2">
      <c r="A95" s="3">
        <f t="shared" si="2"/>
        <v>78</v>
      </c>
      <c r="B95" s="2"/>
      <c r="C95" s="1" t="s">
        <v>62</v>
      </c>
      <c r="D95" s="117"/>
      <c r="E95" s="10">
        <f>E93/E94</f>
        <v>1.4615977091636052</v>
      </c>
    </row>
    <row r="96" spans="1:8" ht="10.8" thickBot="1" x14ac:dyDescent="0.25">
      <c r="A96" s="3">
        <f t="shared" si="2"/>
        <v>79</v>
      </c>
      <c r="B96" s="2"/>
      <c r="C96" s="1" t="s">
        <v>61</v>
      </c>
      <c r="D96" s="117"/>
      <c r="E96" s="9">
        <f>E95/12</f>
        <v>0.1217998090969671</v>
      </c>
    </row>
    <row r="97" spans="1:8" ht="10.8" thickTop="1" x14ac:dyDescent="0.2">
      <c r="A97" s="3">
        <f t="shared" ref="A97:A123" si="3">A96+1</f>
        <v>80</v>
      </c>
      <c r="B97" s="2"/>
      <c r="C97" s="1"/>
      <c r="D97" s="117"/>
    </row>
    <row r="98" spans="1:8" x14ac:dyDescent="0.2">
      <c r="A98" s="3">
        <f t="shared" si="3"/>
        <v>81</v>
      </c>
      <c r="B98" s="2"/>
      <c r="C98" s="113" t="s">
        <v>71</v>
      </c>
      <c r="D98" s="119"/>
      <c r="E98" s="7"/>
    </row>
    <row r="99" spans="1:8" x14ac:dyDescent="0.2">
      <c r="A99" s="3">
        <f t="shared" si="3"/>
        <v>82</v>
      </c>
      <c r="B99" s="2"/>
      <c r="C99" s="20" t="s">
        <v>66</v>
      </c>
      <c r="D99" s="118"/>
      <c r="E99" s="6"/>
    </row>
    <row r="100" spans="1:8" x14ac:dyDescent="0.2">
      <c r="A100" s="3">
        <f t="shared" si="3"/>
        <v>83</v>
      </c>
      <c r="B100" s="2"/>
      <c r="C100" s="20" t="s">
        <v>57</v>
      </c>
      <c r="D100" s="118"/>
      <c r="E100" s="6"/>
    </row>
    <row r="101" spans="1:8" x14ac:dyDescent="0.2">
      <c r="A101" s="3">
        <f t="shared" si="3"/>
        <v>84</v>
      </c>
      <c r="B101" s="2"/>
      <c r="C101" s="1" t="s">
        <v>56</v>
      </c>
      <c r="D101" s="117" t="s">
        <v>248</v>
      </c>
      <c r="E101" s="245">
        <f>E91</f>
        <v>26727.537320369753</v>
      </c>
      <c r="H101" s="12"/>
    </row>
    <row r="102" spans="1:8" x14ac:dyDescent="0.2">
      <c r="A102" s="3">
        <f t="shared" si="3"/>
        <v>85</v>
      </c>
      <c r="B102" s="2"/>
      <c r="C102" s="1" t="s">
        <v>70</v>
      </c>
      <c r="D102" s="121" t="s">
        <v>246</v>
      </c>
      <c r="E102" s="124">
        <v>0.86268146228042275</v>
      </c>
      <c r="H102" s="12"/>
    </row>
    <row r="103" spans="1:8" x14ac:dyDescent="0.2">
      <c r="A103" s="3">
        <f t="shared" si="3"/>
        <v>86</v>
      </c>
      <c r="B103" s="2"/>
      <c r="C103" s="20" t="s">
        <v>69</v>
      </c>
      <c r="D103" s="118"/>
      <c r="E103" s="6">
        <f>E101*E102</f>
        <v>23057.350978691149</v>
      </c>
      <c r="H103" s="12"/>
    </row>
    <row r="104" spans="1:8" x14ac:dyDescent="0.2">
      <c r="A104" s="3">
        <f t="shared" si="3"/>
        <v>87</v>
      </c>
      <c r="B104" s="2"/>
      <c r="C104" s="1" t="s">
        <v>68</v>
      </c>
      <c r="D104" s="121" t="s">
        <v>246</v>
      </c>
      <c r="E104" s="123">
        <f>SUM('Adjusted Lamp Cost Allocations'!M4:M139)</f>
        <v>12345.703</v>
      </c>
    </row>
    <row r="105" spans="1:8" x14ac:dyDescent="0.2">
      <c r="A105" s="3">
        <f t="shared" si="3"/>
        <v>88</v>
      </c>
      <c r="B105" s="2"/>
      <c r="C105" s="1" t="s">
        <v>62</v>
      </c>
      <c r="D105" s="117"/>
      <c r="E105" s="10">
        <f>E103/E104</f>
        <v>1.867641800445965</v>
      </c>
    </row>
    <row r="106" spans="1:8" ht="10.8" thickBot="1" x14ac:dyDescent="0.25">
      <c r="A106" s="3">
        <f t="shared" si="3"/>
        <v>89</v>
      </c>
      <c r="B106" s="2"/>
      <c r="C106" s="1" t="s">
        <v>61</v>
      </c>
      <c r="D106" s="117"/>
      <c r="E106" s="9">
        <f>E105/12</f>
        <v>0.15563681670383042</v>
      </c>
    </row>
    <row r="107" spans="1:8" ht="10.8" thickTop="1" x14ac:dyDescent="0.2">
      <c r="A107" s="3">
        <f t="shared" si="3"/>
        <v>90</v>
      </c>
      <c r="B107" s="2"/>
      <c r="C107" s="1"/>
      <c r="D107" s="117"/>
    </row>
    <row r="108" spans="1:8" x14ac:dyDescent="0.2">
      <c r="A108" s="3">
        <f t="shared" si="3"/>
        <v>91</v>
      </c>
      <c r="B108" s="2"/>
      <c r="C108" s="113" t="s">
        <v>67</v>
      </c>
      <c r="D108" s="119"/>
      <c r="E108" s="7"/>
    </row>
    <row r="109" spans="1:8" x14ac:dyDescent="0.2">
      <c r="A109" s="3">
        <f t="shared" si="3"/>
        <v>92</v>
      </c>
      <c r="B109" s="2"/>
      <c r="C109" s="20" t="s">
        <v>66</v>
      </c>
      <c r="D109" s="118"/>
      <c r="E109" s="6"/>
    </row>
    <row r="110" spans="1:8" x14ac:dyDescent="0.2">
      <c r="A110" s="3">
        <f t="shared" si="3"/>
        <v>93</v>
      </c>
      <c r="B110" s="2"/>
      <c r="C110" s="20" t="s">
        <v>57</v>
      </c>
      <c r="D110" s="118"/>
      <c r="E110" s="6"/>
    </row>
    <row r="111" spans="1:8" x14ac:dyDescent="0.2">
      <c r="A111" s="3">
        <f t="shared" si="3"/>
        <v>94</v>
      </c>
      <c r="B111" s="2"/>
      <c r="C111" s="1" t="s">
        <v>56</v>
      </c>
      <c r="D111" s="117" t="s">
        <v>248</v>
      </c>
      <c r="E111" s="245">
        <f>E101</f>
        <v>26727.537320369753</v>
      </c>
    </row>
    <row r="112" spans="1:8" x14ac:dyDescent="0.2">
      <c r="A112" s="3">
        <f t="shared" si="3"/>
        <v>95</v>
      </c>
      <c r="B112" s="2"/>
      <c r="C112" s="1" t="s">
        <v>65</v>
      </c>
      <c r="D112" s="121" t="s">
        <v>246</v>
      </c>
      <c r="E112" s="124">
        <v>8.6159868490137972E-2</v>
      </c>
    </row>
    <row r="113" spans="1:5" x14ac:dyDescent="0.2">
      <c r="A113" s="3">
        <f t="shared" si="3"/>
        <v>96</v>
      </c>
      <c r="B113" s="2"/>
      <c r="C113" s="20" t="s">
        <v>64</v>
      </c>
      <c r="D113" s="118"/>
      <c r="E113" s="6">
        <f>E111*E112</f>
        <v>2302.8411005883127</v>
      </c>
    </row>
    <row r="114" spans="1:5" x14ac:dyDescent="0.2">
      <c r="A114" s="3">
        <f t="shared" si="3"/>
        <v>97</v>
      </c>
      <c r="B114" s="2"/>
      <c r="C114" s="1" t="s">
        <v>63</v>
      </c>
      <c r="D114" s="121" t="s">
        <v>246</v>
      </c>
      <c r="E114" s="123">
        <f>SUM('Adjusted Lamp Cost Allocations'!M141:M197)</f>
        <v>1215.2350000000001</v>
      </c>
    </row>
    <row r="115" spans="1:5" x14ac:dyDescent="0.2">
      <c r="A115" s="3">
        <f t="shared" si="3"/>
        <v>98</v>
      </c>
      <c r="B115" s="2"/>
      <c r="C115" s="1" t="s">
        <v>62</v>
      </c>
      <c r="D115" s="117"/>
      <c r="E115" s="10">
        <f>E113/E114</f>
        <v>1.8949759516375948</v>
      </c>
    </row>
    <row r="116" spans="1:5" ht="10.8" thickBot="1" x14ac:dyDescent="0.25">
      <c r="A116" s="3">
        <f t="shared" si="3"/>
        <v>99</v>
      </c>
      <c r="B116" s="2"/>
      <c r="C116" s="1" t="s">
        <v>61</v>
      </c>
      <c r="D116" s="117"/>
      <c r="E116" s="9">
        <f>E115/12</f>
        <v>0.15791466263646622</v>
      </c>
    </row>
    <row r="117" spans="1:5" ht="10.8" thickTop="1" x14ac:dyDescent="0.2">
      <c r="A117" s="3">
        <f t="shared" si="3"/>
        <v>100</v>
      </c>
      <c r="B117" s="8" t="s">
        <v>60</v>
      </c>
      <c r="C117" s="7"/>
      <c r="D117" s="120"/>
      <c r="E117" s="7"/>
    </row>
    <row r="118" spans="1:5" x14ac:dyDescent="0.2">
      <c r="A118" s="3">
        <f t="shared" si="3"/>
        <v>101</v>
      </c>
      <c r="B118" s="2"/>
      <c r="C118" s="113" t="s">
        <v>59</v>
      </c>
      <c r="D118" s="119"/>
      <c r="E118" s="7"/>
    </row>
    <row r="119" spans="1:5" x14ac:dyDescent="0.2">
      <c r="A119" s="3">
        <f t="shared" si="3"/>
        <v>102</v>
      </c>
      <c r="B119" s="2"/>
      <c r="C119" s="20" t="s">
        <v>58</v>
      </c>
      <c r="D119" s="118"/>
      <c r="E119" s="6"/>
    </row>
    <row r="120" spans="1:5" x14ac:dyDescent="0.2">
      <c r="A120" s="3">
        <f t="shared" si="3"/>
        <v>103</v>
      </c>
      <c r="B120" s="2"/>
      <c r="C120" s="20" t="s">
        <v>57</v>
      </c>
      <c r="D120" s="118"/>
      <c r="E120" s="6"/>
    </row>
    <row r="121" spans="1:5" x14ac:dyDescent="0.2">
      <c r="A121" s="3">
        <f t="shared" si="3"/>
        <v>104</v>
      </c>
      <c r="B121" s="2"/>
      <c r="C121" s="1" t="s">
        <v>56</v>
      </c>
      <c r="D121" s="117" t="s">
        <v>248</v>
      </c>
      <c r="E121" s="245">
        <f>'Plant-in-Service Allocations'!F17</f>
        <v>6846.19501653307</v>
      </c>
    </row>
    <row r="122" spans="1:5" x14ac:dyDescent="0.2">
      <c r="A122" s="3">
        <f t="shared" si="3"/>
        <v>105</v>
      </c>
      <c r="B122" s="2"/>
      <c r="C122" s="1" t="s">
        <v>55</v>
      </c>
      <c r="D122" s="121" t="s">
        <v>246</v>
      </c>
      <c r="E122" s="123">
        <f>SUM('Adjusted Lamp Cost Allocations'!N4:N199)</f>
        <v>65151042.969999999</v>
      </c>
    </row>
    <row r="123" spans="1:5" ht="10.8" thickBot="1" x14ac:dyDescent="0.25">
      <c r="A123" s="3">
        <f t="shared" si="3"/>
        <v>106</v>
      </c>
      <c r="B123" s="2"/>
      <c r="C123" s="1" t="s">
        <v>54</v>
      </c>
      <c r="D123" s="117"/>
      <c r="E123" s="4">
        <f>E121/E122</f>
        <v>1.0508189438633434E-4</v>
      </c>
    </row>
    <row r="124" spans="1:5" ht="10.8" thickTop="1" x14ac:dyDescent="0.2"/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scale="73" fitToHeight="2" orientation="portrait" r:id="rId1"/>
  <headerFooter>
    <oddFooter>&amp;R&amp;F
&amp;A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Z205"/>
  <sheetViews>
    <sheetView zoomScaleNormal="100" workbookViewId="0">
      <pane xSplit="6" ySplit="2" topLeftCell="O12" activePane="bottomRight" state="frozen"/>
      <selection activeCell="J93" sqref="J93"/>
      <selection pane="topRight" activeCell="J93" sqref="J93"/>
      <selection pane="bottomLeft" activeCell="J93" sqref="J93"/>
      <selection pane="bottomRight" activeCell="Y15" sqref="Y15"/>
    </sheetView>
  </sheetViews>
  <sheetFormatPr defaultColWidth="9.109375" defaultRowHeight="10.199999999999999" x14ac:dyDescent="0.2"/>
  <cols>
    <col min="1" max="1" width="15.88671875" style="1" bestFit="1" customWidth="1"/>
    <col min="2" max="2" width="8.6640625" style="1" bestFit="1" customWidth="1"/>
    <col min="3" max="3" width="16.109375" style="21" bestFit="1" customWidth="1"/>
    <col min="4" max="4" width="13.109375" style="1" customWidth="1"/>
    <col min="5" max="5" width="12.109375" style="41" bestFit="1" customWidth="1"/>
    <col min="6" max="6" width="8.6640625" style="1" bestFit="1" customWidth="1"/>
    <col min="7" max="7" width="11" style="40" customWidth="1"/>
    <col min="8" max="8" width="12" style="39" customWidth="1"/>
    <col min="9" max="9" width="6.88671875" style="21" customWidth="1"/>
    <col min="10" max="10" width="9.88671875" style="1" customWidth="1"/>
    <col min="11" max="11" width="10.5546875" style="1" customWidth="1"/>
    <col min="12" max="12" width="12.88671875" style="34" bestFit="1" customWidth="1"/>
    <col min="13" max="13" width="10.44140625" style="38" customWidth="1"/>
    <col min="14" max="14" width="10.88671875" style="37" bestFit="1" customWidth="1"/>
    <col min="15" max="15" width="12.33203125" style="36" customWidth="1"/>
    <col min="16" max="16" width="12.33203125" style="35" customWidth="1"/>
    <col min="17" max="19" width="9.33203125" style="35" customWidth="1"/>
    <col min="20" max="20" width="9.88671875" style="35" customWidth="1"/>
    <col min="21" max="24" width="9.33203125" style="34" customWidth="1"/>
    <col min="25" max="25" width="10.5546875" style="34" bestFit="1" customWidth="1"/>
    <col min="26" max="26" width="9.33203125" style="34" customWidth="1"/>
    <col min="27" max="16384" width="9.109375" style="1"/>
  </cols>
  <sheetData>
    <row r="1" spans="1:26" ht="15" thickBot="1" x14ac:dyDescent="0.35">
      <c r="A1" s="292" t="s">
        <v>253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4"/>
      <c r="P1" s="295" t="s">
        <v>249</v>
      </c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6" s="46" customFormat="1" ht="61.2" x14ac:dyDescent="0.2">
      <c r="A2" s="161" t="s">
        <v>31</v>
      </c>
      <c r="B2" s="162"/>
      <c r="C2" s="162" t="s">
        <v>30</v>
      </c>
      <c r="D2" s="162" t="s">
        <v>180</v>
      </c>
      <c r="E2" s="162" t="s">
        <v>29</v>
      </c>
      <c r="F2" s="162" t="s">
        <v>129</v>
      </c>
      <c r="G2" s="163" t="s">
        <v>179</v>
      </c>
      <c r="H2" s="164" t="s">
        <v>128</v>
      </c>
      <c r="I2" s="162" t="s">
        <v>178</v>
      </c>
      <c r="J2" s="162" t="s">
        <v>177</v>
      </c>
      <c r="K2" s="162" t="s">
        <v>176</v>
      </c>
      <c r="L2" s="164" t="s">
        <v>175</v>
      </c>
      <c r="M2" s="165" t="s">
        <v>174</v>
      </c>
      <c r="N2" s="163" t="s">
        <v>173</v>
      </c>
      <c r="O2" s="166" t="s">
        <v>172</v>
      </c>
      <c r="P2" s="193" t="s">
        <v>127</v>
      </c>
      <c r="Q2" s="194" t="s">
        <v>171</v>
      </c>
      <c r="R2" s="194" t="s">
        <v>170</v>
      </c>
      <c r="S2" s="194" t="s">
        <v>130</v>
      </c>
      <c r="T2" s="194" t="s">
        <v>169</v>
      </c>
      <c r="U2" s="195" t="s">
        <v>168</v>
      </c>
      <c r="V2" s="195" t="s">
        <v>167</v>
      </c>
      <c r="W2" s="195" t="s">
        <v>166</v>
      </c>
      <c r="X2" s="195" t="s">
        <v>165</v>
      </c>
      <c r="Y2" s="195" t="s">
        <v>164</v>
      </c>
      <c r="Z2" s="196" t="s">
        <v>163</v>
      </c>
    </row>
    <row r="3" spans="1:26" x14ac:dyDescent="0.2">
      <c r="A3" s="167" t="s">
        <v>162</v>
      </c>
      <c r="B3" s="125"/>
      <c r="C3" s="126"/>
      <c r="D3" s="127"/>
      <c r="E3" s="128"/>
      <c r="F3" s="127"/>
      <c r="G3" s="212"/>
      <c r="H3" s="129"/>
      <c r="I3" s="126"/>
      <c r="J3" s="218"/>
      <c r="K3" s="130"/>
      <c r="L3" s="129"/>
      <c r="M3" s="131"/>
      <c r="N3" s="222"/>
      <c r="O3" s="168"/>
      <c r="P3" s="203"/>
      <c r="Q3" s="207"/>
      <c r="R3" s="207"/>
      <c r="S3" s="207"/>
      <c r="T3" s="207"/>
      <c r="U3" s="43"/>
      <c r="V3" s="43"/>
      <c r="W3" s="43"/>
      <c r="X3" s="43"/>
      <c r="Y3" s="43"/>
      <c r="Z3" s="197"/>
    </row>
    <row r="4" spans="1:26" ht="9.6" customHeight="1" x14ac:dyDescent="0.2">
      <c r="A4" s="169" t="s">
        <v>161</v>
      </c>
      <c r="B4" s="132" t="s">
        <v>158</v>
      </c>
      <c r="C4" s="133" t="s">
        <v>181</v>
      </c>
      <c r="D4" s="133" t="s">
        <v>182</v>
      </c>
      <c r="E4" s="133">
        <v>22</v>
      </c>
      <c r="F4" s="133" t="s">
        <v>27</v>
      </c>
      <c r="G4" s="213">
        <v>59</v>
      </c>
      <c r="H4" s="135" t="s">
        <v>138</v>
      </c>
      <c r="I4" s="136" t="s">
        <v>137</v>
      </c>
      <c r="J4" s="219">
        <v>0</v>
      </c>
      <c r="K4" s="138">
        <f>IF(I4="Yes",G4*J4,0)</f>
        <v>0</v>
      </c>
      <c r="L4" s="135">
        <f>IF(F4="Company", G4*H4,0)</f>
        <v>0</v>
      </c>
      <c r="M4" s="139">
        <f>E4*G4/1000</f>
        <v>1.298</v>
      </c>
      <c r="N4" s="223">
        <v>5451.5999999999995</v>
      </c>
      <c r="O4" s="170">
        <f>E4*4200/1000/12</f>
        <v>7.7</v>
      </c>
      <c r="P4" s="204">
        <f>'Unitized Lighting'!E$21</f>
        <v>6.1581099210352255E-4</v>
      </c>
      <c r="Q4" s="208">
        <f>'Unitized Lighting'!$E$45</f>
        <v>0</v>
      </c>
      <c r="R4" s="208">
        <f>'Unitized Lighting'!E$74</f>
        <v>0</v>
      </c>
      <c r="S4" s="208">
        <f>'Unitized Lighting'!E$106</f>
        <v>0.15563681670383042</v>
      </c>
      <c r="T4" s="208">
        <f>'Unitized Lighting'!$E$123</f>
        <v>1.0508189438633434E-4</v>
      </c>
      <c r="U4" s="34">
        <f>IF(F4="Company", H4*P4, 0)</f>
        <v>0</v>
      </c>
      <c r="V4" s="34">
        <f>IF(I4="yes", J4*Q4, 0)</f>
        <v>0</v>
      </c>
      <c r="W4" s="34">
        <f>R4*O4</f>
        <v>0</v>
      </c>
      <c r="X4" s="34">
        <f>E4*S4/1000</f>
        <v>3.4240099674842693E-3</v>
      </c>
      <c r="Y4" s="34">
        <f>O4*T4</f>
        <v>8.0913058677477441E-4</v>
      </c>
      <c r="Z4" s="198">
        <f>SUM(U4:Y4)</f>
        <v>4.2331405542590439E-3</v>
      </c>
    </row>
    <row r="5" spans="1:26" x14ac:dyDescent="0.2">
      <c r="A5" s="171"/>
      <c r="B5" s="140"/>
      <c r="C5" s="133"/>
      <c r="D5" s="133"/>
      <c r="E5" s="141"/>
      <c r="F5" s="142"/>
      <c r="G5" s="214">
        <v>0</v>
      </c>
      <c r="H5" s="135"/>
      <c r="I5" s="136"/>
      <c r="J5" s="219"/>
      <c r="K5" s="143"/>
      <c r="L5" s="144"/>
      <c r="M5" s="139"/>
      <c r="N5" s="224">
        <v>0</v>
      </c>
      <c r="O5" s="172"/>
      <c r="P5" s="204"/>
      <c r="Q5" s="208"/>
      <c r="R5" s="208"/>
      <c r="S5" s="208"/>
      <c r="T5" s="208"/>
      <c r="Z5" s="198"/>
    </row>
    <row r="6" spans="1:26" x14ac:dyDescent="0.2">
      <c r="A6" s="173" t="s">
        <v>160</v>
      </c>
      <c r="B6" s="132"/>
      <c r="C6" s="133" t="s">
        <v>183</v>
      </c>
      <c r="D6" s="133" t="s">
        <v>184</v>
      </c>
      <c r="E6" s="133">
        <v>100</v>
      </c>
      <c r="F6" s="133" t="s">
        <v>27</v>
      </c>
      <c r="G6" s="213">
        <v>2</v>
      </c>
      <c r="H6" s="135" t="s">
        <v>138</v>
      </c>
      <c r="I6" s="136" t="s">
        <v>131</v>
      </c>
      <c r="J6" s="219">
        <v>1</v>
      </c>
      <c r="K6" s="138">
        <f>IF(I6="Yes",G6*J6,0)</f>
        <v>2</v>
      </c>
      <c r="L6" s="135">
        <f>IF(F6="Company", G6*H6,0)</f>
        <v>0</v>
      </c>
      <c r="M6" s="139">
        <f>E6*G6/1000</f>
        <v>0.2</v>
      </c>
      <c r="N6" s="223">
        <v>840</v>
      </c>
      <c r="O6" s="170">
        <f>E6*4200/1000/12</f>
        <v>35</v>
      </c>
      <c r="P6" s="204">
        <f>'Unitized Lighting'!E$21</f>
        <v>6.1581099210352255E-4</v>
      </c>
      <c r="Q6" s="208">
        <f>'Unitized Lighting'!$E$45</f>
        <v>0</v>
      </c>
      <c r="R6" s="208">
        <f>'Unitized Lighting'!E$74</f>
        <v>0</v>
      </c>
      <c r="S6" s="208">
        <f>'Unitized Lighting'!E$106</f>
        <v>0.15563681670383042</v>
      </c>
      <c r="T6" s="208">
        <f>'Unitized Lighting'!$E$123</f>
        <v>1.0508189438633434E-4</v>
      </c>
      <c r="U6" s="34">
        <f>IF(F6="Company", H6*P6, 0)</f>
        <v>0</v>
      </c>
      <c r="V6" s="34">
        <f>IF(I6="yes", J6*Q6, 0)</f>
        <v>0</v>
      </c>
      <c r="W6" s="34">
        <f>R6*O6</f>
        <v>0</v>
      </c>
      <c r="X6" s="34">
        <f>E6*S6/1000</f>
        <v>1.5563681670383042E-2</v>
      </c>
      <c r="Y6" s="34">
        <f>O6*T6</f>
        <v>3.6778663035217018E-3</v>
      </c>
      <c r="Z6" s="198">
        <f>SUM(U6:Y6)</f>
        <v>1.9241547973904743E-2</v>
      </c>
    </row>
    <row r="7" spans="1:26" x14ac:dyDescent="0.2">
      <c r="A7" s="173" t="str">
        <f>+A6</f>
        <v>50E-A</v>
      </c>
      <c r="B7" s="132"/>
      <c r="C7" s="133" t="s">
        <v>183</v>
      </c>
      <c r="D7" s="133" t="s">
        <v>185</v>
      </c>
      <c r="E7" s="133">
        <v>175</v>
      </c>
      <c r="F7" s="133" t="s">
        <v>27</v>
      </c>
      <c r="G7" s="213">
        <v>19</v>
      </c>
      <c r="H7" s="135" t="s">
        <v>138</v>
      </c>
      <c r="I7" s="136" t="s">
        <v>131</v>
      </c>
      <c r="J7" s="219">
        <v>1</v>
      </c>
      <c r="K7" s="138">
        <f>IF(I7="Yes",G7*J7,0)</f>
        <v>19</v>
      </c>
      <c r="L7" s="135">
        <f>IF(F7="Company", G7*H7,0)</f>
        <v>0</v>
      </c>
      <c r="M7" s="139">
        <f>E7*G7/1000</f>
        <v>3.3250000000000002</v>
      </c>
      <c r="N7" s="223">
        <v>13965</v>
      </c>
      <c r="O7" s="170">
        <f>E7*4200/1000/12</f>
        <v>61.25</v>
      </c>
      <c r="P7" s="204">
        <f>'Unitized Lighting'!E$21</f>
        <v>6.1581099210352255E-4</v>
      </c>
      <c r="Q7" s="208">
        <f>'Unitized Lighting'!$E$45</f>
        <v>0</v>
      </c>
      <c r="R7" s="208">
        <f>'Unitized Lighting'!E$74</f>
        <v>0</v>
      </c>
      <c r="S7" s="208">
        <f>'Unitized Lighting'!E$106</f>
        <v>0.15563681670383042</v>
      </c>
      <c r="T7" s="208">
        <f>'Unitized Lighting'!$E$123</f>
        <v>1.0508189438633434E-4</v>
      </c>
      <c r="U7" s="34">
        <f>IF(F7="Company", H7*P7, 0)</f>
        <v>0</v>
      </c>
      <c r="V7" s="34">
        <f>IF(I7="yes", J7*Q7, 0)</f>
        <v>0</v>
      </c>
      <c r="W7" s="34">
        <f>R7*O7</f>
        <v>0</v>
      </c>
      <c r="X7" s="34">
        <f>E7*S7/1000</f>
        <v>2.7236442923170321E-2</v>
      </c>
      <c r="Y7" s="34">
        <f>O7*T7</f>
        <v>6.436266031162978E-3</v>
      </c>
      <c r="Z7" s="198">
        <f>SUM(U7:Y7)</f>
        <v>3.3672708954333302E-2</v>
      </c>
    </row>
    <row r="8" spans="1:26" x14ac:dyDescent="0.2">
      <c r="A8" s="173" t="str">
        <f>+A7</f>
        <v>50E-A</v>
      </c>
      <c r="B8" s="132"/>
      <c r="C8" s="133" t="s">
        <v>183</v>
      </c>
      <c r="D8" s="133" t="s">
        <v>186</v>
      </c>
      <c r="E8" s="133">
        <v>400</v>
      </c>
      <c r="F8" s="133" t="s">
        <v>27</v>
      </c>
      <c r="G8" s="213">
        <v>20</v>
      </c>
      <c r="H8" s="135" t="s">
        <v>138</v>
      </c>
      <c r="I8" s="136" t="s">
        <v>131</v>
      </c>
      <c r="J8" s="219">
        <v>1</v>
      </c>
      <c r="K8" s="138">
        <f>IF(I8="Yes",G8*J8,0)</f>
        <v>20</v>
      </c>
      <c r="L8" s="135">
        <f>IF(F8="Company", G8*H8,0)</f>
        <v>0</v>
      </c>
      <c r="M8" s="139">
        <f>E8*G8/1000</f>
        <v>8</v>
      </c>
      <c r="N8" s="223">
        <v>33600</v>
      </c>
      <c r="O8" s="170">
        <f>E8*4200/1000/12</f>
        <v>140</v>
      </c>
      <c r="P8" s="204">
        <f>'Unitized Lighting'!E$21</f>
        <v>6.1581099210352255E-4</v>
      </c>
      <c r="Q8" s="208">
        <f>'Unitized Lighting'!$E$45</f>
        <v>0</v>
      </c>
      <c r="R8" s="208">
        <f>'Unitized Lighting'!E$74</f>
        <v>0</v>
      </c>
      <c r="S8" s="208">
        <f>'Unitized Lighting'!E$106</f>
        <v>0.15563681670383042</v>
      </c>
      <c r="T8" s="208">
        <f>'Unitized Lighting'!$E$123</f>
        <v>1.0508189438633434E-4</v>
      </c>
      <c r="U8" s="34">
        <f>IF(F8="Company", H8*P8, 0)</f>
        <v>0</v>
      </c>
      <c r="V8" s="34">
        <f>IF(I8="yes", J8*Q8, 0)</f>
        <v>0</v>
      </c>
      <c r="W8" s="34">
        <f>R8*O8</f>
        <v>0</v>
      </c>
      <c r="X8" s="34">
        <f>E8*S8/1000</f>
        <v>6.2254726681532167E-2</v>
      </c>
      <c r="Y8" s="34">
        <f>O8*T8</f>
        <v>1.4711465214086807E-2</v>
      </c>
      <c r="Z8" s="198">
        <f>SUM(U8:Y8)</f>
        <v>7.6966191895618971E-2</v>
      </c>
    </row>
    <row r="9" spans="1:26" x14ac:dyDescent="0.2">
      <c r="A9" s="173"/>
      <c r="B9" s="132"/>
      <c r="C9" s="145"/>
      <c r="D9" s="146"/>
      <c r="E9" s="147"/>
      <c r="F9" s="148"/>
      <c r="G9" s="214">
        <v>0</v>
      </c>
      <c r="H9" s="135"/>
      <c r="I9" s="136"/>
      <c r="J9" s="219"/>
      <c r="K9" s="149"/>
      <c r="L9" s="135"/>
      <c r="M9" s="139"/>
      <c r="N9" s="223">
        <v>0</v>
      </c>
      <c r="O9" s="174"/>
      <c r="P9" s="204"/>
      <c r="Q9" s="208"/>
      <c r="R9" s="208"/>
      <c r="S9" s="208"/>
      <c r="T9" s="208"/>
      <c r="Z9" s="198"/>
    </row>
    <row r="10" spans="1:26" x14ac:dyDescent="0.2">
      <c r="A10" s="173" t="s">
        <v>159</v>
      </c>
      <c r="B10" s="132" t="s">
        <v>158</v>
      </c>
      <c r="C10" s="133" t="s">
        <v>183</v>
      </c>
      <c r="D10" s="133" t="s">
        <v>184</v>
      </c>
      <c r="E10" s="133">
        <v>100</v>
      </c>
      <c r="F10" s="133" t="s">
        <v>27</v>
      </c>
      <c r="G10" s="213">
        <v>0</v>
      </c>
      <c r="H10" s="135" t="s">
        <v>138</v>
      </c>
      <c r="I10" s="136" t="s">
        <v>137</v>
      </c>
      <c r="J10" s="219">
        <v>1</v>
      </c>
      <c r="K10" s="138">
        <f>IF(I10="Yes",G10*J10,0)</f>
        <v>0</v>
      </c>
      <c r="L10" s="135">
        <f>IF(F10="Company", G10*H10,0)</f>
        <v>0</v>
      </c>
      <c r="M10" s="139">
        <f>E10*G10/1000</f>
        <v>0</v>
      </c>
      <c r="N10" s="223">
        <v>0</v>
      </c>
      <c r="O10" s="170">
        <f>E10*4200/1000/12</f>
        <v>35</v>
      </c>
      <c r="P10" s="204">
        <f>'Unitized Lighting'!E$21</f>
        <v>6.1581099210352255E-4</v>
      </c>
      <c r="Q10" s="208">
        <f>'Unitized Lighting'!$E$45</f>
        <v>0</v>
      </c>
      <c r="R10" s="208">
        <f>'Unitized Lighting'!E$74</f>
        <v>0</v>
      </c>
      <c r="S10" s="208">
        <f>'Unitized Lighting'!E$106</f>
        <v>0.15563681670383042</v>
      </c>
      <c r="T10" s="208">
        <f>'Unitized Lighting'!$E$123</f>
        <v>1.0508189438633434E-4</v>
      </c>
      <c r="U10" s="34">
        <f>IF(F10="Company", H10*P10, 0)</f>
        <v>0</v>
      </c>
      <c r="V10" s="34">
        <f>IF(I10="yes", J10*Q10, 0)</f>
        <v>0</v>
      </c>
      <c r="W10" s="34">
        <f>R10*O10</f>
        <v>0</v>
      </c>
      <c r="X10" s="34">
        <f>E10*S10/1000</f>
        <v>1.5563681670383042E-2</v>
      </c>
      <c r="Y10" s="34">
        <f>O10*T10</f>
        <v>3.6778663035217018E-3</v>
      </c>
      <c r="Z10" s="198">
        <f>SUM(U10:Y10)</f>
        <v>1.9241547973904743E-2</v>
      </c>
    </row>
    <row r="11" spans="1:26" x14ac:dyDescent="0.2">
      <c r="A11" s="173" t="str">
        <f>+A10</f>
        <v>50E-B</v>
      </c>
      <c r="B11" s="132" t="s">
        <v>158</v>
      </c>
      <c r="C11" s="133" t="s">
        <v>183</v>
      </c>
      <c r="D11" s="133" t="s">
        <v>185</v>
      </c>
      <c r="E11" s="133">
        <v>175</v>
      </c>
      <c r="F11" s="133" t="s">
        <v>27</v>
      </c>
      <c r="G11" s="213">
        <v>1</v>
      </c>
      <c r="H11" s="135" t="s">
        <v>138</v>
      </c>
      <c r="I11" s="136" t="s">
        <v>137</v>
      </c>
      <c r="J11" s="219">
        <v>1</v>
      </c>
      <c r="K11" s="138">
        <f>IF(I11="Yes",G11*J11,0)</f>
        <v>0</v>
      </c>
      <c r="L11" s="135">
        <f>IF(F11="Company", G11*H11,0)</f>
        <v>0</v>
      </c>
      <c r="M11" s="139">
        <f>E11*G11/1000</f>
        <v>0.17499999999999999</v>
      </c>
      <c r="N11" s="223">
        <v>735</v>
      </c>
      <c r="O11" s="170">
        <f>E11*4200/1000/12</f>
        <v>61.25</v>
      </c>
      <c r="P11" s="204">
        <f>'Unitized Lighting'!E$21</f>
        <v>6.1581099210352255E-4</v>
      </c>
      <c r="Q11" s="208">
        <f>'Unitized Lighting'!$E$45</f>
        <v>0</v>
      </c>
      <c r="R11" s="208">
        <f>'Unitized Lighting'!E$74</f>
        <v>0</v>
      </c>
      <c r="S11" s="208">
        <f>'Unitized Lighting'!E$106</f>
        <v>0.15563681670383042</v>
      </c>
      <c r="T11" s="208">
        <f>'Unitized Lighting'!$E$123</f>
        <v>1.0508189438633434E-4</v>
      </c>
      <c r="U11" s="34">
        <f>IF(F11="Company", H11*P11, 0)</f>
        <v>0</v>
      </c>
      <c r="V11" s="34">
        <f>IF(I11="yes", J11*Q11, 0)</f>
        <v>0</v>
      </c>
      <c r="W11" s="34">
        <f>R11*O11</f>
        <v>0</v>
      </c>
      <c r="X11" s="34">
        <f>E11*S11/1000</f>
        <v>2.7236442923170321E-2</v>
      </c>
      <c r="Y11" s="34">
        <f>O11*T11</f>
        <v>6.436266031162978E-3</v>
      </c>
      <c r="Z11" s="198">
        <f>SUM(U11:Y11)</f>
        <v>3.3672708954333302E-2</v>
      </c>
    </row>
    <row r="12" spans="1:26" x14ac:dyDescent="0.2">
      <c r="A12" s="173" t="str">
        <f>+A11</f>
        <v>50E-B</v>
      </c>
      <c r="B12" s="132" t="s">
        <v>158</v>
      </c>
      <c r="C12" s="133" t="s">
        <v>183</v>
      </c>
      <c r="D12" s="133" t="s">
        <v>186</v>
      </c>
      <c r="E12" s="133">
        <v>400</v>
      </c>
      <c r="F12" s="133" t="s">
        <v>27</v>
      </c>
      <c r="G12" s="213">
        <v>0</v>
      </c>
      <c r="H12" s="135" t="s">
        <v>138</v>
      </c>
      <c r="I12" s="136" t="s">
        <v>137</v>
      </c>
      <c r="J12" s="219">
        <v>1</v>
      </c>
      <c r="K12" s="138">
        <f>IF(I12="Yes",G12*J12,0)</f>
        <v>0</v>
      </c>
      <c r="L12" s="135">
        <f>IF(F12="Company", G12*H12,0)</f>
        <v>0</v>
      </c>
      <c r="M12" s="139">
        <f>E12*G12/1000</f>
        <v>0</v>
      </c>
      <c r="N12" s="223">
        <v>0</v>
      </c>
      <c r="O12" s="170">
        <f>E12*4200/1000/12</f>
        <v>140</v>
      </c>
      <c r="P12" s="204">
        <f>'Unitized Lighting'!E$21</f>
        <v>6.1581099210352255E-4</v>
      </c>
      <c r="Q12" s="208">
        <f>'Unitized Lighting'!$E$45</f>
        <v>0</v>
      </c>
      <c r="R12" s="208">
        <f>'Unitized Lighting'!E$74</f>
        <v>0</v>
      </c>
      <c r="S12" s="208">
        <f>'Unitized Lighting'!E$106</f>
        <v>0.15563681670383042</v>
      </c>
      <c r="T12" s="208">
        <f>'Unitized Lighting'!$E$123</f>
        <v>1.0508189438633434E-4</v>
      </c>
      <c r="U12" s="34">
        <f>IF(F12="Company", H12*P12, 0)</f>
        <v>0</v>
      </c>
      <c r="V12" s="34">
        <f>IF(I12="yes", J12*Q12, 0)</f>
        <v>0</v>
      </c>
      <c r="W12" s="34">
        <f>R12*O12</f>
        <v>0</v>
      </c>
      <c r="X12" s="34">
        <f>E12*S12/1000</f>
        <v>6.2254726681532167E-2</v>
      </c>
      <c r="Y12" s="34">
        <f>O12*T12</f>
        <v>1.4711465214086807E-2</v>
      </c>
      <c r="Z12" s="198">
        <f>SUM(U12:Y12)</f>
        <v>7.6966191895618971E-2</v>
      </c>
    </row>
    <row r="13" spans="1:26" x14ac:dyDescent="0.2">
      <c r="A13" s="173" t="str">
        <f>+A12</f>
        <v>50E-B</v>
      </c>
      <c r="B13" s="132" t="s">
        <v>158</v>
      </c>
      <c r="C13" s="133" t="s">
        <v>183</v>
      </c>
      <c r="D13" s="133" t="s">
        <v>187</v>
      </c>
      <c r="E13" s="133">
        <v>700</v>
      </c>
      <c r="F13" s="133" t="s">
        <v>27</v>
      </c>
      <c r="G13" s="213">
        <v>0</v>
      </c>
      <c r="H13" s="135" t="s">
        <v>138</v>
      </c>
      <c r="I13" s="136" t="s">
        <v>137</v>
      </c>
      <c r="J13" s="219">
        <v>1</v>
      </c>
      <c r="K13" s="138">
        <f>IF(I13="Yes",G13*J13,0)</f>
        <v>0</v>
      </c>
      <c r="L13" s="135">
        <f>IF(F13="Company", G13*H13,0)</f>
        <v>0</v>
      </c>
      <c r="M13" s="139">
        <f>E13*G13/1000</f>
        <v>0</v>
      </c>
      <c r="N13" s="223">
        <v>0</v>
      </c>
      <c r="O13" s="170">
        <f>E13*4200/1000/12</f>
        <v>245</v>
      </c>
      <c r="P13" s="204">
        <f>'Unitized Lighting'!E$21</f>
        <v>6.1581099210352255E-4</v>
      </c>
      <c r="Q13" s="208">
        <f>'Unitized Lighting'!$E$45</f>
        <v>0</v>
      </c>
      <c r="R13" s="208">
        <f>'Unitized Lighting'!E$74</f>
        <v>0</v>
      </c>
      <c r="S13" s="208">
        <f>'Unitized Lighting'!E$106</f>
        <v>0.15563681670383042</v>
      </c>
      <c r="T13" s="208">
        <f>'Unitized Lighting'!$E$123</f>
        <v>1.0508189438633434E-4</v>
      </c>
      <c r="U13" s="34">
        <f>IF(F13="Company", H13*P13, 0)</f>
        <v>0</v>
      </c>
      <c r="V13" s="34">
        <f>IF(I13="yes", J13*Q13, 0)</f>
        <v>0</v>
      </c>
      <c r="W13" s="34">
        <f>R13*O13</f>
        <v>0</v>
      </c>
      <c r="X13" s="34">
        <f>E13*S13/1000</f>
        <v>0.10894577169268128</v>
      </c>
      <c r="Y13" s="34">
        <f>O13*T13</f>
        <v>2.5745064124651912E-2</v>
      </c>
      <c r="Z13" s="198">
        <f>SUM(U13:Y13)</f>
        <v>0.13469083581733321</v>
      </c>
    </row>
    <row r="14" spans="1:26" x14ac:dyDescent="0.2">
      <c r="A14" s="167" t="s">
        <v>157</v>
      </c>
      <c r="B14" s="125"/>
      <c r="C14" s="126"/>
      <c r="D14" s="127"/>
      <c r="E14" s="128"/>
      <c r="F14" s="127"/>
      <c r="G14" s="212"/>
      <c r="H14" s="129"/>
      <c r="I14" s="126"/>
      <c r="J14" s="218"/>
      <c r="K14" s="150"/>
      <c r="L14" s="129"/>
      <c r="M14" s="131"/>
      <c r="N14" s="222"/>
      <c r="O14" s="168"/>
      <c r="P14" s="205"/>
      <c r="Q14" s="209"/>
      <c r="R14" s="209"/>
      <c r="S14" s="209"/>
      <c r="T14" s="209"/>
      <c r="U14" s="44"/>
      <c r="V14" s="43"/>
      <c r="W14" s="43"/>
      <c r="X14" s="43"/>
      <c r="Y14" s="43"/>
      <c r="Z14" s="197"/>
    </row>
    <row r="15" spans="1:26" x14ac:dyDescent="0.2">
      <c r="A15" s="173" t="s">
        <v>156</v>
      </c>
      <c r="B15" s="255"/>
      <c r="C15" s="133" t="s">
        <v>188</v>
      </c>
      <c r="D15" s="133" t="s">
        <v>251</v>
      </c>
      <c r="E15" s="133">
        <v>15</v>
      </c>
      <c r="F15" s="133" t="s">
        <v>27</v>
      </c>
      <c r="G15" s="213">
        <v>0</v>
      </c>
      <c r="H15" s="135" t="s">
        <v>138</v>
      </c>
      <c r="I15" s="136" t="s">
        <v>137</v>
      </c>
      <c r="J15" s="219">
        <v>0.2</v>
      </c>
      <c r="K15" s="138">
        <f t="shared" ref="K15:K24" si="0">IF(I15="Yes",G15*J15,0)</f>
        <v>0</v>
      </c>
      <c r="L15" s="135">
        <f t="shared" ref="L15:L24" si="1">IF(F15="Company", G15*H15,0)</f>
        <v>0</v>
      </c>
      <c r="M15" s="139">
        <f t="shared" ref="M15:M24" si="2">E15*G15/1000</f>
        <v>0</v>
      </c>
      <c r="N15" s="223">
        <v>0</v>
      </c>
      <c r="O15" s="170">
        <f t="shared" ref="O15:O24" si="3">E15*4200/1000/12</f>
        <v>5.25</v>
      </c>
      <c r="P15" s="204">
        <f>'Unitized Lighting'!E$21</f>
        <v>6.1581099210352255E-4</v>
      </c>
      <c r="Q15" s="208">
        <f>'Unitized Lighting'!$E$45</f>
        <v>0</v>
      </c>
      <c r="R15" s="208">
        <f>'Unitized Lighting'!E$74</f>
        <v>0</v>
      </c>
      <c r="S15" s="208">
        <f>'Unitized Lighting'!E$106</f>
        <v>0.15563681670383042</v>
      </c>
      <c r="T15" s="208">
        <f>'Unitized Lighting'!$E$123</f>
        <v>1.0508189438633434E-4</v>
      </c>
      <c r="U15" s="34">
        <f t="shared" ref="U15:U24" si="4">IF(F15="Company", H15*P15, 0)</f>
        <v>0</v>
      </c>
      <c r="V15" s="34">
        <f t="shared" ref="V15:V24" si="5">IF(I15="yes", J15*Q15, 0)</f>
        <v>0</v>
      </c>
      <c r="W15" s="34">
        <f t="shared" ref="W15:W24" si="6">R15*O15</f>
        <v>0</v>
      </c>
      <c r="X15" s="34">
        <f t="shared" ref="X15:X24" si="7">E15*S15/1000</f>
        <v>2.3345522505574564E-3</v>
      </c>
      <c r="Y15" s="279">
        <f>O15*T15</f>
        <v>5.5167994552825532E-4</v>
      </c>
      <c r="Z15" s="198">
        <f t="shared" ref="Z15:Z24" si="8">SUM(U15:Y15)</f>
        <v>2.8862321960857118E-3</v>
      </c>
    </row>
    <row r="16" spans="1:26" x14ac:dyDescent="0.2">
      <c r="A16" s="173" t="s">
        <v>156</v>
      </c>
      <c r="B16" s="132"/>
      <c r="C16" s="133" t="s">
        <v>188</v>
      </c>
      <c r="D16" s="133" t="s">
        <v>189</v>
      </c>
      <c r="E16" s="133">
        <v>45</v>
      </c>
      <c r="F16" s="133" t="s">
        <v>27</v>
      </c>
      <c r="G16" s="213">
        <v>4351</v>
      </c>
      <c r="H16" s="135" t="s">
        <v>138</v>
      </c>
      <c r="I16" s="136" t="s">
        <v>137</v>
      </c>
      <c r="J16" s="219">
        <v>0.2</v>
      </c>
      <c r="K16" s="138">
        <f t="shared" si="0"/>
        <v>0</v>
      </c>
      <c r="L16" s="135">
        <f t="shared" si="1"/>
        <v>0</v>
      </c>
      <c r="M16" s="139">
        <f t="shared" si="2"/>
        <v>195.79499999999999</v>
      </c>
      <c r="N16" s="223">
        <v>822339</v>
      </c>
      <c r="O16" s="170">
        <f t="shared" si="3"/>
        <v>15.75</v>
      </c>
      <c r="P16" s="204">
        <f>'Unitized Lighting'!E$21</f>
        <v>6.1581099210352255E-4</v>
      </c>
      <c r="Q16" s="208">
        <f>'Unitized Lighting'!$E$45</f>
        <v>0</v>
      </c>
      <c r="R16" s="208">
        <f>'Unitized Lighting'!E$74</f>
        <v>0</v>
      </c>
      <c r="S16" s="208">
        <f>'Unitized Lighting'!E$106</f>
        <v>0.15563681670383042</v>
      </c>
      <c r="T16" s="208">
        <f>'Unitized Lighting'!$E$123</f>
        <v>1.0508189438633434E-4</v>
      </c>
      <c r="U16" s="34">
        <f t="shared" si="4"/>
        <v>0</v>
      </c>
      <c r="V16" s="34">
        <f t="shared" si="5"/>
        <v>0</v>
      </c>
      <c r="W16" s="34">
        <f t="shared" si="6"/>
        <v>0</v>
      </c>
      <c r="X16" s="34">
        <f t="shared" si="7"/>
        <v>7.0036567516723689E-3</v>
      </c>
      <c r="Y16" s="34">
        <f t="shared" ref="Y16:Y24" si="9">O16*T16</f>
        <v>1.6550398365847659E-3</v>
      </c>
      <c r="Z16" s="198">
        <f t="shared" si="8"/>
        <v>8.6586965882571344E-3</v>
      </c>
    </row>
    <row r="17" spans="1:26" x14ac:dyDescent="0.2">
      <c r="A17" s="173" t="s">
        <v>156</v>
      </c>
      <c r="B17" s="132"/>
      <c r="C17" s="133" t="s">
        <v>188</v>
      </c>
      <c r="D17" s="133" t="s">
        <v>190</v>
      </c>
      <c r="E17" s="133">
        <v>75</v>
      </c>
      <c r="F17" s="133" t="s">
        <v>27</v>
      </c>
      <c r="G17" s="213">
        <v>2380</v>
      </c>
      <c r="H17" s="135" t="s">
        <v>138</v>
      </c>
      <c r="I17" s="136" t="s">
        <v>137</v>
      </c>
      <c r="J17" s="219">
        <v>0.2</v>
      </c>
      <c r="K17" s="138">
        <f t="shared" si="0"/>
        <v>0</v>
      </c>
      <c r="L17" s="135">
        <f t="shared" si="1"/>
        <v>0</v>
      </c>
      <c r="M17" s="139">
        <f t="shared" si="2"/>
        <v>178.5</v>
      </c>
      <c r="N17" s="223">
        <v>749700</v>
      </c>
      <c r="O17" s="170">
        <f t="shared" si="3"/>
        <v>26.25</v>
      </c>
      <c r="P17" s="204">
        <f>'Unitized Lighting'!E$21</f>
        <v>6.1581099210352255E-4</v>
      </c>
      <c r="Q17" s="208">
        <f>'Unitized Lighting'!$E$45</f>
        <v>0</v>
      </c>
      <c r="R17" s="208">
        <f>'Unitized Lighting'!E$74</f>
        <v>0</v>
      </c>
      <c r="S17" s="208">
        <f>'Unitized Lighting'!E$106</f>
        <v>0.15563681670383042</v>
      </c>
      <c r="T17" s="208">
        <f>'Unitized Lighting'!$E$123</f>
        <v>1.0508189438633434E-4</v>
      </c>
      <c r="U17" s="34">
        <f t="shared" si="4"/>
        <v>0</v>
      </c>
      <c r="V17" s="34">
        <f t="shared" si="5"/>
        <v>0</v>
      </c>
      <c r="W17" s="34">
        <f t="shared" si="6"/>
        <v>0</v>
      </c>
      <c r="X17" s="34">
        <f t="shared" si="7"/>
        <v>1.1672761252787283E-2</v>
      </c>
      <c r="Y17" s="34">
        <f t="shared" si="9"/>
        <v>2.7583997276412766E-3</v>
      </c>
      <c r="Z17" s="198">
        <f t="shared" si="8"/>
        <v>1.443116098042856E-2</v>
      </c>
    </row>
    <row r="18" spans="1:26" x14ac:dyDescent="0.2">
      <c r="A18" s="173" t="s">
        <v>156</v>
      </c>
      <c r="B18" s="132"/>
      <c r="C18" s="133" t="s">
        <v>188</v>
      </c>
      <c r="D18" s="133" t="s">
        <v>191</v>
      </c>
      <c r="E18" s="133">
        <v>105</v>
      </c>
      <c r="F18" s="133" t="s">
        <v>27</v>
      </c>
      <c r="G18" s="213">
        <v>1030</v>
      </c>
      <c r="H18" s="135" t="s">
        <v>138</v>
      </c>
      <c r="I18" s="136" t="s">
        <v>137</v>
      </c>
      <c r="J18" s="219">
        <v>0.2</v>
      </c>
      <c r="K18" s="138">
        <f t="shared" si="0"/>
        <v>0</v>
      </c>
      <c r="L18" s="135">
        <f t="shared" si="1"/>
        <v>0</v>
      </c>
      <c r="M18" s="139">
        <f t="shared" si="2"/>
        <v>108.15</v>
      </c>
      <c r="N18" s="223">
        <v>454230</v>
      </c>
      <c r="O18" s="170">
        <f t="shared" si="3"/>
        <v>36.75</v>
      </c>
      <c r="P18" s="204">
        <f>'Unitized Lighting'!E$21</f>
        <v>6.1581099210352255E-4</v>
      </c>
      <c r="Q18" s="208">
        <f>'Unitized Lighting'!$E$45</f>
        <v>0</v>
      </c>
      <c r="R18" s="208">
        <f>'Unitized Lighting'!E$74</f>
        <v>0</v>
      </c>
      <c r="S18" s="208">
        <f>'Unitized Lighting'!E$106</f>
        <v>0.15563681670383042</v>
      </c>
      <c r="T18" s="208">
        <f>'Unitized Lighting'!$E$123</f>
        <v>1.0508189438633434E-4</v>
      </c>
      <c r="U18" s="34">
        <f t="shared" si="4"/>
        <v>0</v>
      </c>
      <c r="V18" s="34">
        <f t="shared" si="5"/>
        <v>0</v>
      </c>
      <c r="W18" s="34">
        <f t="shared" si="6"/>
        <v>0</v>
      </c>
      <c r="X18" s="34">
        <f t="shared" si="7"/>
        <v>1.6341865753902195E-2</v>
      </c>
      <c r="Y18" s="34">
        <f t="shared" si="9"/>
        <v>3.8617596186977872E-3</v>
      </c>
      <c r="Z18" s="198">
        <f t="shared" si="8"/>
        <v>2.0203625372599981E-2</v>
      </c>
    </row>
    <row r="19" spans="1:26" x14ac:dyDescent="0.2">
      <c r="A19" s="173" t="s">
        <v>156</v>
      </c>
      <c r="B19" s="132"/>
      <c r="C19" s="133" t="s">
        <v>188</v>
      </c>
      <c r="D19" s="133" t="s">
        <v>192</v>
      </c>
      <c r="E19" s="133">
        <v>135</v>
      </c>
      <c r="F19" s="133" t="s">
        <v>27</v>
      </c>
      <c r="G19" s="213">
        <v>485</v>
      </c>
      <c r="H19" s="135" t="s">
        <v>138</v>
      </c>
      <c r="I19" s="136" t="s">
        <v>137</v>
      </c>
      <c r="J19" s="219">
        <v>0.2</v>
      </c>
      <c r="K19" s="138">
        <f t="shared" si="0"/>
        <v>0</v>
      </c>
      <c r="L19" s="135">
        <f t="shared" si="1"/>
        <v>0</v>
      </c>
      <c r="M19" s="139">
        <f t="shared" si="2"/>
        <v>65.474999999999994</v>
      </c>
      <c r="N19" s="223">
        <v>274995</v>
      </c>
      <c r="O19" s="170">
        <f t="shared" si="3"/>
        <v>47.25</v>
      </c>
      <c r="P19" s="204">
        <f>'Unitized Lighting'!E$21</f>
        <v>6.1581099210352255E-4</v>
      </c>
      <c r="Q19" s="208">
        <f>'Unitized Lighting'!$E$45</f>
        <v>0</v>
      </c>
      <c r="R19" s="208">
        <f>'Unitized Lighting'!E$74</f>
        <v>0</v>
      </c>
      <c r="S19" s="208">
        <f>'Unitized Lighting'!E$106</f>
        <v>0.15563681670383042</v>
      </c>
      <c r="T19" s="208">
        <f>'Unitized Lighting'!$E$123</f>
        <v>1.0508189438633434E-4</v>
      </c>
      <c r="U19" s="34">
        <f t="shared" si="4"/>
        <v>0</v>
      </c>
      <c r="V19" s="34">
        <f t="shared" si="5"/>
        <v>0</v>
      </c>
      <c r="W19" s="34">
        <f t="shared" si="6"/>
        <v>0</v>
      </c>
      <c r="X19" s="34">
        <f t="shared" si="7"/>
        <v>2.1010970255017105E-2</v>
      </c>
      <c r="Y19" s="34">
        <f t="shared" si="9"/>
        <v>4.9651195097542974E-3</v>
      </c>
      <c r="Z19" s="198">
        <f t="shared" si="8"/>
        <v>2.5976089764771403E-2</v>
      </c>
    </row>
    <row r="20" spans="1:26" x14ac:dyDescent="0.2">
      <c r="A20" s="173" t="s">
        <v>156</v>
      </c>
      <c r="B20" s="132"/>
      <c r="C20" s="133" t="s">
        <v>188</v>
      </c>
      <c r="D20" s="133" t="s">
        <v>193</v>
      </c>
      <c r="E20" s="133">
        <v>165</v>
      </c>
      <c r="F20" s="133" t="s">
        <v>27</v>
      </c>
      <c r="G20" s="213">
        <v>69</v>
      </c>
      <c r="H20" s="135" t="s">
        <v>138</v>
      </c>
      <c r="I20" s="136" t="s">
        <v>137</v>
      </c>
      <c r="J20" s="219">
        <v>0.2</v>
      </c>
      <c r="K20" s="138">
        <f t="shared" si="0"/>
        <v>0</v>
      </c>
      <c r="L20" s="135">
        <f t="shared" si="1"/>
        <v>0</v>
      </c>
      <c r="M20" s="139">
        <f t="shared" si="2"/>
        <v>11.385</v>
      </c>
      <c r="N20" s="223">
        <v>47817</v>
      </c>
      <c r="O20" s="170">
        <f t="shared" si="3"/>
        <v>57.75</v>
      </c>
      <c r="P20" s="204">
        <f>'Unitized Lighting'!E$21</f>
        <v>6.1581099210352255E-4</v>
      </c>
      <c r="Q20" s="208">
        <f>'Unitized Lighting'!$E$45</f>
        <v>0</v>
      </c>
      <c r="R20" s="208">
        <f>'Unitized Lighting'!E$74</f>
        <v>0</v>
      </c>
      <c r="S20" s="208">
        <f>'Unitized Lighting'!E$106</f>
        <v>0.15563681670383042</v>
      </c>
      <c r="T20" s="208">
        <f>'Unitized Lighting'!$E$123</f>
        <v>1.0508189438633434E-4</v>
      </c>
      <c r="U20" s="34">
        <f t="shared" si="4"/>
        <v>0</v>
      </c>
      <c r="V20" s="34">
        <f t="shared" si="5"/>
        <v>0</v>
      </c>
      <c r="W20" s="34">
        <f t="shared" si="6"/>
        <v>0</v>
      </c>
      <c r="X20" s="34">
        <f t="shared" si="7"/>
        <v>2.5680074756132019E-2</v>
      </c>
      <c r="Y20" s="34">
        <f t="shared" si="9"/>
        <v>6.068479400810808E-3</v>
      </c>
      <c r="Z20" s="198">
        <f t="shared" si="8"/>
        <v>3.1748554156942825E-2</v>
      </c>
    </row>
    <row r="21" spans="1:26" x14ac:dyDescent="0.2">
      <c r="A21" s="173" t="s">
        <v>156</v>
      </c>
      <c r="B21" s="132"/>
      <c r="C21" s="133" t="s">
        <v>188</v>
      </c>
      <c r="D21" s="133" t="s">
        <v>194</v>
      </c>
      <c r="E21" s="133">
        <v>195</v>
      </c>
      <c r="F21" s="133" t="s">
        <v>27</v>
      </c>
      <c r="G21" s="213">
        <v>201</v>
      </c>
      <c r="H21" s="135" t="s">
        <v>138</v>
      </c>
      <c r="I21" s="136" t="s">
        <v>137</v>
      </c>
      <c r="J21" s="219">
        <v>0.2</v>
      </c>
      <c r="K21" s="138">
        <f t="shared" si="0"/>
        <v>0</v>
      </c>
      <c r="L21" s="135">
        <f t="shared" si="1"/>
        <v>0</v>
      </c>
      <c r="M21" s="139">
        <f t="shared" si="2"/>
        <v>39.195</v>
      </c>
      <c r="N21" s="223">
        <v>164619</v>
      </c>
      <c r="O21" s="170">
        <f t="shared" si="3"/>
        <v>68.25</v>
      </c>
      <c r="P21" s="204">
        <f>'Unitized Lighting'!E$21</f>
        <v>6.1581099210352255E-4</v>
      </c>
      <c r="Q21" s="208">
        <f>'Unitized Lighting'!$E$45</f>
        <v>0</v>
      </c>
      <c r="R21" s="208">
        <f>'Unitized Lighting'!E$74</f>
        <v>0</v>
      </c>
      <c r="S21" s="208">
        <f>'Unitized Lighting'!E$106</f>
        <v>0.15563681670383042</v>
      </c>
      <c r="T21" s="208">
        <f>'Unitized Lighting'!$E$123</f>
        <v>1.0508189438633434E-4</v>
      </c>
      <c r="U21" s="34">
        <f t="shared" si="4"/>
        <v>0</v>
      </c>
      <c r="V21" s="34">
        <f t="shared" si="5"/>
        <v>0</v>
      </c>
      <c r="W21" s="34">
        <f t="shared" si="6"/>
        <v>0</v>
      </c>
      <c r="X21" s="34">
        <f t="shared" si="7"/>
        <v>3.0349179257246929E-2</v>
      </c>
      <c r="Y21" s="34">
        <f t="shared" si="9"/>
        <v>7.1718392918673187E-3</v>
      </c>
      <c r="Z21" s="198">
        <f t="shared" si="8"/>
        <v>3.752101854911425E-2</v>
      </c>
    </row>
    <row r="22" spans="1:26" x14ac:dyDescent="0.2">
      <c r="A22" s="173" t="s">
        <v>156</v>
      </c>
      <c r="B22" s="132"/>
      <c r="C22" s="133" t="s">
        <v>188</v>
      </c>
      <c r="D22" s="133" t="s">
        <v>195</v>
      </c>
      <c r="E22" s="133">
        <v>225</v>
      </c>
      <c r="F22" s="133" t="s">
        <v>27</v>
      </c>
      <c r="G22" s="213">
        <v>59</v>
      </c>
      <c r="H22" s="135" t="s">
        <v>138</v>
      </c>
      <c r="I22" s="136" t="s">
        <v>137</v>
      </c>
      <c r="J22" s="219">
        <v>0.2</v>
      </c>
      <c r="K22" s="138">
        <f t="shared" si="0"/>
        <v>0</v>
      </c>
      <c r="L22" s="135">
        <f t="shared" si="1"/>
        <v>0</v>
      </c>
      <c r="M22" s="139">
        <f t="shared" si="2"/>
        <v>13.275</v>
      </c>
      <c r="N22" s="223">
        <v>55755</v>
      </c>
      <c r="O22" s="170">
        <f t="shared" si="3"/>
        <v>78.75</v>
      </c>
      <c r="P22" s="204">
        <f>'Unitized Lighting'!E$21</f>
        <v>6.1581099210352255E-4</v>
      </c>
      <c r="Q22" s="208">
        <f>'Unitized Lighting'!$E$45</f>
        <v>0</v>
      </c>
      <c r="R22" s="208">
        <f>'Unitized Lighting'!E$74</f>
        <v>0</v>
      </c>
      <c r="S22" s="208">
        <f>'Unitized Lighting'!E$106</f>
        <v>0.15563681670383042</v>
      </c>
      <c r="T22" s="208">
        <f>'Unitized Lighting'!$E$123</f>
        <v>1.0508189438633434E-4</v>
      </c>
      <c r="U22" s="34">
        <f t="shared" si="4"/>
        <v>0</v>
      </c>
      <c r="V22" s="34">
        <f t="shared" si="5"/>
        <v>0</v>
      </c>
      <c r="W22" s="34">
        <f t="shared" si="6"/>
        <v>0</v>
      </c>
      <c r="X22" s="34">
        <f t="shared" si="7"/>
        <v>3.501828375836185E-2</v>
      </c>
      <c r="Y22" s="34">
        <f t="shared" si="9"/>
        <v>8.2751991829238293E-3</v>
      </c>
      <c r="Z22" s="198">
        <f t="shared" si="8"/>
        <v>4.3293482941285683E-2</v>
      </c>
    </row>
    <row r="23" spans="1:26" x14ac:dyDescent="0.2">
      <c r="A23" s="173" t="s">
        <v>156</v>
      </c>
      <c r="B23" s="132"/>
      <c r="C23" s="133" t="s">
        <v>188</v>
      </c>
      <c r="D23" s="133" t="s">
        <v>196</v>
      </c>
      <c r="E23" s="133">
        <v>255</v>
      </c>
      <c r="F23" s="133" t="s">
        <v>27</v>
      </c>
      <c r="G23" s="213">
        <v>8</v>
      </c>
      <c r="H23" s="135" t="s">
        <v>138</v>
      </c>
      <c r="I23" s="136" t="s">
        <v>137</v>
      </c>
      <c r="J23" s="219">
        <v>0.2</v>
      </c>
      <c r="K23" s="138">
        <f t="shared" si="0"/>
        <v>0</v>
      </c>
      <c r="L23" s="135">
        <f t="shared" si="1"/>
        <v>0</v>
      </c>
      <c r="M23" s="139">
        <f t="shared" si="2"/>
        <v>2.04</v>
      </c>
      <c r="N23" s="223">
        <v>8568</v>
      </c>
      <c r="O23" s="170">
        <f t="shared" si="3"/>
        <v>89.25</v>
      </c>
      <c r="P23" s="204">
        <f>'Unitized Lighting'!E$21</f>
        <v>6.1581099210352255E-4</v>
      </c>
      <c r="Q23" s="208">
        <f>'Unitized Lighting'!$E$45</f>
        <v>0</v>
      </c>
      <c r="R23" s="208">
        <f>'Unitized Lighting'!E$74</f>
        <v>0</v>
      </c>
      <c r="S23" s="208">
        <f>'Unitized Lighting'!E$106</f>
        <v>0.15563681670383042</v>
      </c>
      <c r="T23" s="208">
        <f>'Unitized Lighting'!$E$123</f>
        <v>1.0508189438633434E-4</v>
      </c>
      <c r="U23" s="34">
        <f t="shared" si="4"/>
        <v>0</v>
      </c>
      <c r="V23" s="34">
        <f t="shared" si="5"/>
        <v>0</v>
      </c>
      <c r="W23" s="34">
        <f t="shared" si="6"/>
        <v>0</v>
      </c>
      <c r="X23" s="34">
        <f t="shared" si="7"/>
        <v>3.9687388259476757E-2</v>
      </c>
      <c r="Y23" s="34">
        <f t="shared" si="9"/>
        <v>9.3785590739803391E-3</v>
      </c>
      <c r="Z23" s="198">
        <f t="shared" si="8"/>
        <v>4.9065947333457094E-2</v>
      </c>
    </row>
    <row r="24" spans="1:26" x14ac:dyDescent="0.2">
      <c r="A24" s="173" t="s">
        <v>156</v>
      </c>
      <c r="B24" s="132"/>
      <c r="C24" s="133" t="s">
        <v>188</v>
      </c>
      <c r="D24" s="133" t="s">
        <v>197</v>
      </c>
      <c r="E24" s="133">
        <v>285</v>
      </c>
      <c r="F24" s="133" t="s">
        <v>27</v>
      </c>
      <c r="G24" s="213">
        <v>79</v>
      </c>
      <c r="H24" s="135" t="s">
        <v>138</v>
      </c>
      <c r="I24" s="136" t="s">
        <v>137</v>
      </c>
      <c r="J24" s="219">
        <v>0.2</v>
      </c>
      <c r="K24" s="138">
        <f t="shared" si="0"/>
        <v>0</v>
      </c>
      <c r="L24" s="135">
        <f t="shared" si="1"/>
        <v>0</v>
      </c>
      <c r="M24" s="139">
        <f t="shared" si="2"/>
        <v>22.515000000000001</v>
      </c>
      <c r="N24" s="223">
        <v>94562.999999999985</v>
      </c>
      <c r="O24" s="170">
        <f t="shared" si="3"/>
        <v>99.75</v>
      </c>
      <c r="P24" s="204">
        <f>'Unitized Lighting'!E$21</f>
        <v>6.1581099210352255E-4</v>
      </c>
      <c r="Q24" s="208">
        <f>'Unitized Lighting'!$E$45</f>
        <v>0</v>
      </c>
      <c r="R24" s="208">
        <f>'Unitized Lighting'!E$74</f>
        <v>0</v>
      </c>
      <c r="S24" s="208">
        <f>'Unitized Lighting'!E$106</f>
        <v>0.15563681670383042</v>
      </c>
      <c r="T24" s="208">
        <f>'Unitized Lighting'!$E$123</f>
        <v>1.0508189438633434E-4</v>
      </c>
      <c r="U24" s="34">
        <f t="shared" si="4"/>
        <v>0</v>
      </c>
      <c r="V24" s="34">
        <f t="shared" si="5"/>
        <v>0</v>
      </c>
      <c r="W24" s="34">
        <f t="shared" si="6"/>
        <v>0</v>
      </c>
      <c r="X24" s="34">
        <f t="shared" si="7"/>
        <v>4.435649276059167E-2</v>
      </c>
      <c r="Y24" s="34">
        <f t="shared" si="9"/>
        <v>1.0481918965036851E-2</v>
      </c>
      <c r="Z24" s="198">
        <f t="shared" si="8"/>
        <v>5.4838411725628519E-2</v>
      </c>
    </row>
    <row r="25" spans="1:26" x14ac:dyDescent="0.2">
      <c r="A25" s="173"/>
      <c r="B25" s="132"/>
      <c r="C25" s="133"/>
      <c r="D25" s="133"/>
      <c r="E25" s="133"/>
      <c r="F25" s="133"/>
      <c r="G25" s="213"/>
      <c r="H25" s="135"/>
      <c r="I25" s="136"/>
      <c r="J25" s="219"/>
      <c r="K25" s="138"/>
      <c r="L25" s="135"/>
      <c r="M25" s="139"/>
      <c r="N25" s="223"/>
      <c r="O25" s="170"/>
      <c r="P25" s="204"/>
      <c r="Q25" s="208"/>
      <c r="R25" s="208"/>
      <c r="S25" s="208"/>
      <c r="T25" s="208"/>
      <c r="Z25" s="198"/>
    </row>
    <row r="26" spans="1:26" x14ac:dyDescent="0.2">
      <c r="A26" s="173" t="s">
        <v>156</v>
      </c>
      <c r="B26" s="132" t="s">
        <v>252</v>
      </c>
      <c r="C26" s="133" t="s">
        <v>188</v>
      </c>
      <c r="D26" s="133" t="s">
        <v>251</v>
      </c>
      <c r="E26" s="133">
        <v>15</v>
      </c>
      <c r="F26" s="133" t="s">
        <v>27</v>
      </c>
      <c r="G26" s="213">
        <v>0</v>
      </c>
      <c r="H26" s="135" t="s">
        <v>138</v>
      </c>
      <c r="I26" s="136" t="s">
        <v>137</v>
      </c>
      <c r="J26" s="219">
        <v>0.2</v>
      </c>
      <c r="K26" s="138">
        <f t="shared" ref="K26:K35" si="10">IF(I26="Yes",G26*J26,0)</f>
        <v>0</v>
      </c>
      <c r="L26" s="135">
        <f t="shared" ref="L26:L35" si="11">IF(F26="Company", G26*H26,0)</f>
        <v>0</v>
      </c>
      <c r="M26" s="139">
        <f t="shared" ref="M26:M35" si="12">E26*G26/1000</f>
        <v>0</v>
      </c>
      <c r="N26" s="223">
        <v>0</v>
      </c>
      <c r="O26" s="170">
        <f t="shared" ref="O26:O35" si="13">E26*4200/1000/12</f>
        <v>5.25</v>
      </c>
      <c r="P26" s="204">
        <f>'Unitized Lighting'!E$21</f>
        <v>6.1581099210352255E-4</v>
      </c>
      <c r="Q26" s="208">
        <f>'Unitized Lighting'!$E$45</f>
        <v>0</v>
      </c>
      <c r="R26" s="208">
        <f>'Unitized Lighting'!E$74</f>
        <v>0</v>
      </c>
      <c r="S26" s="208">
        <f>'Unitized Lighting'!E$106</f>
        <v>0.15563681670383042</v>
      </c>
      <c r="T26" s="208">
        <f>'Unitized Lighting'!$E$123</f>
        <v>1.0508189438633434E-4</v>
      </c>
      <c r="U26" s="34">
        <f t="shared" ref="U26:U35" si="14">IF(F26="Company", H26*P26, 0)</f>
        <v>0</v>
      </c>
      <c r="V26" s="34">
        <f t="shared" ref="V26:V35" si="15">IF(I26="yes", J26*Q26, 0)</f>
        <v>0</v>
      </c>
      <c r="W26" s="34">
        <f t="shared" ref="W26:W35" si="16">R26*O26</f>
        <v>0</v>
      </c>
      <c r="X26" s="34">
        <f t="shared" ref="X26:X35" si="17">E26*S26/1000</f>
        <v>2.3345522505574564E-3</v>
      </c>
      <c r="Y26" s="34">
        <f t="shared" ref="Y26:Y35" si="18">O26*T26</f>
        <v>5.5167994552825532E-4</v>
      </c>
      <c r="Z26" s="198">
        <f t="shared" ref="Z26:Z35" si="19">SUM(U26:Y26)</f>
        <v>2.8862321960857118E-3</v>
      </c>
    </row>
    <row r="27" spans="1:26" x14ac:dyDescent="0.2">
      <c r="A27" s="173" t="s">
        <v>156</v>
      </c>
      <c r="B27" s="132" t="s">
        <v>252</v>
      </c>
      <c r="C27" s="133" t="s">
        <v>188</v>
      </c>
      <c r="D27" s="133" t="s">
        <v>189</v>
      </c>
      <c r="E27" s="133">
        <v>45</v>
      </c>
      <c r="F27" s="133" t="s">
        <v>27</v>
      </c>
      <c r="G27" s="213">
        <v>0</v>
      </c>
      <c r="H27" s="135" t="s">
        <v>138</v>
      </c>
      <c r="I27" s="136" t="s">
        <v>137</v>
      </c>
      <c r="J27" s="219">
        <v>0.2</v>
      </c>
      <c r="K27" s="138">
        <f t="shared" si="10"/>
        <v>0</v>
      </c>
      <c r="L27" s="135">
        <f t="shared" si="11"/>
        <v>0</v>
      </c>
      <c r="M27" s="139">
        <f t="shared" si="12"/>
        <v>0</v>
      </c>
      <c r="N27" s="223">
        <v>0</v>
      </c>
      <c r="O27" s="170">
        <f t="shared" si="13"/>
        <v>15.75</v>
      </c>
      <c r="P27" s="204">
        <f>'Unitized Lighting'!E$21</f>
        <v>6.1581099210352255E-4</v>
      </c>
      <c r="Q27" s="208">
        <f>'Unitized Lighting'!$E$45</f>
        <v>0</v>
      </c>
      <c r="R27" s="208">
        <f>'Unitized Lighting'!E$74</f>
        <v>0</v>
      </c>
      <c r="S27" s="208">
        <f>'Unitized Lighting'!E$106</f>
        <v>0.15563681670383042</v>
      </c>
      <c r="T27" s="208">
        <f>'Unitized Lighting'!$E$123</f>
        <v>1.0508189438633434E-4</v>
      </c>
      <c r="U27" s="34">
        <f t="shared" si="14"/>
        <v>0</v>
      </c>
      <c r="V27" s="34">
        <f t="shared" si="15"/>
        <v>0</v>
      </c>
      <c r="W27" s="34">
        <f t="shared" si="16"/>
        <v>0</v>
      </c>
      <c r="X27" s="34">
        <f t="shared" si="17"/>
        <v>7.0036567516723689E-3</v>
      </c>
      <c r="Y27" s="34">
        <f t="shared" si="18"/>
        <v>1.6550398365847659E-3</v>
      </c>
      <c r="Z27" s="198">
        <f t="shared" si="19"/>
        <v>8.6586965882571344E-3</v>
      </c>
    </row>
    <row r="28" spans="1:26" x14ac:dyDescent="0.2">
      <c r="A28" s="173" t="s">
        <v>156</v>
      </c>
      <c r="B28" s="132" t="s">
        <v>252</v>
      </c>
      <c r="C28" s="133" t="s">
        <v>188</v>
      </c>
      <c r="D28" s="133" t="s">
        <v>190</v>
      </c>
      <c r="E28" s="133">
        <v>75</v>
      </c>
      <c r="F28" s="133" t="s">
        <v>27</v>
      </c>
      <c r="G28" s="213">
        <v>0</v>
      </c>
      <c r="H28" s="135" t="s">
        <v>138</v>
      </c>
      <c r="I28" s="136" t="s">
        <v>137</v>
      </c>
      <c r="J28" s="219">
        <v>0.2</v>
      </c>
      <c r="K28" s="138">
        <f t="shared" si="10"/>
        <v>0</v>
      </c>
      <c r="L28" s="135">
        <f t="shared" si="11"/>
        <v>0</v>
      </c>
      <c r="M28" s="139">
        <f t="shared" si="12"/>
        <v>0</v>
      </c>
      <c r="N28" s="223">
        <v>0</v>
      </c>
      <c r="O28" s="170">
        <f t="shared" si="13"/>
        <v>26.25</v>
      </c>
      <c r="P28" s="204">
        <f>'Unitized Lighting'!E$21</f>
        <v>6.1581099210352255E-4</v>
      </c>
      <c r="Q28" s="208">
        <f>'Unitized Lighting'!$E$45</f>
        <v>0</v>
      </c>
      <c r="R28" s="208">
        <f>'Unitized Lighting'!E$74</f>
        <v>0</v>
      </c>
      <c r="S28" s="208">
        <f>'Unitized Lighting'!E$106</f>
        <v>0.15563681670383042</v>
      </c>
      <c r="T28" s="208">
        <f>'Unitized Lighting'!$E$123</f>
        <v>1.0508189438633434E-4</v>
      </c>
      <c r="U28" s="34">
        <f t="shared" si="14"/>
        <v>0</v>
      </c>
      <c r="V28" s="34">
        <f t="shared" si="15"/>
        <v>0</v>
      </c>
      <c r="W28" s="34">
        <f t="shared" si="16"/>
        <v>0</v>
      </c>
      <c r="X28" s="34">
        <f t="shared" si="17"/>
        <v>1.1672761252787283E-2</v>
      </c>
      <c r="Y28" s="34">
        <f t="shared" si="18"/>
        <v>2.7583997276412766E-3</v>
      </c>
      <c r="Z28" s="198">
        <f t="shared" si="19"/>
        <v>1.443116098042856E-2</v>
      </c>
    </row>
    <row r="29" spans="1:26" x14ac:dyDescent="0.2">
      <c r="A29" s="173" t="s">
        <v>156</v>
      </c>
      <c r="B29" s="132" t="s">
        <v>252</v>
      </c>
      <c r="C29" s="133" t="s">
        <v>188</v>
      </c>
      <c r="D29" s="133" t="s">
        <v>191</v>
      </c>
      <c r="E29" s="133">
        <v>105</v>
      </c>
      <c r="F29" s="133" t="s">
        <v>27</v>
      </c>
      <c r="G29" s="213">
        <v>0</v>
      </c>
      <c r="H29" s="135" t="s">
        <v>138</v>
      </c>
      <c r="I29" s="136" t="s">
        <v>137</v>
      </c>
      <c r="J29" s="219">
        <v>0.2</v>
      </c>
      <c r="K29" s="138">
        <f t="shared" si="10"/>
        <v>0</v>
      </c>
      <c r="L29" s="135">
        <f t="shared" si="11"/>
        <v>0</v>
      </c>
      <c r="M29" s="139">
        <f t="shared" si="12"/>
        <v>0</v>
      </c>
      <c r="N29" s="223">
        <v>0</v>
      </c>
      <c r="O29" s="170">
        <f t="shared" si="13"/>
        <v>36.75</v>
      </c>
      <c r="P29" s="204">
        <f>'Unitized Lighting'!E$21</f>
        <v>6.1581099210352255E-4</v>
      </c>
      <c r="Q29" s="208">
        <f>'Unitized Lighting'!$E$45</f>
        <v>0</v>
      </c>
      <c r="R29" s="208">
        <f>'Unitized Lighting'!E$74</f>
        <v>0</v>
      </c>
      <c r="S29" s="208">
        <f>'Unitized Lighting'!E$106</f>
        <v>0.15563681670383042</v>
      </c>
      <c r="T29" s="208">
        <f>'Unitized Lighting'!$E$123</f>
        <v>1.0508189438633434E-4</v>
      </c>
      <c r="U29" s="34">
        <f t="shared" si="14"/>
        <v>0</v>
      </c>
      <c r="V29" s="34">
        <f t="shared" si="15"/>
        <v>0</v>
      </c>
      <c r="W29" s="34">
        <f t="shared" si="16"/>
        <v>0</v>
      </c>
      <c r="X29" s="34">
        <f t="shared" si="17"/>
        <v>1.6341865753902195E-2</v>
      </c>
      <c r="Y29" s="34">
        <f t="shared" si="18"/>
        <v>3.8617596186977872E-3</v>
      </c>
      <c r="Z29" s="198">
        <f t="shared" si="19"/>
        <v>2.0203625372599981E-2</v>
      </c>
    </row>
    <row r="30" spans="1:26" x14ac:dyDescent="0.2">
      <c r="A30" s="173" t="s">
        <v>156</v>
      </c>
      <c r="B30" s="132" t="s">
        <v>252</v>
      </c>
      <c r="C30" s="133" t="s">
        <v>188</v>
      </c>
      <c r="D30" s="133" t="s">
        <v>192</v>
      </c>
      <c r="E30" s="133">
        <v>135</v>
      </c>
      <c r="F30" s="133" t="s">
        <v>27</v>
      </c>
      <c r="G30" s="213">
        <v>0</v>
      </c>
      <c r="H30" s="135" t="s">
        <v>138</v>
      </c>
      <c r="I30" s="136" t="s">
        <v>137</v>
      </c>
      <c r="J30" s="219">
        <v>0.2</v>
      </c>
      <c r="K30" s="138">
        <f t="shared" si="10"/>
        <v>0</v>
      </c>
      <c r="L30" s="135">
        <f t="shared" si="11"/>
        <v>0</v>
      </c>
      <c r="M30" s="139">
        <f t="shared" si="12"/>
        <v>0</v>
      </c>
      <c r="N30" s="223">
        <v>0</v>
      </c>
      <c r="O30" s="170">
        <f t="shared" si="13"/>
        <v>47.25</v>
      </c>
      <c r="P30" s="204">
        <f>'Unitized Lighting'!E$21</f>
        <v>6.1581099210352255E-4</v>
      </c>
      <c r="Q30" s="208">
        <f>'Unitized Lighting'!$E$45</f>
        <v>0</v>
      </c>
      <c r="R30" s="208">
        <f>'Unitized Lighting'!E$74</f>
        <v>0</v>
      </c>
      <c r="S30" s="208">
        <f>'Unitized Lighting'!E$106</f>
        <v>0.15563681670383042</v>
      </c>
      <c r="T30" s="208">
        <f>'Unitized Lighting'!$E$123</f>
        <v>1.0508189438633434E-4</v>
      </c>
      <c r="U30" s="34">
        <f t="shared" si="14"/>
        <v>0</v>
      </c>
      <c r="V30" s="34">
        <f t="shared" si="15"/>
        <v>0</v>
      </c>
      <c r="W30" s="34">
        <f t="shared" si="16"/>
        <v>0</v>
      </c>
      <c r="X30" s="34">
        <f t="shared" si="17"/>
        <v>2.1010970255017105E-2</v>
      </c>
      <c r="Y30" s="34">
        <f t="shared" si="18"/>
        <v>4.9651195097542974E-3</v>
      </c>
      <c r="Z30" s="198">
        <f t="shared" si="19"/>
        <v>2.5976089764771403E-2</v>
      </c>
    </row>
    <row r="31" spans="1:26" x14ac:dyDescent="0.2">
      <c r="A31" s="173" t="s">
        <v>156</v>
      </c>
      <c r="B31" s="132" t="s">
        <v>252</v>
      </c>
      <c r="C31" s="133" t="s">
        <v>188</v>
      </c>
      <c r="D31" s="133" t="s">
        <v>193</v>
      </c>
      <c r="E31" s="133">
        <v>165</v>
      </c>
      <c r="F31" s="133" t="s">
        <v>27</v>
      </c>
      <c r="G31" s="213">
        <v>0</v>
      </c>
      <c r="H31" s="135" t="s">
        <v>138</v>
      </c>
      <c r="I31" s="136" t="s">
        <v>137</v>
      </c>
      <c r="J31" s="219">
        <v>0.2</v>
      </c>
      <c r="K31" s="138">
        <f t="shared" si="10"/>
        <v>0</v>
      </c>
      <c r="L31" s="135">
        <f t="shared" si="11"/>
        <v>0</v>
      </c>
      <c r="M31" s="139">
        <f t="shared" si="12"/>
        <v>0</v>
      </c>
      <c r="N31" s="223">
        <v>0</v>
      </c>
      <c r="O31" s="170">
        <f t="shared" si="13"/>
        <v>57.75</v>
      </c>
      <c r="P31" s="204">
        <f>'Unitized Lighting'!E$21</f>
        <v>6.1581099210352255E-4</v>
      </c>
      <c r="Q31" s="208">
        <f>'Unitized Lighting'!$E$45</f>
        <v>0</v>
      </c>
      <c r="R31" s="208">
        <f>'Unitized Lighting'!E$74</f>
        <v>0</v>
      </c>
      <c r="S31" s="208">
        <f>'Unitized Lighting'!E$106</f>
        <v>0.15563681670383042</v>
      </c>
      <c r="T31" s="208">
        <f>'Unitized Lighting'!$E$123</f>
        <v>1.0508189438633434E-4</v>
      </c>
      <c r="U31" s="34">
        <f t="shared" si="14"/>
        <v>0</v>
      </c>
      <c r="V31" s="34">
        <f t="shared" si="15"/>
        <v>0</v>
      </c>
      <c r="W31" s="34">
        <f t="shared" si="16"/>
        <v>0</v>
      </c>
      <c r="X31" s="34">
        <f t="shared" si="17"/>
        <v>2.5680074756132019E-2</v>
      </c>
      <c r="Y31" s="34">
        <f t="shared" si="18"/>
        <v>6.068479400810808E-3</v>
      </c>
      <c r="Z31" s="198">
        <f t="shared" si="19"/>
        <v>3.1748554156942825E-2</v>
      </c>
    </row>
    <row r="32" spans="1:26" x14ac:dyDescent="0.2">
      <c r="A32" s="173" t="s">
        <v>156</v>
      </c>
      <c r="B32" s="132" t="s">
        <v>252</v>
      </c>
      <c r="C32" s="133" t="s">
        <v>188</v>
      </c>
      <c r="D32" s="133" t="s">
        <v>194</v>
      </c>
      <c r="E32" s="133">
        <v>195</v>
      </c>
      <c r="F32" s="133" t="s">
        <v>27</v>
      </c>
      <c r="G32" s="213">
        <v>0</v>
      </c>
      <c r="H32" s="135" t="s">
        <v>138</v>
      </c>
      <c r="I32" s="136" t="s">
        <v>137</v>
      </c>
      <c r="J32" s="219">
        <v>0.2</v>
      </c>
      <c r="K32" s="138">
        <f t="shared" si="10"/>
        <v>0</v>
      </c>
      <c r="L32" s="135">
        <f t="shared" si="11"/>
        <v>0</v>
      </c>
      <c r="M32" s="139">
        <f t="shared" si="12"/>
        <v>0</v>
      </c>
      <c r="N32" s="223">
        <v>0</v>
      </c>
      <c r="O32" s="170">
        <f t="shared" si="13"/>
        <v>68.25</v>
      </c>
      <c r="P32" s="204">
        <f>'Unitized Lighting'!E$21</f>
        <v>6.1581099210352255E-4</v>
      </c>
      <c r="Q32" s="208">
        <f>'Unitized Lighting'!$E$45</f>
        <v>0</v>
      </c>
      <c r="R32" s="208">
        <f>'Unitized Lighting'!E$74</f>
        <v>0</v>
      </c>
      <c r="S32" s="208">
        <f>'Unitized Lighting'!E$106</f>
        <v>0.15563681670383042</v>
      </c>
      <c r="T32" s="208">
        <f>'Unitized Lighting'!$E$123</f>
        <v>1.0508189438633434E-4</v>
      </c>
      <c r="U32" s="34">
        <f t="shared" si="14"/>
        <v>0</v>
      </c>
      <c r="V32" s="34">
        <f t="shared" si="15"/>
        <v>0</v>
      </c>
      <c r="W32" s="34">
        <f t="shared" si="16"/>
        <v>0</v>
      </c>
      <c r="X32" s="34">
        <f t="shared" si="17"/>
        <v>3.0349179257246929E-2</v>
      </c>
      <c r="Y32" s="34">
        <f t="shared" si="18"/>
        <v>7.1718392918673187E-3</v>
      </c>
      <c r="Z32" s="198">
        <f t="shared" si="19"/>
        <v>3.752101854911425E-2</v>
      </c>
    </row>
    <row r="33" spans="1:26" x14ac:dyDescent="0.2">
      <c r="A33" s="173" t="s">
        <v>156</v>
      </c>
      <c r="B33" s="132" t="s">
        <v>252</v>
      </c>
      <c r="C33" s="133" t="s">
        <v>188</v>
      </c>
      <c r="D33" s="133" t="s">
        <v>195</v>
      </c>
      <c r="E33" s="133">
        <v>225</v>
      </c>
      <c r="F33" s="133" t="s">
        <v>27</v>
      </c>
      <c r="G33" s="213">
        <v>0</v>
      </c>
      <c r="H33" s="135" t="s">
        <v>138</v>
      </c>
      <c r="I33" s="136" t="s">
        <v>137</v>
      </c>
      <c r="J33" s="219">
        <v>0.2</v>
      </c>
      <c r="K33" s="138">
        <f t="shared" si="10"/>
        <v>0</v>
      </c>
      <c r="L33" s="135">
        <f t="shared" si="11"/>
        <v>0</v>
      </c>
      <c r="M33" s="139">
        <f t="shared" si="12"/>
        <v>0</v>
      </c>
      <c r="N33" s="223">
        <v>0</v>
      </c>
      <c r="O33" s="170">
        <f t="shared" si="13"/>
        <v>78.75</v>
      </c>
      <c r="P33" s="204">
        <f>'Unitized Lighting'!E$21</f>
        <v>6.1581099210352255E-4</v>
      </c>
      <c r="Q33" s="208">
        <f>'Unitized Lighting'!$E$45</f>
        <v>0</v>
      </c>
      <c r="R33" s="208">
        <f>'Unitized Lighting'!E$74</f>
        <v>0</v>
      </c>
      <c r="S33" s="208">
        <f>'Unitized Lighting'!E$106</f>
        <v>0.15563681670383042</v>
      </c>
      <c r="T33" s="208">
        <f>'Unitized Lighting'!$E$123</f>
        <v>1.0508189438633434E-4</v>
      </c>
      <c r="U33" s="34">
        <f t="shared" si="14"/>
        <v>0</v>
      </c>
      <c r="V33" s="34">
        <f t="shared" si="15"/>
        <v>0</v>
      </c>
      <c r="W33" s="34">
        <f t="shared" si="16"/>
        <v>0</v>
      </c>
      <c r="X33" s="34">
        <f t="shared" si="17"/>
        <v>3.501828375836185E-2</v>
      </c>
      <c r="Y33" s="34">
        <f t="shared" si="18"/>
        <v>8.2751991829238293E-3</v>
      </c>
      <c r="Z33" s="198">
        <f t="shared" si="19"/>
        <v>4.3293482941285683E-2</v>
      </c>
    </row>
    <row r="34" spans="1:26" x14ac:dyDescent="0.2">
      <c r="A34" s="173" t="s">
        <v>156</v>
      </c>
      <c r="B34" s="132" t="s">
        <v>252</v>
      </c>
      <c r="C34" s="133" t="s">
        <v>188</v>
      </c>
      <c r="D34" s="133" t="s">
        <v>196</v>
      </c>
      <c r="E34" s="133">
        <v>255</v>
      </c>
      <c r="F34" s="133" t="s">
        <v>27</v>
      </c>
      <c r="G34" s="213">
        <v>0</v>
      </c>
      <c r="H34" s="135" t="s">
        <v>138</v>
      </c>
      <c r="I34" s="136" t="s">
        <v>137</v>
      </c>
      <c r="J34" s="219">
        <v>0.2</v>
      </c>
      <c r="K34" s="138">
        <f t="shared" si="10"/>
        <v>0</v>
      </c>
      <c r="L34" s="135">
        <f t="shared" si="11"/>
        <v>0</v>
      </c>
      <c r="M34" s="139">
        <f t="shared" si="12"/>
        <v>0</v>
      </c>
      <c r="N34" s="223">
        <v>0</v>
      </c>
      <c r="O34" s="170">
        <f t="shared" si="13"/>
        <v>89.25</v>
      </c>
      <c r="P34" s="204">
        <f>'Unitized Lighting'!E$21</f>
        <v>6.1581099210352255E-4</v>
      </c>
      <c r="Q34" s="208">
        <f>'Unitized Lighting'!$E$45</f>
        <v>0</v>
      </c>
      <c r="R34" s="208">
        <f>'Unitized Lighting'!E$74</f>
        <v>0</v>
      </c>
      <c r="S34" s="208">
        <f>'Unitized Lighting'!E$106</f>
        <v>0.15563681670383042</v>
      </c>
      <c r="T34" s="208">
        <f>'Unitized Lighting'!$E$123</f>
        <v>1.0508189438633434E-4</v>
      </c>
      <c r="U34" s="34">
        <f t="shared" si="14"/>
        <v>0</v>
      </c>
      <c r="V34" s="34">
        <f t="shared" si="15"/>
        <v>0</v>
      </c>
      <c r="W34" s="34">
        <f t="shared" si="16"/>
        <v>0</v>
      </c>
      <c r="X34" s="34">
        <f t="shared" si="17"/>
        <v>3.9687388259476757E-2</v>
      </c>
      <c r="Y34" s="34">
        <f t="shared" si="18"/>
        <v>9.3785590739803391E-3</v>
      </c>
      <c r="Z34" s="198">
        <f t="shared" si="19"/>
        <v>4.9065947333457094E-2</v>
      </c>
    </row>
    <row r="35" spans="1:26" x14ac:dyDescent="0.2">
      <c r="A35" s="173" t="s">
        <v>156</v>
      </c>
      <c r="B35" s="132" t="s">
        <v>252</v>
      </c>
      <c r="C35" s="133" t="s">
        <v>188</v>
      </c>
      <c r="D35" s="133" t="s">
        <v>197</v>
      </c>
      <c r="E35" s="133">
        <v>285</v>
      </c>
      <c r="F35" s="133" t="s">
        <v>27</v>
      </c>
      <c r="G35" s="213">
        <v>0</v>
      </c>
      <c r="H35" s="135" t="s">
        <v>138</v>
      </c>
      <c r="I35" s="136" t="s">
        <v>137</v>
      </c>
      <c r="J35" s="219">
        <v>0.2</v>
      </c>
      <c r="K35" s="138">
        <f t="shared" si="10"/>
        <v>0</v>
      </c>
      <c r="L35" s="135">
        <f t="shared" si="11"/>
        <v>0</v>
      </c>
      <c r="M35" s="139">
        <f t="shared" si="12"/>
        <v>0</v>
      </c>
      <c r="N35" s="223">
        <v>0</v>
      </c>
      <c r="O35" s="170">
        <f t="shared" si="13"/>
        <v>99.75</v>
      </c>
      <c r="P35" s="204">
        <f>'Unitized Lighting'!E$21</f>
        <v>6.1581099210352255E-4</v>
      </c>
      <c r="Q35" s="208">
        <f>'Unitized Lighting'!$E$45</f>
        <v>0</v>
      </c>
      <c r="R35" s="208">
        <f>'Unitized Lighting'!E$74</f>
        <v>0</v>
      </c>
      <c r="S35" s="208">
        <f>'Unitized Lighting'!E$106</f>
        <v>0.15563681670383042</v>
      </c>
      <c r="T35" s="208">
        <f>'Unitized Lighting'!$E$123</f>
        <v>1.0508189438633434E-4</v>
      </c>
      <c r="U35" s="34">
        <f t="shared" si="14"/>
        <v>0</v>
      </c>
      <c r="V35" s="34">
        <f t="shared" si="15"/>
        <v>0</v>
      </c>
      <c r="W35" s="34">
        <f t="shared" si="16"/>
        <v>0</v>
      </c>
      <c r="X35" s="34">
        <f t="shared" si="17"/>
        <v>4.435649276059167E-2</v>
      </c>
      <c r="Y35" s="34">
        <f t="shared" si="18"/>
        <v>1.0481918965036851E-2</v>
      </c>
      <c r="Z35" s="198">
        <f t="shared" si="19"/>
        <v>5.4838411725628519E-2</v>
      </c>
    </row>
    <row r="36" spans="1:26" x14ac:dyDescent="0.2">
      <c r="A36" s="167" t="s">
        <v>155</v>
      </c>
      <c r="B36" s="125"/>
      <c r="C36" s="126"/>
      <c r="D36" s="127"/>
      <c r="E36" s="128"/>
      <c r="F36" s="127"/>
      <c r="G36" s="212"/>
      <c r="H36" s="129"/>
      <c r="I36" s="126"/>
      <c r="J36" s="218"/>
      <c r="K36" s="150"/>
      <c r="L36" s="129"/>
      <c r="M36" s="131"/>
      <c r="N36" s="222"/>
      <c r="O36" s="168"/>
      <c r="P36" s="203"/>
      <c r="Q36" s="207"/>
      <c r="R36" s="207"/>
      <c r="S36" s="207"/>
      <c r="T36" s="207"/>
      <c r="U36" s="43"/>
      <c r="V36" s="43"/>
      <c r="W36" s="43"/>
      <c r="X36" s="43"/>
      <c r="Y36" s="43"/>
      <c r="Z36" s="197"/>
    </row>
    <row r="37" spans="1:26" x14ac:dyDescent="0.2">
      <c r="A37" s="169" t="s">
        <v>154</v>
      </c>
      <c r="B37" s="133" t="s">
        <v>146</v>
      </c>
      <c r="C37" s="133" t="s">
        <v>198</v>
      </c>
      <c r="D37" s="133" t="s">
        <v>199</v>
      </c>
      <c r="E37" s="133">
        <v>50</v>
      </c>
      <c r="F37" s="133" t="s">
        <v>27</v>
      </c>
      <c r="G37" s="213">
        <v>0</v>
      </c>
      <c r="H37" s="135" t="s">
        <v>138</v>
      </c>
      <c r="I37" s="136" t="s">
        <v>137</v>
      </c>
      <c r="J37" s="219">
        <v>1</v>
      </c>
      <c r="K37" s="138">
        <f t="shared" ref="K37:K44" si="20">IF(I37="Yes",G37*J37,0)</f>
        <v>0</v>
      </c>
      <c r="L37" s="135">
        <f t="shared" ref="L37:L44" si="21">IF(F37="Company", G37*H37,0)</f>
        <v>0</v>
      </c>
      <c r="M37" s="139">
        <f t="shared" ref="M37:M44" si="22">E37*G37/1000</f>
        <v>0</v>
      </c>
      <c r="N37" s="223">
        <v>0</v>
      </c>
      <c r="O37" s="170">
        <f t="shared" ref="O37:O44" si="23">E37*4200/1000/12</f>
        <v>17.5</v>
      </c>
      <c r="P37" s="204">
        <f>'Unitized Lighting'!E$21</f>
        <v>6.1581099210352255E-4</v>
      </c>
      <c r="Q37" s="208">
        <f>'Unitized Lighting'!$E$45</f>
        <v>0</v>
      </c>
      <c r="R37" s="208">
        <f>'Unitized Lighting'!E$74</f>
        <v>0</v>
      </c>
      <c r="S37" s="208">
        <f>'Unitized Lighting'!E$106</f>
        <v>0.15563681670383042</v>
      </c>
      <c r="T37" s="208">
        <f>'Unitized Lighting'!$E$123</f>
        <v>1.0508189438633434E-4</v>
      </c>
      <c r="U37" s="34">
        <f t="shared" ref="U37:U44" si="24">IF(F37="Company", H37*P37, 0)</f>
        <v>0</v>
      </c>
      <c r="V37" s="34">
        <f t="shared" ref="V37:V44" si="25">IF(I37="yes", J37*Q37, 0)</f>
        <v>0</v>
      </c>
      <c r="W37" s="34">
        <f t="shared" ref="W37:W44" si="26">R37*O37</f>
        <v>0</v>
      </c>
      <c r="X37" s="34">
        <f t="shared" ref="X37:X44" si="27">E37*S37/1000</f>
        <v>7.7818408351915209E-3</v>
      </c>
      <c r="Y37" s="34">
        <f t="shared" ref="Y37:Y44" si="28">O37*T37</f>
        <v>1.8389331517608509E-3</v>
      </c>
      <c r="Z37" s="198">
        <f t="shared" ref="Z37:Z44" si="29">SUM(U37:Y37)</f>
        <v>9.6207739869523714E-3</v>
      </c>
    </row>
    <row r="38" spans="1:26" x14ac:dyDescent="0.2">
      <c r="A38" s="169" t="s">
        <v>154</v>
      </c>
      <c r="B38" s="133" t="s">
        <v>146</v>
      </c>
      <c r="C38" s="133" t="s">
        <v>198</v>
      </c>
      <c r="D38" s="133" t="s">
        <v>200</v>
      </c>
      <c r="E38" s="133">
        <v>70</v>
      </c>
      <c r="F38" s="133" t="s">
        <v>27</v>
      </c>
      <c r="G38" s="213">
        <v>670</v>
      </c>
      <c r="H38" s="135" t="s">
        <v>138</v>
      </c>
      <c r="I38" s="136" t="s">
        <v>137</v>
      </c>
      <c r="J38" s="219">
        <v>1</v>
      </c>
      <c r="K38" s="138">
        <f t="shared" si="20"/>
        <v>0</v>
      </c>
      <c r="L38" s="135">
        <f t="shared" si="21"/>
        <v>0</v>
      </c>
      <c r="M38" s="139">
        <f t="shared" si="22"/>
        <v>46.9</v>
      </c>
      <c r="N38" s="223">
        <v>196980.00000000003</v>
      </c>
      <c r="O38" s="170">
        <f t="shared" si="23"/>
        <v>24.5</v>
      </c>
      <c r="P38" s="204">
        <f>'Unitized Lighting'!E$21</f>
        <v>6.1581099210352255E-4</v>
      </c>
      <c r="Q38" s="208">
        <f>'Unitized Lighting'!$E$45</f>
        <v>0</v>
      </c>
      <c r="R38" s="208">
        <f>'Unitized Lighting'!E$74</f>
        <v>0</v>
      </c>
      <c r="S38" s="208">
        <f>'Unitized Lighting'!E$106</f>
        <v>0.15563681670383042</v>
      </c>
      <c r="T38" s="208">
        <f>'Unitized Lighting'!$E$123</f>
        <v>1.0508189438633434E-4</v>
      </c>
      <c r="U38" s="34">
        <f t="shared" si="24"/>
        <v>0</v>
      </c>
      <c r="V38" s="34">
        <f t="shared" si="25"/>
        <v>0</v>
      </c>
      <c r="W38" s="34">
        <f t="shared" si="26"/>
        <v>0</v>
      </c>
      <c r="X38" s="34">
        <f t="shared" si="27"/>
        <v>1.089457716926813E-2</v>
      </c>
      <c r="Y38" s="34">
        <f t="shared" si="28"/>
        <v>2.5745064124651912E-3</v>
      </c>
      <c r="Z38" s="198">
        <f t="shared" si="29"/>
        <v>1.3469083581733321E-2</v>
      </c>
    </row>
    <row r="39" spans="1:26" x14ac:dyDescent="0.2">
      <c r="A39" s="173" t="str">
        <f t="shared" ref="A39:A44" si="30">+A38</f>
        <v xml:space="preserve">52E </v>
      </c>
      <c r="B39" s="133" t="s">
        <v>146</v>
      </c>
      <c r="C39" s="133" t="s">
        <v>198</v>
      </c>
      <c r="D39" s="133" t="s">
        <v>201</v>
      </c>
      <c r="E39" s="133">
        <v>100</v>
      </c>
      <c r="F39" s="133" t="s">
        <v>27</v>
      </c>
      <c r="G39" s="213">
        <v>9604</v>
      </c>
      <c r="H39" s="135" t="s">
        <v>138</v>
      </c>
      <c r="I39" s="136" t="s">
        <v>137</v>
      </c>
      <c r="J39" s="219">
        <v>1</v>
      </c>
      <c r="K39" s="138">
        <f t="shared" si="20"/>
        <v>0</v>
      </c>
      <c r="L39" s="135">
        <f t="shared" si="21"/>
        <v>0</v>
      </c>
      <c r="M39" s="139">
        <f t="shared" si="22"/>
        <v>960.4</v>
      </c>
      <c r="N39" s="223">
        <v>4033680</v>
      </c>
      <c r="O39" s="170">
        <f t="shared" si="23"/>
        <v>35</v>
      </c>
      <c r="P39" s="204">
        <f>'Unitized Lighting'!E$21</f>
        <v>6.1581099210352255E-4</v>
      </c>
      <c r="Q39" s="208">
        <f>'Unitized Lighting'!$E$45</f>
        <v>0</v>
      </c>
      <c r="R39" s="208">
        <f>'Unitized Lighting'!E$74</f>
        <v>0</v>
      </c>
      <c r="S39" s="208">
        <f>'Unitized Lighting'!E$106</f>
        <v>0.15563681670383042</v>
      </c>
      <c r="T39" s="208">
        <f>'Unitized Lighting'!$E$123</f>
        <v>1.0508189438633434E-4</v>
      </c>
      <c r="U39" s="34">
        <f t="shared" si="24"/>
        <v>0</v>
      </c>
      <c r="V39" s="34">
        <f t="shared" si="25"/>
        <v>0</v>
      </c>
      <c r="W39" s="34">
        <f t="shared" si="26"/>
        <v>0</v>
      </c>
      <c r="X39" s="34">
        <f t="shared" si="27"/>
        <v>1.5563681670383042E-2</v>
      </c>
      <c r="Y39" s="34">
        <f t="shared" si="28"/>
        <v>3.6778663035217018E-3</v>
      </c>
      <c r="Z39" s="198">
        <f t="shared" si="29"/>
        <v>1.9241547973904743E-2</v>
      </c>
    </row>
    <row r="40" spans="1:26" x14ac:dyDescent="0.2">
      <c r="A40" s="173" t="str">
        <f t="shared" si="30"/>
        <v xml:space="preserve">52E </v>
      </c>
      <c r="B40" s="133" t="s">
        <v>146</v>
      </c>
      <c r="C40" s="133" t="s">
        <v>198</v>
      </c>
      <c r="D40" s="133" t="s">
        <v>202</v>
      </c>
      <c r="E40" s="133">
        <v>150</v>
      </c>
      <c r="F40" s="133" t="s">
        <v>27</v>
      </c>
      <c r="G40" s="213">
        <v>4470</v>
      </c>
      <c r="H40" s="135" t="s">
        <v>138</v>
      </c>
      <c r="I40" s="136" t="s">
        <v>137</v>
      </c>
      <c r="J40" s="219">
        <v>1</v>
      </c>
      <c r="K40" s="138">
        <f t="shared" si="20"/>
        <v>0</v>
      </c>
      <c r="L40" s="135">
        <f t="shared" si="21"/>
        <v>0</v>
      </c>
      <c r="M40" s="139">
        <f t="shared" si="22"/>
        <v>670.5</v>
      </c>
      <c r="N40" s="223">
        <v>2816100</v>
      </c>
      <c r="O40" s="170">
        <f t="shared" si="23"/>
        <v>52.5</v>
      </c>
      <c r="P40" s="204">
        <f>'Unitized Lighting'!E$21</f>
        <v>6.1581099210352255E-4</v>
      </c>
      <c r="Q40" s="208">
        <f>'Unitized Lighting'!$E$45</f>
        <v>0</v>
      </c>
      <c r="R40" s="208">
        <f>'Unitized Lighting'!E$74</f>
        <v>0</v>
      </c>
      <c r="S40" s="208">
        <f>'Unitized Lighting'!E$106</f>
        <v>0.15563681670383042</v>
      </c>
      <c r="T40" s="208">
        <f>'Unitized Lighting'!$E$123</f>
        <v>1.0508189438633434E-4</v>
      </c>
      <c r="U40" s="34">
        <f t="shared" si="24"/>
        <v>0</v>
      </c>
      <c r="V40" s="34">
        <f t="shared" si="25"/>
        <v>0</v>
      </c>
      <c r="W40" s="34">
        <f t="shared" si="26"/>
        <v>0</v>
      </c>
      <c r="X40" s="34">
        <f t="shared" si="27"/>
        <v>2.3345522505574565E-2</v>
      </c>
      <c r="Y40" s="34">
        <f t="shared" si="28"/>
        <v>5.5167994552825532E-3</v>
      </c>
      <c r="Z40" s="198">
        <f t="shared" si="29"/>
        <v>2.8862321960857119E-2</v>
      </c>
    </row>
    <row r="41" spans="1:26" x14ac:dyDescent="0.2">
      <c r="A41" s="173" t="str">
        <f t="shared" si="30"/>
        <v xml:space="preserve">52E </v>
      </c>
      <c r="B41" s="133" t="s">
        <v>146</v>
      </c>
      <c r="C41" s="133" t="s">
        <v>198</v>
      </c>
      <c r="D41" s="133" t="s">
        <v>203</v>
      </c>
      <c r="E41" s="133">
        <v>200</v>
      </c>
      <c r="F41" s="133" t="s">
        <v>27</v>
      </c>
      <c r="G41" s="213">
        <v>948</v>
      </c>
      <c r="H41" s="135" t="s">
        <v>138</v>
      </c>
      <c r="I41" s="136" t="s">
        <v>137</v>
      </c>
      <c r="J41" s="219">
        <v>1</v>
      </c>
      <c r="K41" s="138">
        <f t="shared" si="20"/>
        <v>0</v>
      </c>
      <c r="L41" s="135">
        <f t="shared" si="21"/>
        <v>0</v>
      </c>
      <c r="M41" s="139">
        <f t="shared" si="22"/>
        <v>189.6</v>
      </c>
      <c r="N41" s="223">
        <v>796320</v>
      </c>
      <c r="O41" s="170">
        <f t="shared" si="23"/>
        <v>70</v>
      </c>
      <c r="P41" s="204">
        <f>'Unitized Lighting'!E$21</f>
        <v>6.1581099210352255E-4</v>
      </c>
      <c r="Q41" s="208">
        <f>'Unitized Lighting'!$E$45</f>
        <v>0</v>
      </c>
      <c r="R41" s="208">
        <f>'Unitized Lighting'!E$74</f>
        <v>0</v>
      </c>
      <c r="S41" s="208">
        <f>'Unitized Lighting'!E$106</f>
        <v>0.15563681670383042</v>
      </c>
      <c r="T41" s="208">
        <f>'Unitized Lighting'!$E$123</f>
        <v>1.0508189438633434E-4</v>
      </c>
      <c r="U41" s="34">
        <f t="shared" si="24"/>
        <v>0</v>
      </c>
      <c r="V41" s="34">
        <f t="shared" si="25"/>
        <v>0</v>
      </c>
      <c r="W41" s="34">
        <f t="shared" si="26"/>
        <v>0</v>
      </c>
      <c r="X41" s="34">
        <f t="shared" si="27"/>
        <v>3.1127363340766084E-2</v>
      </c>
      <c r="Y41" s="34">
        <f t="shared" si="28"/>
        <v>7.3557326070434036E-3</v>
      </c>
      <c r="Z41" s="198">
        <f t="shared" si="29"/>
        <v>3.8483095947809486E-2</v>
      </c>
    </row>
    <row r="42" spans="1:26" x14ac:dyDescent="0.2">
      <c r="A42" s="173" t="str">
        <f t="shared" si="30"/>
        <v xml:space="preserve">52E </v>
      </c>
      <c r="B42" s="133" t="s">
        <v>146</v>
      </c>
      <c r="C42" s="133" t="s">
        <v>198</v>
      </c>
      <c r="D42" s="133" t="s">
        <v>204</v>
      </c>
      <c r="E42" s="133">
        <v>250</v>
      </c>
      <c r="F42" s="133" t="s">
        <v>27</v>
      </c>
      <c r="G42" s="213">
        <v>1399</v>
      </c>
      <c r="H42" s="135" t="s">
        <v>138</v>
      </c>
      <c r="I42" s="136" t="s">
        <v>137</v>
      </c>
      <c r="J42" s="219">
        <v>1</v>
      </c>
      <c r="K42" s="138">
        <f t="shared" si="20"/>
        <v>0</v>
      </c>
      <c r="L42" s="135">
        <f t="shared" si="21"/>
        <v>0</v>
      </c>
      <c r="M42" s="139">
        <f t="shared" si="22"/>
        <v>349.75</v>
      </c>
      <c r="N42" s="223">
        <v>1468950</v>
      </c>
      <c r="O42" s="170">
        <f t="shared" si="23"/>
        <v>87.5</v>
      </c>
      <c r="P42" s="204">
        <f>'Unitized Lighting'!E$21</f>
        <v>6.1581099210352255E-4</v>
      </c>
      <c r="Q42" s="208">
        <f>'Unitized Lighting'!$E$45</f>
        <v>0</v>
      </c>
      <c r="R42" s="208">
        <f>'Unitized Lighting'!E$74</f>
        <v>0</v>
      </c>
      <c r="S42" s="208">
        <f>'Unitized Lighting'!E$106</f>
        <v>0.15563681670383042</v>
      </c>
      <c r="T42" s="208">
        <f>'Unitized Lighting'!$E$123</f>
        <v>1.0508189438633434E-4</v>
      </c>
      <c r="U42" s="34">
        <f t="shared" si="24"/>
        <v>0</v>
      </c>
      <c r="V42" s="34">
        <f t="shared" si="25"/>
        <v>0</v>
      </c>
      <c r="W42" s="34">
        <f t="shared" si="26"/>
        <v>0</v>
      </c>
      <c r="X42" s="34">
        <f t="shared" si="27"/>
        <v>3.8909204175957605E-2</v>
      </c>
      <c r="Y42" s="34">
        <f t="shared" si="28"/>
        <v>9.194665758804255E-3</v>
      </c>
      <c r="Z42" s="198">
        <f t="shared" si="29"/>
        <v>4.8103869934761859E-2</v>
      </c>
    </row>
    <row r="43" spans="1:26" x14ac:dyDescent="0.2">
      <c r="A43" s="173" t="str">
        <f t="shared" si="30"/>
        <v xml:space="preserve">52E </v>
      </c>
      <c r="B43" s="133" t="s">
        <v>146</v>
      </c>
      <c r="C43" s="133" t="s">
        <v>198</v>
      </c>
      <c r="D43" s="133" t="s">
        <v>205</v>
      </c>
      <c r="E43" s="133">
        <v>310</v>
      </c>
      <c r="F43" s="133" t="s">
        <v>27</v>
      </c>
      <c r="G43" s="213">
        <v>141</v>
      </c>
      <c r="H43" s="135" t="s">
        <v>138</v>
      </c>
      <c r="I43" s="136" t="s">
        <v>137</v>
      </c>
      <c r="J43" s="219">
        <v>1</v>
      </c>
      <c r="K43" s="138">
        <f t="shared" si="20"/>
        <v>0</v>
      </c>
      <c r="L43" s="135">
        <f t="shared" si="21"/>
        <v>0</v>
      </c>
      <c r="M43" s="139">
        <f t="shared" si="22"/>
        <v>43.71</v>
      </c>
      <c r="N43" s="223">
        <v>183582</v>
      </c>
      <c r="O43" s="170">
        <f t="shared" si="23"/>
        <v>108.5</v>
      </c>
      <c r="P43" s="204">
        <f>'Unitized Lighting'!E$21</f>
        <v>6.1581099210352255E-4</v>
      </c>
      <c r="Q43" s="208">
        <f>'Unitized Lighting'!$E$45</f>
        <v>0</v>
      </c>
      <c r="R43" s="208">
        <f>'Unitized Lighting'!E$74</f>
        <v>0</v>
      </c>
      <c r="S43" s="208">
        <f>'Unitized Lighting'!E$106</f>
        <v>0.15563681670383042</v>
      </c>
      <c r="T43" s="208">
        <f>'Unitized Lighting'!$E$123</f>
        <v>1.0508189438633434E-4</v>
      </c>
      <c r="U43" s="34">
        <f t="shared" si="24"/>
        <v>0</v>
      </c>
      <c r="V43" s="34">
        <f t="shared" si="25"/>
        <v>0</v>
      </c>
      <c r="W43" s="34">
        <f t="shared" si="26"/>
        <v>0</v>
      </c>
      <c r="X43" s="34">
        <f t="shared" si="27"/>
        <v>4.8247413178187426E-2</v>
      </c>
      <c r="Y43" s="34">
        <f t="shared" si="28"/>
        <v>1.1401385540917276E-2</v>
      </c>
      <c r="Z43" s="198">
        <f t="shared" si="29"/>
        <v>5.9648798719104702E-2</v>
      </c>
    </row>
    <row r="44" spans="1:26" x14ac:dyDescent="0.2">
      <c r="A44" s="173" t="str">
        <f t="shared" si="30"/>
        <v xml:space="preserve">52E </v>
      </c>
      <c r="B44" s="133" t="s">
        <v>146</v>
      </c>
      <c r="C44" s="133" t="s">
        <v>198</v>
      </c>
      <c r="D44" s="133" t="s">
        <v>206</v>
      </c>
      <c r="E44" s="133">
        <v>400</v>
      </c>
      <c r="F44" s="133" t="s">
        <v>27</v>
      </c>
      <c r="G44" s="213">
        <v>589</v>
      </c>
      <c r="H44" s="135" t="s">
        <v>138</v>
      </c>
      <c r="I44" s="136" t="s">
        <v>137</v>
      </c>
      <c r="J44" s="219">
        <v>1</v>
      </c>
      <c r="K44" s="138">
        <f t="shared" si="20"/>
        <v>0</v>
      </c>
      <c r="L44" s="135">
        <f t="shared" si="21"/>
        <v>0</v>
      </c>
      <c r="M44" s="139">
        <f t="shared" si="22"/>
        <v>235.6</v>
      </c>
      <c r="N44" s="223">
        <v>989520</v>
      </c>
      <c r="O44" s="170">
        <f t="shared" si="23"/>
        <v>140</v>
      </c>
      <c r="P44" s="204">
        <f>'Unitized Lighting'!E$21</f>
        <v>6.1581099210352255E-4</v>
      </c>
      <c r="Q44" s="208">
        <f>'Unitized Lighting'!$E$45</f>
        <v>0</v>
      </c>
      <c r="R44" s="208">
        <f>'Unitized Lighting'!E$74</f>
        <v>0</v>
      </c>
      <c r="S44" s="208">
        <f>'Unitized Lighting'!E$106</f>
        <v>0.15563681670383042</v>
      </c>
      <c r="T44" s="208">
        <f>'Unitized Lighting'!$E$123</f>
        <v>1.0508189438633434E-4</v>
      </c>
      <c r="U44" s="34">
        <f t="shared" si="24"/>
        <v>0</v>
      </c>
      <c r="V44" s="34">
        <f t="shared" si="25"/>
        <v>0</v>
      </c>
      <c r="W44" s="34">
        <f t="shared" si="26"/>
        <v>0</v>
      </c>
      <c r="X44" s="34">
        <f t="shared" si="27"/>
        <v>6.2254726681532167E-2</v>
      </c>
      <c r="Y44" s="34">
        <f t="shared" si="28"/>
        <v>1.4711465214086807E-2</v>
      </c>
      <c r="Z44" s="198">
        <f t="shared" si="29"/>
        <v>7.6966191895618971E-2</v>
      </c>
    </row>
    <row r="45" spans="1:26" x14ac:dyDescent="0.2">
      <c r="A45" s="173"/>
      <c r="B45" s="132"/>
      <c r="C45" s="145"/>
      <c r="D45" s="145"/>
      <c r="E45" s="145"/>
      <c r="F45" s="136"/>
      <c r="G45" s="214"/>
      <c r="H45" s="135"/>
      <c r="I45" s="136"/>
      <c r="J45" s="219"/>
      <c r="K45" s="138"/>
      <c r="L45" s="135"/>
      <c r="M45" s="139"/>
      <c r="N45" s="223"/>
      <c r="O45" s="175"/>
      <c r="P45" s="204"/>
      <c r="Q45" s="208"/>
      <c r="R45" s="208"/>
      <c r="S45" s="208"/>
      <c r="T45" s="208"/>
      <c r="Z45" s="198"/>
    </row>
    <row r="46" spans="1:26" x14ac:dyDescent="0.2">
      <c r="A46" s="169" t="str">
        <f>+A42</f>
        <v xml:space="preserve">52E </v>
      </c>
      <c r="B46" s="151"/>
      <c r="C46" s="133" t="s">
        <v>207</v>
      </c>
      <c r="D46" s="133" t="s">
        <v>208</v>
      </c>
      <c r="E46" s="133">
        <v>70</v>
      </c>
      <c r="F46" s="133" t="s">
        <v>27</v>
      </c>
      <c r="G46" s="213">
        <v>70</v>
      </c>
      <c r="H46" s="135" t="s">
        <v>138</v>
      </c>
      <c r="I46" s="136" t="s">
        <v>137</v>
      </c>
      <c r="J46" s="219">
        <v>2</v>
      </c>
      <c r="K46" s="138">
        <f t="shared" ref="K46:K52" si="31">IF(I46="Yes",G46*J46,0)</f>
        <v>0</v>
      </c>
      <c r="L46" s="135">
        <f t="shared" ref="L46:L52" si="32">IF(F46="Company", G46*H46,0)</f>
        <v>0</v>
      </c>
      <c r="M46" s="139">
        <f t="shared" ref="M46:M52" si="33">E46*G46/1000</f>
        <v>4.9000000000000004</v>
      </c>
      <c r="N46" s="223">
        <v>20580.000000000004</v>
      </c>
      <c r="O46" s="170">
        <f t="shared" ref="O46:O52" si="34">E46*4200/1000/12</f>
        <v>24.5</v>
      </c>
      <c r="P46" s="204">
        <f>'Unitized Lighting'!E$21</f>
        <v>6.1581099210352255E-4</v>
      </c>
      <c r="Q46" s="208">
        <f>'Unitized Lighting'!$E$45</f>
        <v>0</v>
      </c>
      <c r="R46" s="208">
        <f>'Unitized Lighting'!E$74</f>
        <v>0</v>
      </c>
      <c r="S46" s="208">
        <f>'Unitized Lighting'!E$106</f>
        <v>0.15563681670383042</v>
      </c>
      <c r="T46" s="208">
        <f>'Unitized Lighting'!$E$123</f>
        <v>1.0508189438633434E-4</v>
      </c>
      <c r="U46" s="34">
        <f t="shared" ref="U46:U52" si="35">IF(F46="Company", H46*P46, 0)</f>
        <v>0</v>
      </c>
      <c r="V46" s="34">
        <f t="shared" ref="V46:V52" si="36">IF(I46="yes", J46*Q46, 0)</f>
        <v>0</v>
      </c>
      <c r="W46" s="34">
        <f t="shared" ref="W46:W52" si="37">R46*O46</f>
        <v>0</v>
      </c>
      <c r="X46" s="34">
        <f t="shared" ref="X46:X52" si="38">E46*S46/1000</f>
        <v>1.089457716926813E-2</v>
      </c>
      <c r="Y46" s="34">
        <f t="shared" ref="Y46:Y52" si="39">O46*T46</f>
        <v>2.5745064124651912E-3</v>
      </c>
      <c r="Z46" s="198">
        <f t="shared" ref="Z46:Z52" si="40">SUM(U46:Y46)</f>
        <v>1.3469083581733321E-2</v>
      </c>
    </row>
    <row r="47" spans="1:26" x14ac:dyDescent="0.2">
      <c r="A47" s="169" t="str">
        <f>+A43</f>
        <v xml:space="preserve">52E </v>
      </c>
      <c r="B47" s="151"/>
      <c r="C47" s="133" t="s">
        <v>207</v>
      </c>
      <c r="D47" s="133" t="s">
        <v>209</v>
      </c>
      <c r="E47" s="133">
        <v>100</v>
      </c>
      <c r="F47" s="133" t="s">
        <v>27</v>
      </c>
      <c r="G47" s="213">
        <v>4</v>
      </c>
      <c r="H47" s="135" t="s">
        <v>138</v>
      </c>
      <c r="I47" s="136" t="s">
        <v>137</v>
      </c>
      <c r="J47" s="219">
        <v>2</v>
      </c>
      <c r="K47" s="138">
        <f t="shared" si="31"/>
        <v>0</v>
      </c>
      <c r="L47" s="135">
        <f t="shared" si="32"/>
        <v>0</v>
      </c>
      <c r="M47" s="139">
        <f t="shared" si="33"/>
        <v>0.4</v>
      </c>
      <c r="N47" s="223">
        <v>1680</v>
      </c>
      <c r="O47" s="170">
        <f t="shared" si="34"/>
        <v>35</v>
      </c>
      <c r="P47" s="204">
        <f>'Unitized Lighting'!E$21</f>
        <v>6.1581099210352255E-4</v>
      </c>
      <c r="Q47" s="208">
        <f>'Unitized Lighting'!$E$45</f>
        <v>0</v>
      </c>
      <c r="R47" s="208">
        <f>'Unitized Lighting'!E$74</f>
        <v>0</v>
      </c>
      <c r="S47" s="208">
        <f>'Unitized Lighting'!E$106</f>
        <v>0.15563681670383042</v>
      </c>
      <c r="T47" s="208">
        <f>'Unitized Lighting'!$E$123</f>
        <v>1.0508189438633434E-4</v>
      </c>
      <c r="U47" s="34">
        <f t="shared" si="35"/>
        <v>0</v>
      </c>
      <c r="V47" s="34">
        <f t="shared" si="36"/>
        <v>0</v>
      </c>
      <c r="W47" s="34">
        <f t="shared" si="37"/>
        <v>0</v>
      </c>
      <c r="X47" s="34">
        <f t="shared" si="38"/>
        <v>1.5563681670383042E-2</v>
      </c>
      <c r="Y47" s="34">
        <f t="shared" si="39"/>
        <v>3.6778663035217018E-3</v>
      </c>
      <c r="Z47" s="198">
        <f t="shared" si="40"/>
        <v>1.9241547973904743E-2</v>
      </c>
    </row>
    <row r="48" spans="1:26" x14ac:dyDescent="0.2">
      <c r="A48" s="169" t="str">
        <f>+A44</f>
        <v xml:space="preserve">52E </v>
      </c>
      <c r="B48" s="151"/>
      <c r="C48" s="133" t="s">
        <v>207</v>
      </c>
      <c r="D48" s="133" t="s">
        <v>210</v>
      </c>
      <c r="E48" s="133">
        <v>150</v>
      </c>
      <c r="F48" s="133" t="s">
        <v>27</v>
      </c>
      <c r="G48" s="213">
        <v>201</v>
      </c>
      <c r="H48" s="135" t="s">
        <v>138</v>
      </c>
      <c r="I48" s="136" t="s">
        <v>137</v>
      </c>
      <c r="J48" s="219">
        <v>2</v>
      </c>
      <c r="K48" s="138">
        <f t="shared" si="31"/>
        <v>0</v>
      </c>
      <c r="L48" s="135">
        <f t="shared" si="32"/>
        <v>0</v>
      </c>
      <c r="M48" s="139">
        <f t="shared" si="33"/>
        <v>30.15</v>
      </c>
      <c r="N48" s="223">
        <v>126630</v>
      </c>
      <c r="O48" s="170">
        <f t="shared" si="34"/>
        <v>52.5</v>
      </c>
      <c r="P48" s="204">
        <f>'Unitized Lighting'!E$21</f>
        <v>6.1581099210352255E-4</v>
      </c>
      <c r="Q48" s="208">
        <f>'Unitized Lighting'!$E$45</f>
        <v>0</v>
      </c>
      <c r="R48" s="208">
        <f>'Unitized Lighting'!E$74</f>
        <v>0</v>
      </c>
      <c r="S48" s="208">
        <f>'Unitized Lighting'!E$106</f>
        <v>0.15563681670383042</v>
      </c>
      <c r="T48" s="208">
        <f>'Unitized Lighting'!$E$123</f>
        <v>1.0508189438633434E-4</v>
      </c>
      <c r="U48" s="34">
        <f t="shared" si="35"/>
        <v>0</v>
      </c>
      <c r="V48" s="34">
        <f t="shared" si="36"/>
        <v>0</v>
      </c>
      <c r="W48" s="34">
        <f t="shared" si="37"/>
        <v>0</v>
      </c>
      <c r="X48" s="34">
        <f t="shared" si="38"/>
        <v>2.3345522505574565E-2</v>
      </c>
      <c r="Y48" s="34">
        <f t="shared" si="39"/>
        <v>5.5167994552825532E-3</v>
      </c>
      <c r="Z48" s="198">
        <f t="shared" si="40"/>
        <v>2.8862321960857119E-2</v>
      </c>
    </row>
    <row r="49" spans="1:26" x14ac:dyDescent="0.2">
      <c r="A49" s="169" t="str">
        <f>A48</f>
        <v xml:space="preserve">52E </v>
      </c>
      <c r="B49" s="151"/>
      <c r="C49" s="133" t="s">
        <v>207</v>
      </c>
      <c r="D49" s="133" t="s">
        <v>211</v>
      </c>
      <c r="E49" s="133">
        <v>175</v>
      </c>
      <c r="F49" s="133" t="s">
        <v>27</v>
      </c>
      <c r="G49" s="213">
        <v>212</v>
      </c>
      <c r="H49" s="135" t="s">
        <v>138</v>
      </c>
      <c r="I49" s="136" t="s">
        <v>137</v>
      </c>
      <c r="J49" s="219">
        <v>2</v>
      </c>
      <c r="K49" s="138">
        <f t="shared" si="31"/>
        <v>0</v>
      </c>
      <c r="L49" s="135">
        <f t="shared" si="32"/>
        <v>0</v>
      </c>
      <c r="M49" s="139">
        <f t="shared" si="33"/>
        <v>37.1</v>
      </c>
      <c r="N49" s="223">
        <v>155820</v>
      </c>
      <c r="O49" s="170">
        <f t="shared" si="34"/>
        <v>61.25</v>
      </c>
      <c r="P49" s="204">
        <f>'Unitized Lighting'!E$21</f>
        <v>6.1581099210352255E-4</v>
      </c>
      <c r="Q49" s="208">
        <f>'Unitized Lighting'!$E$45</f>
        <v>0</v>
      </c>
      <c r="R49" s="208">
        <f>'Unitized Lighting'!E$74</f>
        <v>0</v>
      </c>
      <c r="S49" s="208">
        <f>'Unitized Lighting'!E$106</f>
        <v>0.15563681670383042</v>
      </c>
      <c r="T49" s="208">
        <f>'Unitized Lighting'!$E$123</f>
        <v>1.0508189438633434E-4</v>
      </c>
      <c r="U49" s="34">
        <f t="shared" si="35"/>
        <v>0</v>
      </c>
      <c r="V49" s="34">
        <f t="shared" si="36"/>
        <v>0</v>
      </c>
      <c r="W49" s="34">
        <f t="shared" si="37"/>
        <v>0</v>
      </c>
      <c r="X49" s="34">
        <f t="shared" si="38"/>
        <v>2.7236442923170321E-2</v>
      </c>
      <c r="Y49" s="34">
        <f t="shared" si="39"/>
        <v>6.436266031162978E-3</v>
      </c>
      <c r="Z49" s="198">
        <f t="shared" si="40"/>
        <v>3.3672708954333302E-2</v>
      </c>
    </row>
    <row r="50" spans="1:26" x14ac:dyDescent="0.2">
      <c r="A50" s="173" t="str">
        <f>+A49</f>
        <v xml:space="preserve">52E </v>
      </c>
      <c r="B50" s="132"/>
      <c r="C50" s="133" t="s">
        <v>207</v>
      </c>
      <c r="D50" s="133" t="s">
        <v>212</v>
      </c>
      <c r="E50" s="133">
        <v>250</v>
      </c>
      <c r="F50" s="133" t="s">
        <v>27</v>
      </c>
      <c r="G50" s="213">
        <v>36</v>
      </c>
      <c r="H50" s="135" t="s">
        <v>138</v>
      </c>
      <c r="I50" s="136" t="s">
        <v>137</v>
      </c>
      <c r="J50" s="219">
        <v>2</v>
      </c>
      <c r="K50" s="138">
        <f t="shared" si="31"/>
        <v>0</v>
      </c>
      <c r="L50" s="135">
        <f t="shared" si="32"/>
        <v>0</v>
      </c>
      <c r="M50" s="139">
        <f t="shared" si="33"/>
        <v>9</v>
      </c>
      <c r="N50" s="223">
        <v>37800</v>
      </c>
      <c r="O50" s="170">
        <f t="shared" si="34"/>
        <v>87.5</v>
      </c>
      <c r="P50" s="204">
        <f>'Unitized Lighting'!E$21</f>
        <v>6.1581099210352255E-4</v>
      </c>
      <c r="Q50" s="208">
        <f>'Unitized Lighting'!$E$45</f>
        <v>0</v>
      </c>
      <c r="R50" s="208">
        <f>'Unitized Lighting'!E$74</f>
        <v>0</v>
      </c>
      <c r="S50" s="208">
        <f>'Unitized Lighting'!E$106</f>
        <v>0.15563681670383042</v>
      </c>
      <c r="T50" s="208">
        <f>'Unitized Lighting'!$E$123</f>
        <v>1.0508189438633434E-4</v>
      </c>
      <c r="U50" s="34">
        <f t="shared" si="35"/>
        <v>0</v>
      </c>
      <c r="V50" s="34">
        <f t="shared" si="36"/>
        <v>0</v>
      </c>
      <c r="W50" s="34">
        <f t="shared" si="37"/>
        <v>0</v>
      </c>
      <c r="X50" s="34">
        <f t="shared" si="38"/>
        <v>3.8909204175957605E-2</v>
      </c>
      <c r="Y50" s="34">
        <f t="shared" si="39"/>
        <v>9.194665758804255E-3</v>
      </c>
      <c r="Z50" s="198">
        <f t="shared" si="40"/>
        <v>4.8103869934761859E-2</v>
      </c>
    </row>
    <row r="51" spans="1:26" x14ac:dyDescent="0.2">
      <c r="A51" s="173" t="str">
        <f>+A50</f>
        <v xml:space="preserve">52E </v>
      </c>
      <c r="B51" s="132"/>
      <c r="C51" s="133" t="s">
        <v>207</v>
      </c>
      <c r="D51" s="133" t="s">
        <v>213</v>
      </c>
      <c r="E51" s="133">
        <v>400</v>
      </c>
      <c r="F51" s="133" t="s">
        <v>27</v>
      </c>
      <c r="G51" s="213">
        <v>57</v>
      </c>
      <c r="H51" s="135" t="s">
        <v>138</v>
      </c>
      <c r="I51" s="136" t="s">
        <v>137</v>
      </c>
      <c r="J51" s="219">
        <v>2</v>
      </c>
      <c r="K51" s="138">
        <f t="shared" si="31"/>
        <v>0</v>
      </c>
      <c r="L51" s="135">
        <f t="shared" si="32"/>
        <v>0</v>
      </c>
      <c r="M51" s="139">
        <f t="shared" si="33"/>
        <v>22.8</v>
      </c>
      <c r="N51" s="223">
        <v>95760</v>
      </c>
      <c r="O51" s="170">
        <f t="shared" si="34"/>
        <v>140</v>
      </c>
      <c r="P51" s="204">
        <f>'Unitized Lighting'!E$21</f>
        <v>6.1581099210352255E-4</v>
      </c>
      <c r="Q51" s="208">
        <f>'Unitized Lighting'!$E$45</f>
        <v>0</v>
      </c>
      <c r="R51" s="208">
        <f>'Unitized Lighting'!E$74</f>
        <v>0</v>
      </c>
      <c r="S51" s="208">
        <f>'Unitized Lighting'!E$106</f>
        <v>0.15563681670383042</v>
      </c>
      <c r="T51" s="208">
        <f>'Unitized Lighting'!$E$123</f>
        <v>1.0508189438633434E-4</v>
      </c>
      <c r="U51" s="34">
        <f t="shared" si="35"/>
        <v>0</v>
      </c>
      <c r="V51" s="34">
        <f t="shared" si="36"/>
        <v>0</v>
      </c>
      <c r="W51" s="34">
        <f t="shared" si="37"/>
        <v>0</v>
      </c>
      <c r="X51" s="34">
        <f t="shared" si="38"/>
        <v>6.2254726681532167E-2</v>
      </c>
      <c r="Y51" s="34">
        <f t="shared" si="39"/>
        <v>1.4711465214086807E-2</v>
      </c>
      <c r="Z51" s="198">
        <f t="shared" si="40"/>
        <v>7.6966191895618971E-2</v>
      </c>
    </row>
    <row r="52" spans="1:26" x14ac:dyDescent="0.2">
      <c r="A52" s="176" t="str">
        <f>+A51</f>
        <v xml:space="preserve">52E </v>
      </c>
      <c r="B52" s="152"/>
      <c r="C52" s="133" t="s">
        <v>207</v>
      </c>
      <c r="D52" s="133" t="s">
        <v>214</v>
      </c>
      <c r="E52" s="133">
        <v>1000</v>
      </c>
      <c r="F52" s="133" t="s">
        <v>27</v>
      </c>
      <c r="G52" s="213">
        <v>18</v>
      </c>
      <c r="H52" s="135" t="s">
        <v>138</v>
      </c>
      <c r="I52" s="136" t="s">
        <v>137</v>
      </c>
      <c r="J52" s="220">
        <v>2</v>
      </c>
      <c r="K52" s="138">
        <f t="shared" si="31"/>
        <v>0</v>
      </c>
      <c r="L52" s="153">
        <f t="shared" si="32"/>
        <v>0</v>
      </c>
      <c r="M52" s="154">
        <f t="shared" si="33"/>
        <v>18</v>
      </c>
      <c r="N52" s="223">
        <v>75600</v>
      </c>
      <c r="O52" s="170">
        <f t="shared" si="34"/>
        <v>350</v>
      </c>
      <c r="P52" s="204">
        <f>'Unitized Lighting'!E$21</f>
        <v>6.1581099210352255E-4</v>
      </c>
      <c r="Q52" s="208">
        <f>'Unitized Lighting'!$E$45</f>
        <v>0</v>
      </c>
      <c r="R52" s="208">
        <f>'Unitized Lighting'!E$74</f>
        <v>0</v>
      </c>
      <c r="S52" s="208">
        <f>'Unitized Lighting'!E$106</f>
        <v>0.15563681670383042</v>
      </c>
      <c r="T52" s="208">
        <f>'Unitized Lighting'!$E$123</f>
        <v>1.0508189438633434E-4</v>
      </c>
      <c r="U52" s="34">
        <f t="shared" si="35"/>
        <v>0</v>
      </c>
      <c r="V52" s="34">
        <f t="shared" si="36"/>
        <v>0</v>
      </c>
      <c r="W52" s="34">
        <f t="shared" si="37"/>
        <v>0</v>
      </c>
      <c r="X52" s="34">
        <f t="shared" si="38"/>
        <v>0.15563681670383042</v>
      </c>
      <c r="Y52" s="34">
        <f t="shared" si="39"/>
        <v>3.677866303521702E-2</v>
      </c>
      <c r="Z52" s="198">
        <f t="shared" si="40"/>
        <v>0.19241547973904743</v>
      </c>
    </row>
    <row r="53" spans="1:26" x14ac:dyDescent="0.2">
      <c r="A53" s="167" t="s">
        <v>153</v>
      </c>
      <c r="B53" s="125"/>
      <c r="C53" s="126"/>
      <c r="D53" s="127"/>
      <c r="E53" s="128"/>
      <c r="F53" s="127"/>
      <c r="G53" s="212"/>
      <c r="H53" s="129"/>
      <c r="I53" s="126"/>
      <c r="J53" s="218"/>
      <c r="K53" s="150"/>
      <c r="L53" s="129"/>
      <c r="M53" s="131"/>
      <c r="N53" s="222"/>
      <c r="O53" s="168"/>
      <c r="P53" s="203"/>
      <c r="Q53" s="207"/>
      <c r="R53" s="207"/>
      <c r="S53" s="207"/>
      <c r="T53" s="207"/>
      <c r="U53" s="43"/>
      <c r="V53" s="43"/>
      <c r="W53" s="43"/>
      <c r="X53" s="43"/>
      <c r="Y53" s="43"/>
      <c r="Z53" s="197"/>
    </row>
    <row r="54" spans="1:26" x14ac:dyDescent="0.2">
      <c r="A54" s="169" t="s">
        <v>152</v>
      </c>
      <c r="B54" s="133" t="s">
        <v>146</v>
      </c>
      <c r="C54" s="133" t="s">
        <v>198</v>
      </c>
      <c r="D54" s="133" t="s">
        <v>215</v>
      </c>
      <c r="E54" s="133">
        <v>50</v>
      </c>
      <c r="F54" s="133" t="s">
        <v>216</v>
      </c>
      <c r="G54" s="213">
        <v>0</v>
      </c>
      <c r="H54" s="253">
        <v>847.10701856946366</v>
      </c>
      <c r="I54" s="136" t="s">
        <v>131</v>
      </c>
      <c r="J54" s="219">
        <v>1</v>
      </c>
      <c r="K54" s="138">
        <f t="shared" ref="K54:K62" si="41">IF(I54="Yes",G54*J54,0)</f>
        <v>0</v>
      </c>
      <c r="L54" s="135">
        <f t="shared" ref="L54:L62" si="42">IF(F54="Company", G54*H54,0)</f>
        <v>0</v>
      </c>
      <c r="M54" s="139">
        <f t="shared" ref="M54:M62" si="43">E54*G54/1000</f>
        <v>0</v>
      </c>
      <c r="N54" s="223">
        <v>0</v>
      </c>
      <c r="O54" s="170">
        <f t="shared" ref="O54:O62" si="44">E54*4200/1000/12</f>
        <v>17.5</v>
      </c>
      <c r="P54" s="204">
        <f>'Unitized Lighting'!E$21</f>
        <v>6.1581099210352255E-4</v>
      </c>
      <c r="Q54" s="208">
        <f>'Unitized Lighting'!$E$45</f>
        <v>0</v>
      </c>
      <c r="R54" s="208">
        <f>'Unitized Lighting'!E$74</f>
        <v>0</v>
      </c>
      <c r="S54" s="208">
        <f>'Unitized Lighting'!E$106</f>
        <v>0.15563681670383042</v>
      </c>
      <c r="T54" s="208">
        <f>'Unitized Lighting'!$E$123</f>
        <v>1.0508189438633434E-4</v>
      </c>
      <c r="U54" s="34">
        <f t="shared" ref="U54:U62" si="45">IF(F54="Company", H54*P54, 0)</f>
        <v>0.52165781352311846</v>
      </c>
      <c r="V54" s="34">
        <f t="shared" ref="V54:V62" si="46">IF(I54="yes", J54*Q54, 0)</f>
        <v>0</v>
      </c>
      <c r="W54" s="34">
        <f t="shared" ref="W54:W62" si="47">R54*O54</f>
        <v>0</v>
      </c>
      <c r="X54" s="34">
        <f t="shared" ref="X54:X62" si="48">E54*S54/1000</f>
        <v>7.7818408351915209E-3</v>
      </c>
      <c r="Y54" s="34">
        <f t="shared" ref="Y54:Y62" si="49">O54*T54</f>
        <v>1.8389331517608509E-3</v>
      </c>
      <c r="Z54" s="198">
        <f t="shared" ref="Z54:Z62" si="50">SUM(U54:Y54)</f>
        <v>0.53127858751007084</v>
      </c>
    </row>
    <row r="55" spans="1:26" x14ac:dyDescent="0.2">
      <c r="A55" s="173" t="str">
        <f t="shared" ref="A55:A62" si="51">+A54</f>
        <v>53E - Company Owned</v>
      </c>
      <c r="B55" s="133" t="s">
        <v>146</v>
      </c>
      <c r="C55" s="133" t="s">
        <v>198</v>
      </c>
      <c r="D55" s="133" t="s">
        <v>200</v>
      </c>
      <c r="E55" s="133">
        <v>70</v>
      </c>
      <c r="F55" s="133" t="s">
        <v>216</v>
      </c>
      <c r="G55" s="213">
        <v>3836</v>
      </c>
      <c r="H55" s="253">
        <v>908.27</v>
      </c>
      <c r="I55" s="136" t="s">
        <v>131</v>
      </c>
      <c r="J55" s="219">
        <v>1</v>
      </c>
      <c r="K55" s="138">
        <f t="shared" si="41"/>
        <v>3836</v>
      </c>
      <c r="L55" s="135">
        <f t="shared" si="42"/>
        <v>3484123.7199999997</v>
      </c>
      <c r="M55" s="139">
        <f t="shared" si="43"/>
        <v>268.52</v>
      </c>
      <c r="N55" s="223">
        <v>1127784</v>
      </c>
      <c r="O55" s="170">
        <f t="shared" si="44"/>
        <v>24.5</v>
      </c>
      <c r="P55" s="204">
        <f>'Unitized Lighting'!E$21</f>
        <v>6.1581099210352255E-4</v>
      </c>
      <c r="Q55" s="208">
        <f>'Unitized Lighting'!$E$45</f>
        <v>0</v>
      </c>
      <c r="R55" s="208">
        <f>'Unitized Lighting'!E$74</f>
        <v>0</v>
      </c>
      <c r="S55" s="208">
        <f>'Unitized Lighting'!E$106</f>
        <v>0.15563681670383042</v>
      </c>
      <c r="T55" s="208">
        <f>'Unitized Lighting'!$E$123</f>
        <v>1.0508189438633434E-4</v>
      </c>
      <c r="U55" s="34">
        <f t="shared" si="45"/>
        <v>0.55932264979786639</v>
      </c>
      <c r="V55" s="34">
        <f t="shared" si="46"/>
        <v>0</v>
      </c>
      <c r="W55" s="34">
        <f t="shared" si="47"/>
        <v>0</v>
      </c>
      <c r="X55" s="34">
        <f t="shared" si="48"/>
        <v>1.089457716926813E-2</v>
      </c>
      <c r="Y55" s="34">
        <f t="shared" si="49"/>
        <v>2.5745064124651912E-3</v>
      </c>
      <c r="Z55" s="198">
        <f t="shared" si="50"/>
        <v>0.57279173337959965</v>
      </c>
    </row>
    <row r="56" spans="1:26" x14ac:dyDescent="0.2">
      <c r="A56" s="173" t="str">
        <f t="shared" si="51"/>
        <v>53E - Company Owned</v>
      </c>
      <c r="B56" s="133" t="s">
        <v>146</v>
      </c>
      <c r="C56" s="133" t="s">
        <v>198</v>
      </c>
      <c r="D56" s="133" t="s">
        <v>201</v>
      </c>
      <c r="E56" s="133">
        <v>100</v>
      </c>
      <c r="F56" s="133" t="s">
        <v>216</v>
      </c>
      <c r="G56" s="213">
        <v>28412</v>
      </c>
      <c r="H56" s="253">
        <v>855.82</v>
      </c>
      <c r="I56" s="136" t="s">
        <v>131</v>
      </c>
      <c r="J56" s="219">
        <v>1</v>
      </c>
      <c r="K56" s="138">
        <f t="shared" si="41"/>
        <v>28412</v>
      </c>
      <c r="L56" s="135">
        <f t="shared" si="42"/>
        <v>24315557.84</v>
      </c>
      <c r="M56" s="139">
        <f t="shared" si="43"/>
        <v>2841.2</v>
      </c>
      <c r="N56" s="223">
        <v>11933040</v>
      </c>
      <c r="O56" s="170">
        <f t="shared" si="44"/>
        <v>35</v>
      </c>
      <c r="P56" s="204">
        <f>'Unitized Lighting'!E$21</f>
        <v>6.1581099210352255E-4</v>
      </c>
      <c r="Q56" s="208">
        <f>'Unitized Lighting'!$E$45</f>
        <v>0</v>
      </c>
      <c r="R56" s="208">
        <f>'Unitized Lighting'!E$74</f>
        <v>0</v>
      </c>
      <c r="S56" s="208">
        <f>'Unitized Lighting'!E$106</f>
        <v>0.15563681670383042</v>
      </c>
      <c r="T56" s="208">
        <f>'Unitized Lighting'!$E$123</f>
        <v>1.0508189438633434E-4</v>
      </c>
      <c r="U56" s="34">
        <f t="shared" si="45"/>
        <v>0.52702336326203669</v>
      </c>
      <c r="V56" s="34">
        <f t="shared" si="46"/>
        <v>0</v>
      </c>
      <c r="W56" s="34">
        <f t="shared" si="47"/>
        <v>0</v>
      </c>
      <c r="X56" s="34">
        <f t="shared" si="48"/>
        <v>1.5563681670383042E-2</v>
      </c>
      <c r="Y56" s="34">
        <f t="shared" si="49"/>
        <v>3.6778663035217018E-3</v>
      </c>
      <c r="Z56" s="198">
        <f t="shared" si="50"/>
        <v>0.54626491123594145</v>
      </c>
    </row>
    <row r="57" spans="1:26" x14ac:dyDescent="0.2">
      <c r="A57" s="173" t="str">
        <f t="shared" si="51"/>
        <v>53E - Company Owned</v>
      </c>
      <c r="B57" s="133" t="s">
        <v>146</v>
      </c>
      <c r="C57" s="133" t="s">
        <v>198</v>
      </c>
      <c r="D57" s="133" t="s">
        <v>202</v>
      </c>
      <c r="E57" s="133">
        <v>150</v>
      </c>
      <c r="F57" s="133" t="s">
        <v>216</v>
      </c>
      <c r="G57" s="213">
        <v>3485</v>
      </c>
      <c r="H57" s="253">
        <v>857.29</v>
      </c>
      <c r="I57" s="136" t="s">
        <v>131</v>
      </c>
      <c r="J57" s="219">
        <v>1</v>
      </c>
      <c r="K57" s="138">
        <f t="shared" si="41"/>
        <v>3485</v>
      </c>
      <c r="L57" s="135">
        <f t="shared" si="42"/>
        <v>2987655.65</v>
      </c>
      <c r="M57" s="139">
        <f t="shared" si="43"/>
        <v>522.75</v>
      </c>
      <c r="N57" s="223">
        <v>2195550</v>
      </c>
      <c r="O57" s="170">
        <f t="shared" si="44"/>
        <v>52.5</v>
      </c>
      <c r="P57" s="204">
        <f>'Unitized Lighting'!E$21</f>
        <v>6.1581099210352255E-4</v>
      </c>
      <c r="Q57" s="208">
        <f>'Unitized Lighting'!$E$45</f>
        <v>0</v>
      </c>
      <c r="R57" s="208">
        <f>'Unitized Lighting'!E$74</f>
        <v>0</v>
      </c>
      <c r="S57" s="208">
        <f>'Unitized Lighting'!E$106</f>
        <v>0.15563681670383042</v>
      </c>
      <c r="T57" s="208">
        <f>'Unitized Lighting'!$E$123</f>
        <v>1.0508189438633434E-4</v>
      </c>
      <c r="U57" s="34">
        <f t="shared" si="45"/>
        <v>0.52792860542042885</v>
      </c>
      <c r="V57" s="34">
        <f t="shared" si="46"/>
        <v>0</v>
      </c>
      <c r="W57" s="34">
        <f t="shared" si="47"/>
        <v>0</v>
      </c>
      <c r="X57" s="34">
        <f t="shared" si="48"/>
        <v>2.3345522505574565E-2</v>
      </c>
      <c r="Y57" s="34">
        <f t="shared" si="49"/>
        <v>5.5167994552825532E-3</v>
      </c>
      <c r="Z57" s="198">
        <f t="shared" si="50"/>
        <v>0.55679092738128599</v>
      </c>
    </row>
    <row r="58" spans="1:26" x14ac:dyDescent="0.2">
      <c r="A58" s="173" t="str">
        <f t="shared" si="51"/>
        <v>53E - Company Owned</v>
      </c>
      <c r="B58" s="133" t="s">
        <v>146</v>
      </c>
      <c r="C58" s="133" t="s">
        <v>198</v>
      </c>
      <c r="D58" s="133" t="s">
        <v>203</v>
      </c>
      <c r="E58" s="133">
        <v>200</v>
      </c>
      <c r="F58" s="133" t="s">
        <v>216</v>
      </c>
      <c r="G58" s="213">
        <v>4408</v>
      </c>
      <c r="H58" s="253">
        <v>906.86</v>
      </c>
      <c r="I58" s="136" t="s">
        <v>131</v>
      </c>
      <c r="J58" s="219">
        <v>1</v>
      </c>
      <c r="K58" s="138">
        <f t="shared" si="41"/>
        <v>4408</v>
      </c>
      <c r="L58" s="135">
        <f t="shared" si="42"/>
        <v>3997438.88</v>
      </c>
      <c r="M58" s="139">
        <f t="shared" si="43"/>
        <v>881.6</v>
      </c>
      <c r="N58" s="223">
        <v>3702720</v>
      </c>
      <c r="O58" s="170">
        <f t="shared" si="44"/>
        <v>70</v>
      </c>
      <c r="P58" s="204">
        <f>'Unitized Lighting'!E$21</f>
        <v>6.1581099210352255E-4</v>
      </c>
      <c r="Q58" s="208">
        <f>'Unitized Lighting'!$E$45</f>
        <v>0</v>
      </c>
      <c r="R58" s="208">
        <f>'Unitized Lighting'!E$74</f>
        <v>0</v>
      </c>
      <c r="S58" s="208">
        <f>'Unitized Lighting'!E$106</f>
        <v>0.15563681670383042</v>
      </c>
      <c r="T58" s="208">
        <f>'Unitized Lighting'!$E$123</f>
        <v>1.0508189438633434E-4</v>
      </c>
      <c r="U58" s="34">
        <f t="shared" si="45"/>
        <v>0.55845435629900042</v>
      </c>
      <c r="V58" s="34">
        <f t="shared" si="46"/>
        <v>0</v>
      </c>
      <c r="W58" s="34">
        <f t="shared" si="47"/>
        <v>0</v>
      </c>
      <c r="X58" s="34">
        <f t="shared" si="48"/>
        <v>3.1127363340766084E-2</v>
      </c>
      <c r="Y58" s="34">
        <f t="shared" si="49"/>
        <v>7.3557326070434036E-3</v>
      </c>
      <c r="Z58" s="198">
        <f t="shared" si="50"/>
        <v>0.59693745224680983</v>
      </c>
    </row>
    <row r="59" spans="1:26" x14ac:dyDescent="0.2">
      <c r="A59" s="173" t="str">
        <f t="shared" si="51"/>
        <v>53E - Company Owned</v>
      </c>
      <c r="B59" s="133" t="s">
        <v>146</v>
      </c>
      <c r="C59" s="133" t="s">
        <v>198</v>
      </c>
      <c r="D59" s="133" t="s">
        <v>204</v>
      </c>
      <c r="E59" s="133">
        <v>250</v>
      </c>
      <c r="F59" s="133" t="s">
        <v>216</v>
      </c>
      <c r="G59" s="213">
        <v>1615</v>
      </c>
      <c r="H59" s="253">
        <v>922.99</v>
      </c>
      <c r="I59" s="136" t="s">
        <v>131</v>
      </c>
      <c r="J59" s="219">
        <v>1</v>
      </c>
      <c r="K59" s="138">
        <f t="shared" si="41"/>
        <v>1615</v>
      </c>
      <c r="L59" s="135">
        <f t="shared" si="42"/>
        <v>1490628.85</v>
      </c>
      <c r="M59" s="139">
        <f t="shared" si="43"/>
        <v>403.75</v>
      </c>
      <c r="N59" s="223">
        <v>1695750</v>
      </c>
      <c r="O59" s="170">
        <f t="shared" si="44"/>
        <v>87.5</v>
      </c>
      <c r="P59" s="204">
        <f>'Unitized Lighting'!E$21</f>
        <v>6.1581099210352255E-4</v>
      </c>
      <c r="Q59" s="208">
        <f>'Unitized Lighting'!$E$45</f>
        <v>0</v>
      </c>
      <c r="R59" s="208">
        <f>'Unitized Lighting'!E$74</f>
        <v>0</v>
      </c>
      <c r="S59" s="208">
        <f>'Unitized Lighting'!E$106</f>
        <v>0.15563681670383042</v>
      </c>
      <c r="T59" s="208">
        <f>'Unitized Lighting'!$E$123</f>
        <v>1.0508189438633434E-4</v>
      </c>
      <c r="U59" s="34">
        <f t="shared" si="45"/>
        <v>0.56838738760163032</v>
      </c>
      <c r="V59" s="34">
        <f t="shared" si="46"/>
        <v>0</v>
      </c>
      <c r="W59" s="34">
        <f t="shared" si="47"/>
        <v>0</v>
      </c>
      <c r="X59" s="34">
        <f t="shared" si="48"/>
        <v>3.8909204175957605E-2</v>
      </c>
      <c r="Y59" s="34">
        <f t="shared" si="49"/>
        <v>9.194665758804255E-3</v>
      </c>
      <c r="Z59" s="198">
        <f t="shared" si="50"/>
        <v>0.61649125753639211</v>
      </c>
    </row>
    <row r="60" spans="1:26" x14ac:dyDescent="0.2">
      <c r="A60" s="173" t="str">
        <f t="shared" si="51"/>
        <v>53E - Company Owned</v>
      </c>
      <c r="B60" s="133" t="s">
        <v>146</v>
      </c>
      <c r="C60" s="133" t="s">
        <v>198</v>
      </c>
      <c r="D60" s="133" t="s">
        <v>205</v>
      </c>
      <c r="E60" s="133">
        <v>310</v>
      </c>
      <c r="F60" s="133" t="s">
        <v>216</v>
      </c>
      <c r="G60" s="213">
        <v>15</v>
      </c>
      <c r="H60" s="253">
        <v>960.17</v>
      </c>
      <c r="I60" s="136" t="s">
        <v>131</v>
      </c>
      <c r="J60" s="219">
        <v>1</v>
      </c>
      <c r="K60" s="138">
        <f t="shared" si="41"/>
        <v>15</v>
      </c>
      <c r="L60" s="135">
        <f t="shared" si="42"/>
        <v>14402.55</v>
      </c>
      <c r="M60" s="139">
        <f t="shared" si="43"/>
        <v>4.6500000000000004</v>
      </c>
      <c r="N60" s="223">
        <v>19530</v>
      </c>
      <c r="O60" s="170">
        <f t="shared" si="44"/>
        <v>108.5</v>
      </c>
      <c r="P60" s="204">
        <f>'Unitized Lighting'!E$21</f>
        <v>6.1581099210352255E-4</v>
      </c>
      <c r="Q60" s="208">
        <f>'Unitized Lighting'!$E$45</f>
        <v>0</v>
      </c>
      <c r="R60" s="208">
        <f>'Unitized Lighting'!E$74</f>
        <v>0</v>
      </c>
      <c r="S60" s="208">
        <f>'Unitized Lighting'!E$106</f>
        <v>0.15563681670383042</v>
      </c>
      <c r="T60" s="208">
        <f>'Unitized Lighting'!$E$123</f>
        <v>1.0508189438633434E-4</v>
      </c>
      <c r="U60" s="34">
        <f t="shared" si="45"/>
        <v>0.59128324028803925</v>
      </c>
      <c r="V60" s="34">
        <f t="shared" si="46"/>
        <v>0</v>
      </c>
      <c r="W60" s="34">
        <f t="shared" si="47"/>
        <v>0</v>
      </c>
      <c r="X60" s="34">
        <f t="shared" si="48"/>
        <v>4.8247413178187426E-2</v>
      </c>
      <c r="Y60" s="34">
        <f t="shared" si="49"/>
        <v>1.1401385540917276E-2</v>
      </c>
      <c r="Z60" s="198">
        <f t="shared" si="50"/>
        <v>0.65093203900714391</v>
      </c>
    </row>
    <row r="61" spans="1:26" x14ac:dyDescent="0.2">
      <c r="A61" s="173" t="str">
        <f t="shared" si="51"/>
        <v>53E - Company Owned</v>
      </c>
      <c r="B61" s="133" t="s">
        <v>146</v>
      </c>
      <c r="C61" s="133" t="s">
        <v>198</v>
      </c>
      <c r="D61" s="133" t="s">
        <v>206</v>
      </c>
      <c r="E61" s="133">
        <v>400</v>
      </c>
      <c r="F61" s="133" t="s">
        <v>216</v>
      </c>
      <c r="G61" s="213">
        <v>884</v>
      </c>
      <c r="H61" s="253">
        <v>1029.9100000000001</v>
      </c>
      <c r="I61" s="136" t="s">
        <v>131</v>
      </c>
      <c r="J61" s="219">
        <v>1</v>
      </c>
      <c r="K61" s="138">
        <f t="shared" si="41"/>
        <v>884</v>
      </c>
      <c r="L61" s="135">
        <f t="shared" si="42"/>
        <v>910440.44000000006</v>
      </c>
      <c r="M61" s="139">
        <f t="shared" si="43"/>
        <v>353.6</v>
      </c>
      <c r="N61" s="223">
        <v>1485120</v>
      </c>
      <c r="O61" s="170">
        <f t="shared" si="44"/>
        <v>140</v>
      </c>
      <c r="P61" s="204">
        <f>'Unitized Lighting'!E$21</f>
        <v>6.1581099210352255E-4</v>
      </c>
      <c r="Q61" s="208">
        <f>'Unitized Lighting'!$E$45</f>
        <v>0</v>
      </c>
      <c r="R61" s="208">
        <f>'Unitized Lighting'!E$74</f>
        <v>0</v>
      </c>
      <c r="S61" s="208">
        <f>'Unitized Lighting'!E$106</f>
        <v>0.15563681670383042</v>
      </c>
      <c r="T61" s="208">
        <f>'Unitized Lighting'!$E$123</f>
        <v>1.0508189438633434E-4</v>
      </c>
      <c r="U61" s="34">
        <f t="shared" si="45"/>
        <v>0.63422989887733894</v>
      </c>
      <c r="V61" s="34">
        <f t="shared" si="46"/>
        <v>0</v>
      </c>
      <c r="W61" s="34">
        <f t="shared" si="47"/>
        <v>0</v>
      </c>
      <c r="X61" s="34">
        <f t="shared" si="48"/>
        <v>6.2254726681532167E-2</v>
      </c>
      <c r="Y61" s="34">
        <f t="shared" si="49"/>
        <v>1.4711465214086807E-2</v>
      </c>
      <c r="Z61" s="198">
        <f t="shared" si="50"/>
        <v>0.71119609077295798</v>
      </c>
    </row>
    <row r="62" spans="1:26" x14ac:dyDescent="0.2">
      <c r="A62" s="173" t="str">
        <f t="shared" si="51"/>
        <v>53E - Company Owned</v>
      </c>
      <c r="B62" s="133" t="s">
        <v>146</v>
      </c>
      <c r="C62" s="133" t="s">
        <v>198</v>
      </c>
      <c r="D62" s="133" t="s">
        <v>217</v>
      </c>
      <c r="E62" s="133">
        <v>1000</v>
      </c>
      <c r="F62" s="133" t="s">
        <v>216</v>
      </c>
      <c r="G62" s="213">
        <v>0</v>
      </c>
      <c r="H62" s="253">
        <v>1277.1803163686384</v>
      </c>
      <c r="I62" s="136" t="s">
        <v>131</v>
      </c>
      <c r="J62" s="219">
        <v>1</v>
      </c>
      <c r="K62" s="138">
        <f t="shared" si="41"/>
        <v>0</v>
      </c>
      <c r="L62" s="135">
        <f t="shared" si="42"/>
        <v>0</v>
      </c>
      <c r="M62" s="139">
        <f t="shared" si="43"/>
        <v>0</v>
      </c>
      <c r="N62" s="223">
        <v>0</v>
      </c>
      <c r="O62" s="170">
        <f t="shared" si="44"/>
        <v>350</v>
      </c>
      <c r="P62" s="204">
        <f>'Unitized Lighting'!E$21</f>
        <v>6.1581099210352255E-4</v>
      </c>
      <c r="Q62" s="208">
        <f>'Unitized Lighting'!$E$45</f>
        <v>0</v>
      </c>
      <c r="R62" s="208">
        <f>'Unitized Lighting'!E$74</f>
        <v>0</v>
      </c>
      <c r="S62" s="208">
        <f>'Unitized Lighting'!E$106</f>
        <v>0.15563681670383042</v>
      </c>
      <c r="T62" s="208">
        <f>'Unitized Lighting'!$E$123</f>
        <v>1.0508189438633434E-4</v>
      </c>
      <c r="U62" s="34">
        <f t="shared" si="45"/>
        <v>0.78650167771806201</v>
      </c>
      <c r="V62" s="34">
        <f t="shared" si="46"/>
        <v>0</v>
      </c>
      <c r="W62" s="34">
        <f t="shared" si="47"/>
        <v>0</v>
      </c>
      <c r="X62" s="34">
        <f t="shared" si="48"/>
        <v>0.15563681670383042</v>
      </c>
      <c r="Y62" s="34">
        <f t="shared" si="49"/>
        <v>3.677866303521702E-2</v>
      </c>
      <c r="Z62" s="198">
        <f t="shared" si="50"/>
        <v>0.9789171574571095</v>
      </c>
    </row>
    <row r="63" spans="1:26" x14ac:dyDescent="0.2">
      <c r="A63" s="173"/>
      <c r="B63" s="132"/>
      <c r="C63" s="133"/>
      <c r="D63" s="148"/>
      <c r="E63" s="147"/>
      <c r="F63" s="137"/>
      <c r="G63" s="214"/>
      <c r="H63" s="253"/>
      <c r="I63" s="136"/>
      <c r="J63" s="219"/>
      <c r="K63" s="138"/>
      <c r="L63" s="135"/>
      <c r="M63" s="139"/>
      <c r="N63" s="223"/>
      <c r="O63" s="175"/>
      <c r="P63" s="204"/>
      <c r="Q63" s="208"/>
      <c r="R63" s="208"/>
      <c r="S63" s="208"/>
      <c r="T63" s="208"/>
      <c r="Z63" s="198"/>
    </row>
    <row r="64" spans="1:26" x14ac:dyDescent="0.2">
      <c r="A64" s="173" t="str">
        <f>A61</f>
        <v>53E - Company Owned</v>
      </c>
      <c r="B64" s="132"/>
      <c r="C64" s="133" t="s">
        <v>207</v>
      </c>
      <c r="D64" s="133" t="s">
        <v>208</v>
      </c>
      <c r="E64" s="133">
        <v>70</v>
      </c>
      <c r="F64" s="133" t="s">
        <v>216</v>
      </c>
      <c r="G64" s="213">
        <v>0</v>
      </c>
      <c r="H64" s="253">
        <v>804.13942857142865</v>
      </c>
      <c r="I64" s="136" t="s">
        <v>131</v>
      </c>
      <c r="J64" s="219">
        <v>2</v>
      </c>
      <c r="K64" s="138">
        <f>IF(I64="Yes",G64*J64,0)</f>
        <v>0</v>
      </c>
      <c r="L64" s="135">
        <f>IF(F64="Company", G64*H64,0)</f>
        <v>0</v>
      </c>
      <c r="M64" s="139">
        <f>E64*G64/1000</f>
        <v>0</v>
      </c>
      <c r="N64" s="223">
        <v>0</v>
      </c>
      <c r="O64" s="170">
        <f>E64*4200/1000/12</f>
        <v>24.5</v>
      </c>
      <c r="P64" s="204">
        <f>'Unitized Lighting'!E$21</f>
        <v>6.1581099210352255E-4</v>
      </c>
      <c r="Q64" s="208">
        <f>'Unitized Lighting'!$E$45</f>
        <v>0</v>
      </c>
      <c r="R64" s="208">
        <f>'Unitized Lighting'!E$74</f>
        <v>0</v>
      </c>
      <c r="S64" s="208">
        <f>'Unitized Lighting'!E$106</f>
        <v>0.15563681670383042</v>
      </c>
      <c r="T64" s="208">
        <f>'Unitized Lighting'!$E$123</f>
        <v>1.0508189438633434E-4</v>
      </c>
      <c r="U64" s="34">
        <f>IF(F64="Company", H64*P64, 0)</f>
        <v>0.49519789929813118</v>
      </c>
      <c r="V64" s="34">
        <f>IF(I64="yes", J64*Q64, 0)</f>
        <v>0</v>
      </c>
      <c r="W64" s="34">
        <f>R64*O64</f>
        <v>0</v>
      </c>
      <c r="X64" s="34">
        <f>E64*S64/1000</f>
        <v>1.089457716926813E-2</v>
      </c>
      <c r="Y64" s="34">
        <f>O64*T64</f>
        <v>2.5745064124651912E-3</v>
      </c>
      <c r="Z64" s="198">
        <f>SUM(U64:Y64)</f>
        <v>0.50866698287986445</v>
      </c>
    </row>
    <row r="65" spans="1:26" x14ac:dyDescent="0.2">
      <c r="A65" s="173" t="str">
        <f>+A64</f>
        <v>53E - Company Owned</v>
      </c>
      <c r="B65" s="132"/>
      <c r="C65" s="133" t="s">
        <v>207</v>
      </c>
      <c r="D65" s="133" t="s">
        <v>209</v>
      </c>
      <c r="E65" s="133">
        <v>100</v>
      </c>
      <c r="F65" s="133" t="s">
        <v>216</v>
      </c>
      <c r="G65" s="213">
        <v>0</v>
      </c>
      <c r="H65" s="253">
        <v>817.88071428571436</v>
      </c>
      <c r="I65" s="136" t="s">
        <v>131</v>
      </c>
      <c r="J65" s="219">
        <v>2</v>
      </c>
      <c r="K65" s="138">
        <f>IF(I65="Yes",G65*J65,0)</f>
        <v>0</v>
      </c>
      <c r="L65" s="135">
        <f>IF(F65="Company", G65*H65,0)</f>
        <v>0</v>
      </c>
      <c r="M65" s="139">
        <f>E65*G65/1000</f>
        <v>0</v>
      </c>
      <c r="N65" s="223">
        <v>0</v>
      </c>
      <c r="O65" s="170">
        <f>E65*4200/1000/12</f>
        <v>35</v>
      </c>
      <c r="P65" s="204">
        <f>'Unitized Lighting'!E$21</f>
        <v>6.1581099210352255E-4</v>
      </c>
      <c r="Q65" s="208">
        <f>'Unitized Lighting'!$E$45</f>
        <v>0</v>
      </c>
      <c r="R65" s="208">
        <f>'Unitized Lighting'!E$74</f>
        <v>0</v>
      </c>
      <c r="S65" s="208">
        <f>'Unitized Lighting'!E$106</f>
        <v>0.15563681670383042</v>
      </c>
      <c r="T65" s="208">
        <f>'Unitized Lighting'!$E$123</f>
        <v>1.0508189438633434E-4</v>
      </c>
      <c r="U65" s="34">
        <f>IF(F65="Company", H65*P65, 0)</f>
        <v>0.50365993408662346</v>
      </c>
      <c r="V65" s="34">
        <f>IF(I65="yes", J65*Q65, 0)</f>
        <v>0</v>
      </c>
      <c r="W65" s="34">
        <f>R65*O65</f>
        <v>0</v>
      </c>
      <c r="X65" s="34">
        <f>E65*S65/1000</f>
        <v>1.5563681670383042E-2</v>
      </c>
      <c r="Y65" s="34">
        <f>O65*T65</f>
        <v>3.6778663035217018E-3</v>
      </c>
      <c r="Z65" s="198">
        <f>SUM(U65:Y65)</f>
        <v>0.52290148206052822</v>
      </c>
    </row>
    <row r="66" spans="1:26" x14ac:dyDescent="0.2">
      <c r="A66" s="173" t="str">
        <f>+A65</f>
        <v>53E - Company Owned</v>
      </c>
      <c r="B66" s="132"/>
      <c r="C66" s="133" t="s">
        <v>207</v>
      </c>
      <c r="D66" s="133" t="s">
        <v>210</v>
      </c>
      <c r="E66" s="133">
        <v>150</v>
      </c>
      <c r="F66" s="133" t="s">
        <v>216</v>
      </c>
      <c r="G66" s="213">
        <v>0</v>
      </c>
      <c r="H66" s="253">
        <v>840.78285714285721</v>
      </c>
      <c r="I66" s="136" t="s">
        <v>131</v>
      </c>
      <c r="J66" s="219">
        <v>2</v>
      </c>
      <c r="K66" s="138">
        <f>IF(I66="Yes",G66*J66,0)</f>
        <v>0</v>
      </c>
      <c r="L66" s="135">
        <f>IF(F66="Company", G66*H66,0)</f>
        <v>0</v>
      </c>
      <c r="M66" s="139">
        <f>E66*G66/1000</f>
        <v>0</v>
      </c>
      <c r="N66" s="223">
        <v>0</v>
      </c>
      <c r="O66" s="170">
        <f>E66*4200/1000/12</f>
        <v>52.5</v>
      </c>
      <c r="P66" s="204">
        <f>'Unitized Lighting'!E$21</f>
        <v>6.1581099210352255E-4</v>
      </c>
      <c r="Q66" s="208">
        <f>'Unitized Lighting'!$E$45</f>
        <v>0</v>
      </c>
      <c r="R66" s="208">
        <f>'Unitized Lighting'!E$74</f>
        <v>0</v>
      </c>
      <c r="S66" s="208">
        <f>'Unitized Lighting'!E$106</f>
        <v>0.15563681670383042</v>
      </c>
      <c r="T66" s="208">
        <f>'Unitized Lighting'!$E$123</f>
        <v>1.0508189438633434E-4</v>
      </c>
      <c r="U66" s="34">
        <f>IF(F66="Company", H66*P66, 0)</f>
        <v>0.51776332540077719</v>
      </c>
      <c r="V66" s="34">
        <f>IF(I66="yes", J66*Q66, 0)</f>
        <v>0</v>
      </c>
      <c r="W66" s="34">
        <f>R66*O66</f>
        <v>0</v>
      </c>
      <c r="X66" s="34">
        <f>E66*S66/1000</f>
        <v>2.3345522505574565E-2</v>
      </c>
      <c r="Y66" s="34">
        <f>O66*T66</f>
        <v>5.5167994552825532E-3</v>
      </c>
      <c r="Z66" s="198">
        <f>SUM(U66:Y66)</f>
        <v>0.54662564736163433</v>
      </c>
    </row>
    <row r="67" spans="1:26" x14ac:dyDescent="0.2">
      <c r="A67" s="173" t="str">
        <f>A66</f>
        <v>53E - Company Owned</v>
      </c>
      <c r="B67" s="132"/>
      <c r="C67" s="133" t="s">
        <v>207</v>
      </c>
      <c r="D67" s="133" t="s">
        <v>212</v>
      </c>
      <c r="E67" s="133">
        <v>250</v>
      </c>
      <c r="F67" s="133" t="s">
        <v>216</v>
      </c>
      <c r="G67" s="213">
        <v>0</v>
      </c>
      <c r="H67" s="253">
        <v>915.43</v>
      </c>
      <c r="I67" s="136" t="s">
        <v>131</v>
      </c>
      <c r="J67" s="219">
        <v>2</v>
      </c>
      <c r="K67" s="138">
        <f>IF(I67="Yes",G67*J67,0)</f>
        <v>0</v>
      </c>
      <c r="L67" s="135">
        <f>IF(F67="Company", G67*H67,0)</f>
        <v>0</v>
      </c>
      <c r="M67" s="139">
        <f>E67*G67/1000</f>
        <v>0</v>
      </c>
      <c r="N67" s="223">
        <v>0</v>
      </c>
      <c r="O67" s="170">
        <f>E67*4200/1000/12</f>
        <v>87.5</v>
      </c>
      <c r="P67" s="204">
        <f>'Unitized Lighting'!E$21</f>
        <v>6.1581099210352255E-4</v>
      </c>
      <c r="Q67" s="208">
        <f>'Unitized Lighting'!$E$45</f>
        <v>0</v>
      </c>
      <c r="R67" s="208">
        <f>'Unitized Lighting'!E$74</f>
        <v>0</v>
      </c>
      <c r="S67" s="208">
        <f>'Unitized Lighting'!E$106</f>
        <v>0.15563681670383042</v>
      </c>
      <c r="T67" s="208">
        <f>'Unitized Lighting'!$E$123</f>
        <v>1.0508189438633434E-4</v>
      </c>
      <c r="U67" s="34">
        <f>IF(F67="Company", H67*P67, 0)</f>
        <v>0.56373185650132762</v>
      </c>
      <c r="V67" s="34">
        <f>IF(I67="yes", J67*Q67, 0)</f>
        <v>0</v>
      </c>
      <c r="W67" s="34">
        <f>R67*O67</f>
        <v>0</v>
      </c>
      <c r="X67" s="34">
        <f>E67*S67/1000</f>
        <v>3.8909204175957605E-2</v>
      </c>
      <c r="Y67" s="34">
        <f>O67*T67</f>
        <v>9.194665758804255E-3</v>
      </c>
      <c r="Z67" s="198">
        <f>SUM(U67:Y67)</f>
        <v>0.61183572643608941</v>
      </c>
    </row>
    <row r="68" spans="1:26" x14ac:dyDescent="0.2">
      <c r="A68" s="173" t="str">
        <f>A67</f>
        <v>53E - Company Owned</v>
      </c>
      <c r="B68" s="132"/>
      <c r="C68" s="133" t="s">
        <v>207</v>
      </c>
      <c r="D68" s="133" t="s">
        <v>213</v>
      </c>
      <c r="E68" s="133">
        <v>400</v>
      </c>
      <c r="F68" s="133" t="s">
        <v>216</v>
      </c>
      <c r="G68" s="213">
        <v>0</v>
      </c>
      <c r="H68" s="253">
        <v>919.24</v>
      </c>
      <c r="I68" s="136" t="s">
        <v>131</v>
      </c>
      <c r="J68" s="219">
        <v>2</v>
      </c>
      <c r="K68" s="138">
        <f>IF(I68="Yes",G68*J68,0)</f>
        <v>0</v>
      </c>
      <c r="L68" s="135">
        <f>IF(F68="Company", G68*H68,0)</f>
        <v>0</v>
      </c>
      <c r="M68" s="139">
        <f>E68*G68/1000</f>
        <v>0</v>
      </c>
      <c r="N68" s="223">
        <v>0</v>
      </c>
      <c r="O68" s="170">
        <f>E68*4200/1000/12</f>
        <v>140</v>
      </c>
      <c r="P68" s="204">
        <f>'Unitized Lighting'!E$21</f>
        <v>6.1581099210352255E-4</v>
      </c>
      <c r="Q68" s="208">
        <f>'Unitized Lighting'!$E$45</f>
        <v>0</v>
      </c>
      <c r="R68" s="208">
        <f>'Unitized Lighting'!E$74</f>
        <v>0</v>
      </c>
      <c r="S68" s="208">
        <f>'Unitized Lighting'!E$106</f>
        <v>0.15563681670383042</v>
      </c>
      <c r="T68" s="208">
        <f>'Unitized Lighting'!$E$123</f>
        <v>1.0508189438633434E-4</v>
      </c>
      <c r="U68" s="34">
        <f>IF(F68="Company", H68*P68, 0)</f>
        <v>0.56607809638124207</v>
      </c>
      <c r="V68" s="34">
        <f>IF(I68="yes", J68*Q68, 0)</f>
        <v>0</v>
      </c>
      <c r="W68" s="34">
        <f>R68*O68</f>
        <v>0</v>
      </c>
      <c r="X68" s="34">
        <f>E68*S68/1000</f>
        <v>6.2254726681532167E-2</v>
      </c>
      <c r="Y68" s="34">
        <f>O68*T68</f>
        <v>1.4711465214086807E-2</v>
      </c>
      <c r="Z68" s="198">
        <f>SUM(U68:Y68)</f>
        <v>0.64304428827686111</v>
      </c>
    </row>
    <row r="69" spans="1:26" x14ac:dyDescent="0.2">
      <c r="A69" s="173"/>
      <c r="B69" s="132"/>
      <c r="C69" s="145"/>
      <c r="D69" s="148"/>
      <c r="E69" s="147"/>
      <c r="F69" s="137"/>
      <c r="G69" s="214"/>
      <c r="H69" s="253"/>
      <c r="I69" s="136"/>
      <c r="J69" s="219"/>
      <c r="K69" s="138"/>
      <c r="L69" s="135"/>
      <c r="M69" s="139"/>
      <c r="N69" s="223"/>
      <c r="O69" s="175"/>
      <c r="P69" s="204"/>
      <c r="Q69" s="208"/>
      <c r="R69" s="208"/>
      <c r="S69" s="208"/>
      <c r="T69" s="208"/>
      <c r="Z69" s="198"/>
    </row>
    <row r="70" spans="1:26" x14ac:dyDescent="0.2">
      <c r="A70" s="173" t="str">
        <f>A67</f>
        <v>53E - Company Owned</v>
      </c>
      <c r="B70" s="132"/>
      <c r="C70" s="133" t="s">
        <v>188</v>
      </c>
      <c r="D70" s="133" t="s">
        <v>251</v>
      </c>
      <c r="E70" s="133">
        <v>15</v>
      </c>
      <c r="F70" s="136" t="s">
        <v>216</v>
      </c>
      <c r="G70" s="214">
        <v>0</v>
      </c>
      <c r="H70" s="253">
        <v>875.41268444011189</v>
      </c>
      <c r="I70" s="136" t="s">
        <v>131</v>
      </c>
      <c r="J70" s="219">
        <v>0.2</v>
      </c>
      <c r="K70" s="138">
        <f t="shared" ref="K70:K79" si="52">IF(I70="Yes",G70*J70,0)</f>
        <v>0</v>
      </c>
      <c r="L70" s="135">
        <f t="shared" ref="L70:L79" si="53">IF(F70="Company", G70*H70,0)</f>
        <v>0</v>
      </c>
      <c r="M70" s="139">
        <f t="shared" ref="M70:M79" si="54">E70*G70/1000</f>
        <v>0</v>
      </c>
      <c r="N70" s="223">
        <v>0</v>
      </c>
      <c r="O70" s="170">
        <f t="shared" ref="O70:O79" si="55">E70*4200/1000/12</f>
        <v>5.25</v>
      </c>
      <c r="P70" s="204">
        <f>'Unitized Lighting'!E$21</f>
        <v>6.1581099210352255E-4</v>
      </c>
      <c r="Q70" s="208">
        <f>'Unitized Lighting'!$E$45</f>
        <v>0</v>
      </c>
      <c r="R70" s="208">
        <f>'Unitized Lighting'!E$74</f>
        <v>0</v>
      </c>
      <c r="S70" s="208">
        <f>'Unitized Lighting'!E$106</f>
        <v>0.15563681670383042</v>
      </c>
      <c r="T70" s="208">
        <f>'Unitized Lighting'!$E$123</f>
        <v>1.0508189438633434E-4</v>
      </c>
      <c r="U70" s="34">
        <f t="shared" ref="U70:U79" si="56">IF(F70="Company", H70*P70, 0)</f>
        <v>0.53908875370507325</v>
      </c>
      <c r="V70" s="34">
        <f t="shared" ref="V70:V79" si="57">IF(I70="yes", J70*Q70, 0)</f>
        <v>0</v>
      </c>
      <c r="W70" s="34">
        <f t="shared" ref="W70:W79" si="58">R70*O70</f>
        <v>0</v>
      </c>
      <c r="X70" s="34">
        <f t="shared" ref="X70:X79" si="59">E70*S70/1000</f>
        <v>2.3345522505574564E-3</v>
      </c>
      <c r="Y70" s="34">
        <f t="shared" ref="Y70:Y79" si="60">O70*T70</f>
        <v>5.5167994552825532E-4</v>
      </c>
      <c r="Z70" s="198">
        <f t="shared" ref="Z70:Z79" si="61">SUM(U70:Y70)</f>
        <v>0.541974985901159</v>
      </c>
    </row>
    <row r="71" spans="1:26" x14ac:dyDescent="0.2">
      <c r="A71" s="173" t="str">
        <f>A68</f>
        <v>53E - Company Owned</v>
      </c>
      <c r="B71" s="132"/>
      <c r="C71" s="133" t="s">
        <v>188</v>
      </c>
      <c r="D71" s="133" t="s">
        <v>189</v>
      </c>
      <c r="E71" s="133">
        <v>45</v>
      </c>
      <c r="F71" s="133" t="s">
        <v>216</v>
      </c>
      <c r="G71" s="213">
        <v>21897</v>
      </c>
      <c r="H71" s="253">
        <v>870.45377419354838</v>
      </c>
      <c r="I71" s="136" t="s">
        <v>131</v>
      </c>
      <c r="J71" s="219">
        <v>0.2</v>
      </c>
      <c r="K71" s="138">
        <f t="shared" si="52"/>
        <v>4379.4000000000005</v>
      </c>
      <c r="L71" s="135">
        <f t="shared" si="53"/>
        <v>19060326.293516129</v>
      </c>
      <c r="M71" s="139">
        <f t="shared" si="54"/>
        <v>985.36500000000001</v>
      </c>
      <c r="N71" s="223">
        <v>4138533</v>
      </c>
      <c r="O71" s="170">
        <f t="shared" si="55"/>
        <v>15.75</v>
      </c>
      <c r="P71" s="204">
        <f>'Unitized Lighting'!E$21</f>
        <v>6.1581099210352255E-4</v>
      </c>
      <c r="Q71" s="208">
        <f>'Unitized Lighting'!$E$45</f>
        <v>0</v>
      </c>
      <c r="R71" s="208">
        <f>'Unitized Lighting'!E$74</f>
        <v>0</v>
      </c>
      <c r="S71" s="208">
        <f>'Unitized Lighting'!E$106</f>
        <v>0.15563681670383042</v>
      </c>
      <c r="T71" s="208">
        <f>'Unitized Lighting'!$E$123</f>
        <v>1.0508189438633434E-4</v>
      </c>
      <c r="U71" s="34">
        <f t="shared" si="56"/>
        <v>0.53603500226638467</v>
      </c>
      <c r="V71" s="34">
        <f t="shared" si="57"/>
        <v>0</v>
      </c>
      <c r="W71" s="34">
        <f t="shared" si="58"/>
        <v>0</v>
      </c>
      <c r="X71" s="34">
        <f t="shared" si="59"/>
        <v>7.0036567516723689E-3</v>
      </c>
      <c r="Y71" s="34">
        <f t="shared" si="60"/>
        <v>1.6550398365847659E-3</v>
      </c>
      <c r="Z71" s="198">
        <f t="shared" si="61"/>
        <v>0.54469369885464181</v>
      </c>
    </row>
    <row r="72" spans="1:26" x14ac:dyDescent="0.2">
      <c r="A72" s="173" t="str">
        <f t="shared" ref="A72:A77" si="62">A71</f>
        <v>53E - Company Owned</v>
      </c>
      <c r="B72" s="132"/>
      <c r="C72" s="133" t="s">
        <v>188</v>
      </c>
      <c r="D72" s="133" t="s">
        <v>190</v>
      </c>
      <c r="E72" s="133">
        <v>75</v>
      </c>
      <c r="F72" s="133" t="s">
        <v>216</v>
      </c>
      <c r="G72" s="213">
        <v>430</v>
      </c>
      <c r="H72" s="253">
        <v>851.13228571428579</v>
      </c>
      <c r="I72" s="136" t="s">
        <v>131</v>
      </c>
      <c r="J72" s="219">
        <v>0.2</v>
      </c>
      <c r="K72" s="138">
        <f t="shared" si="52"/>
        <v>86</v>
      </c>
      <c r="L72" s="135">
        <f t="shared" si="53"/>
        <v>365986.88285714289</v>
      </c>
      <c r="M72" s="139">
        <f t="shared" si="54"/>
        <v>32.25</v>
      </c>
      <c r="N72" s="223">
        <v>135450</v>
      </c>
      <c r="O72" s="170">
        <f t="shared" si="55"/>
        <v>26.25</v>
      </c>
      <c r="P72" s="204">
        <f>'Unitized Lighting'!E$21</f>
        <v>6.1581099210352255E-4</v>
      </c>
      <c r="Q72" s="208">
        <f>'Unitized Lighting'!$E$45</f>
        <v>0</v>
      </c>
      <c r="R72" s="208">
        <f>'Unitized Lighting'!E$74</f>
        <v>0</v>
      </c>
      <c r="S72" s="208">
        <f>'Unitized Lighting'!E$106</f>
        <v>0.15563681670383042</v>
      </c>
      <c r="T72" s="208">
        <f>'Unitized Lighting'!$E$123</f>
        <v>1.0508189438633434E-4</v>
      </c>
      <c r="U72" s="34">
        <f t="shared" si="56"/>
        <v>0.52413661727705319</v>
      </c>
      <c r="V72" s="34">
        <f t="shared" si="57"/>
        <v>0</v>
      </c>
      <c r="W72" s="34">
        <f t="shared" si="58"/>
        <v>0</v>
      </c>
      <c r="X72" s="34">
        <f t="shared" si="59"/>
        <v>1.1672761252787283E-2</v>
      </c>
      <c r="Y72" s="34">
        <f t="shared" si="60"/>
        <v>2.7583997276412766E-3</v>
      </c>
      <c r="Z72" s="198">
        <f t="shared" si="61"/>
        <v>0.5385677782574817</v>
      </c>
    </row>
    <row r="73" spans="1:26" x14ac:dyDescent="0.2">
      <c r="A73" s="173" t="str">
        <f t="shared" si="62"/>
        <v>53E - Company Owned</v>
      </c>
      <c r="B73" s="132"/>
      <c r="C73" s="133" t="s">
        <v>188</v>
      </c>
      <c r="D73" s="133" t="s">
        <v>191</v>
      </c>
      <c r="E73" s="133">
        <v>105</v>
      </c>
      <c r="F73" s="133" t="s">
        <v>216</v>
      </c>
      <c r="G73" s="213">
        <v>2478</v>
      </c>
      <c r="H73" s="253">
        <v>910.30015384615376</v>
      </c>
      <c r="I73" s="136" t="s">
        <v>131</v>
      </c>
      <c r="J73" s="219">
        <v>0.2</v>
      </c>
      <c r="K73" s="138">
        <f t="shared" si="52"/>
        <v>495.6</v>
      </c>
      <c r="L73" s="135">
        <f t="shared" si="53"/>
        <v>2255723.7812307691</v>
      </c>
      <c r="M73" s="139">
        <f t="shared" si="54"/>
        <v>260.19</v>
      </c>
      <c r="N73" s="223">
        <v>1092798</v>
      </c>
      <c r="O73" s="170">
        <f t="shared" si="55"/>
        <v>36.75</v>
      </c>
      <c r="P73" s="204">
        <f>'Unitized Lighting'!E$21</f>
        <v>6.1581099210352255E-4</v>
      </c>
      <c r="Q73" s="208">
        <f>'Unitized Lighting'!$E$45</f>
        <v>0</v>
      </c>
      <c r="R73" s="208">
        <f>'Unitized Lighting'!E$74</f>
        <v>0</v>
      </c>
      <c r="S73" s="208">
        <f>'Unitized Lighting'!E$106</f>
        <v>0.15563681670383042</v>
      </c>
      <c r="T73" s="208">
        <f>'Unitized Lighting'!$E$123</f>
        <v>1.0508189438633434E-4</v>
      </c>
      <c r="U73" s="34">
        <f t="shared" si="56"/>
        <v>0.56057284085198911</v>
      </c>
      <c r="V73" s="34">
        <f t="shared" si="57"/>
        <v>0</v>
      </c>
      <c r="W73" s="34">
        <f t="shared" si="58"/>
        <v>0</v>
      </c>
      <c r="X73" s="34">
        <f t="shared" si="59"/>
        <v>1.6341865753902195E-2</v>
      </c>
      <c r="Y73" s="34">
        <f t="shared" si="60"/>
        <v>3.8617596186977872E-3</v>
      </c>
      <c r="Z73" s="198">
        <f t="shared" si="61"/>
        <v>0.58077646622458912</v>
      </c>
    </row>
    <row r="74" spans="1:26" x14ac:dyDescent="0.2">
      <c r="A74" s="173" t="str">
        <f t="shared" si="62"/>
        <v>53E - Company Owned</v>
      </c>
      <c r="B74" s="132"/>
      <c r="C74" s="133" t="s">
        <v>188</v>
      </c>
      <c r="D74" s="133" t="s">
        <v>192</v>
      </c>
      <c r="E74" s="133">
        <v>135</v>
      </c>
      <c r="F74" s="133" t="s">
        <v>216</v>
      </c>
      <c r="G74" s="213">
        <v>1833</v>
      </c>
      <c r="H74" s="253">
        <v>939.25</v>
      </c>
      <c r="I74" s="136" t="s">
        <v>131</v>
      </c>
      <c r="J74" s="219">
        <v>0.2</v>
      </c>
      <c r="K74" s="138">
        <f t="shared" si="52"/>
        <v>366.6</v>
      </c>
      <c r="L74" s="135">
        <f t="shared" si="53"/>
        <v>1721645.25</v>
      </c>
      <c r="M74" s="139">
        <f t="shared" si="54"/>
        <v>247.45500000000001</v>
      </c>
      <c r="N74" s="223">
        <v>1039311.0000000001</v>
      </c>
      <c r="O74" s="170">
        <f t="shared" si="55"/>
        <v>47.25</v>
      </c>
      <c r="P74" s="204">
        <f>'Unitized Lighting'!E$21</f>
        <v>6.1581099210352255E-4</v>
      </c>
      <c r="Q74" s="208">
        <f>'Unitized Lighting'!$E$45</f>
        <v>0</v>
      </c>
      <c r="R74" s="208">
        <f>'Unitized Lighting'!E$74</f>
        <v>0</v>
      </c>
      <c r="S74" s="208">
        <f>'Unitized Lighting'!E$106</f>
        <v>0.15563681670383042</v>
      </c>
      <c r="T74" s="208">
        <f>'Unitized Lighting'!$E$123</f>
        <v>1.0508189438633434E-4</v>
      </c>
      <c r="U74" s="34">
        <f t="shared" si="56"/>
        <v>0.57840047433323361</v>
      </c>
      <c r="V74" s="34">
        <f t="shared" si="57"/>
        <v>0</v>
      </c>
      <c r="W74" s="34">
        <f t="shared" si="58"/>
        <v>0</v>
      </c>
      <c r="X74" s="34">
        <f t="shared" si="59"/>
        <v>2.1010970255017105E-2</v>
      </c>
      <c r="Y74" s="34">
        <f t="shared" si="60"/>
        <v>4.9651195097542974E-3</v>
      </c>
      <c r="Z74" s="198">
        <f t="shared" si="61"/>
        <v>0.604376564098005</v>
      </c>
    </row>
    <row r="75" spans="1:26" x14ac:dyDescent="0.2">
      <c r="A75" s="173" t="str">
        <f t="shared" si="62"/>
        <v>53E - Company Owned</v>
      </c>
      <c r="B75" s="132"/>
      <c r="C75" s="133" t="s">
        <v>188</v>
      </c>
      <c r="D75" s="133" t="s">
        <v>193</v>
      </c>
      <c r="E75" s="133">
        <v>165</v>
      </c>
      <c r="F75" s="133" t="s">
        <v>216</v>
      </c>
      <c r="G75" s="213">
        <v>105</v>
      </c>
      <c r="H75" s="253">
        <v>908.3504999999999</v>
      </c>
      <c r="I75" s="136" t="s">
        <v>131</v>
      </c>
      <c r="J75" s="219">
        <v>0.2</v>
      </c>
      <c r="K75" s="138">
        <f t="shared" si="52"/>
        <v>21</v>
      </c>
      <c r="L75" s="135">
        <f t="shared" si="53"/>
        <v>95376.802499999991</v>
      </c>
      <c r="M75" s="139">
        <f t="shared" si="54"/>
        <v>17.324999999999999</v>
      </c>
      <c r="N75" s="223">
        <v>72765</v>
      </c>
      <c r="O75" s="170">
        <f t="shared" si="55"/>
        <v>57.75</v>
      </c>
      <c r="P75" s="204">
        <f>'Unitized Lighting'!E$21</f>
        <v>6.1581099210352255E-4</v>
      </c>
      <c r="Q75" s="208">
        <f>'Unitized Lighting'!$E$45</f>
        <v>0</v>
      </c>
      <c r="R75" s="208">
        <f>'Unitized Lighting'!E$74</f>
        <v>0</v>
      </c>
      <c r="S75" s="208">
        <f>'Unitized Lighting'!E$106</f>
        <v>0.15563681670383042</v>
      </c>
      <c r="T75" s="208">
        <f>'Unitized Lighting'!$E$123</f>
        <v>1.0508189438633434E-4</v>
      </c>
      <c r="U75" s="34">
        <f t="shared" si="56"/>
        <v>0.55937222258273067</v>
      </c>
      <c r="V75" s="34">
        <f t="shared" si="57"/>
        <v>0</v>
      </c>
      <c r="W75" s="34">
        <f t="shared" si="58"/>
        <v>0</v>
      </c>
      <c r="X75" s="34">
        <f t="shared" si="59"/>
        <v>2.5680074756132019E-2</v>
      </c>
      <c r="Y75" s="34">
        <f t="shared" si="60"/>
        <v>6.068479400810808E-3</v>
      </c>
      <c r="Z75" s="198">
        <f t="shared" si="61"/>
        <v>0.59112077673967345</v>
      </c>
    </row>
    <row r="76" spans="1:26" x14ac:dyDescent="0.2">
      <c r="A76" s="173" t="str">
        <f t="shared" si="62"/>
        <v>53E - Company Owned</v>
      </c>
      <c r="B76" s="132"/>
      <c r="C76" s="133" t="s">
        <v>188</v>
      </c>
      <c r="D76" s="133" t="s">
        <v>194</v>
      </c>
      <c r="E76" s="133">
        <v>195</v>
      </c>
      <c r="F76" s="133" t="s">
        <v>216</v>
      </c>
      <c r="G76" s="213">
        <v>427</v>
      </c>
      <c r="H76" s="253">
        <v>908.3504999999999</v>
      </c>
      <c r="I76" s="136" t="s">
        <v>131</v>
      </c>
      <c r="J76" s="219">
        <v>0.2</v>
      </c>
      <c r="K76" s="138">
        <f t="shared" si="52"/>
        <v>85.4</v>
      </c>
      <c r="L76" s="135">
        <f t="shared" si="53"/>
        <v>387865.66349999997</v>
      </c>
      <c r="M76" s="139">
        <f t="shared" si="54"/>
        <v>83.265000000000001</v>
      </c>
      <c r="N76" s="223">
        <v>349713</v>
      </c>
      <c r="O76" s="170">
        <f t="shared" si="55"/>
        <v>68.25</v>
      </c>
      <c r="P76" s="204">
        <f>'Unitized Lighting'!E$21</f>
        <v>6.1581099210352255E-4</v>
      </c>
      <c r="Q76" s="208">
        <f>'Unitized Lighting'!$E$45</f>
        <v>0</v>
      </c>
      <c r="R76" s="208">
        <f>'Unitized Lighting'!E$74</f>
        <v>0</v>
      </c>
      <c r="S76" s="208">
        <f>'Unitized Lighting'!E$106</f>
        <v>0.15563681670383042</v>
      </c>
      <c r="T76" s="208">
        <f>'Unitized Lighting'!$E$123</f>
        <v>1.0508189438633434E-4</v>
      </c>
      <c r="U76" s="34">
        <f t="shared" si="56"/>
        <v>0.55937222258273067</v>
      </c>
      <c r="V76" s="34">
        <f t="shared" si="57"/>
        <v>0</v>
      </c>
      <c r="W76" s="34">
        <f t="shared" si="58"/>
        <v>0</v>
      </c>
      <c r="X76" s="34">
        <f t="shared" si="59"/>
        <v>3.0349179257246929E-2</v>
      </c>
      <c r="Y76" s="34">
        <f t="shared" si="60"/>
        <v>7.1718392918673187E-3</v>
      </c>
      <c r="Z76" s="198">
        <f t="shared" si="61"/>
        <v>0.59689324113184483</v>
      </c>
    </row>
    <row r="77" spans="1:26" x14ac:dyDescent="0.2">
      <c r="A77" s="173" t="str">
        <f t="shared" si="62"/>
        <v>53E - Company Owned</v>
      </c>
      <c r="B77" s="132"/>
      <c r="C77" s="133" t="s">
        <v>188</v>
      </c>
      <c r="D77" s="133" t="s">
        <v>195</v>
      </c>
      <c r="E77" s="133">
        <v>225</v>
      </c>
      <c r="F77" s="133" t="s">
        <v>216</v>
      </c>
      <c r="G77" s="213">
        <v>36</v>
      </c>
      <c r="H77" s="253">
        <v>913.10849999999994</v>
      </c>
      <c r="I77" s="136" t="s">
        <v>131</v>
      </c>
      <c r="J77" s="219">
        <v>0.2</v>
      </c>
      <c r="K77" s="138">
        <f t="shared" si="52"/>
        <v>7.2</v>
      </c>
      <c r="L77" s="135">
        <f t="shared" si="53"/>
        <v>32871.905999999995</v>
      </c>
      <c r="M77" s="139">
        <f t="shared" si="54"/>
        <v>8.1</v>
      </c>
      <c r="N77" s="223">
        <v>34020</v>
      </c>
      <c r="O77" s="170">
        <f t="shared" si="55"/>
        <v>78.75</v>
      </c>
      <c r="P77" s="204">
        <f>'Unitized Lighting'!E$21</f>
        <v>6.1581099210352255E-4</v>
      </c>
      <c r="Q77" s="208">
        <f>'Unitized Lighting'!$E$45</f>
        <v>0</v>
      </c>
      <c r="R77" s="208">
        <f>'Unitized Lighting'!E$74</f>
        <v>0</v>
      </c>
      <c r="S77" s="208">
        <f>'Unitized Lighting'!E$106</f>
        <v>0.15563681670383042</v>
      </c>
      <c r="T77" s="208">
        <f>'Unitized Lighting'!$E$123</f>
        <v>1.0508189438633434E-4</v>
      </c>
      <c r="U77" s="34">
        <f t="shared" si="56"/>
        <v>0.56230225128315925</v>
      </c>
      <c r="V77" s="34">
        <f t="shared" si="57"/>
        <v>0</v>
      </c>
      <c r="W77" s="34">
        <f t="shared" si="58"/>
        <v>0</v>
      </c>
      <c r="X77" s="34">
        <f t="shared" si="59"/>
        <v>3.501828375836185E-2</v>
      </c>
      <c r="Y77" s="34">
        <f t="shared" si="60"/>
        <v>8.2751991829238293E-3</v>
      </c>
      <c r="Z77" s="198">
        <f t="shared" si="61"/>
        <v>0.6055957342244449</v>
      </c>
    </row>
    <row r="78" spans="1:26" x14ac:dyDescent="0.2">
      <c r="A78" s="173" t="str">
        <f>A76</f>
        <v>53E - Company Owned</v>
      </c>
      <c r="B78" s="132"/>
      <c r="C78" s="133" t="s">
        <v>188</v>
      </c>
      <c r="D78" s="133" t="s">
        <v>196</v>
      </c>
      <c r="E78" s="133">
        <v>255</v>
      </c>
      <c r="F78" s="133" t="s">
        <v>216</v>
      </c>
      <c r="G78" s="213">
        <v>24</v>
      </c>
      <c r="H78" s="253">
        <v>913.10849999999994</v>
      </c>
      <c r="I78" s="136" t="s">
        <v>131</v>
      </c>
      <c r="J78" s="219">
        <v>0.2</v>
      </c>
      <c r="K78" s="138">
        <f t="shared" si="52"/>
        <v>4.8000000000000007</v>
      </c>
      <c r="L78" s="135">
        <f t="shared" si="53"/>
        <v>21914.603999999999</v>
      </c>
      <c r="M78" s="139">
        <f t="shared" si="54"/>
        <v>6.12</v>
      </c>
      <c r="N78" s="223">
        <v>25704</v>
      </c>
      <c r="O78" s="170">
        <f t="shared" si="55"/>
        <v>89.25</v>
      </c>
      <c r="P78" s="204">
        <f>'Unitized Lighting'!E$21</f>
        <v>6.1581099210352255E-4</v>
      </c>
      <c r="Q78" s="208">
        <f>'Unitized Lighting'!$E$45</f>
        <v>0</v>
      </c>
      <c r="R78" s="208">
        <f>'Unitized Lighting'!E$74</f>
        <v>0</v>
      </c>
      <c r="S78" s="208">
        <f>'Unitized Lighting'!E$106</f>
        <v>0.15563681670383042</v>
      </c>
      <c r="T78" s="208">
        <f>'Unitized Lighting'!$E$123</f>
        <v>1.0508189438633434E-4</v>
      </c>
      <c r="U78" s="34">
        <f t="shared" si="56"/>
        <v>0.56230225128315925</v>
      </c>
      <c r="V78" s="34">
        <f t="shared" si="57"/>
        <v>0</v>
      </c>
      <c r="W78" s="34">
        <f t="shared" si="58"/>
        <v>0</v>
      </c>
      <c r="X78" s="34">
        <f t="shared" si="59"/>
        <v>3.9687388259476757E-2</v>
      </c>
      <c r="Y78" s="34">
        <f t="shared" si="60"/>
        <v>9.3785590739803391E-3</v>
      </c>
      <c r="Z78" s="198">
        <f t="shared" si="61"/>
        <v>0.61136819861661629</v>
      </c>
    </row>
    <row r="79" spans="1:26" x14ac:dyDescent="0.2">
      <c r="A79" s="173" t="str">
        <f>A78</f>
        <v>53E - Company Owned</v>
      </c>
      <c r="B79" s="132"/>
      <c r="C79" s="133" t="s">
        <v>188</v>
      </c>
      <c r="D79" s="133" t="s">
        <v>197</v>
      </c>
      <c r="E79" s="133">
        <v>285</v>
      </c>
      <c r="F79" s="133" t="s">
        <v>216</v>
      </c>
      <c r="G79" s="213">
        <v>157</v>
      </c>
      <c r="H79" s="253">
        <v>913.10849999999994</v>
      </c>
      <c r="I79" s="136" t="s">
        <v>131</v>
      </c>
      <c r="J79" s="219">
        <v>0.2</v>
      </c>
      <c r="K79" s="138">
        <f t="shared" si="52"/>
        <v>31.400000000000002</v>
      </c>
      <c r="L79" s="135">
        <f t="shared" si="53"/>
        <v>143358.03449999998</v>
      </c>
      <c r="M79" s="139">
        <f t="shared" si="54"/>
        <v>44.744999999999997</v>
      </c>
      <c r="N79" s="223">
        <v>187928.99999999997</v>
      </c>
      <c r="O79" s="170">
        <f t="shared" si="55"/>
        <v>99.75</v>
      </c>
      <c r="P79" s="204">
        <f>'Unitized Lighting'!E$21</f>
        <v>6.1581099210352255E-4</v>
      </c>
      <c r="Q79" s="208">
        <f>'Unitized Lighting'!$E$45</f>
        <v>0</v>
      </c>
      <c r="R79" s="208">
        <f>'Unitized Lighting'!E$74</f>
        <v>0</v>
      </c>
      <c r="S79" s="208">
        <f>'Unitized Lighting'!E$106</f>
        <v>0.15563681670383042</v>
      </c>
      <c r="T79" s="208">
        <f>'Unitized Lighting'!$E$123</f>
        <v>1.0508189438633434E-4</v>
      </c>
      <c r="U79" s="34">
        <f t="shared" si="56"/>
        <v>0.56230225128315925</v>
      </c>
      <c r="V79" s="34">
        <f t="shared" si="57"/>
        <v>0</v>
      </c>
      <c r="W79" s="34">
        <f t="shared" si="58"/>
        <v>0</v>
      </c>
      <c r="X79" s="34">
        <f t="shared" si="59"/>
        <v>4.435649276059167E-2</v>
      </c>
      <c r="Y79" s="34">
        <f t="shared" si="60"/>
        <v>1.0481918965036851E-2</v>
      </c>
      <c r="Z79" s="198">
        <f t="shared" si="61"/>
        <v>0.61714066300878778</v>
      </c>
    </row>
    <row r="80" spans="1:26" x14ac:dyDescent="0.2">
      <c r="A80" s="173"/>
      <c r="B80" s="132"/>
      <c r="C80" s="133"/>
      <c r="D80" s="133"/>
      <c r="E80" s="133"/>
      <c r="F80" s="133"/>
      <c r="G80" s="213"/>
      <c r="H80" s="253"/>
      <c r="I80" s="136"/>
      <c r="J80" s="219"/>
      <c r="K80" s="138"/>
      <c r="L80" s="135"/>
      <c r="M80" s="139"/>
      <c r="N80" s="223"/>
      <c r="O80" s="170"/>
      <c r="P80" s="204"/>
      <c r="Q80" s="208"/>
      <c r="R80" s="208"/>
      <c r="S80" s="208"/>
      <c r="T80" s="208"/>
      <c r="Z80" s="198"/>
    </row>
    <row r="81" spans="1:26" x14ac:dyDescent="0.2">
      <c r="A81" s="173" t="s">
        <v>152</v>
      </c>
      <c r="B81" s="132" t="s">
        <v>252</v>
      </c>
      <c r="C81" s="133" t="s">
        <v>188</v>
      </c>
      <c r="D81" s="133" t="s">
        <v>251</v>
      </c>
      <c r="E81" s="133">
        <v>15</v>
      </c>
      <c r="F81" s="133" t="s">
        <v>216</v>
      </c>
      <c r="G81" s="213">
        <v>0</v>
      </c>
      <c r="H81" s="253">
        <v>875.41268444011189</v>
      </c>
      <c r="I81" s="136" t="s">
        <v>131</v>
      </c>
      <c r="J81" s="219">
        <v>0.2</v>
      </c>
      <c r="K81" s="138">
        <f t="shared" ref="K81:K90" si="63">IF(I81="Yes",G81*J81,0)</f>
        <v>0</v>
      </c>
      <c r="L81" s="135">
        <f t="shared" ref="L81:L90" si="64">IF(F81="Company", G81*H81,0)</f>
        <v>0</v>
      </c>
      <c r="M81" s="139">
        <f t="shared" ref="M81:M90" si="65">E81*G81/1000</f>
        <v>0</v>
      </c>
      <c r="N81" s="223">
        <v>0</v>
      </c>
      <c r="O81" s="170">
        <f t="shared" ref="O81:O90" si="66">E81*4200/1000/12</f>
        <v>5.25</v>
      </c>
      <c r="P81" s="204">
        <f>'Unitized Lighting'!E$21</f>
        <v>6.1581099210352255E-4</v>
      </c>
      <c r="Q81" s="208">
        <f>'Unitized Lighting'!$E$45</f>
        <v>0</v>
      </c>
      <c r="R81" s="208">
        <f>'Unitized Lighting'!E$74</f>
        <v>0</v>
      </c>
      <c r="S81" s="208">
        <f>'Unitized Lighting'!E$106</f>
        <v>0.15563681670383042</v>
      </c>
      <c r="T81" s="208">
        <f>'Unitized Lighting'!$E$123</f>
        <v>1.0508189438633434E-4</v>
      </c>
      <c r="U81" s="34">
        <f t="shared" ref="U81:U90" si="67">IF(F81="Company", H81*P81, 0)</f>
        <v>0.53908875370507325</v>
      </c>
      <c r="V81" s="34">
        <f t="shared" ref="V81:V90" si="68">IF(I81="yes", J81*Q81, 0)</f>
        <v>0</v>
      </c>
      <c r="W81" s="34">
        <f t="shared" ref="W81:W90" si="69">R81*O81</f>
        <v>0</v>
      </c>
      <c r="X81" s="34">
        <f t="shared" ref="X81:X90" si="70">E81*S81/1000</f>
        <v>2.3345522505574564E-3</v>
      </c>
      <c r="Y81" s="34">
        <f t="shared" ref="Y81:Y90" si="71">O81*T81</f>
        <v>5.5167994552825532E-4</v>
      </c>
      <c r="Z81" s="198">
        <f t="shared" ref="Z81:Z90" si="72">SUM(U81:Y81)</f>
        <v>0.541974985901159</v>
      </c>
    </row>
    <row r="82" spans="1:26" x14ac:dyDescent="0.2">
      <c r="A82" s="173" t="s">
        <v>152</v>
      </c>
      <c r="B82" s="132" t="s">
        <v>252</v>
      </c>
      <c r="C82" s="133" t="s">
        <v>188</v>
      </c>
      <c r="D82" s="133" t="s">
        <v>189</v>
      </c>
      <c r="E82" s="133">
        <v>45</v>
      </c>
      <c r="F82" s="133" t="s">
        <v>216</v>
      </c>
      <c r="G82" s="213">
        <v>0</v>
      </c>
      <c r="H82" s="253">
        <v>870.45377419354838</v>
      </c>
      <c r="I82" s="136" t="s">
        <v>131</v>
      </c>
      <c r="J82" s="219">
        <v>0.2</v>
      </c>
      <c r="K82" s="138">
        <f t="shared" si="63"/>
        <v>0</v>
      </c>
      <c r="L82" s="135">
        <f t="shared" si="64"/>
        <v>0</v>
      </c>
      <c r="M82" s="139">
        <f t="shared" si="65"/>
        <v>0</v>
      </c>
      <c r="N82" s="223">
        <v>0</v>
      </c>
      <c r="O82" s="170">
        <f t="shared" si="66"/>
        <v>15.75</v>
      </c>
      <c r="P82" s="204">
        <f>'Unitized Lighting'!E$21</f>
        <v>6.1581099210352255E-4</v>
      </c>
      <c r="Q82" s="208">
        <f>'Unitized Lighting'!$E$45</f>
        <v>0</v>
      </c>
      <c r="R82" s="208">
        <f>'Unitized Lighting'!E$74</f>
        <v>0</v>
      </c>
      <c r="S82" s="208">
        <f>'Unitized Lighting'!E$106</f>
        <v>0.15563681670383042</v>
      </c>
      <c r="T82" s="208">
        <f>'Unitized Lighting'!$E$123</f>
        <v>1.0508189438633434E-4</v>
      </c>
      <c r="U82" s="34">
        <f t="shared" si="67"/>
        <v>0.53603500226638467</v>
      </c>
      <c r="V82" s="34">
        <f t="shared" si="68"/>
        <v>0</v>
      </c>
      <c r="W82" s="34">
        <f t="shared" si="69"/>
        <v>0</v>
      </c>
      <c r="X82" s="34">
        <f t="shared" si="70"/>
        <v>7.0036567516723689E-3</v>
      </c>
      <c r="Y82" s="34">
        <f t="shared" si="71"/>
        <v>1.6550398365847659E-3</v>
      </c>
      <c r="Z82" s="198">
        <f t="shared" si="72"/>
        <v>0.54469369885464181</v>
      </c>
    </row>
    <row r="83" spans="1:26" x14ac:dyDescent="0.2">
      <c r="A83" s="173" t="s">
        <v>152</v>
      </c>
      <c r="B83" s="132" t="s">
        <v>252</v>
      </c>
      <c r="C83" s="133" t="s">
        <v>188</v>
      </c>
      <c r="D83" s="133" t="s">
        <v>190</v>
      </c>
      <c r="E83" s="133">
        <v>75</v>
      </c>
      <c r="F83" s="133" t="s">
        <v>216</v>
      </c>
      <c r="G83" s="213">
        <v>0</v>
      </c>
      <c r="H83" s="253">
        <v>851.13228571428579</v>
      </c>
      <c r="I83" s="136" t="s">
        <v>131</v>
      </c>
      <c r="J83" s="219">
        <v>0.2</v>
      </c>
      <c r="K83" s="138">
        <f t="shared" si="63"/>
        <v>0</v>
      </c>
      <c r="L83" s="135">
        <f t="shared" si="64"/>
        <v>0</v>
      </c>
      <c r="M83" s="139">
        <f t="shared" si="65"/>
        <v>0</v>
      </c>
      <c r="N83" s="223">
        <v>0</v>
      </c>
      <c r="O83" s="170">
        <f t="shared" si="66"/>
        <v>26.25</v>
      </c>
      <c r="P83" s="204">
        <f>'Unitized Lighting'!E$21</f>
        <v>6.1581099210352255E-4</v>
      </c>
      <c r="Q83" s="208">
        <f>'Unitized Lighting'!$E$45</f>
        <v>0</v>
      </c>
      <c r="R83" s="208">
        <f>'Unitized Lighting'!E$74</f>
        <v>0</v>
      </c>
      <c r="S83" s="208">
        <f>'Unitized Lighting'!E$106</f>
        <v>0.15563681670383042</v>
      </c>
      <c r="T83" s="208">
        <f>'Unitized Lighting'!$E$123</f>
        <v>1.0508189438633434E-4</v>
      </c>
      <c r="U83" s="34">
        <f t="shared" si="67"/>
        <v>0.52413661727705319</v>
      </c>
      <c r="V83" s="34">
        <f t="shared" si="68"/>
        <v>0</v>
      </c>
      <c r="W83" s="34">
        <f t="shared" si="69"/>
        <v>0</v>
      </c>
      <c r="X83" s="34">
        <f t="shared" si="70"/>
        <v>1.1672761252787283E-2</v>
      </c>
      <c r="Y83" s="34">
        <f t="shared" si="71"/>
        <v>2.7583997276412766E-3</v>
      </c>
      <c r="Z83" s="198">
        <f t="shared" si="72"/>
        <v>0.5385677782574817</v>
      </c>
    </row>
    <row r="84" spans="1:26" x14ac:dyDescent="0.2">
      <c r="A84" s="173" t="s">
        <v>152</v>
      </c>
      <c r="B84" s="132" t="s">
        <v>252</v>
      </c>
      <c r="C84" s="133" t="s">
        <v>188</v>
      </c>
      <c r="D84" s="133" t="s">
        <v>191</v>
      </c>
      <c r="E84" s="133">
        <v>105</v>
      </c>
      <c r="F84" s="133" t="s">
        <v>216</v>
      </c>
      <c r="G84" s="213">
        <v>0</v>
      </c>
      <c r="H84" s="253">
        <v>910.30015384615376</v>
      </c>
      <c r="I84" s="136" t="s">
        <v>131</v>
      </c>
      <c r="J84" s="219">
        <v>0.2</v>
      </c>
      <c r="K84" s="138">
        <f t="shared" si="63"/>
        <v>0</v>
      </c>
      <c r="L84" s="135">
        <f t="shared" si="64"/>
        <v>0</v>
      </c>
      <c r="M84" s="139">
        <f t="shared" si="65"/>
        <v>0</v>
      </c>
      <c r="N84" s="223">
        <v>0</v>
      </c>
      <c r="O84" s="170">
        <f t="shared" si="66"/>
        <v>36.75</v>
      </c>
      <c r="P84" s="204">
        <f>'Unitized Lighting'!E$21</f>
        <v>6.1581099210352255E-4</v>
      </c>
      <c r="Q84" s="208">
        <f>'Unitized Lighting'!$E$45</f>
        <v>0</v>
      </c>
      <c r="R84" s="208">
        <f>'Unitized Lighting'!E$74</f>
        <v>0</v>
      </c>
      <c r="S84" s="208">
        <f>'Unitized Lighting'!E$106</f>
        <v>0.15563681670383042</v>
      </c>
      <c r="T84" s="208">
        <f>'Unitized Lighting'!$E$123</f>
        <v>1.0508189438633434E-4</v>
      </c>
      <c r="U84" s="34">
        <f t="shared" si="67"/>
        <v>0.56057284085198911</v>
      </c>
      <c r="V84" s="34">
        <f t="shared" si="68"/>
        <v>0</v>
      </c>
      <c r="W84" s="34">
        <f t="shared" si="69"/>
        <v>0</v>
      </c>
      <c r="X84" s="34">
        <f t="shared" si="70"/>
        <v>1.6341865753902195E-2</v>
      </c>
      <c r="Y84" s="34">
        <f t="shared" si="71"/>
        <v>3.8617596186977872E-3</v>
      </c>
      <c r="Z84" s="198">
        <f t="shared" si="72"/>
        <v>0.58077646622458912</v>
      </c>
    </row>
    <row r="85" spans="1:26" x14ac:dyDescent="0.2">
      <c r="A85" s="173" t="s">
        <v>152</v>
      </c>
      <c r="B85" s="132" t="s">
        <v>252</v>
      </c>
      <c r="C85" s="133" t="s">
        <v>188</v>
      </c>
      <c r="D85" s="133" t="s">
        <v>192</v>
      </c>
      <c r="E85" s="133">
        <v>135</v>
      </c>
      <c r="F85" s="133" t="s">
        <v>216</v>
      </c>
      <c r="G85" s="213">
        <v>0</v>
      </c>
      <c r="H85" s="253">
        <v>939.25</v>
      </c>
      <c r="I85" s="136" t="s">
        <v>131</v>
      </c>
      <c r="J85" s="219">
        <v>0.2</v>
      </c>
      <c r="K85" s="138">
        <f t="shared" si="63"/>
        <v>0</v>
      </c>
      <c r="L85" s="135">
        <f t="shared" si="64"/>
        <v>0</v>
      </c>
      <c r="M85" s="139">
        <f t="shared" si="65"/>
        <v>0</v>
      </c>
      <c r="N85" s="223">
        <v>0</v>
      </c>
      <c r="O85" s="170">
        <f t="shared" si="66"/>
        <v>47.25</v>
      </c>
      <c r="P85" s="204">
        <f>'Unitized Lighting'!E$21</f>
        <v>6.1581099210352255E-4</v>
      </c>
      <c r="Q85" s="208">
        <f>'Unitized Lighting'!$E$45</f>
        <v>0</v>
      </c>
      <c r="R85" s="208">
        <f>'Unitized Lighting'!E$74</f>
        <v>0</v>
      </c>
      <c r="S85" s="208">
        <f>'Unitized Lighting'!E$106</f>
        <v>0.15563681670383042</v>
      </c>
      <c r="T85" s="208">
        <f>'Unitized Lighting'!$E$123</f>
        <v>1.0508189438633434E-4</v>
      </c>
      <c r="U85" s="34">
        <f t="shared" si="67"/>
        <v>0.57840047433323361</v>
      </c>
      <c r="V85" s="34">
        <f t="shared" si="68"/>
        <v>0</v>
      </c>
      <c r="W85" s="34">
        <f t="shared" si="69"/>
        <v>0</v>
      </c>
      <c r="X85" s="34">
        <f t="shared" si="70"/>
        <v>2.1010970255017105E-2</v>
      </c>
      <c r="Y85" s="34">
        <f t="shared" si="71"/>
        <v>4.9651195097542974E-3</v>
      </c>
      <c r="Z85" s="198">
        <f t="shared" si="72"/>
        <v>0.604376564098005</v>
      </c>
    </row>
    <row r="86" spans="1:26" x14ac:dyDescent="0.2">
      <c r="A86" s="173" t="s">
        <v>152</v>
      </c>
      <c r="B86" s="132" t="s">
        <v>252</v>
      </c>
      <c r="C86" s="133" t="s">
        <v>188</v>
      </c>
      <c r="D86" s="133" t="s">
        <v>193</v>
      </c>
      <c r="E86" s="133">
        <v>165</v>
      </c>
      <c r="F86" s="133" t="s">
        <v>216</v>
      </c>
      <c r="G86" s="213">
        <v>0</v>
      </c>
      <c r="H86" s="253">
        <v>908.3504999999999</v>
      </c>
      <c r="I86" s="136" t="s">
        <v>131</v>
      </c>
      <c r="J86" s="219">
        <v>0.2</v>
      </c>
      <c r="K86" s="138">
        <f t="shared" si="63"/>
        <v>0</v>
      </c>
      <c r="L86" s="135">
        <f t="shared" si="64"/>
        <v>0</v>
      </c>
      <c r="M86" s="139">
        <f t="shared" si="65"/>
        <v>0</v>
      </c>
      <c r="N86" s="223">
        <v>0</v>
      </c>
      <c r="O86" s="170">
        <f t="shared" si="66"/>
        <v>57.75</v>
      </c>
      <c r="P86" s="204">
        <f>'Unitized Lighting'!E$21</f>
        <v>6.1581099210352255E-4</v>
      </c>
      <c r="Q86" s="208">
        <f>'Unitized Lighting'!$E$45</f>
        <v>0</v>
      </c>
      <c r="R86" s="208">
        <f>'Unitized Lighting'!E$74</f>
        <v>0</v>
      </c>
      <c r="S86" s="208">
        <f>'Unitized Lighting'!E$106</f>
        <v>0.15563681670383042</v>
      </c>
      <c r="T86" s="208">
        <f>'Unitized Lighting'!$E$123</f>
        <v>1.0508189438633434E-4</v>
      </c>
      <c r="U86" s="34">
        <f t="shared" si="67"/>
        <v>0.55937222258273067</v>
      </c>
      <c r="V86" s="34">
        <f t="shared" si="68"/>
        <v>0</v>
      </c>
      <c r="W86" s="34">
        <f t="shared" si="69"/>
        <v>0</v>
      </c>
      <c r="X86" s="34">
        <f t="shared" si="70"/>
        <v>2.5680074756132019E-2</v>
      </c>
      <c r="Y86" s="34">
        <f t="shared" si="71"/>
        <v>6.068479400810808E-3</v>
      </c>
      <c r="Z86" s="198">
        <f t="shared" si="72"/>
        <v>0.59112077673967345</v>
      </c>
    </row>
    <row r="87" spans="1:26" x14ac:dyDescent="0.2">
      <c r="A87" s="173" t="s">
        <v>152</v>
      </c>
      <c r="B87" s="132" t="s">
        <v>252</v>
      </c>
      <c r="C87" s="133" t="s">
        <v>188</v>
      </c>
      <c r="D87" s="133" t="s">
        <v>194</v>
      </c>
      <c r="E87" s="133">
        <v>195</v>
      </c>
      <c r="F87" s="133" t="s">
        <v>216</v>
      </c>
      <c r="G87" s="213">
        <v>0</v>
      </c>
      <c r="H87" s="253">
        <v>908.3504999999999</v>
      </c>
      <c r="I87" s="136" t="s">
        <v>131</v>
      </c>
      <c r="J87" s="219">
        <v>0.2</v>
      </c>
      <c r="K87" s="138">
        <f t="shared" si="63"/>
        <v>0</v>
      </c>
      <c r="L87" s="135">
        <f t="shared" si="64"/>
        <v>0</v>
      </c>
      <c r="M87" s="139">
        <f t="shared" si="65"/>
        <v>0</v>
      </c>
      <c r="N87" s="223">
        <v>0</v>
      </c>
      <c r="O87" s="170">
        <f t="shared" si="66"/>
        <v>68.25</v>
      </c>
      <c r="P87" s="204">
        <f>'Unitized Lighting'!E$21</f>
        <v>6.1581099210352255E-4</v>
      </c>
      <c r="Q87" s="208">
        <f>'Unitized Lighting'!$E$45</f>
        <v>0</v>
      </c>
      <c r="R87" s="208">
        <f>'Unitized Lighting'!E$74</f>
        <v>0</v>
      </c>
      <c r="S87" s="208">
        <f>'Unitized Lighting'!E$106</f>
        <v>0.15563681670383042</v>
      </c>
      <c r="T87" s="208">
        <f>'Unitized Lighting'!$E$123</f>
        <v>1.0508189438633434E-4</v>
      </c>
      <c r="U87" s="34">
        <f t="shared" si="67"/>
        <v>0.55937222258273067</v>
      </c>
      <c r="V87" s="34">
        <f t="shared" si="68"/>
        <v>0</v>
      </c>
      <c r="W87" s="34">
        <f t="shared" si="69"/>
        <v>0</v>
      </c>
      <c r="X87" s="34">
        <f t="shared" si="70"/>
        <v>3.0349179257246929E-2</v>
      </c>
      <c r="Y87" s="34">
        <f t="shared" si="71"/>
        <v>7.1718392918673187E-3</v>
      </c>
      <c r="Z87" s="198">
        <f t="shared" si="72"/>
        <v>0.59689324113184483</v>
      </c>
    </row>
    <row r="88" spans="1:26" x14ac:dyDescent="0.2">
      <c r="A88" s="173" t="s">
        <v>152</v>
      </c>
      <c r="B88" s="132" t="s">
        <v>252</v>
      </c>
      <c r="C88" s="133" t="s">
        <v>188</v>
      </c>
      <c r="D88" s="133" t="s">
        <v>195</v>
      </c>
      <c r="E88" s="133">
        <v>225</v>
      </c>
      <c r="F88" s="133" t="s">
        <v>216</v>
      </c>
      <c r="G88" s="213">
        <v>0</v>
      </c>
      <c r="H88" s="253">
        <v>913.10849999999994</v>
      </c>
      <c r="I88" s="136" t="s">
        <v>131</v>
      </c>
      <c r="J88" s="219">
        <v>0.2</v>
      </c>
      <c r="K88" s="138">
        <f t="shared" si="63"/>
        <v>0</v>
      </c>
      <c r="L88" s="135">
        <f t="shared" si="64"/>
        <v>0</v>
      </c>
      <c r="M88" s="139">
        <f t="shared" si="65"/>
        <v>0</v>
      </c>
      <c r="N88" s="223">
        <v>0</v>
      </c>
      <c r="O88" s="170">
        <f t="shared" si="66"/>
        <v>78.75</v>
      </c>
      <c r="P88" s="204">
        <f>'Unitized Lighting'!E$21</f>
        <v>6.1581099210352255E-4</v>
      </c>
      <c r="Q88" s="208">
        <f>'Unitized Lighting'!$E$45</f>
        <v>0</v>
      </c>
      <c r="R88" s="208">
        <f>'Unitized Lighting'!E$74</f>
        <v>0</v>
      </c>
      <c r="S88" s="208">
        <f>'Unitized Lighting'!E$106</f>
        <v>0.15563681670383042</v>
      </c>
      <c r="T88" s="208">
        <f>'Unitized Lighting'!$E$123</f>
        <v>1.0508189438633434E-4</v>
      </c>
      <c r="U88" s="34">
        <f t="shared" si="67"/>
        <v>0.56230225128315925</v>
      </c>
      <c r="V88" s="34">
        <f t="shared" si="68"/>
        <v>0</v>
      </c>
      <c r="W88" s="34">
        <f t="shared" si="69"/>
        <v>0</v>
      </c>
      <c r="X88" s="34">
        <f t="shared" si="70"/>
        <v>3.501828375836185E-2</v>
      </c>
      <c r="Y88" s="34">
        <f t="shared" si="71"/>
        <v>8.2751991829238293E-3</v>
      </c>
      <c r="Z88" s="198">
        <f t="shared" si="72"/>
        <v>0.6055957342244449</v>
      </c>
    </row>
    <row r="89" spans="1:26" x14ac:dyDescent="0.2">
      <c r="A89" s="173" t="s">
        <v>152</v>
      </c>
      <c r="B89" s="132" t="s">
        <v>252</v>
      </c>
      <c r="C89" s="133" t="s">
        <v>188</v>
      </c>
      <c r="D89" s="133" t="s">
        <v>196</v>
      </c>
      <c r="E89" s="133">
        <v>255</v>
      </c>
      <c r="F89" s="133" t="s">
        <v>216</v>
      </c>
      <c r="G89" s="213">
        <v>0</v>
      </c>
      <c r="H89" s="253">
        <v>913.10849999999994</v>
      </c>
      <c r="I89" s="136" t="s">
        <v>131</v>
      </c>
      <c r="J89" s="219">
        <v>0.2</v>
      </c>
      <c r="K89" s="138">
        <f t="shared" si="63"/>
        <v>0</v>
      </c>
      <c r="L89" s="135">
        <f t="shared" si="64"/>
        <v>0</v>
      </c>
      <c r="M89" s="139">
        <f t="shared" si="65"/>
        <v>0</v>
      </c>
      <c r="N89" s="223">
        <v>0</v>
      </c>
      <c r="O89" s="170">
        <f t="shared" si="66"/>
        <v>89.25</v>
      </c>
      <c r="P89" s="204">
        <f>'Unitized Lighting'!E$21</f>
        <v>6.1581099210352255E-4</v>
      </c>
      <c r="Q89" s="208">
        <f>'Unitized Lighting'!$E$45</f>
        <v>0</v>
      </c>
      <c r="R89" s="208">
        <f>'Unitized Lighting'!E$74</f>
        <v>0</v>
      </c>
      <c r="S89" s="208">
        <f>'Unitized Lighting'!E$106</f>
        <v>0.15563681670383042</v>
      </c>
      <c r="T89" s="208">
        <f>'Unitized Lighting'!$E$123</f>
        <v>1.0508189438633434E-4</v>
      </c>
      <c r="U89" s="34">
        <f t="shared" si="67"/>
        <v>0.56230225128315925</v>
      </c>
      <c r="V89" s="34">
        <f t="shared" si="68"/>
        <v>0</v>
      </c>
      <c r="W89" s="34">
        <f t="shared" si="69"/>
        <v>0</v>
      </c>
      <c r="X89" s="34">
        <f t="shared" si="70"/>
        <v>3.9687388259476757E-2</v>
      </c>
      <c r="Y89" s="34">
        <f t="shared" si="71"/>
        <v>9.3785590739803391E-3</v>
      </c>
      <c r="Z89" s="198">
        <f t="shared" si="72"/>
        <v>0.61136819861661629</v>
      </c>
    </row>
    <row r="90" spans="1:26" x14ac:dyDescent="0.2">
      <c r="A90" s="173" t="s">
        <v>152</v>
      </c>
      <c r="B90" s="132" t="s">
        <v>252</v>
      </c>
      <c r="C90" s="133" t="s">
        <v>188</v>
      </c>
      <c r="D90" s="133" t="s">
        <v>197</v>
      </c>
      <c r="E90" s="133">
        <v>285</v>
      </c>
      <c r="F90" s="133" t="s">
        <v>216</v>
      </c>
      <c r="G90" s="213">
        <v>0</v>
      </c>
      <c r="H90" s="253">
        <v>913.10849999999994</v>
      </c>
      <c r="I90" s="136" t="s">
        <v>131</v>
      </c>
      <c r="J90" s="219">
        <v>0.2</v>
      </c>
      <c r="K90" s="138">
        <f t="shared" si="63"/>
        <v>0</v>
      </c>
      <c r="L90" s="135">
        <f t="shared" si="64"/>
        <v>0</v>
      </c>
      <c r="M90" s="139">
        <f t="shared" si="65"/>
        <v>0</v>
      </c>
      <c r="N90" s="223">
        <v>0</v>
      </c>
      <c r="O90" s="170">
        <f t="shared" si="66"/>
        <v>99.75</v>
      </c>
      <c r="P90" s="204">
        <f>'Unitized Lighting'!E$21</f>
        <v>6.1581099210352255E-4</v>
      </c>
      <c r="Q90" s="208">
        <f>'Unitized Lighting'!$E$45</f>
        <v>0</v>
      </c>
      <c r="R90" s="208">
        <f>'Unitized Lighting'!E$74</f>
        <v>0</v>
      </c>
      <c r="S90" s="208">
        <f>'Unitized Lighting'!E$106</f>
        <v>0.15563681670383042</v>
      </c>
      <c r="T90" s="208">
        <f>'Unitized Lighting'!$E$123</f>
        <v>1.0508189438633434E-4</v>
      </c>
      <c r="U90" s="34">
        <f t="shared" si="67"/>
        <v>0.56230225128315925</v>
      </c>
      <c r="V90" s="34">
        <f t="shared" si="68"/>
        <v>0</v>
      </c>
      <c r="W90" s="34">
        <f t="shared" si="69"/>
        <v>0</v>
      </c>
      <c r="X90" s="34">
        <f t="shared" si="70"/>
        <v>4.435649276059167E-2</v>
      </c>
      <c r="Y90" s="34">
        <f t="shared" si="71"/>
        <v>1.0481918965036851E-2</v>
      </c>
      <c r="Z90" s="198">
        <f t="shared" si="72"/>
        <v>0.61714066300878778</v>
      </c>
    </row>
    <row r="91" spans="1:26" x14ac:dyDescent="0.2">
      <c r="A91" s="177"/>
      <c r="B91" s="148"/>
      <c r="C91" s="145"/>
      <c r="D91" s="148"/>
      <c r="E91" s="147"/>
      <c r="F91" s="137"/>
      <c r="G91" s="214"/>
      <c r="H91" s="135"/>
      <c r="I91" s="136"/>
      <c r="J91" s="219"/>
      <c r="K91" s="138"/>
      <c r="L91" s="135"/>
      <c r="M91" s="139"/>
      <c r="N91" s="223"/>
      <c r="O91" s="175"/>
      <c r="P91" s="204"/>
      <c r="Q91" s="208"/>
      <c r="R91" s="208"/>
      <c r="S91" s="208"/>
      <c r="T91" s="208"/>
      <c r="Z91" s="198"/>
    </row>
    <row r="92" spans="1:26" x14ac:dyDescent="0.2">
      <c r="A92" s="169" t="s">
        <v>151</v>
      </c>
      <c r="B92" s="133" t="s">
        <v>146</v>
      </c>
      <c r="C92" s="133" t="s">
        <v>198</v>
      </c>
      <c r="D92" s="133" t="s">
        <v>215</v>
      </c>
      <c r="E92" s="133">
        <v>50</v>
      </c>
      <c r="F92" s="133" t="s">
        <v>27</v>
      </c>
      <c r="G92" s="213">
        <v>0</v>
      </c>
      <c r="H92" s="135" t="s">
        <v>138</v>
      </c>
      <c r="I92" s="136" t="s">
        <v>131</v>
      </c>
      <c r="J92" s="219">
        <v>1</v>
      </c>
      <c r="K92" s="138">
        <f t="shared" ref="K92:K100" si="73">IF(I92="Yes",G92*J92,0)</f>
        <v>0</v>
      </c>
      <c r="L92" s="135">
        <f t="shared" ref="L92:L100" si="74">IF(F92="Company", G92*H92,0)</f>
        <v>0</v>
      </c>
      <c r="M92" s="139">
        <f t="shared" ref="M92:M100" si="75">E92*G92/1000</f>
        <v>0</v>
      </c>
      <c r="N92" s="223">
        <v>0</v>
      </c>
      <c r="O92" s="170">
        <f t="shared" ref="O92:O100" si="76">E92*4200/1000/12</f>
        <v>17.5</v>
      </c>
      <c r="P92" s="204">
        <f>'Unitized Lighting'!E$21</f>
        <v>6.1581099210352255E-4</v>
      </c>
      <c r="Q92" s="208">
        <f>'Unitized Lighting'!$E$45</f>
        <v>0</v>
      </c>
      <c r="R92" s="208">
        <f>'Unitized Lighting'!E$74</f>
        <v>0</v>
      </c>
      <c r="S92" s="208">
        <f>'Unitized Lighting'!E$106</f>
        <v>0.15563681670383042</v>
      </c>
      <c r="T92" s="208">
        <f>'Unitized Lighting'!$E$123</f>
        <v>1.0508189438633434E-4</v>
      </c>
      <c r="U92" s="34">
        <f t="shared" ref="U92:U100" si="77">IF(F92="Company", H92*P92, 0)</f>
        <v>0</v>
      </c>
      <c r="V92" s="34">
        <f t="shared" ref="V92:V100" si="78">IF(I92="yes", J92*Q92, 0)</f>
        <v>0</v>
      </c>
      <c r="W92" s="34">
        <f t="shared" ref="W92:W100" si="79">R92*O92</f>
        <v>0</v>
      </c>
      <c r="X92" s="34">
        <f t="shared" ref="X92:X100" si="80">E92*S92/1000</f>
        <v>7.7818408351915209E-3</v>
      </c>
      <c r="Y92" s="34">
        <f t="shared" ref="Y92:Y100" si="81">O92*T92</f>
        <v>1.8389331517608509E-3</v>
      </c>
      <c r="Z92" s="198">
        <f t="shared" ref="Z92:Z100" si="82">SUM(U92:Y92)</f>
        <v>9.6207739869523714E-3</v>
      </c>
    </row>
    <row r="93" spans="1:26" x14ac:dyDescent="0.2">
      <c r="A93" s="173" t="str">
        <f t="shared" ref="A93:A100" si="83">+A92</f>
        <v>53E - Customer Owned</v>
      </c>
      <c r="B93" s="133" t="s">
        <v>146</v>
      </c>
      <c r="C93" s="133" t="s">
        <v>198</v>
      </c>
      <c r="D93" s="133" t="s">
        <v>200</v>
      </c>
      <c r="E93" s="133">
        <v>70</v>
      </c>
      <c r="F93" s="133" t="s">
        <v>27</v>
      </c>
      <c r="G93" s="213">
        <v>52</v>
      </c>
      <c r="H93" s="135" t="s">
        <v>138</v>
      </c>
      <c r="I93" s="136" t="s">
        <v>131</v>
      </c>
      <c r="J93" s="219">
        <v>1</v>
      </c>
      <c r="K93" s="138">
        <f t="shared" si="73"/>
        <v>52</v>
      </c>
      <c r="L93" s="135">
        <f t="shared" si="74"/>
        <v>0</v>
      </c>
      <c r="M93" s="139">
        <f t="shared" si="75"/>
        <v>3.64</v>
      </c>
      <c r="N93" s="223">
        <v>15288.000000000002</v>
      </c>
      <c r="O93" s="170">
        <f t="shared" si="76"/>
        <v>24.5</v>
      </c>
      <c r="P93" s="204">
        <f>'Unitized Lighting'!E$21</f>
        <v>6.1581099210352255E-4</v>
      </c>
      <c r="Q93" s="208">
        <f>'Unitized Lighting'!$E$45</f>
        <v>0</v>
      </c>
      <c r="R93" s="208">
        <f>'Unitized Lighting'!E$74</f>
        <v>0</v>
      </c>
      <c r="S93" s="208">
        <f>'Unitized Lighting'!E$106</f>
        <v>0.15563681670383042</v>
      </c>
      <c r="T93" s="208">
        <f>'Unitized Lighting'!$E$123</f>
        <v>1.0508189438633434E-4</v>
      </c>
      <c r="U93" s="34">
        <f t="shared" si="77"/>
        <v>0</v>
      </c>
      <c r="V93" s="34">
        <f t="shared" si="78"/>
        <v>0</v>
      </c>
      <c r="W93" s="34">
        <f t="shared" si="79"/>
        <v>0</v>
      </c>
      <c r="X93" s="34">
        <f t="shared" si="80"/>
        <v>1.089457716926813E-2</v>
      </c>
      <c r="Y93" s="34">
        <f t="shared" si="81"/>
        <v>2.5745064124651912E-3</v>
      </c>
      <c r="Z93" s="198">
        <f t="shared" si="82"/>
        <v>1.3469083581733321E-2</v>
      </c>
    </row>
    <row r="94" spans="1:26" x14ac:dyDescent="0.2">
      <c r="A94" s="173" t="str">
        <f t="shared" si="83"/>
        <v>53E - Customer Owned</v>
      </c>
      <c r="B94" s="133" t="s">
        <v>146</v>
      </c>
      <c r="C94" s="133" t="s">
        <v>198</v>
      </c>
      <c r="D94" s="133" t="s">
        <v>201</v>
      </c>
      <c r="E94" s="133">
        <v>100</v>
      </c>
      <c r="F94" s="133" t="s">
        <v>27</v>
      </c>
      <c r="G94" s="213">
        <v>204</v>
      </c>
      <c r="H94" s="135" t="s">
        <v>138</v>
      </c>
      <c r="I94" s="136" t="s">
        <v>131</v>
      </c>
      <c r="J94" s="219">
        <v>1</v>
      </c>
      <c r="K94" s="138">
        <f t="shared" si="73"/>
        <v>204</v>
      </c>
      <c r="L94" s="135">
        <f t="shared" si="74"/>
        <v>0</v>
      </c>
      <c r="M94" s="139">
        <f t="shared" si="75"/>
        <v>20.399999999999999</v>
      </c>
      <c r="N94" s="223">
        <v>85680</v>
      </c>
      <c r="O94" s="170">
        <f t="shared" si="76"/>
        <v>35</v>
      </c>
      <c r="P94" s="204">
        <f>'Unitized Lighting'!E$21</f>
        <v>6.1581099210352255E-4</v>
      </c>
      <c r="Q94" s="208">
        <f>'Unitized Lighting'!$E$45</f>
        <v>0</v>
      </c>
      <c r="R94" s="208">
        <f>'Unitized Lighting'!E$74</f>
        <v>0</v>
      </c>
      <c r="S94" s="208">
        <f>'Unitized Lighting'!E$106</f>
        <v>0.15563681670383042</v>
      </c>
      <c r="T94" s="208">
        <f>'Unitized Lighting'!$E$123</f>
        <v>1.0508189438633434E-4</v>
      </c>
      <c r="U94" s="34">
        <f t="shared" si="77"/>
        <v>0</v>
      </c>
      <c r="V94" s="34">
        <f t="shared" si="78"/>
        <v>0</v>
      </c>
      <c r="W94" s="34">
        <f t="shared" si="79"/>
        <v>0</v>
      </c>
      <c r="X94" s="34">
        <f t="shared" si="80"/>
        <v>1.5563681670383042E-2</v>
      </c>
      <c r="Y94" s="34">
        <f t="shared" si="81"/>
        <v>3.6778663035217018E-3</v>
      </c>
      <c r="Z94" s="198">
        <f t="shared" si="82"/>
        <v>1.9241547973904743E-2</v>
      </c>
    </row>
    <row r="95" spans="1:26" x14ac:dyDescent="0.2">
      <c r="A95" s="173" t="str">
        <f t="shared" si="83"/>
        <v>53E - Customer Owned</v>
      </c>
      <c r="B95" s="133" t="s">
        <v>146</v>
      </c>
      <c r="C95" s="133" t="s">
        <v>198</v>
      </c>
      <c r="D95" s="133" t="s">
        <v>202</v>
      </c>
      <c r="E95" s="133">
        <v>150</v>
      </c>
      <c r="F95" s="133" t="s">
        <v>27</v>
      </c>
      <c r="G95" s="213">
        <v>96</v>
      </c>
      <c r="H95" s="135" t="s">
        <v>138</v>
      </c>
      <c r="I95" s="136" t="s">
        <v>131</v>
      </c>
      <c r="J95" s="219">
        <v>1</v>
      </c>
      <c r="K95" s="138">
        <f t="shared" si="73"/>
        <v>96</v>
      </c>
      <c r="L95" s="135">
        <f t="shared" si="74"/>
        <v>0</v>
      </c>
      <c r="M95" s="139">
        <f t="shared" si="75"/>
        <v>14.4</v>
      </c>
      <c r="N95" s="223">
        <v>60480</v>
      </c>
      <c r="O95" s="170">
        <f t="shared" si="76"/>
        <v>52.5</v>
      </c>
      <c r="P95" s="204">
        <f>'Unitized Lighting'!E$21</f>
        <v>6.1581099210352255E-4</v>
      </c>
      <c r="Q95" s="208">
        <f>'Unitized Lighting'!$E$45</f>
        <v>0</v>
      </c>
      <c r="R95" s="208">
        <f>'Unitized Lighting'!E$74</f>
        <v>0</v>
      </c>
      <c r="S95" s="208">
        <f>'Unitized Lighting'!E$106</f>
        <v>0.15563681670383042</v>
      </c>
      <c r="T95" s="208">
        <f>'Unitized Lighting'!$E$123</f>
        <v>1.0508189438633434E-4</v>
      </c>
      <c r="U95" s="34">
        <f t="shared" si="77"/>
        <v>0</v>
      </c>
      <c r="V95" s="34">
        <f t="shared" si="78"/>
        <v>0</v>
      </c>
      <c r="W95" s="34">
        <f t="shared" si="79"/>
        <v>0</v>
      </c>
      <c r="X95" s="34">
        <f t="shared" si="80"/>
        <v>2.3345522505574565E-2</v>
      </c>
      <c r="Y95" s="34">
        <f t="shared" si="81"/>
        <v>5.5167994552825532E-3</v>
      </c>
      <c r="Z95" s="198">
        <f t="shared" si="82"/>
        <v>2.8862321960857119E-2</v>
      </c>
    </row>
    <row r="96" spans="1:26" x14ac:dyDescent="0.2">
      <c r="A96" s="173" t="str">
        <f t="shared" si="83"/>
        <v>53E - Customer Owned</v>
      </c>
      <c r="B96" s="133" t="s">
        <v>146</v>
      </c>
      <c r="C96" s="133" t="s">
        <v>198</v>
      </c>
      <c r="D96" s="133" t="s">
        <v>203</v>
      </c>
      <c r="E96" s="133">
        <v>200</v>
      </c>
      <c r="F96" s="133" t="s">
        <v>27</v>
      </c>
      <c r="G96" s="213">
        <v>372</v>
      </c>
      <c r="H96" s="135" t="s">
        <v>138</v>
      </c>
      <c r="I96" s="136" t="s">
        <v>131</v>
      </c>
      <c r="J96" s="219">
        <v>1</v>
      </c>
      <c r="K96" s="138">
        <f t="shared" si="73"/>
        <v>372</v>
      </c>
      <c r="L96" s="135">
        <f t="shared" si="74"/>
        <v>0</v>
      </c>
      <c r="M96" s="139">
        <f t="shared" si="75"/>
        <v>74.400000000000006</v>
      </c>
      <c r="N96" s="223">
        <v>312480</v>
      </c>
      <c r="O96" s="170">
        <f t="shared" si="76"/>
        <v>70</v>
      </c>
      <c r="P96" s="204">
        <f>'Unitized Lighting'!E$21</f>
        <v>6.1581099210352255E-4</v>
      </c>
      <c r="Q96" s="208">
        <f>'Unitized Lighting'!$E$45</f>
        <v>0</v>
      </c>
      <c r="R96" s="208">
        <f>'Unitized Lighting'!E$74</f>
        <v>0</v>
      </c>
      <c r="S96" s="208">
        <f>'Unitized Lighting'!E$106</f>
        <v>0.15563681670383042</v>
      </c>
      <c r="T96" s="208">
        <f>'Unitized Lighting'!$E$123</f>
        <v>1.0508189438633434E-4</v>
      </c>
      <c r="U96" s="34">
        <f t="shared" si="77"/>
        <v>0</v>
      </c>
      <c r="V96" s="34">
        <f t="shared" si="78"/>
        <v>0</v>
      </c>
      <c r="W96" s="34">
        <f t="shared" si="79"/>
        <v>0</v>
      </c>
      <c r="X96" s="34">
        <f t="shared" si="80"/>
        <v>3.1127363340766084E-2</v>
      </c>
      <c r="Y96" s="34">
        <f t="shared" si="81"/>
        <v>7.3557326070434036E-3</v>
      </c>
      <c r="Z96" s="198">
        <f t="shared" si="82"/>
        <v>3.8483095947809486E-2</v>
      </c>
    </row>
    <row r="97" spans="1:26" x14ac:dyDescent="0.2">
      <c r="A97" s="173" t="str">
        <f t="shared" si="83"/>
        <v>53E - Customer Owned</v>
      </c>
      <c r="B97" s="133" t="s">
        <v>146</v>
      </c>
      <c r="C97" s="133" t="s">
        <v>198</v>
      </c>
      <c r="D97" s="133" t="s">
        <v>204</v>
      </c>
      <c r="E97" s="133">
        <v>250</v>
      </c>
      <c r="F97" s="133" t="s">
        <v>27</v>
      </c>
      <c r="G97" s="213">
        <v>246</v>
      </c>
      <c r="H97" s="135" t="s">
        <v>138</v>
      </c>
      <c r="I97" s="136" t="s">
        <v>131</v>
      </c>
      <c r="J97" s="219">
        <v>1</v>
      </c>
      <c r="K97" s="138">
        <f t="shared" si="73"/>
        <v>246</v>
      </c>
      <c r="L97" s="135">
        <f t="shared" si="74"/>
        <v>0</v>
      </c>
      <c r="M97" s="139">
        <f t="shared" si="75"/>
        <v>61.5</v>
      </c>
      <c r="N97" s="223">
        <v>258300</v>
      </c>
      <c r="O97" s="170">
        <f t="shared" si="76"/>
        <v>87.5</v>
      </c>
      <c r="P97" s="204">
        <f>'Unitized Lighting'!E$21</f>
        <v>6.1581099210352255E-4</v>
      </c>
      <c r="Q97" s="208">
        <f>'Unitized Lighting'!$E$45</f>
        <v>0</v>
      </c>
      <c r="R97" s="208">
        <f>'Unitized Lighting'!E$74</f>
        <v>0</v>
      </c>
      <c r="S97" s="208">
        <f>'Unitized Lighting'!E$106</f>
        <v>0.15563681670383042</v>
      </c>
      <c r="T97" s="208">
        <f>'Unitized Lighting'!$E$123</f>
        <v>1.0508189438633434E-4</v>
      </c>
      <c r="U97" s="34">
        <f t="shared" si="77"/>
        <v>0</v>
      </c>
      <c r="V97" s="34">
        <f t="shared" si="78"/>
        <v>0</v>
      </c>
      <c r="W97" s="34">
        <f t="shared" si="79"/>
        <v>0</v>
      </c>
      <c r="X97" s="34">
        <f t="shared" si="80"/>
        <v>3.8909204175957605E-2</v>
      </c>
      <c r="Y97" s="34">
        <f t="shared" si="81"/>
        <v>9.194665758804255E-3</v>
      </c>
      <c r="Z97" s="198">
        <f t="shared" si="82"/>
        <v>4.8103869934761859E-2</v>
      </c>
    </row>
    <row r="98" spans="1:26" x14ac:dyDescent="0.2">
      <c r="A98" s="173" t="str">
        <f t="shared" si="83"/>
        <v>53E - Customer Owned</v>
      </c>
      <c r="B98" s="133" t="s">
        <v>146</v>
      </c>
      <c r="C98" s="133" t="s">
        <v>198</v>
      </c>
      <c r="D98" s="133" t="s">
        <v>205</v>
      </c>
      <c r="E98" s="133">
        <v>310</v>
      </c>
      <c r="F98" s="133" t="s">
        <v>27</v>
      </c>
      <c r="G98" s="213">
        <v>7</v>
      </c>
      <c r="H98" s="135" t="s">
        <v>138</v>
      </c>
      <c r="I98" s="136" t="s">
        <v>131</v>
      </c>
      <c r="J98" s="219">
        <v>1</v>
      </c>
      <c r="K98" s="138">
        <f t="shared" si="73"/>
        <v>7</v>
      </c>
      <c r="L98" s="135">
        <f t="shared" si="74"/>
        <v>0</v>
      </c>
      <c r="M98" s="139">
        <f t="shared" si="75"/>
        <v>2.17</v>
      </c>
      <c r="N98" s="223">
        <v>9114</v>
      </c>
      <c r="O98" s="170">
        <f t="shared" si="76"/>
        <v>108.5</v>
      </c>
      <c r="P98" s="204">
        <f>'Unitized Lighting'!E$21</f>
        <v>6.1581099210352255E-4</v>
      </c>
      <c r="Q98" s="208">
        <f>'Unitized Lighting'!$E$45</f>
        <v>0</v>
      </c>
      <c r="R98" s="208">
        <f>'Unitized Lighting'!E$74</f>
        <v>0</v>
      </c>
      <c r="S98" s="208">
        <f>'Unitized Lighting'!E$106</f>
        <v>0.15563681670383042</v>
      </c>
      <c r="T98" s="208">
        <f>'Unitized Lighting'!$E$123</f>
        <v>1.0508189438633434E-4</v>
      </c>
      <c r="U98" s="34">
        <f t="shared" si="77"/>
        <v>0</v>
      </c>
      <c r="V98" s="34">
        <f t="shared" si="78"/>
        <v>0</v>
      </c>
      <c r="W98" s="34">
        <f t="shared" si="79"/>
        <v>0</v>
      </c>
      <c r="X98" s="34">
        <f t="shared" si="80"/>
        <v>4.8247413178187426E-2</v>
      </c>
      <c r="Y98" s="34">
        <f t="shared" si="81"/>
        <v>1.1401385540917276E-2</v>
      </c>
      <c r="Z98" s="198">
        <f t="shared" si="82"/>
        <v>5.9648798719104702E-2</v>
      </c>
    </row>
    <row r="99" spans="1:26" x14ac:dyDescent="0.2">
      <c r="A99" s="173" t="str">
        <f t="shared" si="83"/>
        <v>53E - Customer Owned</v>
      </c>
      <c r="B99" s="133" t="s">
        <v>146</v>
      </c>
      <c r="C99" s="133" t="s">
        <v>198</v>
      </c>
      <c r="D99" s="133" t="s">
        <v>206</v>
      </c>
      <c r="E99" s="133">
        <v>400</v>
      </c>
      <c r="F99" s="133" t="s">
        <v>27</v>
      </c>
      <c r="G99" s="213">
        <v>398</v>
      </c>
      <c r="H99" s="135" t="s">
        <v>138</v>
      </c>
      <c r="I99" s="136" t="s">
        <v>131</v>
      </c>
      <c r="J99" s="219">
        <v>1</v>
      </c>
      <c r="K99" s="138">
        <f t="shared" si="73"/>
        <v>398</v>
      </c>
      <c r="L99" s="135">
        <f t="shared" si="74"/>
        <v>0</v>
      </c>
      <c r="M99" s="139">
        <f t="shared" si="75"/>
        <v>159.19999999999999</v>
      </c>
      <c r="N99" s="223">
        <v>668640</v>
      </c>
      <c r="O99" s="170">
        <f t="shared" si="76"/>
        <v>140</v>
      </c>
      <c r="P99" s="204">
        <f>'Unitized Lighting'!E$21</f>
        <v>6.1581099210352255E-4</v>
      </c>
      <c r="Q99" s="208">
        <f>'Unitized Lighting'!$E$45</f>
        <v>0</v>
      </c>
      <c r="R99" s="208">
        <f>'Unitized Lighting'!E$74</f>
        <v>0</v>
      </c>
      <c r="S99" s="208">
        <f>'Unitized Lighting'!E$106</f>
        <v>0.15563681670383042</v>
      </c>
      <c r="T99" s="208">
        <f>'Unitized Lighting'!$E$123</f>
        <v>1.0508189438633434E-4</v>
      </c>
      <c r="U99" s="34">
        <f t="shared" si="77"/>
        <v>0</v>
      </c>
      <c r="V99" s="34">
        <f t="shared" si="78"/>
        <v>0</v>
      </c>
      <c r="W99" s="34">
        <f t="shared" si="79"/>
        <v>0</v>
      </c>
      <c r="X99" s="34">
        <f t="shared" si="80"/>
        <v>6.2254726681532167E-2</v>
      </c>
      <c r="Y99" s="34">
        <f t="shared" si="81"/>
        <v>1.4711465214086807E-2</v>
      </c>
      <c r="Z99" s="198">
        <f t="shared" si="82"/>
        <v>7.6966191895618971E-2</v>
      </c>
    </row>
    <row r="100" spans="1:26" x14ac:dyDescent="0.2">
      <c r="A100" s="173" t="str">
        <f t="shared" si="83"/>
        <v>53E - Customer Owned</v>
      </c>
      <c r="B100" s="133" t="s">
        <v>146</v>
      </c>
      <c r="C100" s="133" t="s">
        <v>198</v>
      </c>
      <c r="D100" s="133" t="s">
        <v>217</v>
      </c>
      <c r="E100" s="133">
        <v>1000</v>
      </c>
      <c r="F100" s="133" t="s">
        <v>27</v>
      </c>
      <c r="G100" s="213">
        <v>0</v>
      </c>
      <c r="H100" s="135" t="s">
        <v>138</v>
      </c>
      <c r="I100" s="136" t="s">
        <v>131</v>
      </c>
      <c r="J100" s="219">
        <v>1</v>
      </c>
      <c r="K100" s="138">
        <f t="shared" si="73"/>
        <v>0</v>
      </c>
      <c r="L100" s="135">
        <f t="shared" si="74"/>
        <v>0</v>
      </c>
      <c r="M100" s="139">
        <f t="shared" si="75"/>
        <v>0</v>
      </c>
      <c r="N100" s="223">
        <v>0</v>
      </c>
      <c r="O100" s="170">
        <f t="shared" si="76"/>
        <v>350</v>
      </c>
      <c r="P100" s="204">
        <f>'Unitized Lighting'!E$21</f>
        <v>6.1581099210352255E-4</v>
      </c>
      <c r="Q100" s="208">
        <f>'Unitized Lighting'!$E$45</f>
        <v>0</v>
      </c>
      <c r="R100" s="208">
        <f>'Unitized Lighting'!E$74</f>
        <v>0</v>
      </c>
      <c r="S100" s="208">
        <f>'Unitized Lighting'!E$106</f>
        <v>0.15563681670383042</v>
      </c>
      <c r="T100" s="208">
        <f>'Unitized Lighting'!$E$123</f>
        <v>1.0508189438633434E-4</v>
      </c>
      <c r="U100" s="34">
        <f t="shared" si="77"/>
        <v>0</v>
      </c>
      <c r="V100" s="34">
        <f t="shared" si="78"/>
        <v>0</v>
      </c>
      <c r="W100" s="34">
        <f t="shared" si="79"/>
        <v>0</v>
      </c>
      <c r="X100" s="34">
        <f t="shared" si="80"/>
        <v>0.15563681670383042</v>
      </c>
      <c r="Y100" s="34">
        <f t="shared" si="81"/>
        <v>3.677866303521702E-2</v>
      </c>
      <c r="Z100" s="198">
        <f t="shared" si="82"/>
        <v>0.19241547973904743</v>
      </c>
    </row>
    <row r="101" spans="1:26" x14ac:dyDescent="0.2">
      <c r="A101" s="177"/>
      <c r="B101" s="148"/>
      <c r="C101" s="145"/>
      <c r="D101" s="148"/>
      <c r="E101" s="147"/>
      <c r="F101" s="137"/>
      <c r="G101" s="214"/>
      <c r="H101" s="135"/>
      <c r="I101" s="136"/>
      <c r="J101" s="219"/>
      <c r="K101" s="138"/>
      <c r="L101" s="135"/>
      <c r="M101" s="139"/>
      <c r="N101" s="223"/>
      <c r="O101" s="175"/>
      <c r="P101" s="204"/>
      <c r="Q101" s="208"/>
      <c r="R101" s="208"/>
      <c r="S101" s="208"/>
      <c r="T101" s="208"/>
      <c r="Z101" s="198"/>
    </row>
    <row r="102" spans="1:26" x14ac:dyDescent="0.2">
      <c r="A102" s="173" t="str">
        <f>+A100</f>
        <v>53E - Customer Owned</v>
      </c>
      <c r="B102" s="132"/>
      <c r="C102" s="133" t="s">
        <v>207</v>
      </c>
      <c r="D102" s="133" t="s">
        <v>218</v>
      </c>
      <c r="E102" s="133">
        <v>70</v>
      </c>
      <c r="F102" s="133" t="s">
        <v>27</v>
      </c>
      <c r="G102" s="213">
        <v>0</v>
      </c>
      <c r="H102" s="135" t="s">
        <v>138</v>
      </c>
      <c r="I102" s="136" t="s">
        <v>131</v>
      </c>
      <c r="J102" s="219">
        <v>2</v>
      </c>
      <c r="K102" s="138">
        <f t="shared" ref="K102:K107" si="84">IF(I102="Yes",G102*J102,0)</f>
        <v>0</v>
      </c>
      <c r="L102" s="135">
        <f t="shared" ref="L102:L107" si="85">IF(F102="Company", G102*H102,0)</f>
        <v>0</v>
      </c>
      <c r="M102" s="139">
        <f t="shared" ref="M102:M107" si="86">E102*G102/1000</f>
        <v>0</v>
      </c>
      <c r="N102" s="223">
        <v>0</v>
      </c>
      <c r="O102" s="170">
        <f t="shared" ref="O102:O107" si="87">E102*4200/1000/12</f>
        <v>24.5</v>
      </c>
      <c r="P102" s="204">
        <f>'Unitized Lighting'!E$21</f>
        <v>6.1581099210352255E-4</v>
      </c>
      <c r="Q102" s="208">
        <f>'Unitized Lighting'!$E$45</f>
        <v>0</v>
      </c>
      <c r="R102" s="208">
        <f>'Unitized Lighting'!E$74</f>
        <v>0</v>
      </c>
      <c r="S102" s="208">
        <f>'Unitized Lighting'!E$106</f>
        <v>0.15563681670383042</v>
      </c>
      <c r="T102" s="208">
        <f>'Unitized Lighting'!$E$123</f>
        <v>1.0508189438633434E-4</v>
      </c>
      <c r="U102" s="34">
        <f t="shared" ref="U102:U107" si="88">IF(F102="Company", H102*P102, 0)</f>
        <v>0</v>
      </c>
      <c r="V102" s="34">
        <f t="shared" ref="V102:V107" si="89">IF(I102="yes", J102*Q102, 0)</f>
        <v>0</v>
      </c>
      <c r="W102" s="34">
        <f t="shared" ref="W102:W107" si="90">R102*O102</f>
        <v>0</v>
      </c>
      <c r="X102" s="34">
        <f t="shared" ref="X102:X107" si="91">E102*S102/1000</f>
        <v>1.089457716926813E-2</v>
      </c>
      <c r="Y102" s="34">
        <f t="shared" ref="Y102:Y107" si="92">O102*T102</f>
        <v>2.5745064124651912E-3</v>
      </c>
      <c r="Z102" s="198">
        <f t="shared" ref="Z102:Z107" si="93">SUM(U102:Y102)</f>
        <v>1.3469083581733321E-2</v>
      </c>
    </row>
    <row r="103" spans="1:26" x14ac:dyDescent="0.2">
      <c r="A103" s="173" t="str">
        <f>+A102</f>
        <v>53E - Customer Owned</v>
      </c>
      <c r="B103" s="132"/>
      <c r="C103" s="133" t="s">
        <v>207</v>
      </c>
      <c r="D103" s="133" t="s">
        <v>209</v>
      </c>
      <c r="E103" s="133">
        <v>100</v>
      </c>
      <c r="F103" s="133" t="s">
        <v>27</v>
      </c>
      <c r="G103" s="213">
        <v>0</v>
      </c>
      <c r="H103" s="135" t="s">
        <v>138</v>
      </c>
      <c r="I103" s="136" t="s">
        <v>131</v>
      </c>
      <c r="J103" s="219">
        <v>2</v>
      </c>
      <c r="K103" s="138">
        <f t="shared" si="84"/>
        <v>0</v>
      </c>
      <c r="L103" s="135">
        <f t="shared" si="85"/>
        <v>0</v>
      </c>
      <c r="M103" s="139">
        <f t="shared" si="86"/>
        <v>0</v>
      </c>
      <c r="N103" s="223">
        <v>0</v>
      </c>
      <c r="O103" s="170">
        <f t="shared" si="87"/>
        <v>35</v>
      </c>
      <c r="P103" s="204">
        <f>'Unitized Lighting'!E$21</f>
        <v>6.1581099210352255E-4</v>
      </c>
      <c r="Q103" s="208">
        <f>'Unitized Lighting'!$E$45</f>
        <v>0</v>
      </c>
      <c r="R103" s="208">
        <f>'Unitized Lighting'!E$74</f>
        <v>0</v>
      </c>
      <c r="S103" s="208">
        <f>'Unitized Lighting'!E$106</f>
        <v>0.15563681670383042</v>
      </c>
      <c r="T103" s="208">
        <f>'Unitized Lighting'!$E$123</f>
        <v>1.0508189438633434E-4</v>
      </c>
      <c r="U103" s="34">
        <f t="shared" si="88"/>
        <v>0</v>
      </c>
      <c r="V103" s="34">
        <f t="shared" si="89"/>
        <v>0</v>
      </c>
      <c r="W103" s="34">
        <f t="shared" si="90"/>
        <v>0</v>
      </c>
      <c r="X103" s="34">
        <f t="shared" si="91"/>
        <v>1.5563681670383042E-2</v>
      </c>
      <c r="Y103" s="34">
        <f t="shared" si="92"/>
        <v>3.6778663035217018E-3</v>
      </c>
      <c r="Z103" s="198">
        <f t="shared" si="93"/>
        <v>1.9241547973904743E-2</v>
      </c>
    </row>
    <row r="104" spans="1:26" x14ac:dyDescent="0.2">
      <c r="A104" s="173" t="str">
        <f>+A103</f>
        <v>53E - Customer Owned</v>
      </c>
      <c r="B104" s="132"/>
      <c r="C104" s="133" t="s">
        <v>207</v>
      </c>
      <c r="D104" s="133" t="s">
        <v>210</v>
      </c>
      <c r="E104" s="133">
        <v>150</v>
      </c>
      <c r="F104" s="133" t="s">
        <v>27</v>
      </c>
      <c r="G104" s="213">
        <v>0</v>
      </c>
      <c r="H104" s="135" t="s">
        <v>138</v>
      </c>
      <c r="I104" s="136" t="s">
        <v>131</v>
      </c>
      <c r="J104" s="219">
        <v>2</v>
      </c>
      <c r="K104" s="138">
        <f t="shared" si="84"/>
        <v>0</v>
      </c>
      <c r="L104" s="135">
        <f t="shared" si="85"/>
        <v>0</v>
      </c>
      <c r="M104" s="139">
        <f t="shared" si="86"/>
        <v>0</v>
      </c>
      <c r="N104" s="223">
        <v>0</v>
      </c>
      <c r="O104" s="170">
        <f t="shared" si="87"/>
        <v>52.5</v>
      </c>
      <c r="P104" s="204">
        <f>'Unitized Lighting'!E$21</f>
        <v>6.1581099210352255E-4</v>
      </c>
      <c r="Q104" s="208">
        <f>'Unitized Lighting'!$E$45</f>
        <v>0</v>
      </c>
      <c r="R104" s="208">
        <f>'Unitized Lighting'!E$74</f>
        <v>0</v>
      </c>
      <c r="S104" s="208">
        <f>'Unitized Lighting'!E$106</f>
        <v>0.15563681670383042</v>
      </c>
      <c r="T104" s="208">
        <f>'Unitized Lighting'!$E$123</f>
        <v>1.0508189438633434E-4</v>
      </c>
      <c r="U104" s="34">
        <f t="shared" si="88"/>
        <v>0</v>
      </c>
      <c r="V104" s="34">
        <f t="shared" si="89"/>
        <v>0</v>
      </c>
      <c r="W104" s="34">
        <f t="shared" si="90"/>
        <v>0</v>
      </c>
      <c r="X104" s="34">
        <f t="shared" si="91"/>
        <v>2.3345522505574565E-2</v>
      </c>
      <c r="Y104" s="34">
        <f t="shared" si="92"/>
        <v>5.5167994552825532E-3</v>
      </c>
      <c r="Z104" s="198">
        <f t="shared" si="93"/>
        <v>2.8862321960857119E-2</v>
      </c>
    </row>
    <row r="105" spans="1:26" x14ac:dyDescent="0.2">
      <c r="A105" s="173" t="str">
        <f>+A104</f>
        <v>53E - Customer Owned</v>
      </c>
      <c r="B105" s="132"/>
      <c r="C105" s="133" t="s">
        <v>207</v>
      </c>
      <c r="D105" s="133" t="s">
        <v>211</v>
      </c>
      <c r="E105" s="133">
        <v>175</v>
      </c>
      <c r="F105" s="133" t="s">
        <v>27</v>
      </c>
      <c r="G105" s="213">
        <v>4</v>
      </c>
      <c r="H105" s="135" t="s">
        <v>138</v>
      </c>
      <c r="I105" s="136" t="s">
        <v>131</v>
      </c>
      <c r="J105" s="219">
        <v>2</v>
      </c>
      <c r="K105" s="138">
        <f t="shared" si="84"/>
        <v>8</v>
      </c>
      <c r="L105" s="135">
        <f t="shared" si="85"/>
        <v>0</v>
      </c>
      <c r="M105" s="139">
        <f t="shared" si="86"/>
        <v>0.7</v>
      </c>
      <c r="N105" s="223">
        <v>2940</v>
      </c>
      <c r="O105" s="170">
        <f t="shared" si="87"/>
        <v>61.25</v>
      </c>
      <c r="P105" s="204">
        <f>'Unitized Lighting'!E$21</f>
        <v>6.1581099210352255E-4</v>
      </c>
      <c r="Q105" s="208">
        <f>'Unitized Lighting'!$E$45</f>
        <v>0</v>
      </c>
      <c r="R105" s="208">
        <f>'Unitized Lighting'!E$74</f>
        <v>0</v>
      </c>
      <c r="S105" s="208">
        <f>'Unitized Lighting'!E$106</f>
        <v>0.15563681670383042</v>
      </c>
      <c r="T105" s="208">
        <f>'Unitized Lighting'!$E$123</f>
        <v>1.0508189438633434E-4</v>
      </c>
      <c r="U105" s="34">
        <f t="shared" si="88"/>
        <v>0</v>
      </c>
      <c r="V105" s="34">
        <f t="shared" si="89"/>
        <v>0</v>
      </c>
      <c r="W105" s="34">
        <f t="shared" si="90"/>
        <v>0</v>
      </c>
      <c r="X105" s="34">
        <f t="shared" si="91"/>
        <v>2.7236442923170321E-2</v>
      </c>
      <c r="Y105" s="34">
        <f t="shared" si="92"/>
        <v>6.436266031162978E-3</v>
      </c>
      <c r="Z105" s="198">
        <f t="shared" si="93"/>
        <v>3.3672708954333302E-2</v>
      </c>
    </row>
    <row r="106" spans="1:26" x14ac:dyDescent="0.2">
      <c r="A106" s="173" t="str">
        <f>+A105</f>
        <v>53E - Customer Owned</v>
      </c>
      <c r="B106" s="132"/>
      <c r="C106" s="133" t="s">
        <v>207</v>
      </c>
      <c r="D106" s="133" t="s">
        <v>212</v>
      </c>
      <c r="E106" s="133">
        <v>250</v>
      </c>
      <c r="F106" s="133" t="s">
        <v>27</v>
      </c>
      <c r="G106" s="213">
        <v>0</v>
      </c>
      <c r="H106" s="135" t="s">
        <v>138</v>
      </c>
      <c r="I106" s="136" t="s">
        <v>131</v>
      </c>
      <c r="J106" s="219">
        <v>2</v>
      </c>
      <c r="K106" s="138">
        <f t="shared" si="84"/>
        <v>0</v>
      </c>
      <c r="L106" s="135">
        <f t="shared" si="85"/>
        <v>0</v>
      </c>
      <c r="M106" s="139">
        <f t="shared" si="86"/>
        <v>0</v>
      </c>
      <c r="N106" s="223">
        <v>0</v>
      </c>
      <c r="O106" s="170">
        <f t="shared" si="87"/>
        <v>87.5</v>
      </c>
      <c r="P106" s="204">
        <f>'Unitized Lighting'!E$21</f>
        <v>6.1581099210352255E-4</v>
      </c>
      <c r="Q106" s="208">
        <f>'Unitized Lighting'!$E$45</f>
        <v>0</v>
      </c>
      <c r="R106" s="208">
        <f>'Unitized Lighting'!E$74</f>
        <v>0</v>
      </c>
      <c r="S106" s="208">
        <f>'Unitized Lighting'!E$106</f>
        <v>0.15563681670383042</v>
      </c>
      <c r="T106" s="208">
        <f>'Unitized Lighting'!$E$123</f>
        <v>1.0508189438633434E-4</v>
      </c>
      <c r="U106" s="34">
        <f t="shared" si="88"/>
        <v>0</v>
      </c>
      <c r="V106" s="34">
        <f t="shared" si="89"/>
        <v>0</v>
      </c>
      <c r="W106" s="34">
        <f t="shared" si="90"/>
        <v>0</v>
      </c>
      <c r="X106" s="34">
        <f t="shared" si="91"/>
        <v>3.8909204175957605E-2</v>
      </c>
      <c r="Y106" s="34">
        <f t="shared" si="92"/>
        <v>9.194665758804255E-3</v>
      </c>
      <c r="Z106" s="198">
        <f t="shared" si="93"/>
        <v>4.8103869934761859E-2</v>
      </c>
    </row>
    <row r="107" spans="1:26" x14ac:dyDescent="0.2">
      <c r="A107" s="173" t="str">
        <f>+A106</f>
        <v>53E - Customer Owned</v>
      </c>
      <c r="B107" s="132"/>
      <c r="C107" s="133" t="s">
        <v>207</v>
      </c>
      <c r="D107" s="133" t="s">
        <v>213</v>
      </c>
      <c r="E107" s="133">
        <v>400</v>
      </c>
      <c r="F107" s="133" t="s">
        <v>27</v>
      </c>
      <c r="G107" s="213">
        <v>0</v>
      </c>
      <c r="H107" s="135" t="s">
        <v>138</v>
      </c>
      <c r="I107" s="136" t="s">
        <v>131</v>
      </c>
      <c r="J107" s="219">
        <v>2</v>
      </c>
      <c r="K107" s="138">
        <f t="shared" si="84"/>
        <v>0</v>
      </c>
      <c r="L107" s="135">
        <f t="shared" si="85"/>
        <v>0</v>
      </c>
      <c r="M107" s="139">
        <f t="shared" si="86"/>
        <v>0</v>
      </c>
      <c r="N107" s="223">
        <v>0</v>
      </c>
      <c r="O107" s="170">
        <f t="shared" si="87"/>
        <v>140</v>
      </c>
      <c r="P107" s="204">
        <f>'Unitized Lighting'!E$21</f>
        <v>6.1581099210352255E-4</v>
      </c>
      <c r="Q107" s="208">
        <f>'Unitized Lighting'!$E$45</f>
        <v>0</v>
      </c>
      <c r="R107" s="208">
        <f>'Unitized Lighting'!E$74</f>
        <v>0</v>
      </c>
      <c r="S107" s="208">
        <f>'Unitized Lighting'!E$106</f>
        <v>0.15563681670383042</v>
      </c>
      <c r="T107" s="208">
        <f>'Unitized Lighting'!$E$123</f>
        <v>1.0508189438633434E-4</v>
      </c>
      <c r="U107" s="34">
        <f t="shared" si="88"/>
        <v>0</v>
      </c>
      <c r="V107" s="34">
        <f t="shared" si="89"/>
        <v>0</v>
      </c>
      <c r="W107" s="34">
        <f t="shared" si="90"/>
        <v>0</v>
      </c>
      <c r="X107" s="34">
        <f t="shared" si="91"/>
        <v>6.2254726681532167E-2</v>
      </c>
      <c r="Y107" s="34">
        <f t="shared" si="92"/>
        <v>1.4711465214086807E-2</v>
      </c>
      <c r="Z107" s="198">
        <f t="shared" si="93"/>
        <v>7.6966191895618971E-2</v>
      </c>
    </row>
    <row r="108" spans="1:26" ht="9.6" customHeight="1" x14ac:dyDescent="0.2">
      <c r="A108" s="177"/>
      <c r="B108" s="148"/>
      <c r="C108" s="145"/>
      <c r="D108" s="148"/>
      <c r="E108" s="147"/>
      <c r="F108" s="137"/>
      <c r="G108" s="214"/>
      <c r="H108" s="135"/>
      <c r="I108" s="136"/>
      <c r="J108" s="219"/>
      <c r="K108" s="138"/>
      <c r="L108" s="135"/>
      <c r="M108" s="139"/>
      <c r="N108" s="223"/>
      <c r="O108" s="175"/>
      <c r="P108" s="204"/>
      <c r="Q108" s="208"/>
      <c r="R108" s="208"/>
      <c r="S108" s="208"/>
      <c r="T108" s="208"/>
      <c r="Z108" s="198"/>
    </row>
    <row r="109" spans="1:26" ht="9.6" customHeight="1" x14ac:dyDescent="0.2">
      <c r="A109" s="173" t="str">
        <f>+A106</f>
        <v>53E - Customer Owned</v>
      </c>
      <c r="B109" s="132"/>
      <c r="C109" s="133" t="s">
        <v>188</v>
      </c>
      <c r="D109" s="133" t="s">
        <v>251</v>
      </c>
      <c r="E109" s="133">
        <v>15</v>
      </c>
      <c r="F109" s="133" t="s">
        <v>27</v>
      </c>
      <c r="G109" s="214">
        <v>0</v>
      </c>
      <c r="H109" s="135" t="s">
        <v>138</v>
      </c>
      <c r="I109" s="136" t="s">
        <v>131</v>
      </c>
      <c r="J109" s="219">
        <v>0.2</v>
      </c>
      <c r="K109" s="138">
        <f t="shared" ref="K109:K118" si="94">IF(I109="Yes",G109*J109,0)</f>
        <v>0</v>
      </c>
      <c r="L109" s="135">
        <f t="shared" ref="L109:L118" si="95">IF(F109="Company", G109*H109,0)</f>
        <v>0</v>
      </c>
      <c r="M109" s="139">
        <f t="shared" ref="M109:M118" si="96">E109*G109/1000</f>
        <v>0</v>
      </c>
      <c r="N109" s="223">
        <v>0</v>
      </c>
      <c r="O109" s="170">
        <f t="shared" ref="O109:O118" si="97">E109*4200/1000/12</f>
        <v>5.25</v>
      </c>
      <c r="P109" s="204">
        <f>'Unitized Lighting'!E$21</f>
        <v>6.1581099210352255E-4</v>
      </c>
      <c r="Q109" s="208">
        <f>'Unitized Lighting'!$E$45</f>
        <v>0</v>
      </c>
      <c r="R109" s="208">
        <f>'Unitized Lighting'!E$74</f>
        <v>0</v>
      </c>
      <c r="S109" s="208">
        <f>'Unitized Lighting'!E$106</f>
        <v>0.15563681670383042</v>
      </c>
      <c r="T109" s="208">
        <f>'Unitized Lighting'!$E$123</f>
        <v>1.0508189438633434E-4</v>
      </c>
      <c r="U109" s="34">
        <f t="shared" ref="U109:U118" si="98">IF(F109="Company", H109*P109, 0)</f>
        <v>0</v>
      </c>
      <c r="V109" s="34">
        <f t="shared" ref="V109:V118" si="99">IF(I109="yes", J109*Q109, 0)</f>
        <v>0</v>
      </c>
      <c r="W109" s="34">
        <f t="shared" ref="W109:W118" si="100">R109*O109</f>
        <v>0</v>
      </c>
      <c r="X109" s="34">
        <f t="shared" ref="X109:X118" si="101">E109*S109/1000</f>
        <v>2.3345522505574564E-3</v>
      </c>
      <c r="Y109" s="34">
        <f t="shared" ref="Y109:Y118" si="102">O109*T109</f>
        <v>5.5167994552825532E-4</v>
      </c>
      <c r="Z109" s="198">
        <f t="shared" ref="Z109:Z118" si="103">SUM(U109:Y109)</f>
        <v>2.8862321960857118E-3</v>
      </c>
    </row>
    <row r="110" spans="1:26" x14ac:dyDescent="0.2">
      <c r="A110" s="173" t="str">
        <f>+A107</f>
        <v>53E - Customer Owned</v>
      </c>
      <c r="B110" s="132"/>
      <c r="C110" s="133" t="s">
        <v>188</v>
      </c>
      <c r="D110" s="133" t="s">
        <v>189</v>
      </c>
      <c r="E110" s="133">
        <v>45</v>
      </c>
      <c r="F110" s="133" t="s">
        <v>27</v>
      </c>
      <c r="G110" s="213">
        <v>656</v>
      </c>
      <c r="H110" s="135" t="s">
        <v>138</v>
      </c>
      <c r="I110" s="136" t="s">
        <v>131</v>
      </c>
      <c r="J110" s="219">
        <v>0.2</v>
      </c>
      <c r="K110" s="138">
        <f t="shared" si="94"/>
        <v>131.20000000000002</v>
      </c>
      <c r="L110" s="135">
        <f t="shared" si="95"/>
        <v>0</v>
      </c>
      <c r="M110" s="139">
        <f t="shared" si="96"/>
        <v>29.52</v>
      </c>
      <c r="N110" s="223">
        <v>123984</v>
      </c>
      <c r="O110" s="170">
        <f t="shared" si="97"/>
        <v>15.75</v>
      </c>
      <c r="P110" s="204">
        <f>'Unitized Lighting'!E$21</f>
        <v>6.1581099210352255E-4</v>
      </c>
      <c r="Q110" s="208">
        <f>'Unitized Lighting'!$E$45</f>
        <v>0</v>
      </c>
      <c r="R110" s="208">
        <f>'Unitized Lighting'!E$74</f>
        <v>0</v>
      </c>
      <c r="S110" s="208">
        <f>'Unitized Lighting'!E$106</f>
        <v>0.15563681670383042</v>
      </c>
      <c r="T110" s="208">
        <f>'Unitized Lighting'!$E$123</f>
        <v>1.0508189438633434E-4</v>
      </c>
      <c r="U110" s="34">
        <f t="shared" si="98"/>
        <v>0</v>
      </c>
      <c r="V110" s="34">
        <f t="shared" si="99"/>
        <v>0</v>
      </c>
      <c r="W110" s="34">
        <f t="shared" si="100"/>
        <v>0</v>
      </c>
      <c r="X110" s="34">
        <f t="shared" si="101"/>
        <v>7.0036567516723689E-3</v>
      </c>
      <c r="Y110" s="34">
        <f t="shared" si="102"/>
        <v>1.6550398365847659E-3</v>
      </c>
      <c r="Z110" s="198">
        <f t="shared" si="103"/>
        <v>8.6586965882571344E-3</v>
      </c>
    </row>
    <row r="111" spans="1:26" x14ac:dyDescent="0.2">
      <c r="A111" s="173" t="str">
        <f t="shared" ref="A111:A118" si="104">A110</f>
        <v>53E - Customer Owned</v>
      </c>
      <c r="B111" s="132"/>
      <c r="C111" s="133" t="s">
        <v>188</v>
      </c>
      <c r="D111" s="133" t="s">
        <v>190</v>
      </c>
      <c r="E111" s="133">
        <v>75</v>
      </c>
      <c r="F111" s="133" t="s">
        <v>27</v>
      </c>
      <c r="G111" s="213">
        <v>634</v>
      </c>
      <c r="H111" s="135" t="s">
        <v>138</v>
      </c>
      <c r="I111" s="136" t="s">
        <v>131</v>
      </c>
      <c r="J111" s="219">
        <v>0.2</v>
      </c>
      <c r="K111" s="138">
        <f t="shared" si="94"/>
        <v>126.80000000000001</v>
      </c>
      <c r="L111" s="135">
        <f t="shared" si="95"/>
        <v>0</v>
      </c>
      <c r="M111" s="139">
        <f t="shared" si="96"/>
        <v>47.55</v>
      </c>
      <c r="N111" s="223">
        <v>199710</v>
      </c>
      <c r="O111" s="170">
        <f t="shared" si="97"/>
        <v>26.25</v>
      </c>
      <c r="P111" s="204">
        <f>'Unitized Lighting'!E$21</f>
        <v>6.1581099210352255E-4</v>
      </c>
      <c r="Q111" s="208">
        <f>'Unitized Lighting'!$E$45</f>
        <v>0</v>
      </c>
      <c r="R111" s="208">
        <f>'Unitized Lighting'!E$74</f>
        <v>0</v>
      </c>
      <c r="S111" s="208">
        <f>'Unitized Lighting'!E$106</f>
        <v>0.15563681670383042</v>
      </c>
      <c r="T111" s="208">
        <f>'Unitized Lighting'!$E$123</f>
        <v>1.0508189438633434E-4</v>
      </c>
      <c r="U111" s="34">
        <f t="shared" si="98"/>
        <v>0</v>
      </c>
      <c r="V111" s="34">
        <f t="shared" si="99"/>
        <v>0</v>
      </c>
      <c r="W111" s="34">
        <f t="shared" si="100"/>
        <v>0</v>
      </c>
      <c r="X111" s="34">
        <f t="shared" si="101"/>
        <v>1.1672761252787283E-2</v>
      </c>
      <c r="Y111" s="34">
        <f t="shared" si="102"/>
        <v>2.7583997276412766E-3</v>
      </c>
      <c r="Z111" s="198">
        <f t="shared" si="103"/>
        <v>1.443116098042856E-2</v>
      </c>
    </row>
    <row r="112" spans="1:26" x14ac:dyDescent="0.2">
      <c r="A112" s="173" t="str">
        <f t="shared" si="104"/>
        <v>53E - Customer Owned</v>
      </c>
      <c r="B112" s="132"/>
      <c r="C112" s="133" t="s">
        <v>188</v>
      </c>
      <c r="D112" s="133" t="s">
        <v>191</v>
      </c>
      <c r="E112" s="133">
        <v>105</v>
      </c>
      <c r="F112" s="133" t="s">
        <v>27</v>
      </c>
      <c r="G112" s="213">
        <v>869</v>
      </c>
      <c r="H112" s="135" t="s">
        <v>138</v>
      </c>
      <c r="I112" s="136" t="s">
        <v>131</v>
      </c>
      <c r="J112" s="219">
        <v>0.2</v>
      </c>
      <c r="K112" s="138">
        <f t="shared" si="94"/>
        <v>173.8</v>
      </c>
      <c r="L112" s="135">
        <f t="shared" si="95"/>
        <v>0</v>
      </c>
      <c r="M112" s="139">
        <f t="shared" si="96"/>
        <v>91.245000000000005</v>
      </c>
      <c r="N112" s="223">
        <v>383229</v>
      </c>
      <c r="O112" s="170">
        <f t="shared" si="97"/>
        <v>36.75</v>
      </c>
      <c r="P112" s="204">
        <f>'Unitized Lighting'!E$21</f>
        <v>6.1581099210352255E-4</v>
      </c>
      <c r="Q112" s="208">
        <f>'Unitized Lighting'!$E$45</f>
        <v>0</v>
      </c>
      <c r="R112" s="208">
        <f>'Unitized Lighting'!E$74</f>
        <v>0</v>
      </c>
      <c r="S112" s="208">
        <f>'Unitized Lighting'!E$106</f>
        <v>0.15563681670383042</v>
      </c>
      <c r="T112" s="208">
        <f>'Unitized Lighting'!$E$123</f>
        <v>1.0508189438633434E-4</v>
      </c>
      <c r="U112" s="34">
        <f t="shared" si="98"/>
        <v>0</v>
      </c>
      <c r="V112" s="34">
        <f t="shared" si="99"/>
        <v>0</v>
      </c>
      <c r="W112" s="34">
        <f t="shared" si="100"/>
        <v>0</v>
      </c>
      <c r="X112" s="34">
        <f t="shared" si="101"/>
        <v>1.6341865753902195E-2</v>
      </c>
      <c r="Y112" s="34">
        <f t="shared" si="102"/>
        <v>3.8617596186977872E-3</v>
      </c>
      <c r="Z112" s="198">
        <f t="shared" si="103"/>
        <v>2.0203625372599981E-2</v>
      </c>
    </row>
    <row r="113" spans="1:26" x14ac:dyDescent="0.2">
      <c r="A113" s="173" t="str">
        <f t="shared" si="104"/>
        <v>53E - Customer Owned</v>
      </c>
      <c r="B113" s="132"/>
      <c r="C113" s="133" t="s">
        <v>188</v>
      </c>
      <c r="D113" s="133" t="s">
        <v>192</v>
      </c>
      <c r="E113" s="133">
        <v>135</v>
      </c>
      <c r="F113" s="133" t="s">
        <v>27</v>
      </c>
      <c r="G113" s="213">
        <v>101</v>
      </c>
      <c r="H113" s="135" t="s">
        <v>138</v>
      </c>
      <c r="I113" s="136" t="s">
        <v>131</v>
      </c>
      <c r="J113" s="219">
        <v>0.2</v>
      </c>
      <c r="K113" s="138">
        <f t="shared" si="94"/>
        <v>20.200000000000003</v>
      </c>
      <c r="L113" s="135">
        <f t="shared" si="95"/>
        <v>0</v>
      </c>
      <c r="M113" s="139">
        <f t="shared" si="96"/>
        <v>13.635</v>
      </c>
      <c r="N113" s="223">
        <v>57267.000000000007</v>
      </c>
      <c r="O113" s="170">
        <f t="shared" si="97"/>
        <v>47.25</v>
      </c>
      <c r="P113" s="204">
        <f>'Unitized Lighting'!E$21</f>
        <v>6.1581099210352255E-4</v>
      </c>
      <c r="Q113" s="208">
        <f>'Unitized Lighting'!$E$45</f>
        <v>0</v>
      </c>
      <c r="R113" s="208">
        <f>'Unitized Lighting'!E$74</f>
        <v>0</v>
      </c>
      <c r="S113" s="208">
        <f>'Unitized Lighting'!E$106</f>
        <v>0.15563681670383042</v>
      </c>
      <c r="T113" s="208">
        <f>'Unitized Lighting'!$E$123</f>
        <v>1.0508189438633434E-4</v>
      </c>
      <c r="U113" s="34">
        <f t="shared" si="98"/>
        <v>0</v>
      </c>
      <c r="V113" s="34">
        <f t="shared" si="99"/>
        <v>0</v>
      </c>
      <c r="W113" s="34">
        <f t="shared" si="100"/>
        <v>0</v>
      </c>
      <c r="X113" s="34">
        <f t="shared" si="101"/>
        <v>2.1010970255017105E-2</v>
      </c>
      <c r="Y113" s="34">
        <f t="shared" si="102"/>
        <v>4.9651195097542974E-3</v>
      </c>
      <c r="Z113" s="198">
        <f t="shared" si="103"/>
        <v>2.5976089764771403E-2</v>
      </c>
    </row>
    <row r="114" spans="1:26" x14ac:dyDescent="0.2">
      <c r="A114" s="173" t="str">
        <f t="shared" si="104"/>
        <v>53E - Customer Owned</v>
      </c>
      <c r="B114" s="132"/>
      <c r="C114" s="133" t="s">
        <v>188</v>
      </c>
      <c r="D114" s="133" t="s">
        <v>193</v>
      </c>
      <c r="E114" s="133">
        <v>165</v>
      </c>
      <c r="F114" s="133" t="s">
        <v>27</v>
      </c>
      <c r="G114" s="213">
        <v>1330</v>
      </c>
      <c r="H114" s="135" t="s">
        <v>138</v>
      </c>
      <c r="I114" s="136" t="s">
        <v>131</v>
      </c>
      <c r="J114" s="219">
        <v>0.2</v>
      </c>
      <c r="K114" s="138">
        <f t="shared" si="94"/>
        <v>266</v>
      </c>
      <c r="L114" s="135">
        <f t="shared" si="95"/>
        <v>0</v>
      </c>
      <c r="M114" s="139">
        <f t="shared" si="96"/>
        <v>219.45</v>
      </c>
      <c r="N114" s="223">
        <v>921690</v>
      </c>
      <c r="O114" s="170">
        <f t="shared" si="97"/>
        <v>57.75</v>
      </c>
      <c r="P114" s="204">
        <f>'Unitized Lighting'!E$21</f>
        <v>6.1581099210352255E-4</v>
      </c>
      <c r="Q114" s="208">
        <f>'Unitized Lighting'!$E$45</f>
        <v>0</v>
      </c>
      <c r="R114" s="208">
        <f>'Unitized Lighting'!E$74</f>
        <v>0</v>
      </c>
      <c r="S114" s="208">
        <f>'Unitized Lighting'!E$106</f>
        <v>0.15563681670383042</v>
      </c>
      <c r="T114" s="208">
        <f>'Unitized Lighting'!$E$123</f>
        <v>1.0508189438633434E-4</v>
      </c>
      <c r="U114" s="34">
        <f t="shared" si="98"/>
        <v>0</v>
      </c>
      <c r="V114" s="34">
        <f t="shared" si="99"/>
        <v>0</v>
      </c>
      <c r="W114" s="34">
        <f t="shared" si="100"/>
        <v>0</v>
      </c>
      <c r="X114" s="34">
        <f t="shared" si="101"/>
        <v>2.5680074756132019E-2</v>
      </c>
      <c r="Y114" s="34">
        <f t="shared" si="102"/>
        <v>6.068479400810808E-3</v>
      </c>
      <c r="Z114" s="198">
        <f t="shared" si="103"/>
        <v>3.1748554156942825E-2</v>
      </c>
    </row>
    <row r="115" spans="1:26" x14ac:dyDescent="0.2">
      <c r="A115" s="173" t="str">
        <f t="shared" si="104"/>
        <v>53E - Customer Owned</v>
      </c>
      <c r="B115" s="132"/>
      <c r="C115" s="133" t="s">
        <v>188</v>
      </c>
      <c r="D115" s="133" t="s">
        <v>194</v>
      </c>
      <c r="E115" s="133">
        <v>195</v>
      </c>
      <c r="F115" s="133" t="s">
        <v>27</v>
      </c>
      <c r="G115" s="213">
        <v>106</v>
      </c>
      <c r="H115" s="135" t="s">
        <v>138</v>
      </c>
      <c r="I115" s="136" t="s">
        <v>131</v>
      </c>
      <c r="J115" s="219">
        <v>0.2</v>
      </c>
      <c r="K115" s="138">
        <f t="shared" si="94"/>
        <v>21.200000000000003</v>
      </c>
      <c r="L115" s="135">
        <f t="shared" si="95"/>
        <v>0</v>
      </c>
      <c r="M115" s="139">
        <f t="shared" si="96"/>
        <v>20.67</v>
      </c>
      <c r="N115" s="223">
        <v>86814</v>
      </c>
      <c r="O115" s="170">
        <f t="shared" si="97"/>
        <v>68.25</v>
      </c>
      <c r="P115" s="204">
        <f>'Unitized Lighting'!E$21</f>
        <v>6.1581099210352255E-4</v>
      </c>
      <c r="Q115" s="208">
        <f>'Unitized Lighting'!$E$45</f>
        <v>0</v>
      </c>
      <c r="R115" s="208">
        <f>'Unitized Lighting'!E$74</f>
        <v>0</v>
      </c>
      <c r="S115" s="208">
        <f>'Unitized Lighting'!E$106</f>
        <v>0.15563681670383042</v>
      </c>
      <c r="T115" s="208">
        <f>'Unitized Lighting'!$E$123</f>
        <v>1.0508189438633434E-4</v>
      </c>
      <c r="U115" s="34">
        <f t="shared" si="98"/>
        <v>0</v>
      </c>
      <c r="V115" s="34">
        <f t="shared" si="99"/>
        <v>0</v>
      </c>
      <c r="W115" s="34">
        <f t="shared" si="100"/>
        <v>0</v>
      </c>
      <c r="X115" s="34">
        <f t="shared" si="101"/>
        <v>3.0349179257246929E-2</v>
      </c>
      <c r="Y115" s="34">
        <f t="shared" si="102"/>
        <v>7.1718392918673187E-3</v>
      </c>
      <c r="Z115" s="198">
        <f t="shared" si="103"/>
        <v>3.752101854911425E-2</v>
      </c>
    </row>
    <row r="116" spans="1:26" x14ac:dyDescent="0.2">
      <c r="A116" s="173" t="str">
        <f t="shared" si="104"/>
        <v>53E - Customer Owned</v>
      </c>
      <c r="B116" s="132"/>
      <c r="C116" s="133" t="s">
        <v>188</v>
      </c>
      <c r="D116" s="133" t="s">
        <v>195</v>
      </c>
      <c r="E116" s="133">
        <v>225</v>
      </c>
      <c r="F116" s="133" t="s">
        <v>27</v>
      </c>
      <c r="G116" s="213">
        <v>0</v>
      </c>
      <c r="H116" s="135" t="s">
        <v>138</v>
      </c>
      <c r="I116" s="136" t="s">
        <v>131</v>
      </c>
      <c r="J116" s="219">
        <v>0.2</v>
      </c>
      <c r="K116" s="138">
        <f t="shared" si="94"/>
        <v>0</v>
      </c>
      <c r="L116" s="135">
        <f t="shared" si="95"/>
        <v>0</v>
      </c>
      <c r="M116" s="139">
        <f t="shared" si="96"/>
        <v>0</v>
      </c>
      <c r="N116" s="223">
        <v>0</v>
      </c>
      <c r="O116" s="170">
        <f t="shared" si="97"/>
        <v>78.75</v>
      </c>
      <c r="P116" s="204">
        <f>'Unitized Lighting'!E$21</f>
        <v>6.1581099210352255E-4</v>
      </c>
      <c r="Q116" s="208">
        <f>'Unitized Lighting'!$E$45</f>
        <v>0</v>
      </c>
      <c r="R116" s="208">
        <f>'Unitized Lighting'!E$74</f>
        <v>0</v>
      </c>
      <c r="S116" s="208">
        <f>'Unitized Lighting'!E$106</f>
        <v>0.15563681670383042</v>
      </c>
      <c r="T116" s="208">
        <f>'Unitized Lighting'!$E$123</f>
        <v>1.0508189438633434E-4</v>
      </c>
      <c r="U116" s="34">
        <f t="shared" si="98"/>
        <v>0</v>
      </c>
      <c r="V116" s="34">
        <f t="shared" si="99"/>
        <v>0</v>
      </c>
      <c r="W116" s="34">
        <f t="shared" si="100"/>
        <v>0</v>
      </c>
      <c r="X116" s="34">
        <f t="shared" si="101"/>
        <v>3.501828375836185E-2</v>
      </c>
      <c r="Y116" s="34">
        <f t="shared" si="102"/>
        <v>8.2751991829238293E-3</v>
      </c>
      <c r="Z116" s="198">
        <f t="shared" si="103"/>
        <v>4.3293482941285683E-2</v>
      </c>
    </row>
    <row r="117" spans="1:26" x14ac:dyDescent="0.2">
      <c r="A117" s="173" t="str">
        <f t="shared" si="104"/>
        <v>53E - Customer Owned</v>
      </c>
      <c r="B117" s="132"/>
      <c r="C117" s="133" t="s">
        <v>188</v>
      </c>
      <c r="D117" s="133" t="s">
        <v>196</v>
      </c>
      <c r="E117" s="133">
        <v>255</v>
      </c>
      <c r="F117" s="133" t="s">
        <v>27</v>
      </c>
      <c r="G117" s="213">
        <v>2</v>
      </c>
      <c r="H117" s="135" t="s">
        <v>138</v>
      </c>
      <c r="I117" s="136" t="s">
        <v>131</v>
      </c>
      <c r="J117" s="219">
        <v>0.2</v>
      </c>
      <c r="K117" s="138">
        <f t="shared" si="94"/>
        <v>0.4</v>
      </c>
      <c r="L117" s="135">
        <f t="shared" si="95"/>
        <v>0</v>
      </c>
      <c r="M117" s="139">
        <f t="shared" si="96"/>
        <v>0.51</v>
      </c>
      <c r="N117" s="223">
        <v>2142</v>
      </c>
      <c r="O117" s="170">
        <f t="shared" si="97"/>
        <v>89.25</v>
      </c>
      <c r="P117" s="204">
        <f>'Unitized Lighting'!E$21</f>
        <v>6.1581099210352255E-4</v>
      </c>
      <c r="Q117" s="208">
        <f>'Unitized Lighting'!$E$45</f>
        <v>0</v>
      </c>
      <c r="R117" s="208">
        <f>'Unitized Lighting'!E$74</f>
        <v>0</v>
      </c>
      <c r="S117" s="208">
        <f>'Unitized Lighting'!E$106</f>
        <v>0.15563681670383042</v>
      </c>
      <c r="T117" s="208">
        <f>'Unitized Lighting'!$E$123</f>
        <v>1.0508189438633434E-4</v>
      </c>
      <c r="U117" s="34">
        <f t="shared" si="98"/>
        <v>0</v>
      </c>
      <c r="V117" s="34">
        <f t="shared" si="99"/>
        <v>0</v>
      </c>
      <c r="W117" s="34">
        <f t="shared" si="100"/>
        <v>0</v>
      </c>
      <c r="X117" s="34">
        <f t="shared" si="101"/>
        <v>3.9687388259476757E-2</v>
      </c>
      <c r="Y117" s="34">
        <f t="shared" si="102"/>
        <v>9.3785590739803391E-3</v>
      </c>
      <c r="Z117" s="198">
        <f t="shared" si="103"/>
        <v>4.9065947333457094E-2</v>
      </c>
    </row>
    <row r="118" spans="1:26" x14ac:dyDescent="0.2">
      <c r="A118" s="173" t="str">
        <f t="shared" si="104"/>
        <v>53E - Customer Owned</v>
      </c>
      <c r="B118" s="132"/>
      <c r="C118" s="133" t="s">
        <v>188</v>
      </c>
      <c r="D118" s="133" t="s">
        <v>197</v>
      </c>
      <c r="E118" s="133">
        <v>285</v>
      </c>
      <c r="F118" s="133" t="s">
        <v>27</v>
      </c>
      <c r="G118" s="213">
        <v>0</v>
      </c>
      <c r="H118" s="135" t="s">
        <v>138</v>
      </c>
      <c r="I118" s="136" t="s">
        <v>131</v>
      </c>
      <c r="J118" s="219">
        <v>0.2</v>
      </c>
      <c r="K118" s="138">
        <f t="shared" si="94"/>
        <v>0</v>
      </c>
      <c r="L118" s="135">
        <f t="shared" si="95"/>
        <v>0</v>
      </c>
      <c r="M118" s="139">
        <f t="shared" si="96"/>
        <v>0</v>
      </c>
      <c r="N118" s="223">
        <v>0</v>
      </c>
      <c r="O118" s="170">
        <f t="shared" si="97"/>
        <v>99.75</v>
      </c>
      <c r="P118" s="204">
        <f>'Unitized Lighting'!E$21</f>
        <v>6.1581099210352255E-4</v>
      </c>
      <c r="Q118" s="208">
        <f>'Unitized Lighting'!$E$45</f>
        <v>0</v>
      </c>
      <c r="R118" s="208">
        <f>'Unitized Lighting'!E$74</f>
        <v>0</v>
      </c>
      <c r="S118" s="208">
        <f>'Unitized Lighting'!E$106</f>
        <v>0.15563681670383042</v>
      </c>
      <c r="T118" s="208">
        <f>'Unitized Lighting'!$E$123</f>
        <v>1.0508189438633434E-4</v>
      </c>
      <c r="U118" s="34">
        <f t="shared" si="98"/>
        <v>0</v>
      </c>
      <c r="V118" s="34">
        <f t="shared" si="99"/>
        <v>0</v>
      </c>
      <c r="W118" s="34">
        <f t="shared" si="100"/>
        <v>0</v>
      </c>
      <c r="X118" s="34">
        <f t="shared" si="101"/>
        <v>4.435649276059167E-2</v>
      </c>
      <c r="Y118" s="34">
        <f t="shared" si="102"/>
        <v>1.0481918965036851E-2</v>
      </c>
      <c r="Z118" s="198">
        <f t="shared" si="103"/>
        <v>5.4838411725628519E-2</v>
      </c>
    </row>
    <row r="119" spans="1:26" x14ac:dyDescent="0.2">
      <c r="A119" s="167" t="s">
        <v>150</v>
      </c>
      <c r="B119" s="125"/>
      <c r="C119" s="126"/>
      <c r="D119" s="127"/>
      <c r="E119" s="128"/>
      <c r="F119" s="127"/>
      <c r="G119" s="212"/>
      <c r="H119" s="129"/>
      <c r="I119" s="126"/>
      <c r="J119" s="218"/>
      <c r="K119" s="150"/>
      <c r="L119" s="129"/>
      <c r="M119" s="131"/>
      <c r="N119" s="222"/>
      <c r="O119" s="168"/>
      <c r="P119" s="203"/>
      <c r="Q119" s="207"/>
      <c r="R119" s="207"/>
      <c r="S119" s="207"/>
      <c r="T119" s="207"/>
      <c r="U119" s="43"/>
      <c r="V119" s="43"/>
      <c r="W119" s="43"/>
      <c r="X119" s="43"/>
      <c r="Y119" s="43"/>
      <c r="Z119" s="197"/>
    </row>
    <row r="120" spans="1:26" x14ac:dyDescent="0.2">
      <c r="A120" s="169" t="s">
        <v>149</v>
      </c>
      <c r="B120" s="133" t="s">
        <v>146</v>
      </c>
      <c r="C120" s="133" t="s">
        <v>198</v>
      </c>
      <c r="D120" s="133" t="s">
        <v>215</v>
      </c>
      <c r="E120" s="133">
        <v>50</v>
      </c>
      <c r="F120" s="133" t="s">
        <v>27</v>
      </c>
      <c r="G120" s="213">
        <v>38</v>
      </c>
      <c r="H120" s="135" t="s">
        <v>138</v>
      </c>
      <c r="I120" s="136" t="s">
        <v>137</v>
      </c>
      <c r="J120" s="219">
        <v>1</v>
      </c>
      <c r="K120" s="138">
        <f t="shared" ref="K120:K128" si="105">IF(I120="Yes",G120*J120,0)</f>
        <v>0</v>
      </c>
      <c r="L120" s="135">
        <f t="shared" ref="L120:L128" si="106">IF(F120="Company", G120*H120,0)</f>
        <v>0</v>
      </c>
      <c r="M120" s="139">
        <f t="shared" ref="M120:M128" si="107">E120*G120/1000</f>
        <v>1.9</v>
      </c>
      <c r="N120" s="223">
        <v>7980</v>
      </c>
      <c r="O120" s="170">
        <f t="shared" ref="O120:O128" si="108">E120*4200/1000/12</f>
        <v>17.5</v>
      </c>
      <c r="P120" s="204">
        <f>'Unitized Lighting'!E$21</f>
        <v>6.1581099210352255E-4</v>
      </c>
      <c r="Q120" s="208">
        <f>'Unitized Lighting'!$E$45</f>
        <v>0</v>
      </c>
      <c r="R120" s="208">
        <f>'Unitized Lighting'!E$74</f>
        <v>0</v>
      </c>
      <c r="S120" s="208">
        <f>'Unitized Lighting'!E$106</f>
        <v>0.15563681670383042</v>
      </c>
      <c r="T120" s="208">
        <f>'Unitized Lighting'!$E$123</f>
        <v>1.0508189438633434E-4</v>
      </c>
      <c r="U120" s="34">
        <f t="shared" ref="U120:U128" si="109">IF(F120="Company", H120*P120, 0)</f>
        <v>0</v>
      </c>
      <c r="V120" s="34">
        <f t="shared" ref="V120:V128" si="110">IF(I120="yes", J120*Q120, 0)</f>
        <v>0</v>
      </c>
      <c r="W120" s="34">
        <f t="shared" ref="W120:W128" si="111">R120*O120</f>
        <v>0</v>
      </c>
      <c r="X120" s="34">
        <f t="shared" ref="X120:X128" si="112">E120*S120/1000</f>
        <v>7.7818408351915209E-3</v>
      </c>
      <c r="Y120" s="34">
        <f t="shared" ref="Y120:Y128" si="113">O120*T120</f>
        <v>1.8389331517608509E-3</v>
      </c>
      <c r="Z120" s="198">
        <f t="shared" ref="Z120:Z128" si="114">SUM(U120:Y120)</f>
        <v>9.6207739869523714E-3</v>
      </c>
    </row>
    <row r="121" spans="1:26" x14ac:dyDescent="0.2">
      <c r="A121" s="173" t="str">
        <f t="shared" ref="A121:A128" si="115">+A120</f>
        <v>54E</v>
      </c>
      <c r="B121" s="133" t="s">
        <v>146</v>
      </c>
      <c r="C121" s="133" t="s">
        <v>198</v>
      </c>
      <c r="D121" s="133" t="s">
        <v>200</v>
      </c>
      <c r="E121" s="133">
        <v>70</v>
      </c>
      <c r="F121" s="133" t="s">
        <v>27</v>
      </c>
      <c r="G121" s="213">
        <v>676</v>
      </c>
      <c r="H121" s="135" t="s">
        <v>138</v>
      </c>
      <c r="I121" s="136" t="s">
        <v>137</v>
      </c>
      <c r="J121" s="219">
        <v>1</v>
      </c>
      <c r="K121" s="138">
        <f t="shared" si="105"/>
        <v>0</v>
      </c>
      <c r="L121" s="135">
        <f t="shared" si="106"/>
        <v>0</v>
      </c>
      <c r="M121" s="139">
        <f t="shared" si="107"/>
        <v>47.32</v>
      </c>
      <c r="N121" s="223">
        <v>198744.00000000003</v>
      </c>
      <c r="O121" s="170">
        <f t="shared" si="108"/>
        <v>24.5</v>
      </c>
      <c r="P121" s="204">
        <f>'Unitized Lighting'!E$21</f>
        <v>6.1581099210352255E-4</v>
      </c>
      <c r="Q121" s="208">
        <f>'Unitized Lighting'!$E$45</f>
        <v>0</v>
      </c>
      <c r="R121" s="208">
        <f>'Unitized Lighting'!E$74</f>
        <v>0</v>
      </c>
      <c r="S121" s="208">
        <f>'Unitized Lighting'!E$106</f>
        <v>0.15563681670383042</v>
      </c>
      <c r="T121" s="208">
        <f>'Unitized Lighting'!$E$123</f>
        <v>1.0508189438633434E-4</v>
      </c>
      <c r="U121" s="34">
        <f t="shared" si="109"/>
        <v>0</v>
      </c>
      <c r="V121" s="34">
        <f t="shared" si="110"/>
        <v>0</v>
      </c>
      <c r="W121" s="34">
        <f t="shared" si="111"/>
        <v>0</v>
      </c>
      <c r="X121" s="34">
        <f t="shared" si="112"/>
        <v>1.089457716926813E-2</v>
      </c>
      <c r="Y121" s="34">
        <f t="shared" si="113"/>
        <v>2.5745064124651912E-3</v>
      </c>
      <c r="Z121" s="198">
        <f t="shared" si="114"/>
        <v>1.3469083581733321E-2</v>
      </c>
    </row>
    <row r="122" spans="1:26" x14ac:dyDescent="0.2">
      <c r="A122" s="173" t="str">
        <f t="shared" si="115"/>
        <v>54E</v>
      </c>
      <c r="B122" s="133" t="s">
        <v>146</v>
      </c>
      <c r="C122" s="133" t="s">
        <v>198</v>
      </c>
      <c r="D122" s="133" t="s">
        <v>201</v>
      </c>
      <c r="E122" s="133">
        <v>100</v>
      </c>
      <c r="F122" s="133" t="s">
        <v>27</v>
      </c>
      <c r="G122" s="213">
        <v>1524</v>
      </c>
      <c r="H122" s="135" t="s">
        <v>138</v>
      </c>
      <c r="I122" s="136" t="s">
        <v>137</v>
      </c>
      <c r="J122" s="219">
        <v>1</v>
      </c>
      <c r="K122" s="138">
        <f t="shared" si="105"/>
        <v>0</v>
      </c>
      <c r="L122" s="135">
        <f t="shared" si="106"/>
        <v>0</v>
      </c>
      <c r="M122" s="139">
        <f t="shared" si="107"/>
        <v>152.4</v>
      </c>
      <c r="N122" s="223">
        <v>640080</v>
      </c>
      <c r="O122" s="170">
        <f t="shared" si="108"/>
        <v>35</v>
      </c>
      <c r="P122" s="204">
        <f>'Unitized Lighting'!E$21</f>
        <v>6.1581099210352255E-4</v>
      </c>
      <c r="Q122" s="208">
        <f>'Unitized Lighting'!$E$45</f>
        <v>0</v>
      </c>
      <c r="R122" s="208">
        <f>'Unitized Lighting'!E$74</f>
        <v>0</v>
      </c>
      <c r="S122" s="208">
        <f>'Unitized Lighting'!E$106</f>
        <v>0.15563681670383042</v>
      </c>
      <c r="T122" s="208">
        <f>'Unitized Lighting'!$E$123</f>
        <v>1.0508189438633434E-4</v>
      </c>
      <c r="U122" s="34">
        <f t="shared" si="109"/>
        <v>0</v>
      </c>
      <c r="V122" s="34">
        <f t="shared" si="110"/>
        <v>0</v>
      </c>
      <c r="W122" s="34">
        <f t="shared" si="111"/>
        <v>0</v>
      </c>
      <c r="X122" s="34">
        <f t="shared" si="112"/>
        <v>1.5563681670383042E-2</v>
      </c>
      <c r="Y122" s="34">
        <f t="shared" si="113"/>
        <v>3.6778663035217018E-3</v>
      </c>
      <c r="Z122" s="198">
        <f t="shared" si="114"/>
        <v>1.9241547973904743E-2</v>
      </c>
    </row>
    <row r="123" spans="1:26" x14ac:dyDescent="0.2">
      <c r="A123" s="173" t="str">
        <f t="shared" si="115"/>
        <v>54E</v>
      </c>
      <c r="B123" s="133" t="s">
        <v>146</v>
      </c>
      <c r="C123" s="133" t="s">
        <v>198</v>
      </c>
      <c r="D123" s="133" t="s">
        <v>202</v>
      </c>
      <c r="E123" s="133">
        <v>150</v>
      </c>
      <c r="F123" s="133" t="s">
        <v>27</v>
      </c>
      <c r="G123" s="213">
        <v>456</v>
      </c>
      <c r="H123" s="135" t="s">
        <v>138</v>
      </c>
      <c r="I123" s="136" t="s">
        <v>137</v>
      </c>
      <c r="J123" s="219">
        <v>1</v>
      </c>
      <c r="K123" s="138">
        <f t="shared" si="105"/>
        <v>0</v>
      </c>
      <c r="L123" s="135">
        <f t="shared" si="106"/>
        <v>0</v>
      </c>
      <c r="M123" s="139">
        <f t="shared" si="107"/>
        <v>68.400000000000006</v>
      </c>
      <c r="N123" s="223">
        <v>287280</v>
      </c>
      <c r="O123" s="170">
        <f t="shared" si="108"/>
        <v>52.5</v>
      </c>
      <c r="P123" s="204">
        <f>'Unitized Lighting'!E$21</f>
        <v>6.1581099210352255E-4</v>
      </c>
      <c r="Q123" s="208">
        <f>'Unitized Lighting'!$E$45</f>
        <v>0</v>
      </c>
      <c r="R123" s="208">
        <f>'Unitized Lighting'!E$74</f>
        <v>0</v>
      </c>
      <c r="S123" s="208">
        <f>'Unitized Lighting'!E$106</f>
        <v>0.15563681670383042</v>
      </c>
      <c r="T123" s="208">
        <f>'Unitized Lighting'!$E$123</f>
        <v>1.0508189438633434E-4</v>
      </c>
      <c r="U123" s="34">
        <f t="shared" si="109"/>
        <v>0</v>
      </c>
      <c r="V123" s="34">
        <f t="shared" si="110"/>
        <v>0</v>
      </c>
      <c r="W123" s="34">
        <f t="shared" si="111"/>
        <v>0</v>
      </c>
      <c r="X123" s="34">
        <f t="shared" si="112"/>
        <v>2.3345522505574565E-2</v>
      </c>
      <c r="Y123" s="34">
        <f t="shared" si="113"/>
        <v>5.5167994552825532E-3</v>
      </c>
      <c r="Z123" s="198">
        <f t="shared" si="114"/>
        <v>2.8862321960857119E-2</v>
      </c>
    </row>
    <row r="124" spans="1:26" x14ac:dyDescent="0.2">
      <c r="A124" s="173" t="str">
        <f t="shared" si="115"/>
        <v>54E</v>
      </c>
      <c r="B124" s="133" t="s">
        <v>146</v>
      </c>
      <c r="C124" s="133" t="s">
        <v>198</v>
      </c>
      <c r="D124" s="133" t="s">
        <v>203</v>
      </c>
      <c r="E124" s="133">
        <v>200</v>
      </c>
      <c r="F124" s="133" t="s">
        <v>27</v>
      </c>
      <c r="G124" s="213">
        <v>548</v>
      </c>
      <c r="H124" s="135" t="s">
        <v>138</v>
      </c>
      <c r="I124" s="136" t="s">
        <v>137</v>
      </c>
      <c r="J124" s="219">
        <v>1</v>
      </c>
      <c r="K124" s="138">
        <f t="shared" si="105"/>
        <v>0</v>
      </c>
      <c r="L124" s="135">
        <f t="shared" si="106"/>
        <v>0</v>
      </c>
      <c r="M124" s="139">
        <f t="shared" si="107"/>
        <v>109.6</v>
      </c>
      <c r="N124" s="223">
        <v>460320</v>
      </c>
      <c r="O124" s="170">
        <f t="shared" si="108"/>
        <v>70</v>
      </c>
      <c r="P124" s="204">
        <f>'Unitized Lighting'!E$21</f>
        <v>6.1581099210352255E-4</v>
      </c>
      <c r="Q124" s="208">
        <f>'Unitized Lighting'!$E$45</f>
        <v>0</v>
      </c>
      <c r="R124" s="208">
        <f>'Unitized Lighting'!E$74</f>
        <v>0</v>
      </c>
      <c r="S124" s="208">
        <f>'Unitized Lighting'!E$106</f>
        <v>0.15563681670383042</v>
      </c>
      <c r="T124" s="208">
        <f>'Unitized Lighting'!$E$123</f>
        <v>1.0508189438633434E-4</v>
      </c>
      <c r="U124" s="34">
        <f t="shared" si="109"/>
        <v>0</v>
      </c>
      <c r="V124" s="34">
        <f t="shared" si="110"/>
        <v>0</v>
      </c>
      <c r="W124" s="34">
        <f t="shared" si="111"/>
        <v>0</v>
      </c>
      <c r="X124" s="34">
        <f t="shared" si="112"/>
        <v>3.1127363340766084E-2</v>
      </c>
      <c r="Y124" s="34">
        <f t="shared" si="113"/>
        <v>7.3557326070434036E-3</v>
      </c>
      <c r="Z124" s="198">
        <f t="shared" si="114"/>
        <v>3.8483095947809486E-2</v>
      </c>
    </row>
    <row r="125" spans="1:26" x14ac:dyDescent="0.2">
      <c r="A125" s="173" t="str">
        <f t="shared" si="115"/>
        <v>54E</v>
      </c>
      <c r="B125" s="133" t="s">
        <v>146</v>
      </c>
      <c r="C125" s="133" t="s">
        <v>198</v>
      </c>
      <c r="D125" s="133" t="s">
        <v>204</v>
      </c>
      <c r="E125" s="133">
        <v>250</v>
      </c>
      <c r="F125" s="133" t="s">
        <v>27</v>
      </c>
      <c r="G125" s="213">
        <v>1362</v>
      </c>
      <c r="H125" s="135" t="s">
        <v>138</v>
      </c>
      <c r="I125" s="136" t="s">
        <v>137</v>
      </c>
      <c r="J125" s="219">
        <v>1</v>
      </c>
      <c r="K125" s="138">
        <f t="shared" si="105"/>
        <v>0</v>
      </c>
      <c r="L125" s="135">
        <f t="shared" si="106"/>
        <v>0</v>
      </c>
      <c r="M125" s="139">
        <f t="shared" si="107"/>
        <v>340.5</v>
      </c>
      <c r="N125" s="223">
        <v>1430100</v>
      </c>
      <c r="O125" s="170">
        <f t="shared" si="108"/>
        <v>87.5</v>
      </c>
      <c r="P125" s="204">
        <f>'Unitized Lighting'!E$21</f>
        <v>6.1581099210352255E-4</v>
      </c>
      <c r="Q125" s="208">
        <f>'Unitized Lighting'!$E$45</f>
        <v>0</v>
      </c>
      <c r="R125" s="208">
        <f>'Unitized Lighting'!E$74</f>
        <v>0</v>
      </c>
      <c r="S125" s="208">
        <f>'Unitized Lighting'!E$106</f>
        <v>0.15563681670383042</v>
      </c>
      <c r="T125" s="208">
        <f>'Unitized Lighting'!$E$123</f>
        <v>1.0508189438633434E-4</v>
      </c>
      <c r="U125" s="34">
        <f t="shared" si="109"/>
        <v>0</v>
      </c>
      <c r="V125" s="34">
        <f t="shared" si="110"/>
        <v>0</v>
      </c>
      <c r="W125" s="34">
        <f t="shared" si="111"/>
        <v>0</v>
      </c>
      <c r="X125" s="34">
        <f t="shared" si="112"/>
        <v>3.8909204175957605E-2</v>
      </c>
      <c r="Y125" s="34">
        <f t="shared" si="113"/>
        <v>9.194665758804255E-3</v>
      </c>
      <c r="Z125" s="198">
        <f t="shared" si="114"/>
        <v>4.8103869934761859E-2</v>
      </c>
    </row>
    <row r="126" spans="1:26" x14ac:dyDescent="0.2">
      <c r="A126" s="173" t="str">
        <f t="shared" si="115"/>
        <v>54E</v>
      </c>
      <c r="B126" s="133" t="s">
        <v>146</v>
      </c>
      <c r="C126" s="133" t="s">
        <v>198</v>
      </c>
      <c r="D126" s="133" t="s">
        <v>205</v>
      </c>
      <c r="E126" s="133">
        <v>310</v>
      </c>
      <c r="F126" s="133" t="s">
        <v>27</v>
      </c>
      <c r="G126" s="213">
        <v>56</v>
      </c>
      <c r="H126" s="135" t="s">
        <v>138</v>
      </c>
      <c r="I126" s="136" t="s">
        <v>137</v>
      </c>
      <c r="J126" s="219">
        <v>1</v>
      </c>
      <c r="K126" s="138">
        <f t="shared" si="105"/>
        <v>0</v>
      </c>
      <c r="L126" s="135">
        <f t="shared" si="106"/>
        <v>0</v>
      </c>
      <c r="M126" s="139">
        <f t="shared" si="107"/>
        <v>17.36</v>
      </c>
      <c r="N126" s="223">
        <v>72912</v>
      </c>
      <c r="O126" s="170">
        <f t="shared" si="108"/>
        <v>108.5</v>
      </c>
      <c r="P126" s="204">
        <f>'Unitized Lighting'!E$21</f>
        <v>6.1581099210352255E-4</v>
      </c>
      <c r="Q126" s="208">
        <f>'Unitized Lighting'!$E$45</f>
        <v>0</v>
      </c>
      <c r="R126" s="208">
        <f>'Unitized Lighting'!E$74</f>
        <v>0</v>
      </c>
      <c r="S126" s="208">
        <f>'Unitized Lighting'!E$106</f>
        <v>0.15563681670383042</v>
      </c>
      <c r="T126" s="208">
        <f>'Unitized Lighting'!$E$123</f>
        <v>1.0508189438633434E-4</v>
      </c>
      <c r="U126" s="34">
        <f t="shared" si="109"/>
        <v>0</v>
      </c>
      <c r="V126" s="34">
        <f t="shared" si="110"/>
        <v>0</v>
      </c>
      <c r="W126" s="34">
        <f t="shared" si="111"/>
        <v>0</v>
      </c>
      <c r="X126" s="34">
        <f t="shared" si="112"/>
        <v>4.8247413178187426E-2</v>
      </c>
      <c r="Y126" s="34">
        <f t="shared" si="113"/>
        <v>1.1401385540917276E-2</v>
      </c>
      <c r="Z126" s="198">
        <f t="shared" si="114"/>
        <v>5.9648798719104702E-2</v>
      </c>
    </row>
    <row r="127" spans="1:26" x14ac:dyDescent="0.2">
      <c r="A127" s="173" t="str">
        <f t="shared" si="115"/>
        <v>54E</v>
      </c>
      <c r="B127" s="133" t="s">
        <v>146</v>
      </c>
      <c r="C127" s="133" t="s">
        <v>198</v>
      </c>
      <c r="D127" s="133" t="s">
        <v>206</v>
      </c>
      <c r="E127" s="133">
        <v>400</v>
      </c>
      <c r="F127" s="133" t="s">
        <v>27</v>
      </c>
      <c r="G127" s="213">
        <v>616</v>
      </c>
      <c r="H127" s="135" t="s">
        <v>138</v>
      </c>
      <c r="I127" s="136" t="s">
        <v>137</v>
      </c>
      <c r="J127" s="219">
        <v>1</v>
      </c>
      <c r="K127" s="138">
        <f t="shared" si="105"/>
        <v>0</v>
      </c>
      <c r="L127" s="135">
        <f t="shared" si="106"/>
        <v>0</v>
      </c>
      <c r="M127" s="139">
        <f t="shared" si="107"/>
        <v>246.4</v>
      </c>
      <c r="N127" s="223">
        <v>1034880</v>
      </c>
      <c r="O127" s="170">
        <f t="shared" si="108"/>
        <v>140</v>
      </c>
      <c r="P127" s="204">
        <f>'Unitized Lighting'!E$21</f>
        <v>6.1581099210352255E-4</v>
      </c>
      <c r="Q127" s="208">
        <f>'Unitized Lighting'!$E$45</f>
        <v>0</v>
      </c>
      <c r="R127" s="208">
        <f>'Unitized Lighting'!E$74</f>
        <v>0</v>
      </c>
      <c r="S127" s="208">
        <f>'Unitized Lighting'!E$106</f>
        <v>0.15563681670383042</v>
      </c>
      <c r="T127" s="208">
        <f>'Unitized Lighting'!$E$123</f>
        <v>1.0508189438633434E-4</v>
      </c>
      <c r="U127" s="34">
        <f t="shared" si="109"/>
        <v>0</v>
      </c>
      <c r="V127" s="34">
        <f t="shared" si="110"/>
        <v>0</v>
      </c>
      <c r="W127" s="34">
        <f t="shared" si="111"/>
        <v>0</v>
      </c>
      <c r="X127" s="34">
        <f t="shared" si="112"/>
        <v>6.2254726681532167E-2</v>
      </c>
      <c r="Y127" s="34">
        <f t="shared" si="113"/>
        <v>1.4711465214086807E-2</v>
      </c>
      <c r="Z127" s="198">
        <f t="shared" si="114"/>
        <v>7.6966191895618971E-2</v>
      </c>
    </row>
    <row r="128" spans="1:26" x14ac:dyDescent="0.2">
      <c r="A128" s="173" t="str">
        <f t="shared" si="115"/>
        <v>54E</v>
      </c>
      <c r="B128" s="133" t="s">
        <v>146</v>
      </c>
      <c r="C128" s="133" t="s">
        <v>198</v>
      </c>
      <c r="D128" s="133" t="s">
        <v>217</v>
      </c>
      <c r="E128" s="133">
        <v>1000</v>
      </c>
      <c r="F128" s="133" t="s">
        <v>27</v>
      </c>
      <c r="G128" s="213">
        <v>10</v>
      </c>
      <c r="H128" s="135" t="s">
        <v>138</v>
      </c>
      <c r="I128" s="136" t="s">
        <v>137</v>
      </c>
      <c r="J128" s="219">
        <v>1</v>
      </c>
      <c r="K128" s="138">
        <f t="shared" si="105"/>
        <v>0</v>
      </c>
      <c r="L128" s="135">
        <f t="shared" si="106"/>
        <v>0</v>
      </c>
      <c r="M128" s="139">
        <f t="shared" si="107"/>
        <v>10</v>
      </c>
      <c r="N128" s="223">
        <v>42000</v>
      </c>
      <c r="O128" s="170">
        <f t="shared" si="108"/>
        <v>350</v>
      </c>
      <c r="P128" s="204">
        <f>'Unitized Lighting'!E$21</f>
        <v>6.1581099210352255E-4</v>
      </c>
      <c r="Q128" s="208">
        <f>'Unitized Lighting'!$E$45</f>
        <v>0</v>
      </c>
      <c r="R128" s="208">
        <f>'Unitized Lighting'!E$74</f>
        <v>0</v>
      </c>
      <c r="S128" s="208">
        <f>'Unitized Lighting'!E$106</f>
        <v>0.15563681670383042</v>
      </c>
      <c r="T128" s="208">
        <f>'Unitized Lighting'!$E$123</f>
        <v>1.0508189438633434E-4</v>
      </c>
      <c r="U128" s="34">
        <f t="shared" si="109"/>
        <v>0</v>
      </c>
      <c r="V128" s="34">
        <f t="shared" si="110"/>
        <v>0</v>
      </c>
      <c r="W128" s="34">
        <f t="shared" si="111"/>
        <v>0</v>
      </c>
      <c r="X128" s="34">
        <f t="shared" si="112"/>
        <v>0.15563681670383042</v>
      </c>
      <c r="Y128" s="34">
        <f t="shared" si="113"/>
        <v>3.677866303521702E-2</v>
      </c>
      <c r="Z128" s="198">
        <f t="shared" si="114"/>
        <v>0.19241547973904743</v>
      </c>
    </row>
    <row r="129" spans="1:26" x14ac:dyDescent="0.2">
      <c r="A129" s="177"/>
      <c r="B129" s="148"/>
      <c r="C129" s="145"/>
      <c r="D129" s="148"/>
      <c r="E129" s="147"/>
      <c r="F129" s="137"/>
      <c r="G129" s="214"/>
      <c r="H129" s="135"/>
      <c r="I129" s="136"/>
      <c r="J129" s="219"/>
      <c r="K129" s="138"/>
      <c r="L129" s="135"/>
      <c r="M129" s="139"/>
      <c r="N129" s="223"/>
      <c r="O129" s="175"/>
      <c r="P129" s="204"/>
      <c r="Q129" s="208"/>
      <c r="R129" s="208"/>
      <c r="S129" s="208"/>
      <c r="T129" s="208"/>
      <c r="Z129" s="198"/>
    </row>
    <row r="130" spans="1:26" x14ac:dyDescent="0.2">
      <c r="A130" s="173" t="str">
        <f>+A127</f>
        <v>54E</v>
      </c>
      <c r="B130" s="132"/>
      <c r="C130" s="133" t="s">
        <v>188</v>
      </c>
      <c r="D130" s="133" t="s">
        <v>251</v>
      </c>
      <c r="E130" s="133">
        <v>15</v>
      </c>
      <c r="F130" s="133" t="s">
        <v>27</v>
      </c>
      <c r="G130" s="214">
        <v>0</v>
      </c>
      <c r="H130" s="135" t="s">
        <v>138</v>
      </c>
      <c r="I130" s="136" t="s">
        <v>137</v>
      </c>
      <c r="J130" s="219">
        <v>0.2</v>
      </c>
      <c r="K130" s="138">
        <f t="shared" ref="K130:K139" si="116">IF(I130="Yes",G130*J130,0)</f>
        <v>0</v>
      </c>
      <c r="L130" s="135">
        <f t="shared" ref="L130:L139" si="117">IF(F130="Company", G130*H130,0)</f>
        <v>0</v>
      </c>
      <c r="M130" s="139">
        <f t="shared" ref="M130:M139" si="118">E130*G130/1000</f>
        <v>0</v>
      </c>
      <c r="N130" s="223">
        <v>0</v>
      </c>
      <c r="O130" s="170">
        <f t="shared" ref="O130:O139" si="119">E130*4200/1000/12</f>
        <v>5.25</v>
      </c>
      <c r="P130" s="204">
        <f>'Unitized Lighting'!E$21</f>
        <v>6.1581099210352255E-4</v>
      </c>
      <c r="Q130" s="208">
        <f>'Unitized Lighting'!$E$45</f>
        <v>0</v>
      </c>
      <c r="R130" s="208">
        <f>'Unitized Lighting'!E$74</f>
        <v>0</v>
      </c>
      <c r="S130" s="208">
        <f>'Unitized Lighting'!E$106</f>
        <v>0.15563681670383042</v>
      </c>
      <c r="T130" s="208">
        <f>'Unitized Lighting'!$E$123</f>
        <v>1.0508189438633434E-4</v>
      </c>
      <c r="U130" s="34">
        <f t="shared" ref="U130:U139" si="120">IF(F130="Company", H130*P130, 0)</f>
        <v>0</v>
      </c>
      <c r="V130" s="34">
        <f t="shared" ref="V130:V139" si="121">IF(I130="yes", J130*Q130, 0)</f>
        <v>0</v>
      </c>
      <c r="W130" s="34">
        <f t="shared" ref="W130:W139" si="122">R130*O130</f>
        <v>0</v>
      </c>
      <c r="X130" s="34">
        <f t="shared" ref="X130:X139" si="123">E130*S130/1000</f>
        <v>2.3345522505574564E-3</v>
      </c>
      <c r="Y130" s="34">
        <f t="shared" ref="Y130:Y139" si="124">O130*T130</f>
        <v>5.5167994552825532E-4</v>
      </c>
      <c r="Z130" s="198">
        <f t="shared" ref="Z130:Z139" si="125">SUM(U130:Y130)</f>
        <v>2.8862321960857118E-3</v>
      </c>
    </row>
    <row r="131" spans="1:26" x14ac:dyDescent="0.2">
      <c r="A131" s="173" t="str">
        <f>+A128</f>
        <v>54E</v>
      </c>
      <c r="B131" s="132"/>
      <c r="C131" s="133" t="s">
        <v>188</v>
      </c>
      <c r="D131" s="133" t="s">
        <v>189</v>
      </c>
      <c r="E131" s="133">
        <v>45</v>
      </c>
      <c r="F131" s="133" t="s">
        <v>27</v>
      </c>
      <c r="G131" s="213">
        <v>1267</v>
      </c>
      <c r="H131" s="135" t="s">
        <v>138</v>
      </c>
      <c r="I131" s="136" t="s">
        <v>137</v>
      </c>
      <c r="J131" s="219">
        <v>0.2</v>
      </c>
      <c r="K131" s="138">
        <f t="shared" si="116"/>
        <v>0</v>
      </c>
      <c r="L131" s="135">
        <f t="shared" si="117"/>
        <v>0</v>
      </c>
      <c r="M131" s="139">
        <f t="shared" si="118"/>
        <v>57.015000000000001</v>
      </c>
      <c r="N131" s="223">
        <v>239463</v>
      </c>
      <c r="O131" s="170">
        <f t="shared" si="119"/>
        <v>15.75</v>
      </c>
      <c r="P131" s="204">
        <f>'Unitized Lighting'!E$21</f>
        <v>6.1581099210352255E-4</v>
      </c>
      <c r="Q131" s="208">
        <f>'Unitized Lighting'!$E$45</f>
        <v>0</v>
      </c>
      <c r="R131" s="208">
        <f>'Unitized Lighting'!E$74</f>
        <v>0</v>
      </c>
      <c r="S131" s="208">
        <f>'Unitized Lighting'!E$106</f>
        <v>0.15563681670383042</v>
      </c>
      <c r="T131" s="208">
        <f>'Unitized Lighting'!$E$123</f>
        <v>1.0508189438633434E-4</v>
      </c>
      <c r="U131" s="34">
        <f t="shared" si="120"/>
        <v>0</v>
      </c>
      <c r="V131" s="34">
        <f t="shared" si="121"/>
        <v>0</v>
      </c>
      <c r="W131" s="34">
        <f t="shared" si="122"/>
        <v>0</v>
      </c>
      <c r="X131" s="34">
        <f t="shared" si="123"/>
        <v>7.0036567516723689E-3</v>
      </c>
      <c r="Y131" s="34">
        <f t="shared" si="124"/>
        <v>1.6550398365847659E-3</v>
      </c>
      <c r="Z131" s="198">
        <f t="shared" si="125"/>
        <v>8.6586965882571344E-3</v>
      </c>
    </row>
    <row r="132" spans="1:26" x14ac:dyDescent="0.2">
      <c r="A132" s="173" t="str">
        <f t="shared" ref="A132:A137" si="126">A131</f>
        <v>54E</v>
      </c>
      <c r="B132" s="132"/>
      <c r="C132" s="133" t="s">
        <v>188</v>
      </c>
      <c r="D132" s="133" t="s">
        <v>190</v>
      </c>
      <c r="E132" s="133">
        <v>75</v>
      </c>
      <c r="F132" s="133" t="s">
        <v>27</v>
      </c>
      <c r="G132" s="213">
        <v>64</v>
      </c>
      <c r="H132" s="135" t="s">
        <v>138</v>
      </c>
      <c r="I132" s="136" t="s">
        <v>137</v>
      </c>
      <c r="J132" s="219">
        <v>0.2</v>
      </c>
      <c r="K132" s="138">
        <f t="shared" si="116"/>
        <v>0</v>
      </c>
      <c r="L132" s="135">
        <f t="shared" si="117"/>
        <v>0</v>
      </c>
      <c r="M132" s="139">
        <f t="shared" si="118"/>
        <v>4.8</v>
      </c>
      <c r="N132" s="223">
        <v>20160</v>
      </c>
      <c r="O132" s="170">
        <f t="shared" si="119"/>
        <v>26.25</v>
      </c>
      <c r="P132" s="204">
        <f>'Unitized Lighting'!E$21</f>
        <v>6.1581099210352255E-4</v>
      </c>
      <c r="Q132" s="208">
        <f>'Unitized Lighting'!$E$45</f>
        <v>0</v>
      </c>
      <c r="R132" s="208">
        <f>'Unitized Lighting'!E$74</f>
        <v>0</v>
      </c>
      <c r="S132" s="208">
        <f>'Unitized Lighting'!E$106</f>
        <v>0.15563681670383042</v>
      </c>
      <c r="T132" s="208">
        <f>'Unitized Lighting'!$E$123</f>
        <v>1.0508189438633434E-4</v>
      </c>
      <c r="U132" s="34">
        <f t="shared" si="120"/>
        <v>0</v>
      </c>
      <c r="V132" s="34">
        <f t="shared" si="121"/>
        <v>0</v>
      </c>
      <c r="W132" s="34">
        <f t="shared" si="122"/>
        <v>0</v>
      </c>
      <c r="X132" s="34">
        <f t="shared" si="123"/>
        <v>1.1672761252787283E-2</v>
      </c>
      <c r="Y132" s="34">
        <f t="shared" si="124"/>
        <v>2.7583997276412766E-3</v>
      </c>
      <c r="Z132" s="198">
        <f t="shared" si="125"/>
        <v>1.443116098042856E-2</v>
      </c>
    </row>
    <row r="133" spans="1:26" x14ac:dyDescent="0.2">
      <c r="A133" s="173" t="str">
        <f t="shared" si="126"/>
        <v>54E</v>
      </c>
      <c r="B133" s="132"/>
      <c r="C133" s="133" t="s">
        <v>188</v>
      </c>
      <c r="D133" s="133" t="s">
        <v>191</v>
      </c>
      <c r="E133" s="133">
        <v>105</v>
      </c>
      <c r="F133" s="133" t="s">
        <v>27</v>
      </c>
      <c r="G133" s="213">
        <v>1330</v>
      </c>
      <c r="H133" s="135" t="s">
        <v>138</v>
      </c>
      <c r="I133" s="136" t="s">
        <v>137</v>
      </c>
      <c r="J133" s="219">
        <v>0.2</v>
      </c>
      <c r="K133" s="138">
        <f t="shared" si="116"/>
        <v>0</v>
      </c>
      <c r="L133" s="135">
        <f t="shared" si="117"/>
        <v>0</v>
      </c>
      <c r="M133" s="139">
        <f t="shared" si="118"/>
        <v>139.65</v>
      </c>
      <c r="N133" s="223">
        <v>586530</v>
      </c>
      <c r="O133" s="170">
        <f t="shared" si="119"/>
        <v>36.75</v>
      </c>
      <c r="P133" s="204">
        <f>'Unitized Lighting'!E$21</f>
        <v>6.1581099210352255E-4</v>
      </c>
      <c r="Q133" s="208">
        <f>'Unitized Lighting'!$E$45</f>
        <v>0</v>
      </c>
      <c r="R133" s="208">
        <f>'Unitized Lighting'!E$74</f>
        <v>0</v>
      </c>
      <c r="S133" s="208">
        <f>'Unitized Lighting'!E$106</f>
        <v>0.15563681670383042</v>
      </c>
      <c r="T133" s="208">
        <f>'Unitized Lighting'!$E$123</f>
        <v>1.0508189438633434E-4</v>
      </c>
      <c r="U133" s="34">
        <f t="shared" si="120"/>
        <v>0</v>
      </c>
      <c r="V133" s="34">
        <f t="shared" si="121"/>
        <v>0</v>
      </c>
      <c r="W133" s="34">
        <f t="shared" si="122"/>
        <v>0</v>
      </c>
      <c r="X133" s="34">
        <f t="shared" si="123"/>
        <v>1.6341865753902195E-2</v>
      </c>
      <c r="Y133" s="34">
        <f t="shared" si="124"/>
        <v>3.8617596186977872E-3</v>
      </c>
      <c r="Z133" s="198">
        <f t="shared" si="125"/>
        <v>2.0203625372599981E-2</v>
      </c>
    </row>
    <row r="134" spans="1:26" x14ac:dyDescent="0.2">
      <c r="A134" s="173" t="str">
        <f t="shared" si="126"/>
        <v>54E</v>
      </c>
      <c r="B134" s="132"/>
      <c r="C134" s="133" t="s">
        <v>188</v>
      </c>
      <c r="D134" s="133" t="s">
        <v>192</v>
      </c>
      <c r="E134" s="133">
        <v>135</v>
      </c>
      <c r="F134" s="133" t="s">
        <v>27</v>
      </c>
      <c r="G134" s="213">
        <v>666</v>
      </c>
      <c r="H134" s="135" t="s">
        <v>138</v>
      </c>
      <c r="I134" s="136" t="s">
        <v>137</v>
      </c>
      <c r="J134" s="219">
        <v>0.2</v>
      </c>
      <c r="K134" s="138">
        <f t="shared" si="116"/>
        <v>0</v>
      </c>
      <c r="L134" s="135">
        <f t="shared" si="117"/>
        <v>0</v>
      </c>
      <c r="M134" s="139">
        <f t="shared" si="118"/>
        <v>89.91</v>
      </c>
      <c r="N134" s="223">
        <v>377622</v>
      </c>
      <c r="O134" s="170">
        <f t="shared" si="119"/>
        <v>47.25</v>
      </c>
      <c r="P134" s="204">
        <f>'Unitized Lighting'!E$21</f>
        <v>6.1581099210352255E-4</v>
      </c>
      <c r="Q134" s="208">
        <f>'Unitized Lighting'!$E$45</f>
        <v>0</v>
      </c>
      <c r="R134" s="208">
        <f>'Unitized Lighting'!E$74</f>
        <v>0</v>
      </c>
      <c r="S134" s="208">
        <f>'Unitized Lighting'!E$106</f>
        <v>0.15563681670383042</v>
      </c>
      <c r="T134" s="208">
        <f>'Unitized Lighting'!$E$123</f>
        <v>1.0508189438633434E-4</v>
      </c>
      <c r="U134" s="34">
        <f t="shared" si="120"/>
        <v>0</v>
      </c>
      <c r="V134" s="34">
        <f t="shared" si="121"/>
        <v>0</v>
      </c>
      <c r="W134" s="34">
        <f t="shared" si="122"/>
        <v>0</v>
      </c>
      <c r="X134" s="34">
        <f t="shared" si="123"/>
        <v>2.1010970255017105E-2</v>
      </c>
      <c r="Y134" s="34">
        <f t="shared" si="124"/>
        <v>4.9651195097542974E-3</v>
      </c>
      <c r="Z134" s="198">
        <f t="shared" si="125"/>
        <v>2.5976089764771403E-2</v>
      </c>
    </row>
    <row r="135" spans="1:26" x14ac:dyDescent="0.2">
      <c r="A135" s="173" t="str">
        <f t="shared" si="126"/>
        <v>54E</v>
      </c>
      <c r="B135" s="132"/>
      <c r="C135" s="133" t="s">
        <v>188</v>
      </c>
      <c r="D135" s="133" t="s">
        <v>193</v>
      </c>
      <c r="E135" s="133">
        <v>165</v>
      </c>
      <c r="F135" s="133" t="s">
        <v>27</v>
      </c>
      <c r="G135" s="213">
        <v>366</v>
      </c>
      <c r="H135" s="135" t="s">
        <v>138</v>
      </c>
      <c r="I135" s="136" t="s">
        <v>137</v>
      </c>
      <c r="J135" s="219">
        <v>0.2</v>
      </c>
      <c r="K135" s="138">
        <f t="shared" si="116"/>
        <v>0</v>
      </c>
      <c r="L135" s="135">
        <f t="shared" si="117"/>
        <v>0</v>
      </c>
      <c r="M135" s="139">
        <f t="shared" si="118"/>
        <v>60.39</v>
      </c>
      <c r="N135" s="223">
        <v>253638</v>
      </c>
      <c r="O135" s="170">
        <f t="shared" si="119"/>
        <v>57.75</v>
      </c>
      <c r="P135" s="204">
        <f>'Unitized Lighting'!E$21</f>
        <v>6.1581099210352255E-4</v>
      </c>
      <c r="Q135" s="208">
        <f>'Unitized Lighting'!$E$45</f>
        <v>0</v>
      </c>
      <c r="R135" s="208">
        <f>'Unitized Lighting'!E$74</f>
        <v>0</v>
      </c>
      <c r="S135" s="208">
        <f>'Unitized Lighting'!E$106</f>
        <v>0.15563681670383042</v>
      </c>
      <c r="T135" s="208">
        <f>'Unitized Lighting'!$E$123</f>
        <v>1.0508189438633434E-4</v>
      </c>
      <c r="U135" s="34">
        <f t="shared" si="120"/>
        <v>0</v>
      </c>
      <c r="V135" s="34">
        <f t="shared" si="121"/>
        <v>0</v>
      </c>
      <c r="W135" s="34">
        <f t="shared" si="122"/>
        <v>0</v>
      </c>
      <c r="X135" s="34">
        <f t="shared" si="123"/>
        <v>2.5680074756132019E-2</v>
      </c>
      <c r="Y135" s="34">
        <f t="shared" si="124"/>
        <v>6.068479400810808E-3</v>
      </c>
      <c r="Z135" s="198">
        <f t="shared" si="125"/>
        <v>3.1748554156942825E-2</v>
      </c>
    </row>
    <row r="136" spans="1:26" x14ac:dyDescent="0.2">
      <c r="A136" s="173" t="str">
        <f t="shared" si="126"/>
        <v>54E</v>
      </c>
      <c r="B136" s="132"/>
      <c r="C136" s="133" t="s">
        <v>188</v>
      </c>
      <c r="D136" s="133" t="s">
        <v>194</v>
      </c>
      <c r="E136" s="133">
        <v>195</v>
      </c>
      <c r="F136" s="133" t="s">
        <v>27</v>
      </c>
      <c r="G136" s="213">
        <v>14</v>
      </c>
      <c r="H136" s="135" t="s">
        <v>138</v>
      </c>
      <c r="I136" s="136" t="s">
        <v>137</v>
      </c>
      <c r="J136" s="219">
        <v>0.2</v>
      </c>
      <c r="K136" s="138">
        <f t="shared" si="116"/>
        <v>0</v>
      </c>
      <c r="L136" s="135">
        <f t="shared" si="117"/>
        <v>0</v>
      </c>
      <c r="M136" s="139">
        <f t="shared" si="118"/>
        <v>2.73</v>
      </c>
      <c r="N136" s="223">
        <v>11466</v>
      </c>
      <c r="O136" s="170">
        <f t="shared" si="119"/>
        <v>68.25</v>
      </c>
      <c r="P136" s="204">
        <f>'Unitized Lighting'!E$21</f>
        <v>6.1581099210352255E-4</v>
      </c>
      <c r="Q136" s="208">
        <f>'Unitized Lighting'!$E$45</f>
        <v>0</v>
      </c>
      <c r="R136" s="208">
        <f>'Unitized Lighting'!E$74</f>
        <v>0</v>
      </c>
      <c r="S136" s="208">
        <f>'Unitized Lighting'!E$106</f>
        <v>0.15563681670383042</v>
      </c>
      <c r="T136" s="208">
        <f>'Unitized Lighting'!$E$123</f>
        <v>1.0508189438633434E-4</v>
      </c>
      <c r="U136" s="34">
        <f t="shared" si="120"/>
        <v>0</v>
      </c>
      <c r="V136" s="34">
        <f t="shared" si="121"/>
        <v>0</v>
      </c>
      <c r="W136" s="34">
        <f t="shared" si="122"/>
        <v>0</v>
      </c>
      <c r="X136" s="34">
        <f t="shared" si="123"/>
        <v>3.0349179257246929E-2</v>
      </c>
      <c r="Y136" s="34">
        <f t="shared" si="124"/>
        <v>7.1718392918673187E-3</v>
      </c>
      <c r="Z136" s="198">
        <f t="shared" si="125"/>
        <v>3.752101854911425E-2</v>
      </c>
    </row>
    <row r="137" spans="1:26" x14ac:dyDescent="0.2">
      <c r="A137" s="173" t="str">
        <f t="shared" si="126"/>
        <v>54E</v>
      </c>
      <c r="B137" s="132"/>
      <c r="C137" s="133" t="s">
        <v>188</v>
      </c>
      <c r="D137" s="133" t="s">
        <v>195</v>
      </c>
      <c r="E137" s="133">
        <v>225</v>
      </c>
      <c r="F137" s="133" t="s">
        <v>27</v>
      </c>
      <c r="G137" s="213">
        <v>38</v>
      </c>
      <c r="H137" s="135" t="s">
        <v>138</v>
      </c>
      <c r="I137" s="136" t="s">
        <v>137</v>
      </c>
      <c r="J137" s="219">
        <v>0.2</v>
      </c>
      <c r="K137" s="138">
        <f t="shared" si="116"/>
        <v>0</v>
      </c>
      <c r="L137" s="135">
        <f t="shared" si="117"/>
        <v>0</v>
      </c>
      <c r="M137" s="139">
        <f t="shared" si="118"/>
        <v>8.5500000000000007</v>
      </c>
      <c r="N137" s="223">
        <v>35910</v>
      </c>
      <c r="O137" s="170">
        <f t="shared" si="119"/>
        <v>78.75</v>
      </c>
      <c r="P137" s="204">
        <f>'Unitized Lighting'!E$21</f>
        <v>6.1581099210352255E-4</v>
      </c>
      <c r="Q137" s="208">
        <f>'Unitized Lighting'!$E$45</f>
        <v>0</v>
      </c>
      <c r="R137" s="208">
        <f>'Unitized Lighting'!E$74</f>
        <v>0</v>
      </c>
      <c r="S137" s="208">
        <f>'Unitized Lighting'!E$106</f>
        <v>0.15563681670383042</v>
      </c>
      <c r="T137" s="208">
        <f>'Unitized Lighting'!$E$123</f>
        <v>1.0508189438633434E-4</v>
      </c>
      <c r="U137" s="34">
        <f t="shared" si="120"/>
        <v>0</v>
      </c>
      <c r="V137" s="34">
        <f t="shared" si="121"/>
        <v>0</v>
      </c>
      <c r="W137" s="34">
        <f t="shared" si="122"/>
        <v>0</v>
      </c>
      <c r="X137" s="34">
        <f t="shared" si="123"/>
        <v>3.501828375836185E-2</v>
      </c>
      <c r="Y137" s="34">
        <f t="shared" si="124"/>
        <v>8.2751991829238293E-3</v>
      </c>
      <c r="Z137" s="198">
        <f t="shared" si="125"/>
        <v>4.3293482941285683E-2</v>
      </c>
    </row>
    <row r="138" spans="1:26" x14ac:dyDescent="0.2">
      <c r="A138" s="173" t="str">
        <f>A136</f>
        <v>54E</v>
      </c>
      <c r="B138" s="132"/>
      <c r="C138" s="133" t="s">
        <v>188</v>
      </c>
      <c r="D138" s="133" t="s">
        <v>196</v>
      </c>
      <c r="E138" s="133">
        <v>255</v>
      </c>
      <c r="F138" s="133" t="s">
        <v>27</v>
      </c>
      <c r="G138" s="213">
        <v>3</v>
      </c>
      <c r="H138" s="135" t="s">
        <v>138</v>
      </c>
      <c r="I138" s="136" t="s">
        <v>137</v>
      </c>
      <c r="J138" s="219">
        <v>0.2</v>
      </c>
      <c r="K138" s="138">
        <f t="shared" si="116"/>
        <v>0</v>
      </c>
      <c r="L138" s="135">
        <f t="shared" si="117"/>
        <v>0</v>
      </c>
      <c r="M138" s="139">
        <f t="shared" si="118"/>
        <v>0.76500000000000001</v>
      </c>
      <c r="N138" s="223">
        <v>3213</v>
      </c>
      <c r="O138" s="170">
        <f t="shared" si="119"/>
        <v>89.25</v>
      </c>
      <c r="P138" s="204">
        <f>'Unitized Lighting'!E$21</f>
        <v>6.1581099210352255E-4</v>
      </c>
      <c r="Q138" s="208">
        <f>'Unitized Lighting'!$E$45</f>
        <v>0</v>
      </c>
      <c r="R138" s="208">
        <f>'Unitized Lighting'!E$74</f>
        <v>0</v>
      </c>
      <c r="S138" s="208">
        <f>'Unitized Lighting'!E$106</f>
        <v>0.15563681670383042</v>
      </c>
      <c r="T138" s="208">
        <f>'Unitized Lighting'!$E$123</f>
        <v>1.0508189438633434E-4</v>
      </c>
      <c r="U138" s="34">
        <f t="shared" si="120"/>
        <v>0</v>
      </c>
      <c r="V138" s="34">
        <f t="shared" si="121"/>
        <v>0</v>
      </c>
      <c r="W138" s="34">
        <f t="shared" si="122"/>
        <v>0</v>
      </c>
      <c r="X138" s="34">
        <f t="shared" si="123"/>
        <v>3.9687388259476757E-2</v>
      </c>
      <c r="Y138" s="34">
        <f t="shared" si="124"/>
        <v>9.3785590739803391E-3</v>
      </c>
      <c r="Z138" s="198">
        <f t="shared" si="125"/>
        <v>4.9065947333457094E-2</v>
      </c>
    </row>
    <row r="139" spans="1:26" x14ac:dyDescent="0.2">
      <c r="A139" s="173" t="str">
        <f>A137</f>
        <v>54E</v>
      </c>
      <c r="B139" s="132"/>
      <c r="C139" s="133" t="s">
        <v>188</v>
      </c>
      <c r="D139" s="133" t="s">
        <v>197</v>
      </c>
      <c r="E139" s="133">
        <v>285</v>
      </c>
      <c r="F139" s="133" t="s">
        <v>27</v>
      </c>
      <c r="G139" s="213">
        <v>0</v>
      </c>
      <c r="H139" s="135" t="s">
        <v>138</v>
      </c>
      <c r="I139" s="136" t="s">
        <v>137</v>
      </c>
      <c r="J139" s="219">
        <v>0.2</v>
      </c>
      <c r="K139" s="138">
        <f t="shared" si="116"/>
        <v>0</v>
      </c>
      <c r="L139" s="135">
        <f t="shared" si="117"/>
        <v>0</v>
      </c>
      <c r="M139" s="139">
        <f t="shared" si="118"/>
        <v>0</v>
      </c>
      <c r="N139" s="223">
        <v>0</v>
      </c>
      <c r="O139" s="170">
        <f t="shared" si="119"/>
        <v>99.75</v>
      </c>
      <c r="P139" s="204">
        <f>'Unitized Lighting'!E$21</f>
        <v>6.1581099210352255E-4</v>
      </c>
      <c r="Q139" s="208">
        <f>'Unitized Lighting'!$E$45</f>
        <v>0</v>
      </c>
      <c r="R139" s="208">
        <f>'Unitized Lighting'!E$74</f>
        <v>0</v>
      </c>
      <c r="S139" s="208">
        <f>'Unitized Lighting'!E$106</f>
        <v>0.15563681670383042</v>
      </c>
      <c r="T139" s="208">
        <f>'Unitized Lighting'!$E$123</f>
        <v>1.0508189438633434E-4</v>
      </c>
      <c r="U139" s="34">
        <f t="shared" si="120"/>
        <v>0</v>
      </c>
      <c r="V139" s="34">
        <f t="shared" si="121"/>
        <v>0</v>
      </c>
      <c r="W139" s="34">
        <f t="shared" si="122"/>
        <v>0</v>
      </c>
      <c r="X139" s="34">
        <f t="shared" si="123"/>
        <v>4.435649276059167E-2</v>
      </c>
      <c r="Y139" s="34">
        <f t="shared" si="124"/>
        <v>1.0481918965036851E-2</v>
      </c>
      <c r="Z139" s="198">
        <f t="shared" si="125"/>
        <v>5.4838411725628519E-2</v>
      </c>
    </row>
    <row r="140" spans="1:26" x14ac:dyDescent="0.2">
      <c r="A140" s="167" t="s">
        <v>148</v>
      </c>
      <c r="B140" s="125"/>
      <c r="C140" s="126"/>
      <c r="D140" s="127"/>
      <c r="E140" s="128"/>
      <c r="F140" s="127"/>
      <c r="G140" s="212"/>
      <c r="H140" s="129"/>
      <c r="I140" s="126"/>
      <c r="J140" s="218"/>
      <c r="K140" s="150"/>
      <c r="L140" s="129"/>
      <c r="M140" s="131"/>
      <c r="N140" s="222"/>
      <c r="O140" s="168"/>
      <c r="P140" s="203"/>
      <c r="Q140" s="207"/>
      <c r="R140" s="207"/>
      <c r="S140" s="207"/>
      <c r="T140" s="207"/>
      <c r="U140" s="43"/>
      <c r="V140" s="43"/>
      <c r="W140" s="43"/>
      <c r="X140" s="43"/>
      <c r="Y140" s="43"/>
      <c r="Z140" s="197"/>
    </row>
    <row r="141" spans="1:26" x14ac:dyDescent="0.2">
      <c r="A141" s="178" t="s">
        <v>147</v>
      </c>
      <c r="B141" s="133" t="s">
        <v>146</v>
      </c>
      <c r="C141" s="133" t="s">
        <v>198</v>
      </c>
      <c r="D141" s="133" t="s">
        <v>200</v>
      </c>
      <c r="E141" s="133">
        <v>70</v>
      </c>
      <c r="F141" s="133" t="s">
        <v>216</v>
      </c>
      <c r="G141" s="213">
        <v>16</v>
      </c>
      <c r="H141" s="253">
        <v>908.27</v>
      </c>
      <c r="I141" s="136" t="s">
        <v>131</v>
      </c>
      <c r="J141" s="219">
        <v>1</v>
      </c>
      <c r="K141" s="138">
        <f t="shared" ref="K141:K146" si="127">IF(I141="Yes",G141*J141,0)</f>
        <v>16</v>
      </c>
      <c r="L141" s="135">
        <f t="shared" ref="L141:L146" si="128">IF(F141="Company", G141*H141,0)</f>
        <v>14532.32</v>
      </c>
      <c r="M141" s="139">
        <f t="shared" ref="M141:M146" si="129">E141*G141/1000</f>
        <v>1.1200000000000001</v>
      </c>
      <c r="N141" s="223">
        <v>4704</v>
      </c>
      <c r="O141" s="170">
        <f t="shared" ref="O141:O146" si="130">E141*4200/1000/12</f>
        <v>24.5</v>
      </c>
      <c r="P141" s="204">
        <f>'Unitized Lighting'!E$21</f>
        <v>6.1581099210352255E-4</v>
      </c>
      <c r="Q141" s="208">
        <f>'Unitized Lighting'!$E$45</f>
        <v>0</v>
      </c>
      <c r="R141" s="208">
        <f>'Unitized Lighting'!E$74</f>
        <v>0</v>
      </c>
      <c r="S141" s="208">
        <f>'Unitized Lighting'!$E$116</f>
        <v>0.15791466263646622</v>
      </c>
      <c r="T141" s="208">
        <f>'Unitized Lighting'!$E$123</f>
        <v>1.0508189438633434E-4</v>
      </c>
      <c r="U141" s="34">
        <f t="shared" ref="U141:U146" si="131">IF(F141="Company", H141*P141, 0)</f>
        <v>0.55932264979786639</v>
      </c>
      <c r="V141" s="34">
        <f t="shared" ref="V141:V146" si="132">IF(I141="yes", J141*Q141, 0)</f>
        <v>0</v>
      </c>
      <c r="W141" s="34">
        <f t="shared" ref="W141:W146" si="133">R141*O141</f>
        <v>0</v>
      </c>
      <c r="X141" s="34">
        <f t="shared" ref="X141:X146" si="134">E141*S141/1000</f>
        <v>1.1054026384552636E-2</v>
      </c>
      <c r="Y141" s="34">
        <f t="shared" ref="Y141:Y146" si="135">O141*T141</f>
        <v>2.5745064124651912E-3</v>
      </c>
      <c r="Z141" s="198">
        <f t="shared" ref="Z141:Z146" si="136">SUM(U141:Y141)</f>
        <v>0.5729511825948842</v>
      </c>
    </row>
    <row r="142" spans="1:26" x14ac:dyDescent="0.2">
      <c r="A142" s="179" t="str">
        <f>+A141</f>
        <v>55E &amp; 56E</v>
      </c>
      <c r="B142" s="133" t="s">
        <v>146</v>
      </c>
      <c r="C142" s="133" t="s">
        <v>198</v>
      </c>
      <c r="D142" s="133" t="s">
        <v>201</v>
      </c>
      <c r="E142" s="133">
        <v>100</v>
      </c>
      <c r="F142" s="133" t="s">
        <v>216</v>
      </c>
      <c r="G142" s="213">
        <v>3646</v>
      </c>
      <c r="H142" s="253">
        <v>855.82</v>
      </c>
      <c r="I142" s="136" t="s">
        <v>131</v>
      </c>
      <c r="J142" s="219">
        <v>1</v>
      </c>
      <c r="K142" s="138">
        <f t="shared" si="127"/>
        <v>3646</v>
      </c>
      <c r="L142" s="135">
        <f t="shared" si="128"/>
        <v>3120319.72</v>
      </c>
      <c r="M142" s="139">
        <f t="shared" si="129"/>
        <v>364.6</v>
      </c>
      <c r="N142" s="223">
        <v>1531320</v>
      </c>
      <c r="O142" s="170">
        <f t="shared" si="130"/>
        <v>35</v>
      </c>
      <c r="P142" s="204">
        <f>'Unitized Lighting'!E$21</f>
        <v>6.1581099210352255E-4</v>
      </c>
      <c r="Q142" s="208">
        <f>'Unitized Lighting'!$E$45</f>
        <v>0</v>
      </c>
      <c r="R142" s="208">
        <f>'Unitized Lighting'!E$74</f>
        <v>0</v>
      </c>
      <c r="S142" s="208">
        <f>'Unitized Lighting'!$E$116</f>
        <v>0.15791466263646622</v>
      </c>
      <c r="T142" s="208">
        <f>'Unitized Lighting'!$E$123</f>
        <v>1.0508189438633434E-4</v>
      </c>
      <c r="U142" s="34">
        <f t="shared" si="131"/>
        <v>0.52702336326203669</v>
      </c>
      <c r="V142" s="34">
        <f t="shared" si="132"/>
        <v>0</v>
      </c>
      <c r="W142" s="34">
        <f t="shared" si="133"/>
        <v>0</v>
      </c>
      <c r="X142" s="34">
        <f t="shared" si="134"/>
        <v>1.5791466263646622E-2</v>
      </c>
      <c r="Y142" s="34">
        <f t="shared" si="135"/>
        <v>3.6778663035217018E-3</v>
      </c>
      <c r="Z142" s="198">
        <f t="shared" si="136"/>
        <v>0.54649269582920501</v>
      </c>
    </row>
    <row r="143" spans="1:26" x14ac:dyDescent="0.2">
      <c r="A143" s="179" t="str">
        <f>+A142</f>
        <v>55E &amp; 56E</v>
      </c>
      <c r="B143" s="133" t="s">
        <v>146</v>
      </c>
      <c r="C143" s="133" t="s">
        <v>198</v>
      </c>
      <c r="D143" s="133" t="s">
        <v>202</v>
      </c>
      <c r="E143" s="133">
        <v>150</v>
      </c>
      <c r="F143" s="133" t="s">
        <v>216</v>
      </c>
      <c r="G143" s="213">
        <v>488</v>
      </c>
      <c r="H143" s="253">
        <v>857.29</v>
      </c>
      <c r="I143" s="136" t="s">
        <v>131</v>
      </c>
      <c r="J143" s="219">
        <v>1</v>
      </c>
      <c r="K143" s="138">
        <f t="shared" si="127"/>
        <v>488</v>
      </c>
      <c r="L143" s="135">
        <f t="shared" si="128"/>
        <v>418357.51999999996</v>
      </c>
      <c r="M143" s="139">
        <f t="shared" si="129"/>
        <v>73.2</v>
      </c>
      <c r="N143" s="223">
        <v>307440</v>
      </c>
      <c r="O143" s="170">
        <f t="shared" si="130"/>
        <v>52.5</v>
      </c>
      <c r="P143" s="204">
        <f>'Unitized Lighting'!E$21</f>
        <v>6.1581099210352255E-4</v>
      </c>
      <c r="Q143" s="208">
        <f>'Unitized Lighting'!$E$45</f>
        <v>0</v>
      </c>
      <c r="R143" s="208">
        <f>'Unitized Lighting'!E$74</f>
        <v>0</v>
      </c>
      <c r="S143" s="208">
        <f>'Unitized Lighting'!$E$116</f>
        <v>0.15791466263646622</v>
      </c>
      <c r="T143" s="208">
        <f>'Unitized Lighting'!$E$123</f>
        <v>1.0508189438633434E-4</v>
      </c>
      <c r="U143" s="34">
        <f t="shared" si="131"/>
        <v>0.52792860542042885</v>
      </c>
      <c r="V143" s="34">
        <f t="shared" si="132"/>
        <v>0</v>
      </c>
      <c r="W143" s="34">
        <f t="shared" si="133"/>
        <v>0</v>
      </c>
      <c r="X143" s="34">
        <f t="shared" si="134"/>
        <v>2.3687199395469934E-2</v>
      </c>
      <c r="Y143" s="34">
        <f t="shared" si="135"/>
        <v>5.5167994552825532E-3</v>
      </c>
      <c r="Z143" s="198">
        <f t="shared" si="136"/>
        <v>0.55713260427118139</v>
      </c>
    </row>
    <row r="144" spans="1:26" x14ac:dyDescent="0.2">
      <c r="A144" s="179" t="str">
        <f>+A143</f>
        <v>55E &amp; 56E</v>
      </c>
      <c r="B144" s="133" t="s">
        <v>146</v>
      </c>
      <c r="C144" s="133" t="s">
        <v>198</v>
      </c>
      <c r="D144" s="133" t="s">
        <v>203</v>
      </c>
      <c r="E144" s="133">
        <v>200</v>
      </c>
      <c r="F144" s="133" t="s">
        <v>216</v>
      </c>
      <c r="G144" s="213">
        <v>1043</v>
      </c>
      <c r="H144" s="253">
        <v>906.86</v>
      </c>
      <c r="I144" s="136" t="s">
        <v>131</v>
      </c>
      <c r="J144" s="219">
        <v>1</v>
      </c>
      <c r="K144" s="138">
        <f t="shared" si="127"/>
        <v>1043</v>
      </c>
      <c r="L144" s="135">
        <f t="shared" si="128"/>
        <v>945854.98</v>
      </c>
      <c r="M144" s="139">
        <f t="shared" si="129"/>
        <v>208.6</v>
      </c>
      <c r="N144" s="223">
        <v>876120</v>
      </c>
      <c r="O144" s="170">
        <f t="shared" si="130"/>
        <v>70</v>
      </c>
      <c r="P144" s="204">
        <f>'Unitized Lighting'!E$21</f>
        <v>6.1581099210352255E-4</v>
      </c>
      <c r="Q144" s="208">
        <f>'Unitized Lighting'!$E$45</f>
        <v>0</v>
      </c>
      <c r="R144" s="208">
        <f>'Unitized Lighting'!E$74</f>
        <v>0</v>
      </c>
      <c r="S144" s="208">
        <f>'Unitized Lighting'!$E$116</f>
        <v>0.15791466263646622</v>
      </c>
      <c r="T144" s="208">
        <f>'Unitized Lighting'!$E$123</f>
        <v>1.0508189438633434E-4</v>
      </c>
      <c r="U144" s="34">
        <f t="shared" si="131"/>
        <v>0.55845435629900042</v>
      </c>
      <c r="V144" s="34">
        <f t="shared" si="132"/>
        <v>0</v>
      </c>
      <c r="W144" s="34">
        <f t="shared" si="133"/>
        <v>0</v>
      </c>
      <c r="X144" s="34">
        <f t="shared" si="134"/>
        <v>3.1582932527293245E-2</v>
      </c>
      <c r="Y144" s="34">
        <f t="shared" si="135"/>
        <v>7.3557326070434036E-3</v>
      </c>
      <c r="Z144" s="198">
        <f t="shared" si="136"/>
        <v>0.59739302143333706</v>
      </c>
    </row>
    <row r="145" spans="1:26" x14ac:dyDescent="0.2">
      <c r="A145" s="179" t="str">
        <f>+A144</f>
        <v>55E &amp; 56E</v>
      </c>
      <c r="B145" s="133" t="s">
        <v>146</v>
      </c>
      <c r="C145" s="133" t="s">
        <v>198</v>
      </c>
      <c r="D145" s="133" t="s">
        <v>204</v>
      </c>
      <c r="E145" s="133">
        <v>250</v>
      </c>
      <c r="F145" s="133" t="s">
        <v>216</v>
      </c>
      <c r="G145" s="213">
        <v>111</v>
      </c>
      <c r="H145" s="253">
        <v>922.99</v>
      </c>
      <c r="I145" s="136" t="s">
        <v>131</v>
      </c>
      <c r="J145" s="219">
        <v>1</v>
      </c>
      <c r="K145" s="138">
        <f t="shared" si="127"/>
        <v>111</v>
      </c>
      <c r="L145" s="135">
        <f t="shared" si="128"/>
        <v>102451.89</v>
      </c>
      <c r="M145" s="139">
        <f t="shared" si="129"/>
        <v>27.75</v>
      </c>
      <c r="N145" s="223">
        <v>116550</v>
      </c>
      <c r="O145" s="170">
        <f t="shared" si="130"/>
        <v>87.5</v>
      </c>
      <c r="P145" s="204">
        <f>'Unitized Lighting'!E$21</f>
        <v>6.1581099210352255E-4</v>
      </c>
      <c r="Q145" s="208">
        <f>'Unitized Lighting'!$E$45</f>
        <v>0</v>
      </c>
      <c r="R145" s="208">
        <f>'Unitized Lighting'!E$74</f>
        <v>0</v>
      </c>
      <c r="S145" s="208">
        <f>'Unitized Lighting'!$E$116</f>
        <v>0.15791466263646622</v>
      </c>
      <c r="T145" s="208">
        <f>'Unitized Lighting'!$E$123</f>
        <v>1.0508189438633434E-4</v>
      </c>
      <c r="U145" s="34">
        <f t="shared" si="131"/>
        <v>0.56838738760163032</v>
      </c>
      <c r="V145" s="34">
        <f t="shared" si="132"/>
        <v>0</v>
      </c>
      <c r="W145" s="34">
        <f t="shared" si="133"/>
        <v>0</v>
      </c>
      <c r="X145" s="34">
        <f t="shared" si="134"/>
        <v>3.9478665659116556E-2</v>
      </c>
      <c r="Y145" s="34">
        <f t="shared" si="135"/>
        <v>9.194665758804255E-3</v>
      </c>
      <c r="Z145" s="198">
        <f t="shared" si="136"/>
        <v>0.61706071901955106</v>
      </c>
    </row>
    <row r="146" spans="1:26" x14ac:dyDescent="0.2">
      <c r="A146" s="179" t="str">
        <f>+A145</f>
        <v>55E &amp; 56E</v>
      </c>
      <c r="B146" s="133" t="s">
        <v>146</v>
      </c>
      <c r="C146" s="133" t="s">
        <v>198</v>
      </c>
      <c r="D146" s="133" t="s">
        <v>206</v>
      </c>
      <c r="E146" s="133">
        <v>400</v>
      </c>
      <c r="F146" s="133" t="s">
        <v>216</v>
      </c>
      <c r="G146" s="213">
        <v>45</v>
      </c>
      <c r="H146" s="253">
        <v>1029.9100000000001</v>
      </c>
      <c r="I146" s="136" t="s">
        <v>131</v>
      </c>
      <c r="J146" s="219">
        <v>1</v>
      </c>
      <c r="K146" s="138">
        <f t="shared" si="127"/>
        <v>45</v>
      </c>
      <c r="L146" s="135">
        <f t="shared" si="128"/>
        <v>46345.950000000004</v>
      </c>
      <c r="M146" s="139">
        <f t="shared" si="129"/>
        <v>18</v>
      </c>
      <c r="N146" s="223">
        <v>75600</v>
      </c>
      <c r="O146" s="170">
        <f t="shared" si="130"/>
        <v>140</v>
      </c>
      <c r="P146" s="204">
        <f>'Unitized Lighting'!E$21</f>
        <v>6.1581099210352255E-4</v>
      </c>
      <c r="Q146" s="208">
        <f>'Unitized Lighting'!$E$45</f>
        <v>0</v>
      </c>
      <c r="R146" s="208">
        <f>'Unitized Lighting'!E$74</f>
        <v>0</v>
      </c>
      <c r="S146" s="208">
        <f>'Unitized Lighting'!$E$116</f>
        <v>0.15791466263646622</v>
      </c>
      <c r="T146" s="208">
        <f>'Unitized Lighting'!$E$123</f>
        <v>1.0508189438633434E-4</v>
      </c>
      <c r="U146" s="34">
        <f t="shared" si="131"/>
        <v>0.63422989887733894</v>
      </c>
      <c r="V146" s="34">
        <f t="shared" si="132"/>
        <v>0</v>
      </c>
      <c r="W146" s="34">
        <f t="shared" si="133"/>
        <v>0</v>
      </c>
      <c r="X146" s="34">
        <f t="shared" si="134"/>
        <v>6.316586505458649E-2</v>
      </c>
      <c r="Y146" s="34">
        <f t="shared" si="135"/>
        <v>1.4711465214086807E-2</v>
      </c>
      <c r="Z146" s="198">
        <f t="shared" si="136"/>
        <v>0.71210722914601232</v>
      </c>
    </row>
    <row r="147" spans="1:26" x14ac:dyDescent="0.2">
      <c r="A147" s="179"/>
      <c r="B147" s="148"/>
      <c r="C147" s="133"/>
      <c r="D147" s="133"/>
      <c r="E147" s="133"/>
      <c r="F147" s="133"/>
      <c r="G147" s="213"/>
      <c r="H147" s="253"/>
      <c r="I147" s="136"/>
      <c r="J147" s="219"/>
      <c r="K147" s="138"/>
      <c r="L147" s="135"/>
      <c r="M147" s="139"/>
      <c r="N147" s="223"/>
      <c r="O147" s="175"/>
      <c r="P147" s="204"/>
      <c r="Q147" s="208"/>
      <c r="R147" s="208"/>
      <c r="S147" s="208"/>
      <c r="T147" s="208"/>
      <c r="Z147" s="198"/>
    </row>
    <row r="148" spans="1:26" x14ac:dyDescent="0.2">
      <c r="A148" s="179" t="str">
        <f>+A146</f>
        <v>55E &amp; 56E</v>
      </c>
      <c r="B148" s="155"/>
      <c r="C148" s="133" t="s">
        <v>207</v>
      </c>
      <c r="D148" s="133" t="s">
        <v>212</v>
      </c>
      <c r="E148" s="133">
        <v>250</v>
      </c>
      <c r="F148" s="133" t="s">
        <v>216</v>
      </c>
      <c r="G148" s="213">
        <v>6</v>
      </c>
      <c r="H148" s="253">
        <v>915.43</v>
      </c>
      <c r="I148" s="136" t="s">
        <v>131</v>
      </c>
      <c r="J148" s="219">
        <v>2</v>
      </c>
      <c r="K148" s="138">
        <f>IF(I148="Yes",G148*J148,0)</f>
        <v>12</v>
      </c>
      <c r="L148" s="135">
        <f>IF(F148="Company", G148*H148,0)</f>
        <v>5492.58</v>
      </c>
      <c r="M148" s="139">
        <f>E148*G148/1000</f>
        <v>1.5</v>
      </c>
      <c r="N148" s="223">
        <v>6300</v>
      </c>
      <c r="O148" s="170">
        <f>E148*4200/1000/12</f>
        <v>87.5</v>
      </c>
      <c r="P148" s="204">
        <f>'Unitized Lighting'!E$21</f>
        <v>6.1581099210352255E-4</v>
      </c>
      <c r="Q148" s="208">
        <f>'Unitized Lighting'!$E$45</f>
        <v>0</v>
      </c>
      <c r="R148" s="208">
        <f>'Unitized Lighting'!E$74</f>
        <v>0</v>
      </c>
      <c r="S148" s="208">
        <f>'Unitized Lighting'!$E$116</f>
        <v>0.15791466263646622</v>
      </c>
      <c r="T148" s="208">
        <f>'Unitized Lighting'!$E$123</f>
        <v>1.0508189438633434E-4</v>
      </c>
      <c r="U148" s="34">
        <f>IF(F148="Company", H148*P148, 0)</f>
        <v>0.56373185650132762</v>
      </c>
      <c r="V148" s="34">
        <f>IF(I148="yes", J148*Q148, 0)</f>
        <v>0</v>
      </c>
      <c r="W148" s="34">
        <f>R148*O148</f>
        <v>0</v>
      </c>
      <c r="X148" s="34">
        <f>E148*S148/1000</f>
        <v>3.9478665659116556E-2</v>
      </c>
      <c r="Y148" s="34">
        <f>O148*T148</f>
        <v>9.194665758804255E-3</v>
      </c>
      <c r="Z148" s="198">
        <f>SUM(U148:Y148)</f>
        <v>0.61240518791924836</v>
      </c>
    </row>
    <row r="149" spans="1:26" x14ac:dyDescent="0.2">
      <c r="A149" s="177"/>
      <c r="B149" s="148"/>
      <c r="C149" s="133"/>
      <c r="D149" s="133"/>
      <c r="E149" s="133"/>
      <c r="F149" s="133"/>
      <c r="G149" s="213"/>
      <c r="H149" s="253"/>
      <c r="I149" s="136"/>
      <c r="J149" s="219"/>
      <c r="K149" s="138"/>
      <c r="L149" s="135"/>
      <c r="M149" s="139"/>
      <c r="N149" s="223"/>
      <c r="O149" s="175"/>
      <c r="P149" s="204"/>
      <c r="Q149" s="208"/>
      <c r="R149" s="208"/>
      <c r="S149" s="208"/>
      <c r="T149" s="208"/>
      <c r="Z149" s="198"/>
    </row>
    <row r="150" spans="1:26" x14ac:dyDescent="0.2">
      <c r="A150" s="173" t="str">
        <f>A148</f>
        <v>55E &amp; 56E</v>
      </c>
      <c r="B150" s="132"/>
      <c r="C150" s="133" t="s">
        <v>188</v>
      </c>
      <c r="D150" s="133" t="s">
        <v>251</v>
      </c>
      <c r="E150" s="133">
        <v>15</v>
      </c>
      <c r="F150" s="133" t="s">
        <v>216</v>
      </c>
      <c r="G150" s="213">
        <v>0</v>
      </c>
      <c r="H150" s="253">
        <v>690.48333333333335</v>
      </c>
      <c r="I150" s="136" t="s">
        <v>131</v>
      </c>
      <c r="J150" s="219">
        <v>0.2</v>
      </c>
      <c r="K150" s="138">
        <f t="shared" ref="K150:K159" si="137">IF(I150="Yes",G150*J150,0)</f>
        <v>0</v>
      </c>
      <c r="L150" s="135">
        <f t="shared" ref="L150:L159" si="138">IF(F150="Company", G150*H150,0)</f>
        <v>0</v>
      </c>
      <c r="M150" s="139">
        <f t="shared" ref="M150:M159" si="139">E150*G150/1000</f>
        <v>0</v>
      </c>
      <c r="N150" s="223">
        <v>0</v>
      </c>
      <c r="O150" s="170">
        <f t="shared" ref="O150:O159" si="140">E150*4200/1000/12</f>
        <v>5.25</v>
      </c>
      <c r="P150" s="204">
        <f>'Unitized Lighting'!E$21</f>
        <v>6.1581099210352255E-4</v>
      </c>
      <c r="Q150" s="208">
        <f>'Unitized Lighting'!$E$45</f>
        <v>0</v>
      </c>
      <c r="R150" s="208">
        <f>'Unitized Lighting'!E$74</f>
        <v>0</v>
      </c>
      <c r="S150" s="208">
        <f>'Unitized Lighting'!$E$116</f>
        <v>0.15791466263646622</v>
      </c>
      <c r="T150" s="208">
        <f>'Unitized Lighting'!$E$123</f>
        <v>1.0508189438633434E-4</v>
      </c>
      <c r="U150" s="34">
        <f t="shared" ref="U150:U159" si="141">IF(F150="Company", H150*P150, 0)</f>
        <v>0.42520722653094728</v>
      </c>
      <c r="V150" s="34">
        <f t="shared" ref="V150:V159" si="142">IF(I150="yes", J150*Q150, 0)</f>
        <v>0</v>
      </c>
      <c r="W150" s="34">
        <f t="shared" ref="W150:W159" si="143">R150*O150</f>
        <v>0</v>
      </c>
      <c r="X150" s="34">
        <f t="shared" ref="X150:X159" si="144">E150*S150/1000</f>
        <v>2.3687199395469936E-3</v>
      </c>
      <c r="Y150" s="34">
        <f t="shared" ref="Y150:Y159" si="145">O150*T150</f>
        <v>5.5167994552825532E-4</v>
      </c>
      <c r="Z150" s="198">
        <f t="shared" ref="Z150:Z159" si="146">SUM(U150:Y150)</f>
        <v>0.42812762641602253</v>
      </c>
    </row>
    <row r="151" spans="1:26" x14ac:dyDescent="0.2">
      <c r="A151" s="173" t="str">
        <f>+A148</f>
        <v>55E &amp; 56E</v>
      </c>
      <c r="B151" s="132"/>
      <c r="C151" s="133" t="s">
        <v>188</v>
      </c>
      <c r="D151" s="133" t="s">
        <v>189</v>
      </c>
      <c r="E151" s="133">
        <v>45</v>
      </c>
      <c r="F151" s="133" t="s">
        <v>216</v>
      </c>
      <c r="G151" s="213">
        <v>599</v>
      </c>
      <c r="H151" s="253">
        <v>799.17</v>
      </c>
      <c r="I151" s="136" t="s">
        <v>131</v>
      </c>
      <c r="J151" s="219">
        <v>0.2</v>
      </c>
      <c r="K151" s="138">
        <f t="shared" si="137"/>
        <v>119.80000000000001</v>
      </c>
      <c r="L151" s="135">
        <f t="shared" si="138"/>
        <v>478702.82999999996</v>
      </c>
      <c r="M151" s="139">
        <f t="shared" si="139"/>
        <v>26.954999999999998</v>
      </c>
      <c r="N151" s="223">
        <v>113211</v>
      </c>
      <c r="O151" s="170">
        <f t="shared" si="140"/>
        <v>15.75</v>
      </c>
      <c r="P151" s="204">
        <f>'Unitized Lighting'!E$21</f>
        <v>6.1581099210352255E-4</v>
      </c>
      <c r="Q151" s="208">
        <f>'Unitized Lighting'!$E$45</f>
        <v>0</v>
      </c>
      <c r="R151" s="208">
        <f>'Unitized Lighting'!E$74</f>
        <v>0</v>
      </c>
      <c r="S151" s="208">
        <f>'Unitized Lighting'!$E$116</f>
        <v>0.15791466263646622</v>
      </c>
      <c r="T151" s="208">
        <f>'Unitized Lighting'!$E$123</f>
        <v>1.0508189438633434E-4</v>
      </c>
      <c r="U151" s="34">
        <f t="shared" si="141"/>
        <v>0.49213767055937208</v>
      </c>
      <c r="V151" s="34">
        <f t="shared" si="142"/>
        <v>0</v>
      </c>
      <c r="W151" s="34">
        <f t="shared" si="143"/>
        <v>0</v>
      </c>
      <c r="X151" s="34">
        <f t="shared" si="144"/>
        <v>7.1061598186409796E-3</v>
      </c>
      <c r="Y151" s="34">
        <f t="shared" si="145"/>
        <v>1.6550398365847659E-3</v>
      </c>
      <c r="Z151" s="198">
        <f t="shared" si="146"/>
        <v>0.50089887021459778</v>
      </c>
    </row>
    <row r="152" spans="1:26" x14ac:dyDescent="0.2">
      <c r="A152" s="173" t="str">
        <f t="shared" ref="A152:A157" si="147">A151</f>
        <v>55E &amp; 56E</v>
      </c>
      <c r="B152" s="132"/>
      <c r="C152" s="133" t="s">
        <v>188</v>
      </c>
      <c r="D152" s="133" t="s">
        <v>190</v>
      </c>
      <c r="E152" s="133">
        <v>75</v>
      </c>
      <c r="F152" s="133" t="s">
        <v>216</v>
      </c>
      <c r="G152" s="213">
        <v>6</v>
      </c>
      <c r="H152" s="253">
        <v>1061.43</v>
      </c>
      <c r="I152" s="136" t="s">
        <v>131</v>
      </c>
      <c r="J152" s="219">
        <v>0.2</v>
      </c>
      <c r="K152" s="138">
        <f t="shared" si="137"/>
        <v>1.2000000000000002</v>
      </c>
      <c r="L152" s="135">
        <f t="shared" si="138"/>
        <v>6368.58</v>
      </c>
      <c r="M152" s="139">
        <f t="shared" si="139"/>
        <v>0.45</v>
      </c>
      <c r="N152" s="223">
        <v>1890</v>
      </c>
      <c r="O152" s="170">
        <f t="shared" si="140"/>
        <v>26.25</v>
      </c>
      <c r="P152" s="204">
        <f>'Unitized Lighting'!E$21</f>
        <v>6.1581099210352255E-4</v>
      </c>
      <c r="Q152" s="208">
        <f>'Unitized Lighting'!$E$45</f>
        <v>0</v>
      </c>
      <c r="R152" s="208">
        <f>'Unitized Lighting'!E$74</f>
        <v>0</v>
      </c>
      <c r="S152" s="208">
        <f>'Unitized Lighting'!$E$116</f>
        <v>0.15791466263646622</v>
      </c>
      <c r="T152" s="208">
        <f>'Unitized Lighting'!$E$123</f>
        <v>1.0508189438633434E-4</v>
      </c>
      <c r="U152" s="34">
        <f t="shared" si="141"/>
        <v>0.653640261348442</v>
      </c>
      <c r="V152" s="34">
        <f t="shared" si="142"/>
        <v>0</v>
      </c>
      <c r="W152" s="34">
        <f t="shared" si="143"/>
        <v>0</v>
      </c>
      <c r="X152" s="34">
        <f t="shared" si="144"/>
        <v>1.1843599697734967E-2</v>
      </c>
      <c r="Y152" s="34">
        <f t="shared" si="145"/>
        <v>2.7583997276412766E-3</v>
      </c>
      <c r="Z152" s="198">
        <f t="shared" si="146"/>
        <v>0.66824226077381821</v>
      </c>
    </row>
    <row r="153" spans="1:26" x14ac:dyDescent="0.2">
      <c r="A153" s="173" t="str">
        <f t="shared" si="147"/>
        <v>55E &amp; 56E</v>
      </c>
      <c r="B153" s="132"/>
      <c r="C153" s="133" t="s">
        <v>188</v>
      </c>
      <c r="D153" s="133" t="s">
        <v>191</v>
      </c>
      <c r="E153" s="133">
        <v>105</v>
      </c>
      <c r="F153" s="133" t="s">
        <v>216</v>
      </c>
      <c r="G153" s="213">
        <v>150</v>
      </c>
      <c r="H153" s="253">
        <v>1093.33</v>
      </c>
      <c r="I153" s="136" t="s">
        <v>131</v>
      </c>
      <c r="J153" s="219">
        <v>0.2</v>
      </c>
      <c r="K153" s="138">
        <f t="shared" si="137"/>
        <v>30</v>
      </c>
      <c r="L153" s="135">
        <f t="shared" si="138"/>
        <v>163999.5</v>
      </c>
      <c r="M153" s="139">
        <f t="shared" si="139"/>
        <v>15.75</v>
      </c>
      <c r="N153" s="223">
        <v>66150</v>
      </c>
      <c r="O153" s="170">
        <f t="shared" si="140"/>
        <v>36.75</v>
      </c>
      <c r="P153" s="204">
        <f>'Unitized Lighting'!E$21</f>
        <v>6.1581099210352255E-4</v>
      </c>
      <c r="Q153" s="208">
        <f>'Unitized Lighting'!$E$45</f>
        <v>0</v>
      </c>
      <c r="R153" s="208">
        <f>'Unitized Lighting'!E$74</f>
        <v>0</v>
      </c>
      <c r="S153" s="208">
        <f>'Unitized Lighting'!$E$116</f>
        <v>0.15791466263646622</v>
      </c>
      <c r="T153" s="208">
        <f>'Unitized Lighting'!$E$123</f>
        <v>1.0508189438633434E-4</v>
      </c>
      <c r="U153" s="34">
        <f t="shared" si="141"/>
        <v>0.67328463199654431</v>
      </c>
      <c r="V153" s="34">
        <f t="shared" si="142"/>
        <v>0</v>
      </c>
      <c r="W153" s="34">
        <f t="shared" si="143"/>
        <v>0</v>
      </c>
      <c r="X153" s="34">
        <f t="shared" si="144"/>
        <v>1.6581039576828951E-2</v>
      </c>
      <c r="Y153" s="34">
        <f t="shared" si="145"/>
        <v>3.8617596186977872E-3</v>
      </c>
      <c r="Z153" s="198">
        <f t="shared" si="146"/>
        <v>0.69372743119207114</v>
      </c>
    </row>
    <row r="154" spans="1:26" x14ac:dyDescent="0.2">
      <c r="A154" s="173" t="str">
        <f t="shared" si="147"/>
        <v>55E &amp; 56E</v>
      </c>
      <c r="B154" s="132"/>
      <c r="C154" s="133" t="s">
        <v>188</v>
      </c>
      <c r="D154" s="133" t="s">
        <v>192</v>
      </c>
      <c r="E154" s="133">
        <v>135</v>
      </c>
      <c r="F154" s="133" t="s">
        <v>216</v>
      </c>
      <c r="G154" s="213">
        <v>0</v>
      </c>
      <c r="H154" s="253">
        <v>1278.8033333333333</v>
      </c>
      <c r="I154" s="136" t="s">
        <v>131</v>
      </c>
      <c r="J154" s="219">
        <v>0.2</v>
      </c>
      <c r="K154" s="138">
        <f t="shared" si="137"/>
        <v>0</v>
      </c>
      <c r="L154" s="135">
        <f t="shared" si="138"/>
        <v>0</v>
      </c>
      <c r="M154" s="139">
        <f t="shared" si="139"/>
        <v>0</v>
      </c>
      <c r="N154" s="223">
        <v>0</v>
      </c>
      <c r="O154" s="170">
        <f t="shared" si="140"/>
        <v>47.25</v>
      </c>
      <c r="P154" s="204">
        <f>'Unitized Lighting'!E$21</f>
        <v>6.1581099210352255E-4</v>
      </c>
      <c r="Q154" s="208">
        <f>'Unitized Lighting'!$E$45</f>
        <v>0</v>
      </c>
      <c r="R154" s="208">
        <f>'Unitized Lighting'!E$74</f>
        <v>0</v>
      </c>
      <c r="S154" s="208">
        <f>'Unitized Lighting'!$E$116</f>
        <v>0.15791466263646622</v>
      </c>
      <c r="T154" s="208">
        <f>'Unitized Lighting'!$E$123</f>
        <v>1.0508189438633434E-4</v>
      </c>
      <c r="U154" s="34">
        <f t="shared" si="141"/>
        <v>0.78750114940529159</v>
      </c>
      <c r="V154" s="34">
        <f t="shared" si="142"/>
        <v>0</v>
      </c>
      <c r="W154" s="34">
        <f t="shared" si="143"/>
        <v>0</v>
      </c>
      <c r="X154" s="34">
        <f t="shared" si="144"/>
        <v>2.131847945592294E-2</v>
      </c>
      <c r="Y154" s="34">
        <f t="shared" si="145"/>
        <v>4.9651195097542974E-3</v>
      </c>
      <c r="Z154" s="198">
        <f t="shared" si="146"/>
        <v>0.81378474837096881</v>
      </c>
    </row>
    <row r="155" spans="1:26" x14ac:dyDescent="0.2">
      <c r="A155" s="173" t="str">
        <f t="shared" si="147"/>
        <v>55E &amp; 56E</v>
      </c>
      <c r="B155" s="132"/>
      <c r="C155" s="133" t="s">
        <v>188</v>
      </c>
      <c r="D155" s="133" t="s">
        <v>193</v>
      </c>
      <c r="E155" s="133">
        <v>165</v>
      </c>
      <c r="F155" s="133" t="s">
        <v>216</v>
      </c>
      <c r="G155" s="213">
        <v>0</v>
      </c>
      <c r="H155" s="253">
        <v>1425.8833333333332</v>
      </c>
      <c r="I155" s="136" t="s">
        <v>131</v>
      </c>
      <c r="J155" s="219">
        <v>0.2</v>
      </c>
      <c r="K155" s="138">
        <f t="shared" si="137"/>
        <v>0</v>
      </c>
      <c r="L155" s="135">
        <f t="shared" si="138"/>
        <v>0</v>
      </c>
      <c r="M155" s="139">
        <f t="shared" si="139"/>
        <v>0</v>
      </c>
      <c r="N155" s="223">
        <v>0</v>
      </c>
      <c r="O155" s="170">
        <f t="shared" si="140"/>
        <v>57.75</v>
      </c>
      <c r="P155" s="204">
        <f>'Unitized Lighting'!E$21</f>
        <v>6.1581099210352255E-4</v>
      </c>
      <c r="Q155" s="208">
        <f>'Unitized Lighting'!$E$45</f>
        <v>0</v>
      </c>
      <c r="R155" s="208">
        <f>'Unitized Lighting'!E$74</f>
        <v>0</v>
      </c>
      <c r="S155" s="208">
        <f>'Unitized Lighting'!$E$116</f>
        <v>0.15791466263646622</v>
      </c>
      <c r="T155" s="208">
        <f>'Unitized Lighting'!$E$123</f>
        <v>1.0508189438633434E-4</v>
      </c>
      <c r="U155" s="34">
        <f t="shared" si="141"/>
        <v>0.87807463012387765</v>
      </c>
      <c r="V155" s="34">
        <f t="shared" si="142"/>
        <v>0</v>
      </c>
      <c r="W155" s="34">
        <f t="shared" si="143"/>
        <v>0</v>
      </c>
      <c r="X155" s="34">
        <f t="shared" si="144"/>
        <v>2.6055919335016928E-2</v>
      </c>
      <c r="Y155" s="34">
        <f t="shared" si="145"/>
        <v>6.068479400810808E-3</v>
      </c>
      <c r="Z155" s="198">
        <f t="shared" si="146"/>
        <v>0.91019902885970538</v>
      </c>
    </row>
    <row r="156" spans="1:26" x14ac:dyDescent="0.2">
      <c r="A156" s="173" t="str">
        <f t="shared" si="147"/>
        <v>55E &amp; 56E</v>
      </c>
      <c r="B156" s="132"/>
      <c r="C156" s="133" t="s">
        <v>188</v>
      </c>
      <c r="D156" s="133" t="s">
        <v>194</v>
      </c>
      <c r="E156" s="133">
        <v>195</v>
      </c>
      <c r="F156" s="133" t="s">
        <v>216</v>
      </c>
      <c r="G156" s="213">
        <v>0</v>
      </c>
      <c r="H156" s="253">
        <v>1572.9633333333331</v>
      </c>
      <c r="I156" s="136" t="s">
        <v>131</v>
      </c>
      <c r="J156" s="219">
        <v>0.2</v>
      </c>
      <c r="K156" s="138">
        <f t="shared" si="137"/>
        <v>0</v>
      </c>
      <c r="L156" s="135">
        <f t="shared" si="138"/>
        <v>0</v>
      </c>
      <c r="M156" s="139">
        <f t="shared" si="139"/>
        <v>0</v>
      </c>
      <c r="N156" s="223">
        <v>0</v>
      </c>
      <c r="O156" s="170">
        <f t="shared" si="140"/>
        <v>68.25</v>
      </c>
      <c r="P156" s="204">
        <f>'Unitized Lighting'!E$21</f>
        <v>6.1581099210352255E-4</v>
      </c>
      <c r="Q156" s="208">
        <f>'Unitized Lighting'!$E$45</f>
        <v>0</v>
      </c>
      <c r="R156" s="208">
        <f>'Unitized Lighting'!E$74</f>
        <v>0</v>
      </c>
      <c r="S156" s="208">
        <f>'Unitized Lighting'!$E$116</f>
        <v>0.15791466263646622</v>
      </c>
      <c r="T156" s="208">
        <f>'Unitized Lighting'!$E$123</f>
        <v>1.0508189438633434E-4</v>
      </c>
      <c r="U156" s="34">
        <f t="shared" si="141"/>
        <v>0.96864811084246372</v>
      </c>
      <c r="V156" s="34">
        <f t="shared" si="142"/>
        <v>0</v>
      </c>
      <c r="W156" s="34">
        <f t="shared" si="143"/>
        <v>0</v>
      </c>
      <c r="X156" s="34">
        <f t="shared" si="144"/>
        <v>3.0793359214110916E-2</v>
      </c>
      <c r="Y156" s="34">
        <f t="shared" si="145"/>
        <v>7.1718392918673187E-3</v>
      </c>
      <c r="Z156" s="198">
        <f t="shared" si="146"/>
        <v>1.006613309348442</v>
      </c>
    </row>
    <row r="157" spans="1:26" x14ac:dyDescent="0.2">
      <c r="A157" s="173" t="str">
        <f t="shared" si="147"/>
        <v>55E &amp; 56E</v>
      </c>
      <c r="B157" s="132"/>
      <c r="C157" s="133" t="s">
        <v>188</v>
      </c>
      <c r="D157" s="133" t="s">
        <v>195</v>
      </c>
      <c r="E157" s="133">
        <v>225</v>
      </c>
      <c r="F157" s="133" t="s">
        <v>216</v>
      </c>
      <c r="G157" s="213">
        <v>0</v>
      </c>
      <c r="H157" s="253">
        <v>1720.0433333333333</v>
      </c>
      <c r="I157" s="136" t="s">
        <v>131</v>
      </c>
      <c r="J157" s="219">
        <v>0.2</v>
      </c>
      <c r="K157" s="138">
        <f t="shared" si="137"/>
        <v>0</v>
      </c>
      <c r="L157" s="135">
        <f t="shared" si="138"/>
        <v>0</v>
      </c>
      <c r="M157" s="139">
        <f t="shared" si="139"/>
        <v>0</v>
      </c>
      <c r="N157" s="223">
        <v>0</v>
      </c>
      <c r="O157" s="170">
        <f t="shared" si="140"/>
        <v>78.75</v>
      </c>
      <c r="P157" s="204">
        <f>'Unitized Lighting'!E$21</f>
        <v>6.1581099210352255E-4</v>
      </c>
      <c r="Q157" s="208">
        <f>'Unitized Lighting'!$E$45</f>
        <v>0</v>
      </c>
      <c r="R157" s="208">
        <f>'Unitized Lighting'!E$74</f>
        <v>0</v>
      </c>
      <c r="S157" s="208">
        <f>'Unitized Lighting'!$E$116</f>
        <v>0.15791466263646622</v>
      </c>
      <c r="T157" s="208">
        <f>'Unitized Lighting'!$E$123</f>
        <v>1.0508189438633434E-4</v>
      </c>
      <c r="U157" s="34">
        <f t="shared" si="141"/>
        <v>1.0592215915610499</v>
      </c>
      <c r="V157" s="34">
        <f t="shared" si="142"/>
        <v>0</v>
      </c>
      <c r="W157" s="34">
        <f t="shared" si="143"/>
        <v>0</v>
      </c>
      <c r="X157" s="34">
        <f t="shared" si="144"/>
        <v>3.5530799093204897E-2</v>
      </c>
      <c r="Y157" s="34">
        <f t="shared" si="145"/>
        <v>8.2751991829238293E-3</v>
      </c>
      <c r="Z157" s="198">
        <f t="shared" si="146"/>
        <v>1.1030275898371786</v>
      </c>
    </row>
    <row r="158" spans="1:26" x14ac:dyDescent="0.2">
      <c r="A158" s="173" t="str">
        <f>A156</f>
        <v>55E &amp; 56E</v>
      </c>
      <c r="B158" s="132"/>
      <c r="C158" s="133" t="s">
        <v>188</v>
      </c>
      <c r="D158" s="133" t="s">
        <v>196</v>
      </c>
      <c r="E158" s="133">
        <v>255</v>
      </c>
      <c r="F158" s="133" t="s">
        <v>216</v>
      </c>
      <c r="G158" s="213">
        <v>0</v>
      </c>
      <c r="H158" s="253">
        <v>1867.1233333333332</v>
      </c>
      <c r="I158" s="136" t="s">
        <v>131</v>
      </c>
      <c r="J158" s="219">
        <v>0.2</v>
      </c>
      <c r="K158" s="138">
        <f t="shared" si="137"/>
        <v>0</v>
      </c>
      <c r="L158" s="135">
        <f t="shared" si="138"/>
        <v>0</v>
      </c>
      <c r="M158" s="139">
        <f t="shared" si="139"/>
        <v>0</v>
      </c>
      <c r="N158" s="223">
        <v>0</v>
      </c>
      <c r="O158" s="170">
        <f t="shared" si="140"/>
        <v>89.25</v>
      </c>
      <c r="P158" s="204">
        <f>'Unitized Lighting'!E$21</f>
        <v>6.1581099210352255E-4</v>
      </c>
      <c r="Q158" s="208">
        <f>'Unitized Lighting'!$E$45</f>
        <v>0</v>
      </c>
      <c r="R158" s="208">
        <f>'Unitized Lighting'!E$74</f>
        <v>0</v>
      </c>
      <c r="S158" s="208">
        <f>'Unitized Lighting'!$E$116</f>
        <v>0.15791466263646622</v>
      </c>
      <c r="T158" s="208">
        <f>'Unitized Lighting'!$E$123</f>
        <v>1.0508189438633434E-4</v>
      </c>
      <c r="U158" s="34">
        <f t="shared" si="141"/>
        <v>1.149795072279636</v>
      </c>
      <c r="V158" s="34">
        <f t="shared" si="142"/>
        <v>0</v>
      </c>
      <c r="W158" s="34">
        <f t="shared" si="143"/>
        <v>0</v>
      </c>
      <c r="X158" s="34">
        <f t="shared" si="144"/>
        <v>4.0268238972298892E-2</v>
      </c>
      <c r="Y158" s="34">
        <f t="shared" si="145"/>
        <v>9.3785590739803391E-3</v>
      </c>
      <c r="Z158" s="198">
        <f t="shared" si="146"/>
        <v>1.1994418703259151</v>
      </c>
    </row>
    <row r="159" spans="1:26" x14ac:dyDescent="0.2">
      <c r="A159" s="173" t="str">
        <f>A157</f>
        <v>55E &amp; 56E</v>
      </c>
      <c r="B159" s="132"/>
      <c r="C159" s="133" t="s">
        <v>188</v>
      </c>
      <c r="D159" s="133" t="s">
        <v>197</v>
      </c>
      <c r="E159" s="133">
        <v>285</v>
      </c>
      <c r="F159" s="133" t="s">
        <v>216</v>
      </c>
      <c r="G159" s="213">
        <v>0</v>
      </c>
      <c r="H159" s="253">
        <v>2014.2033333333331</v>
      </c>
      <c r="I159" s="136" t="s">
        <v>131</v>
      </c>
      <c r="J159" s="219">
        <v>0.2</v>
      </c>
      <c r="K159" s="138">
        <f t="shared" si="137"/>
        <v>0</v>
      </c>
      <c r="L159" s="135">
        <f t="shared" si="138"/>
        <v>0</v>
      </c>
      <c r="M159" s="139">
        <f t="shared" si="139"/>
        <v>0</v>
      </c>
      <c r="N159" s="223">
        <v>0</v>
      </c>
      <c r="O159" s="170">
        <f t="shared" si="140"/>
        <v>99.75</v>
      </c>
      <c r="P159" s="204">
        <f>'Unitized Lighting'!E$21</f>
        <v>6.1581099210352255E-4</v>
      </c>
      <c r="Q159" s="208">
        <f>'Unitized Lighting'!$E$45</f>
        <v>0</v>
      </c>
      <c r="R159" s="208">
        <f>'Unitized Lighting'!E$74</f>
        <v>0</v>
      </c>
      <c r="S159" s="208">
        <f>'Unitized Lighting'!$E$116</f>
        <v>0.15791466263646622</v>
      </c>
      <c r="T159" s="208">
        <f>'Unitized Lighting'!$E$123</f>
        <v>1.0508189438633434E-4</v>
      </c>
      <c r="U159" s="34">
        <f t="shared" si="141"/>
        <v>1.240368552998222</v>
      </c>
      <c r="V159" s="34">
        <f t="shared" si="142"/>
        <v>0</v>
      </c>
      <c r="W159" s="34">
        <f t="shared" si="143"/>
        <v>0</v>
      </c>
      <c r="X159" s="34">
        <f t="shared" si="144"/>
        <v>4.5005678851392873E-2</v>
      </c>
      <c r="Y159" s="34">
        <f t="shared" si="145"/>
        <v>1.0481918965036851E-2</v>
      </c>
      <c r="Z159" s="198">
        <f t="shared" si="146"/>
        <v>1.2958561508146518</v>
      </c>
    </row>
    <row r="160" spans="1:26" x14ac:dyDescent="0.2">
      <c r="A160" s="167" t="s">
        <v>145</v>
      </c>
      <c r="B160" s="125"/>
      <c r="C160" s="126"/>
      <c r="D160" s="127"/>
      <c r="E160" s="128"/>
      <c r="F160" s="127"/>
      <c r="G160" s="212"/>
      <c r="H160" s="129"/>
      <c r="I160" s="126"/>
      <c r="J160" s="218"/>
      <c r="K160" s="150"/>
      <c r="L160" s="129"/>
      <c r="M160" s="131"/>
      <c r="N160" s="222">
        <v>0</v>
      </c>
      <c r="O160" s="168"/>
      <c r="P160" s="203"/>
      <c r="Q160" s="207"/>
      <c r="R160" s="207"/>
      <c r="S160" s="207"/>
      <c r="T160" s="207"/>
      <c r="U160" s="43"/>
      <c r="V160" s="43"/>
      <c r="W160" s="43"/>
      <c r="X160" s="43"/>
      <c r="Y160" s="43"/>
      <c r="Z160" s="197"/>
    </row>
    <row r="161" spans="1:26" x14ac:dyDescent="0.2">
      <c r="A161" s="180" t="s">
        <v>142</v>
      </c>
      <c r="B161" s="148" t="s">
        <v>144</v>
      </c>
      <c r="C161" s="133" t="s">
        <v>198</v>
      </c>
      <c r="D161" s="133" t="s">
        <v>219</v>
      </c>
      <c r="E161" s="133">
        <v>70</v>
      </c>
      <c r="F161" s="133" t="s">
        <v>216</v>
      </c>
      <c r="G161" s="213">
        <v>53</v>
      </c>
      <c r="H161" s="253">
        <v>908.27</v>
      </c>
      <c r="I161" s="136" t="s">
        <v>131</v>
      </c>
      <c r="J161" s="219">
        <v>1</v>
      </c>
      <c r="K161" s="138">
        <f t="shared" ref="K161:K166" si="148">IF(I161="Yes",G161*J161,0)</f>
        <v>53</v>
      </c>
      <c r="L161" s="135">
        <f t="shared" ref="L161:L166" si="149">IF(F161="Company", G161*H161,0)</f>
        <v>48138.31</v>
      </c>
      <c r="M161" s="139">
        <f t="shared" ref="M161:M166" si="150">E161*G161/1000</f>
        <v>3.71</v>
      </c>
      <c r="N161" s="223">
        <v>15582.000000000002</v>
      </c>
      <c r="O161" s="170">
        <f t="shared" ref="O161:O166" si="151">E161*4200/1000/12</f>
        <v>24.5</v>
      </c>
      <c r="P161" s="204">
        <f>'Unitized Lighting'!E$21</f>
        <v>6.1581099210352255E-4</v>
      </c>
      <c r="Q161" s="208">
        <f>'Unitized Lighting'!$E$45</f>
        <v>0</v>
      </c>
      <c r="R161" s="208">
        <f>'Unitized Lighting'!E$74</f>
        <v>0</v>
      </c>
      <c r="S161" s="208">
        <f>'Unitized Lighting'!$E$116</f>
        <v>0.15791466263646622</v>
      </c>
      <c r="T161" s="208">
        <f>'Unitized Lighting'!$E$123</f>
        <v>1.0508189438633434E-4</v>
      </c>
      <c r="U161" s="34">
        <f t="shared" ref="U161:U166" si="152">IF(F161="Company", H161*P161, 0)</f>
        <v>0.55932264979786639</v>
      </c>
      <c r="V161" s="34">
        <f t="shared" ref="V161:V166" si="153">IF(I161="yes", J161*Q161, 0)</f>
        <v>0</v>
      </c>
      <c r="W161" s="34">
        <f t="shared" ref="W161:W166" si="154">R161*O161</f>
        <v>0</v>
      </c>
      <c r="X161" s="34">
        <f t="shared" ref="X161:X166" si="155">E161*S161/1000</f>
        <v>1.1054026384552636E-2</v>
      </c>
      <c r="Y161" s="34">
        <f t="shared" ref="Y161:Y166" si="156">O161*T161</f>
        <v>2.5745064124651912E-3</v>
      </c>
      <c r="Z161" s="198">
        <f t="shared" ref="Z161:Z166" si="157">SUM(U161:Y161)</f>
        <v>0.5729511825948842</v>
      </c>
    </row>
    <row r="162" spans="1:26" x14ac:dyDescent="0.2">
      <c r="A162" s="177" t="str">
        <f>+A161</f>
        <v>58E &amp; 59E</v>
      </c>
      <c r="B162" s="148" t="s">
        <v>144</v>
      </c>
      <c r="C162" s="133" t="s">
        <v>198</v>
      </c>
      <c r="D162" s="133" t="s">
        <v>220</v>
      </c>
      <c r="E162" s="133">
        <v>100</v>
      </c>
      <c r="F162" s="133" t="s">
        <v>216</v>
      </c>
      <c r="G162" s="213">
        <v>10</v>
      </c>
      <c r="H162" s="253">
        <v>855.82</v>
      </c>
      <c r="I162" s="136" t="s">
        <v>131</v>
      </c>
      <c r="J162" s="219">
        <v>1</v>
      </c>
      <c r="K162" s="138">
        <f t="shared" si="148"/>
        <v>10</v>
      </c>
      <c r="L162" s="135">
        <f t="shared" si="149"/>
        <v>8558.2000000000007</v>
      </c>
      <c r="M162" s="139">
        <f t="shared" si="150"/>
        <v>1</v>
      </c>
      <c r="N162" s="223">
        <v>4200</v>
      </c>
      <c r="O162" s="170">
        <f t="shared" si="151"/>
        <v>35</v>
      </c>
      <c r="P162" s="204">
        <f>'Unitized Lighting'!E$21</f>
        <v>6.1581099210352255E-4</v>
      </c>
      <c r="Q162" s="208">
        <f>'Unitized Lighting'!$E$45</f>
        <v>0</v>
      </c>
      <c r="R162" s="208">
        <f>'Unitized Lighting'!E$74</f>
        <v>0</v>
      </c>
      <c r="S162" s="208">
        <f>'Unitized Lighting'!$E$116</f>
        <v>0.15791466263646622</v>
      </c>
      <c r="T162" s="208">
        <f>'Unitized Lighting'!$E$123</f>
        <v>1.0508189438633434E-4</v>
      </c>
      <c r="U162" s="34">
        <f t="shared" si="152"/>
        <v>0.52702336326203669</v>
      </c>
      <c r="V162" s="34">
        <f t="shared" si="153"/>
        <v>0</v>
      </c>
      <c r="W162" s="34">
        <f t="shared" si="154"/>
        <v>0</v>
      </c>
      <c r="X162" s="34">
        <f t="shared" si="155"/>
        <v>1.5791466263646622E-2</v>
      </c>
      <c r="Y162" s="34">
        <f t="shared" si="156"/>
        <v>3.6778663035217018E-3</v>
      </c>
      <c r="Z162" s="198">
        <f t="shared" si="157"/>
        <v>0.54649269582920501</v>
      </c>
    </row>
    <row r="163" spans="1:26" x14ac:dyDescent="0.2">
      <c r="A163" s="177" t="str">
        <f>+A162</f>
        <v>58E &amp; 59E</v>
      </c>
      <c r="B163" s="148" t="s">
        <v>144</v>
      </c>
      <c r="C163" s="133" t="s">
        <v>198</v>
      </c>
      <c r="D163" s="133" t="s">
        <v>221</v>
      </c>
      <c r="E163" s="133">
        <v>150</v>
      </c>
      <c r="F163" s="133" t="s">
        <v>216</v>
      </c>
      <c r="G163" s="213">
        <v>145</v>
      </c>
      <c r="H163" s="253">
        <v>857.29</v>
      </c>
      <c r="I163" s="136" t="s">
        <v>131</v>
      </c>
      <c r="J163" s="219">
        <v>1</v>
      </c>
      <c r="K163" s="138">
        <f t="shared" si="148"/>
        <v>145</v>
      </c>
      <c r="L163" s="135">
        <f t="shared" si="149"/>
        <v>124307.04999999999</v>
      </c>
      <c r="M163" s="139">
        <f t="shared" si="150"/>
        <v>21.75</v>
      </c>
      <c r="N163" s="223">
        <v>91350</v>
      </c>
      <c r="O163" s="170">
        <f t="shared" si="151"/>
        <v>52.5</v>
      </c>
      <c r="P163" s="204">
        <f>'Unitized Lighting'!E$21</f>
        <v>6.1581099210352255E-4</v>
      </c>
      <c r="Q163" s="208">
        <f>'Unitized Lighting'!$E$45</f>
        <v>0</v>
      </c>
      <c r="R163" s="208">
        <f>'Unitized Lighting'!E$74</f>
        <v>0</v>
      </c>
      <c r="S163" s="208">
        <f>'Unitized Lighting'!$E$116</f>
        <v>0.15791466263646622</v>
      </c>
      <c r="T163" s="208">
        <f>'Unitized Lighting'!$E$123</f>
        <v>1.0508189438633434E-4</v>
      </c>
      <c r="U163" s="34">
        <f t="shared" si="152"/>
        <v>0.52792860542042885</v>
      </c>
      <c r="V163" s="34">
        <f t="shared" si="153"/>
        <v>0</v>
      </c>
      <c r="W163" s="34">
        <f t="shared" si="154"/>
        <v>0</v>
      </c>
      <c r="X163" s="34">
        <f t="shared" si="155"/>
        <v>2.3687199395469934E-2</v>
      </c>
      <c r="Y163" s="34">
        <f t="shared" si="156"/>
        <v>5.5167994552825532E-3</v>
      </c>
      <c r="Z163" s="198">
        <f t="shared" si="157"/>
        <v>0.55713260427118139</v>
      </c>
    </row>
    <row r="164" spans="1:26" x14ac:dyDescent="0.2">
      <c r="A164" s="177" t="str">
        <f>+A163</f>
        <v>58E &amp; 59E</v>
      </c>
      <c r="B164" s="148" t="s">
        <v>144</v>
      </c>
      <c r="C164" s="133" t="s">
        <v>198</v>
      </c>
      <c r="D164" s="133" t="s">
        <v>222</v>
      </c>
      <c r="E164" s="133">
        <v>200</v>
      </c>
      <c r="F164" s="133" t="s">
        <v>216</v>
      </c>
      <c r="G164" s="213">
        <v>266</v>
      </c>
      <c r="H164" s="253">
        <v>906.86</v>
      </c>
      <c r="I164" s="136" t="s">
        <v>131</v>
      </c>
      <c r="J164" s="219">
        <v>1</v>
      </c>
      <c r="K164" s="138">
        <f t="shared" si="148"/>
        <v>266</v>
      </c>
      <c r="L164" s="135">
        <f t="shared" si="149"/>
        <v>241224.76</v>
      </c>
      <c r="M164" s="139">
        <f t="shared" si="150"/>
        <v>53.2</v>
      </c>
      <c r="N164" s="223">
        <v>223440</v>
      </c>
      <c r="O164" s="170">
        <f t="shared" si="151"/>
        <v>70</v>
      </c>
      <c r="P164" s="204">
        <f>'Unitized Lighting'!E$21</f>
        <v>6.1581099210352255E-4</v>
      </c>
      <c r="Q164" s="208">
        <f>'Unitized Lighting'!$E$45</f>
        <v>0</v>
      </c>
      <c r="R164" s="208">
        <f>'Unitized Lighting'!E$74</f>
        <v>0</v>
      </c>
      <c r="S164" s="208">
        <f>'Unitized Lighting'!$E$116</f>
        <v>0.15791466263646622</v>
      </c>
      <c r="T164" s="208">
        <f>'Unitized Lighting'!$E$123</f>
        <v>1.0508189438633434E-4</v>
      </c>
      <c r="U164" s="34">
        <f t="shared" si="152"/>
        <v>0.55845435629900042</v>
      </c>
      <c r="V164" s="34">
        <f t="shared" si="153"/>
        <v>0</v>
      </c>
      <c r="W164" s="34">
        <f t="shared" si="154"/>
        <v>0</v>
      </c>
      <c r="X164" s="34">
        <f t="shared" si="155"/>
        <v>3.1582932527293245E-2</v>
      </c>
      <c r="Y164" s="34">
        <f t="shared" si="156"/>
        <v>7.3557326070434036E-3</v>
      </c>
      <c r="Z164" s="198">
        <f t="shared" si="157"/>
        <v>0.59739302143333706</v>
      </c>
    </row>
    <row r="165" spans="1:26" x14ac:dyDescent="0.2">
      <c r="A165" s="177" t="str">
        <f>+A164</f>
        <v>58E &amp; 59E</v>
      </c>
      <c r="B165" s="148" t="s">
        <v>144</v>
      </c>
      <c r="C165" s="133" t="s">
        <v>198</v>
      </c>
      <c r="D165" s="133" t="s">
        <v>223</v>
      </c>
      <c r="E165" s="133">
        <v>250</v>
      </c>
      <c r="F165" s="133" t="s">
        <v>216</v>
      </c>
      <c r="G165" s="213">
        <v>39</v>
      </c>
      <c r="H165" s="253">
        <v>922.99</v>
      </c>
      <c r="I165" s="136" t="s">
        <v>131</v>
      </c>
      <c r="J165" s="219">
        <v>1</v>
      </c>
      <c r="K165" s="138">
        <f t="shared" si="148"/>
        <v>39</v>
      </c>
      <c r="L165" s="135">
        <f t="shared" si="149"/>
        <v>35996.61</v>
      </c>
      <c r="M165" s="139">
        <f t="shared" si="150"/>
        <v>9.75</v>
      </c>
      <c r="N165" s="223">
        <v>40950</v>
      </c>
      <c r="O165" s="170">
        <f t="shared" si="151"/>
        <v>87.5</v>
      </c>
      <c r="P165" s="204">
        <f>'Unitized Lighting'!E$21</f>
        <v>6.1581099210352255E-4</v>
      </c>
      <c r="Q165" s="208">
        <f>'Unitized Lighting'!$E$45</f>
        <v>0</v>
      </c>
      <c r="R165" s="208">
        <f>'Unitized Lighting'!E$74</f>
        <v>0</v>
      </c>
      <c r="S165" s="208">
        <f>'Unitized Lighting'!$E$116</f>
        <v>0.15791466263646622</v>
      </c>
      <c r="T165" s="208">
        <f>'Unitized Lighting'!$E$123</f>
        <v>1.0508189438633434E-4</v>
      </c>
      <c r="U165" s="34">
        <f t="shared" si="152"/>
        <v>0.56838738760163032</v>
      </c>
      <c r="V165" s="34">
        <f t="shared" si="153"/>
        <v>0</v>
      </c>
      <c r="W165" s="34">
        <f t="shared" si="154"/>
        <v>0</v>
      </c>
      <c r="X165" s="34">
        <f t="shared" si="155"/>
        <v>3.9478665659116556E-2</v>
      </c>
      <c r="Y165" s="34">
        <f t="shared" si="156"/>
        <v>9.194665758804255E-3</v>
      </c>
      <c r="Z165" s="198">
        <f t="shared" si="157"/>
        <v>0.61706071901955106</v>
      </c>
    </row>
    <row r="166" spans="1:26" x14ac:dyDescent="0.2">
      <c r="A166" s="177" t="str">
        <f>+A165</f>
        <v>58E &amp; 59E</v>
      </c>
      <c r="B166" s="148" t="s">
        <v>144</v>
      </c>
      <c r="C166" s="133" t="s">
        <v>198</v>
      </c>
      <c r="D166" s="133" t="s">
        <v>224</v>
      </c>
      <c r="E166" s="133">
        <v>400</v>
      </c>
      <c r="F166" s="133" t="s">
        <v>216</v>
      </c>
      <c r="G166" s="213">
        <v>354</v>
      </c>
      <c r="H166" s="253">
        <v>1029.9100000000001</v>
      </c>
      <c r="I166" s="136" t="s">
        <v>131</v>
      </c>
      <c r="J166" s="219">
        <v>1</v>
      </c>
      <c r="K166" s="138">
        <f t="shared" si="148"/>
        <v>354</v>
      </c>
      <c r="L166" s="135">
        <f t="shared" si="149"/>
        <v>364588.14</v>
      </c>
      <c r="M166" s="139">
        <f t="shared" si="150"/>
        <v>141.6</v>
      </c>
      <c r="N166" s="223">
        <v>594720</v>
      </c>
      <c r="O166" s="170">
        <f t="shared" si="151"/>
        <v>140</v>
      </c>
      <c r="P166" s="204">
        <f>'Unitized Lighting'!E$21</f>
        <v>6.1581099210352255E-4</v>
      </c>
      <c r="Q166" s="208">
        <f>'Unitized Lighting'!$E$45</f>
        <v>0</v>
      </c>
      <c r="R166" s="208">
        <f>'Unitized Lighting'!E$74</f>
        <v>0</v>
      </c>
      <c r="S166" s="208">
        <f>'Unitized Lighting'!$E$116</f>
        <v>0.15791466263646622</v>
      </c>
      <c r="T166" s="208">
        <f>'Unitized Lighting'!$E$123</f>
        <v>1.0508189438633434E-4</v>
      </c>
      <c r="U166" s="34">
        <f t="shared" si="152"/>
        <v>0.63422989887733894</v>
      </c>
      <c r="V166" s="34">
        <f t="shared" si="153"/>
        <v>0</v>
      </c>
      <c r="W166" s="34">
        <f t="shared" si="154"/>
        <v>0</v>
      </c>
      <c r="X166" s="34">
        <f t="shared" si="155"/>
        <v>6.316586505458649E-2</v>
      </c>
      <c r="Y166" s="34">
        <f t="shared" si="156"/>
        <v>1.4711465214086807E-2</v>
      </c>
      <c r="Z166" s="198">
        <f t="shared" si="157"/>
        <v>0.71210722914601232</v>
      </c>
    </row>
    <row r="167" spans="1:26" x14ac:dyDescent="0.2">
      <c r="A167" s="177"/>
      <c r="B167" s="148"/>
      <c r="C167" s="133"/>
      <c r="D167" s="133"/>
      <c r="E167" s="133"/>
      <c r="F167" s="133"/>
      <c r="G167" s="213"/>
      <c r="H167" s="253">
        <v>0</v>
      </c>
      <c r="I167" s="136"/>
      <c r="J167" s="219"/>
      <c r="K167" s="138"/>
      <c r="L167" s="135"/>
      <c r="M167" s="139"/>
      <c r="N167" s="223">
        <v>0</v>
      </c>
      <c r="O167" s="175"/>
      <c r="P167" s="204"/>
      <c r="Q167" s="208"/>
      <c r="R167" s="208"/>
      <c r="S167" s="208"/>
      <c r="T167" s="208"/>
      <c r="Z167" s="198"/>
    </row>
    <row r="168" spans="1:26" x14ac:dyDescent="0.2">
      <c r="A168" s="177" t="str">
        <f>+A162</f>
        <v>58E &amp; 59E</v>
      </c>
      <c r="B168" s="148" t="s">
        <v>143</v>
      </c>
      <c r="C168" s="133" t="s">
        <v>198</v>
      </c>
      <c r="D168" s="133" t="s">
        <v>225</v>
      </c>
      <c r="E168" s="133">
        <v>100</v>
      </c>
      <c r="F168" s="133" t="s">
        <v>216</v>
      </c>
      <c r="G168" s="213">
        <v>1</v>
      </c>
      <c r="H168" s="253">
        <v>855.82</v>
      </c>
      <c r="I168" s="136" t="s">
        <v>131</v>
      </c>
      <c r="J168" s="219">
        <v>1</v>
      </c>
      <c r="K168" s="138">
        <f>IF(I168="Yes",G168*J168,0)</f>
        <v>1</v>
      </c>
      <c r="L168" s="135">
        <f>IF(F168="Company", G168*H168,0)</f>
        <v>855.82</v>
      </c>
      <c r="M168" s="139">
        <f>E168*G168/1000</f>
        <v>0.1</v>
      </c>
      <c r="N168" s="223">
        <v>420</v>
      </c>
      <c r="O168" s="170">
        <f>E168*4200/1000/12</f>
        <v>35</v>
      </c>
      <c r="P168" s="204">
        <f>'Unitized Lighting'!E$21</f>
        <v>6.1581099210352255E-4</v>
      </c>
      <c r="Q168" s="208">
        <f>'Unitized Lighting'!$E$45</f>
        <v>0</v>
      </c>
      <c r="R168" s="208">
        <f>'Unitized Lighting'!E$74</f>
        <v>0</v>
      </c>
      <c r="S168" s="208">
        <f>'Unitized Lighting'!$E$116</f>
        <v>0.15791466263646622</v>
      </c>
      <c r="T168" s="208">
        <f>'Unitized Lighting'!$E$123</f>
        <v>1.0508189438633434E-4</v>
      </c>
      <c r="U168" s="34">
        <f>IF(F168="Company", H168*P168, 0)</f>
        <v>0.52702336326203669</v>
      </c>
      <c r="V168" s="34">
        <f>IF(I168="yes", J168*Q168, 0)</f>
        <v>0</v>
      </c>
      <c r="W168" s="34">
        <f>R168*O168</f>
        <v>0</v>
      </c>
      <c r="X168" s="34">
        <f>E168*S168/1000</f>
        <v>1.5791466263646622E-2</v>
      </c>
      <c r="Y168" s="34">
        <f>O168*T168</f>
        <v>3.6778663035217018E-3</v>
      </c>
      <c r="Z168" s="198">
        <f>SUM(U168:Y168)</f>
        <v>0.54649269582920501</v>
      </c>
    </row>
    <row r="169" spans="1:26" x14ac:dyDescent="0.2">
      <c r="A169" s="177" t="str">
        <f>+A163</f>
        <v>58E &amp; 59E</v>
      </c>
      <c r="B169" s="148" t="s">
        <v>143</v>
      </c>
      <c r="C169" s="133" t="s">
        <v>198</v>
      </c>
      <c r="D169" s="133" t="s">
        <v>226</v>
      </c>
      <c r="E169" s="133">
        <v>150</v>
      </c>
      <c r="F169" s="133" t="s">
        <v>216</v>
      </c>
      <c r="G169" s="213">
        <v>16</v>
      </c>
      <c r="H169" s="253">
        <v>857.29</v>
      </c>
      <c r="I169" s="136" t="s">
        <v>131</v>
      </c>
      <c r="J169" s="219">
        <v>1</v>
      </c>
      <c r="K169" s="138">
        <f>IF(I169="Yes",G169*J169,0)</f>
        <v>16</v>
      </c>
      <c r="L169" s="135">
        <f>IF(F169="Company", G169*H169,0)</f>
        <v>13716.64</v>
      </c>
      <c r="M169" s="139">
        <f>E169*G169/1000</f>
        <v>2.4</v>
      </c>
      <c r="N169" s="223">
        <v>10080</v>
      </c>
      <c r="O169" s="170">
        <f>E169*4200/1000/12</f>
        <v>52.5</v>
      </c>
      <c r="P169" s="204">
        <f>'Unitized Lighting'!E$21</f>
        <v>6.1581099210352255E-4</v>
      </c>
      <c r="Q169" s="208">
        <f>'Unitized Lighting'!$E$45</f>
        <v>0</v>
      </c>
      <c r="R169" s="208">
        <f>'Unitized Lighting'!E$74</f>
        <v>0</v>
      </c>
      <c r="S169" s="208">
        <f>'Unitized Lighting'!$E$116</f>
        <v>0.15791466263646622</v>
      </c>
      <c r="T169" s="208">
        <f>'Unitized Lighting'!$E$123</f>
        <v>1.0508189438633434E-4</v>
      </c>
      <c r="U169" s="34">
        <f>IF(F169="Company", H169*P169, 0)</f>
        <v>0.52792860542042885</v>
      </c>
      <c r="V169" s="34">
        <f>IF(I169="yes", J169*Q169, 0)</f>
        <v>0</v>
      </c>
      <c r="W169" s="34">
        <f>R169*O169</f>
        <v>0</v>
      </c>
      <c r="X169" s="34">
        <f>E169*S169/1000</f>
        <v>2.3687199395469934E-2</v>
      </c>
      <c r="Y169" s="34">
        <f>O169*T169</f>
        <v>5.5167994552825532E-3</v>
      </c>
      <c r="Z169" s="198">
        <f>SUM(U169:Y169)</f>
        <v>0.55713260427118139</v>
      </c>
    </row>
    <row r="170" spans="1:26" x14ac:dyDescent="0.2">
      <c r="A170" s="177" t="str">
        <f>+A164</f>
        <v>58E &amp; 59E</v>
      </c>
      <c r="B170" s="148" t="s">
        <v>143</v>
      </c>
      <c r="C170" s="133" t="s">
        <v>198</v>
      </c>
      <c r="D170" s="133" t="s">
        <v>227</v>
      </c>
      <c r="E170" s="133">
        <v>200</v>
      </c>
      <c r="F170" s="133" t="s">
        <v>216</v>
      </c>
      <c r="G170" s="213">
        <v>9</v>
      </c>
      <c r="H170" s="253">
        <v>906.86</v>
      </c>
      <c r="I170" s="136" t="s">
        <v>131</v>
      </c>
      <c r="J170" s="219">
        <v>1</v>
      </c>
      <c r="K170" s="138">
        <f>IF(I170="Yes",G170*J170,0)</f>
        <v>9</v>
      </c>
      <c r="L170" s="135">
        <f>IF(F170="Company", G170*H170,0)</f>
        <v>8161.74</v>
      </c>
      <c r="M170" s="139">
        <f>E170*G170/1000</f>
        <v>1.8</v>
      </c>
      <c r="N170" s="223">
        <v>7560</v>
      </c>
      <c r="O170" s="170">
        <f>E170*4200/1000/12</f>
        <v>70</v>
      </c>
      <c r="P170" s="204">
        <f>'Unitized Lighting'!E$21</f>
        <v>6.1581099210352255E-4</v>
      </c>
      <c r="Q170" s="208">
        <f>'Unitized Lighting'!$E$45</f>
        <v>0</v>
      </c>
      <c r="R170" s="208">
        <f>'Unitized Lighting'!E$74</f>
        <v>0</v>
      </c>
      <c r="S170" s="208">
        <f>'Unitized Lighting'!$E$116</f>
        <v>0.15791466263646622</v>
      </c>
      <c r="T170" s="208">
        <f>'Unitized Lighting'!$E$123</f>
        <v>1.0508189438633434E-4</v>
      </c>
      <c r="U170" s="34">
        <f>IF(F170="Company", H170*P170, 0)</f>
        <v>0.55845435629900042</v>
      </c>
      <c r="V170" s="34">
        <f>IF(I170="yes", J170*Q170, 0)</f>
        <v>0</v>
      </c>
      <c r="W170" s="34">
        <f>R170*O170</f>
        <v>0</v>
      </c>
      <c r="X170" s="34">
        <f>E170*S170/1000</f>
        <v>3.1582932527293245E-2</v>
      </c>
      <c r="Y170" s="34">
        <f>O170*T170</f>
        <v>7.3557326070434036E-3</v>
      </c>
      <c r="Z170" s="198">
        <f>SUM(U170:Y170)</f>
        <v>0.59739302143333706</v>
      </c>
    </row>
    <row r="171" spans="1:26" x14ac:dyDescent="0.2">
      <c r="A171" s="177" t="str">
        <f>+A165</f>
        <v>58E &amp; 59E</v>
      </c>
      <c r="B171" s="148" t="s">
        <v>143</v>
      </c>
      <c r="C171" s="133" t="s">
        <v>198</v>
      </c>
      <c r="D171" s="133" t="s">
        <v>228</v>
      </c>
      <c r="E171" s="133">
        <v>250</v>
      </c>
      <c r="F171" s="133" t="s">
        <v>216</v>
      </c>
      <c r="G171" s="213">
        <v>34</v>
      </c>
      <c r="H171" s="253">
        <v>922.99</v>
      </c>
      <c r="I171" s="136" t="s">
        <v>131</v>
      </c>
      <c r="J171" s="219">
        <v>1</v>
      </c>
      <c r="K171" s="138">
        <f>IF(I171="Yes",G171*J171,0)</f>
        <v>34</v>
      </c>
      <c r="L171" s="135">
        <f>IF(F171="Company", G171*H171,0)</f>
        <v>31381.66</v>
      </c>
      <c r="M171" s="139">
        <f>E171*G171/1000</f>
        <v>8.5</v>
      </c>
      <c r="N171" s="223">
        <v>35700</v>
      </c>
      <c r="O171" s="170">
        <f>E171*4200/1000/12</f>
        <v>87.5</v>
      </c>
      <c r="P171" s="204">
        <f>'Unitized Lighting'!E$21</f>
        <v>6.1581099210352255E-4</v>
      </c>
      <c r="Q171" s="208">
        <f>'Unitized Lighting'!$E$45</f>
        <v>0</v>
      </c>
      <c r="R171" s="208">
        <f>'Unitized Lighting'!E$74</f>
        <v>0</v>
      </c>
      <c r="S171" s="208">
        <f>'Unitized Lighting'!$E$116</f>
        <v>0.15791466263646622</v>
      </c>
      <c r="T171" s="208">
        <f>'Unitized Lighting'!$E$123</f>
        <v>1.0508189438633434E-4</v>
      </c>
      <c r="U171" s="34">
        <f>IF(F171="Company", H171*P171, 0)</f>
        <v>0.56838738760163032</v>
      </c>
      <c r="V171" s="34">
        <f>IF(I171="yes", J171*Q171, 0)</f>
        <v>0</v>
      </c>
      <c r="W171" s="34">
        <f>R171*O171</f>
        <v>0</v>
      </c>
      <c r="X171" s="34">
        <f>E171*S171/1000</f>
        <v>3.9478665659116556E-2</v>
      </c>
      <c r="Y171" s="34">
        <f>O171*T171</f>
        <v>9.194665758804255E-3</v>
      </c>
      <c r="Z171" s="198">
        <f>SUM(U171:Y171)</f>
        <v>0.61706071901955106</v>
      </c>
    </row>
    <row r="172" spans="1:26" x14ac:dyDescent="0.2">
      <c r="A172" s="177" t="str">
        <f>+A164</f>
        <v>58E &amp; 59E</v>
      </c>
      <c r="B172" s="148" t="s">
        <v>143</v>
      </c>
      <c r="C172" s="133" t="s">
        <v>198</v>
      </c>
      <c r="D172" s="133" t="s">
        <v>229</v>
      </c>
      <c r="E172" s="133">
        <v>400</v>
      </c>
      <c r="F172" s="133" t="s">
        <v>216</v>
      </c>
      <c r="G172" s="213">
        <v>48</v>
      </c>
      <c r="H172" s="253">
        <v>1029.9100000000001</v>
      </c>
      <c r="I172" s="136" t="s">
        <v>131</v>
      </c>
      <c r="J172" s="219">
        <v>1</v>
      </c>
      <c r="K172" s="138">
        <f>IF(I172="Yes",G172*J172,0)</f>
        <v>48</v>
      </c>
      <c r="L172" s="135">
        <f>IF(F172="Company", G172*H172,0)</f>
        <v>49435.680000000008</v>
      </c>
      <c r="M172" s="139">
        <f>E172*G172/1000</f>
        <v>19.2</v>
      </c>
      <c r="N172" s="223">
        <v>80640</v>
      </c>
      <c r="O172" s="170">
        <f>E172*4200/1000/12</f>
        <v>140</v>
      </c>
      <c r="P172" s="204">
        <f>'Unitized Lighting'!E$21</f>
        <v>6.1581099210352255E-4</v>
      </c>
      <c r="Q172" s="208">
        <f>'Unitized Lighting'!$E$45</f>
        <v>0</v>
      </c>
      <c r="R172" s="208">
        <f>'Unitized Lighting'!E$74</f>
        <v>0</v>
      </c>
      <c r="S172" s="208">
        <f>'Unitized Lighting'!$E$116</f>
        <v>0.15791466263646622</v>
      </c>
      <c r="T172" s="208">
        <f>'Unitized Lighting'!$E$123</f>
        <v>1.0508189438633434E-4</v>
      </c>
      <c r="U172" s="34">
        <f>IF(F172="Company", H172*P172, 0)</f>
        <v>0.63422989887733894</v>
      </c>
      <c r="V172" s="34">
        <f>IF(I172="yes", J172*Q172, 0)</f>
        <v>0</v>
      </c>
      <c r="W172" s="34">
        <f>R172*O172</f>
        <v>0</v>
      </c>
      <c r="X172" s="34">
        <f>E172*S172/1000</f>
        <v>6.316586505458649E-2</v>
      </c>
      <c r="Y172" s="34">
        <f>O172*T172</f>
        <v>1.4711465214086807E-2</v>
      </c>
      <c r="Z172" s="198">
        <f>SUM(U172:Y172)</f>
        <v>0.71210722914601232</v>
      </c>
    </row>
    <row r="173" spans="1:26" x14ac:dyDescent="0.2">
      <c r="A173" s="177"/>
      <c r="B173" s="148"/>
      <c r="C173" s="133"/>
      <c r="D173" s="133"/>
      <c r="E173" s="133"/>
      <c r="F173" s="133"/>
      <c r="G173" s="213"/>
      <c r="H173" s="253">
        <v>0</v>
      </c>
      <c r="I173" s="136"/>
      <c r="J173" s="219"/>
      <c r="K173" s="138"/>
      <c r="L173" s="135"/>
      <c r="M173" s="139"/>
      <c r="N173" s="223">
        <v>0</v>
      </c>
      <c r="O173" s="175"/>
      <c r="P173" s="204"/>
      <c r="Q173" s="208"/>
      <c r="R173" s="208"/>
      <c r="S173" s="208"/>
      <c r="T173" s="208"/>
      <c r="Z173" s="198"/>
    </row>
    <row r="174" spans="1:26" x14ac:dyDescent="0.2">
      <c r="A174" s="177" t="str">
        <f>+A165</f>
        <v>58E &amp; 59E</v>
      </c>
      <c r="B174" s="148" t="s">
        <v>144</v>
      </c>
      <c r="C174" s="133" t="s">
        <v>207</v>
      </c>
      <c r="D174" s="133" t="s">
        <v>230</v>
      </c>
      <c r="E174" s="133">
        <v>175</v>
      </c>
      <c r="F174" s="133" t="s">
        <v>216</v>
      </c>
      <c r="G174" s="213">
        <v>3</v>
      </c>
      <c r="H174" s="253">
        <v>852.23392857142869</v>
      </c>
      <c r="I174" s="136" t="s">
        <v>131</v>
      </c>
      <c r="J174" s="219">
        <v>2</v>
      </c>
      <c r="K174" s="138">
        <f>IF(I174="Yes",G174*J174,0)</f>
        <v>6</v>
      </c>
      <c r="L174" s="135">
        <f>IF(F174="Company", G174*H174,0)</f>
        <v>2556.701785714286</v>
      </c>
      <c r="M174" s="139">
        <f>E174*G174/1000</f>
        <v>0.52500000000000002</v>
      </c>
      <c r="N174" s="223">
        <v>2205</v>
      </c>
      <c r="O174" s="170">
        <f>E174*4200/1000/12</f>
        <v>61.25</v>
      </c>
      <c r="P174" s="204">
        <f>'Unitized Lighting'!E$21</f>
        <v>6.1581099210352255E-4</v>
      </c>
      <c r="Q174" s="208">
        <f>'Unitized Lighting'!$E$45</f>
        <v>0</v>
      </c>
      <c r="R174" s="208">
        <f>'Unitized Lighting'!E$74</f>
        <v>0</v>
      </c>
      <c r="S174" s="208">
        <f>'Unitized Lighting'!$E$116</f>
        <v>0.15791466263646622</v>
      </c>
      <c r="T174" s="208">
        <f>'Unitized Lighting'!$E$123</f>
        <v>1.0508189438633434E-4</v>
      </c>
      <c r="U174" s="34">
        <f>IF(F174="Company", H174*P174, 0)</f>
        <v>0.52481502105785405</v>
      </c>
      <c r="V174" s="34">
        <f>IF(I174="yes", J174*Q174, 0)</f>
        <v>0</v>
      </c>
      <c r="W174" s="34">
        <f>R174*O174</f>
        <v>0</v>
      </c>
      <c r="X174" s="34">
        <f>E174*S174/1000</f>
        <v>2.7635065961381589E-2</v>
      </c>
      <c r="Y174" s="34">
        <f>O174*T174</f>
        <v>6.436266031162978E-3</v>
      </c>
      <c r="Z174" s="198">
        <f>SUM(U174:Y174)</f>
        <v>0.55888635305039858</v>
      </c>
    </row>
    <row r="175" spans="1:26" x14ac:dyDescent="0.2">
      <c r="A175" s="177" t="str">
        <f>+A166</f>
        <v>58E &amp; 59E</v>
      </c>
      <c r="B175" s="148" t="s">
        <v>144</v>
      </c>
      <c r="C175" s="133" t="s">
        <v>207</v>
      </c>
      <c r="D175" s="133" t="s">
        <v>231</v>
      </c>
      <c r="E175" s="133">
        <v>250</v>
      </c>
      <c r="F175" s="133" t="s">
        <v>216</v>
      </c>
      <c r="G175" s="213">
        <v>17</v>
      </c>
      <c r="H175" s="253">
        <v>915.43</v>
      </c>
      <c r="I175" s="136" t="s">
        <v>131</v>
      </c>
      <c r="J175" s="219">
        <v>2</v>
      </c>
      <c r="K175" s="138">
        <f>IF(I175="Yes",G175*J175,0)</f>
        <v>34</v>
      </c>
      <c r="L175" s="135">
        <f>IF(F175="Company", G175*H175,0)</f>
        <v>15562.31</v>
      </c>
      <c r="M175" s="139">
        <f>E175*G175/1000</f>
        <v>4.25</v>
      </c>
      <c r="N175" s="223">
        <v>17850</v>
      </c>
      <c r="O175" s="170">
        <f>E175*4200/1000/12</f>
        <v>87.5</v>
      </c>
      <c r="P175" s="204">
        <f>'Unitized Lighting'!E$21</f>
        <v>6.1581099210352255E-4</v>
      </c>
      <c r="Q175" s="208">
        <f>'Unitized Lighting'!$E$45</f>
        <v>0</v>
      </c>
      <c r="R175" s="208">
        <f>'Unitized Lighting'!E$74</f>
        <v>0</v>
      </c>
      <c r="S175" s="208">
        <f>'Unitized Lighting'!$E$116</f>
        <v>0.15791466263646622</v>
      </c>
      <c r="T175" s="208">
        <f>'Unitized Lighting'!$E$123</f>
        <v>1.0508189438633434E-4</v>
      </c>
      <c r="U175" s="34">
        <f>IF(F175="Company", H175*P175, 0)</f>
        <v>0.56373185650132762</v>
      </c>
      <c r="V175" s="34">
        <f>IF(I175="yes", J175*Q175, 0)</f>
        <v>0</v>
      </c>
      <c r="W175" s="34">
        <f>R175*O175</f>
        <v>0</v>
      </c>
      <c r="X175" s="34">
        <f>E175*S175/1000</f>
        <v>3.9478665659116556E-2</v>
      </c>
      <c r="Y175" s="34">
        <f>O175*T175</f>
        <v>9.194665758804255E-3</v>
      </c>
      <c r="Z175" s="198">
        <f>SUM(U175:Y175)</f>
        <v>0.61240518791924836</v>
      </c>
    </row>
    <row r="176" spans="1:26" x14ac:dyDescent="0.2">
      <c r="A176" s="177" t="str">
        <f>+A166</f>
        <v>58E &amp; 59E</v>
      </c>
      <c r="B176" s="148" t="s">
        <v>144</v>
      </c>
      <c r="C176" s="133" t="s">
        <v>207</v>
      </c>
      <c r="D176" s="133" t="s">
        <v>232</v>
      </c>
      <c r="E176" s="133">
        <v>400</v>
      </c>
      <c r="F176" s="133" t="s">
        <v>216</v>
      </c>
      <c r="G176" s="213">
        <v>88</v>
      </c>
      <c r="H176" s="253">
        <v>919.24</v>
      </c>
      <c r="I176" s="136" t="s">
        <v>131</v>
      </c>
      <c r="J176" s="219">
        <v>2</v>
      </c>
      <c r="K176" s="138">
        <f>IF(I176="Yes",G176*J176,0)</f>
        <v>176</v>
      </c>
      <c r="L176" s="135">
        <f>IF(F176="Company", G176*H176,0)</f>
        <v>80893.119999999995</v>
      </c>
      <c r="M176" s="139">
        <f>E176*G176/1000</f>
        <v>35.200000000000003</v>
      </c>
      <c r="N176" s="223">
        <v>147840</v>
      </c>
      <c r="O176" s="170">
        <f>E176*4200/1000/12</f>
        <v>140</v>
      </c>
      <c r="P176" s="204">
        <f>'Unitized Lighting'!E$21</f>
        <v>6.1581099210352255E-4</v>
      </c>
      <c r="Q176" s="208">
        <f>'Unitized Lighting'!$E$45</f>
        <v>0</v>
      </c>
      <c r="R176" s="208">
        <f>'Unitized Lighting'!E$74</f>
        <v>0</v>
      </c>
      <c r="S176" s="208">
        <f>'Unitized Lighting'!$E$116</f>
        <v>0.15791466263646622</v>
      </c>
      <c r="T176" s="208">
        <f>'Unitized Lighting'!$E$123</f>
        <v>1.0508189438633434E-4</v>
      </c>
      <c r="U176" s="34">
        <f>IF(F176="Company", H176*P176, 0)</f>
        <v>0.56607809638124207</v>
      </c>
      <c r="V176" s="34">
        <f>IF(I176="yes", J176*Q176, 0)</f>
        <v>0</v>
      </c>
      <c r="W176" s="34">
        <f>R176*O176</f>
        <v>0</v>
      </c>
      <c r="X176" s="34">
        <f>E176*S176/1000</f>
        <v>6.316586505458649E-2</v>
      </c>
      <c r="Y176" s="34">
        <f>O176*T176</f>
        <v>1.4711465214086807E-2</v>
      </c>
      <c r="Z176" s="198">
        <f>SUM(U176:Y176)</f>
        <v>0.64395542664991534</v>
      </c>
    </row>
    <row r="177" spans="1:26" x14ac:dyDescent="0.2">
      <c r="A177" s="177" t="str">
        <f>+A180</f>
        <v>58E &amp; 59E</v>
      </c>
      <c r="B177" s="148" t="s">
        <v>144</v>
      </c>
      <c r="C177" s="133" t="s">
        <v>207</v>
      </c>
      <c r="D177" s="133" t="s">
        <v>233</v>
      </c>
      <c r="E177" s="133">
        <v>1000</v>
      </c>
      <c r="F177" s="133" t="s">
        <v>216</v>
      </c>
      <c r="G177" s="213">
        <v>128</v>
      </c>
      <c r="H177" s="253">
        <v>1237.33</v>
      </c>
      <c r="I177" s="136" t="s">
        <v>131</v>
      </c>
      <c r="J177" s="219">
        <v>2</v>
      </c>
      <c r="K177" s="138">
        <f>IF(I177="Yes",G177*J177,0)</f>
        <v>256</v>
      </c>
      <c r="L177" s="135">
        <f>IF(F177="Company", G177*H177,0)</f>
        <v>158378.23999999999</v>
      </c>
      <c r="M177" s="139">
        <f>E177*G177/1000</f>
        <v>128</v>
      </c>
      <c r="N177" s="223">
        <v>537600</v>
      </c>
      <c r="O177" s="170">
        <f>E177*4200/1000/12</f>
        <v>350</v>
      </c>
      <c r="P177" s="204">
        <f>'Unitized Lighting'!E$21</f>
        <v>6.1581099210352255E-4</v>
      </c>
      <c r="Q177" s="208">
        <f>'Unitized Lighting'!$E$45</f>
        <v>0</v>
      </c>
      <c r="R177" s="208">
        <f>'Unitized Lighting'!E$74</f>
        <v>0</v>
      </c>
      <c r="S177" s="208">
        <f>'Unitized Lighting'!$E$116</f>
        <v>0.15791466263646622</v>
      </c>
      <c r="T177" s="208">
        <f>'Unitized Lighting'!$E$123</f>
        <v>1.0508189438633434E-4</v>
      </c>
      <c r="U177" s="34">
        <f>IF(F177="Company", H177*P177, 0)</f>
        <v>0.76196141485945146</v>
      </c>
      <c r="V177" s="34">
        <f>IF(I177="yes", J177*Q177, 0)</f>
        <v>0</v>
      </c>
      <c r="W177" s="34">
        <f>R177*O177</f>
        <v>0</v>
      </c>
      <c r="X177" s="34">
        <f>E177*S177/1000</f>
        <v>0.15791466263646622</v>
      </c>
      <c r="Y177" s="34">
        <f>O177*T177</f>
        <v>3.677866303521702E-2</v>
      </c>
      <c r="Z177" s="198">
        <f>SUM(U177:Y177)</f>
        <v>0.95665474053113475</v>
      </c>
    </row>
    <row r="178" spans="1:26" x14ac:dyDescent="0.2">
      <c r="A178" s="177"/>
      <c r="B178" s="148"/>
      <c r="C178" s="133"/>
      <c r="D178" s="133"/>
      <c r="E178" s="133"/>
      <c r="F178" s="133"/>
      <c r="G178" s="213"/>
      <c r="H178" s="253">
        <v>0</v>
      </c>
      <c r="I178" s="136"/>
      <c r="J178" s="219"/>
      <c r="K178" s="138"/>
      <c r="L178" s="135"/>
      <c r="M178" s="139"/>
      <c r="N178" s="223">
        <v>0</v>
      </c>
      <c r="O178" s="175"/>
      <c r="P178" s="204"/>
      <c r="Q178" s="208"/>
      <c r="R178" s="208"/>
      <c r="S178" s="208"/>
      <c r="T178" s="208"/>
      <c r="Z178" s="198"/>
    </row>
    <row r="179" spans="1:26" x14ac:dyDescent="0.2">
      <c r="A179" s="177" t="str">
        <f>+A175</f>
        <v>58E &amp; 59E</v>
      </c>
      <c r="B179" s="148" t="s">
        <v>143</v>
      </c>
      <c r="C179" s="133" t="s">
        <v>207</v>
      </c>
      <c r="D179" s="133" t="s">
        <v>234</v>
      </c>
      <c r="E179" s="133">
        <v>250</v>
      </c>
      <c r="F179" s="133" t="s">
        <v>216</v>
      </c>
      <c r="G179" s="213">
        <v>10</v>
      </c>
      <c r="H179" s="253">
        <v>915.43</v>
      </c>
      <c r="I179" s="136" t="s">
        <v>131</v>
      </c>
      <c r="J179" s="219">
        <v>2</v>
      </c>
      <c r="K179" s="138">
        <f>IF(I179="Yes",G179*J179,0)</f>
        <v>20</v>
      </c>
      <c r="L179" s="135">
        <f>IF(F179="Company", G179*H179,0)</f>
        <v>9154.2999999999993</v>
      </c>
      <c r="M179" s="139">
        <f>E179*G179/1000</f>
        <v>2.5</v>
      </c>
      <c r="N179" s="223">
        <v>10500</v>
      </c>
      <c r="O179" s="170">
        <f>E179*4200/1000/12</f>
        <v>87.5</v>
      </c>
      <c r="P179" s="204">
        <f>'Unitized Lighting'!E$21</f>
        <v>6.1581099210352255E-4</v>
      </c>
      <c r="Q179" s="208">
        <f>'Unitized Lighting'!$E$45</f>
        <v>0</v>
      </c>
      <c r="R179" s="208">
        <f>'Unitized Lighting'!E$74</f>
        <v>0</v>
      </c>
      <c r="S179" s="208">
        <f>'Unitized Lighting'!$E$116</f>
        <v>0.15791466263646622</v>
      </c>
      <c r="T179" s="208">
        <f>'Unitized Lighting'!$E$123</f>
        <v>1.0508189438633434E-4</v>
      </c>
      <c r="U179" s="34">
        <f>IF(F179="Company", H179*P179, 0)</f>
        <v>0.56373185650132762</v>
      </c>
      <c r="V179" s="34">
        <f>IF(I179="yes", J179*Q179, 0)</f>
        <v>0</v>
      </c>
      <c r="W179" s="34">
        <f>R179*O179</f>
        <v>0</v>
      </c>
      <c r="X179" s="34">
        <f>E179*S179/1000</f>
        <v>3.9478665659116556E-2</v>
      </c>
      <c r="Y179" s="34">
        <f>O179*T179</f>
        <v>9.194665758804255E-3</v>
      </c>
      <c r="Z179" s="198">
        <f>SUM(U179:Y179)</f>
        <v>0.61240518791924836</v>
      </c>
    </row>
    <row r="180" spans="1:26" x14ac:dyDescent="0.2">
      <c r="A180" s="177" t="str">
        <f>+A176</f>
        <v>58E &amp; 59E</v>
      </c>
      <c r="B180" s="148" t="s">
        <v>143</v>
      </c>
      <c r="C180" s="133" t="s">
        <v>207</v>
      </c>
      <c r="D180" s="133" t="s">
        <v>235</v>
      </c>
      <c r="E180" s="133">
        <v>400</v>
      </c>
      <c r="F180" s="133" t="s">
        <v>216</v>
      </c>
      <c r="G180" s="213">
        <v>40</v>
      </c>
      <c r="H180" s="253">
        <v>919.24</v>
      </c>
      <c r="I180" s="136" t="s">
        <v>131</v>
      </c>
      <c r="J180" s="219">
        <v>2</v>
      </c>
      <c r="K180" s="138">
        <f>IF(I180="Yes",G180*J180,0)</f>
        <v>80</v>
      </c>
      <c r="L180" s="135">
        <f>IF(F180="Company", G180*H180,0)</f>
        <v>36769.599999999999</v>
      </c>
      <c r="M180" s="139">
        <f>E180*G180/1000</f>
        <v>16</v>
      </c>
      <c r="N180" s="223">
        <v>67200</v>
      </c>
      <c r="O180" s="170">
        <f>E180*4200/1000/12</f>
        <v>140</v>
      </c>
      <c r="P180" s="204">
        <f>'Unitized Lighting'!E$21</f>
        <v>6.1581099210352255E-4</v>
      </c>
      <c r="Q180" s="208">
        <f>'Unitized Lighting'!$E$45</f>
        <v>0</v>
      </c>
      <c r="R180" s="208">
        <f>'Unitized Lighting'!E$74</f>
        <v>0</v>
      </c>
      <c r="S180" s="208">
        <f>'Unitized Lighting'!$E$116</f>
        <v>0.15791466263646622</v>
      </c>
      <c r="T180" s="208">
        <f>'Unitized Lighting'!$E$123</f>
        <v>1.0508189438633434E-4</v>
      </c>
      <c r="U180" s="34">
        <f>IF(F180="Company", H180*P180, 0)</f>
        <v>0.56607809638124207</v>
      </c>
      <c r="V180" s="34">
        <f>IF(I180="yes", J180*Q180, 0)</f>
        <v>0</v>
      </c>
      <c r="W180" s="34">
        <f>R180*O180</f>
        <v>0</v>
      </c>
      <c r="X180" s="34">
        <f>E180*S180/1000</f>
        <v>6.316586505458649E-2</v>
      </c>
      <c r="Y180" s="34">
        <f>O180*T180</f>
        <v>1.4711465214086807E-2</v>
      </c>
      <c r="Z180" s="198">
        <f>SUM(U180:Y180)</f>
        <v>0.64395542664991534</v>
      </c>
    </row>
    <row r="181" spans="1:26" x14ac:dyDescent="0.2">
      <c r="A181" s="177"/>
      <c r="B181" s="148"/>
      <c r="C181" s="133"/>
      <c r="D181" s="133"/>
      <c r="E181" s="133"/>
      <c r="F181" s="133"/>
      <c r="G181" s="213"/>
      <c r="H181" s="253">
        <v>0</v>
      </c>
      <c r="I181" s="136"/>
      <c r="J181" s="219"/>
      <c r="K181" s="138"/>
      <c r="L181" s="135"/>
      <c r="M181" s="139"/>
      <c r="N181" s="223">
        <v>0</v>
      </c>
      <c r="O181" s="175"/>
      <c r="P181" s="204"/>
      <c r="Q181" s="208"/>
      <c r="R181" s="208"/>
      <c r="S181" s="208"/>
      <c r="T181" s="208"/>
      <c r="Z181" s="198"/>
    </row>
    <row r="182" spans="1:26" x14ac:dyDescent="0.2">
      <c r="A182" s="177" t="s">
        <v>142</v>
      </c>
      <c r="B182" s="148"/>
      <c r="C182" s="133" t="s">
        <v>188</v>
      </c>
      <c r="D182" s="133" t="s">
        <v>251</v>
      </c>
      <c r="E182" s="133">
        <v>15</v>
      </c>
      <c r="F182" s="133" t="s">
        <v>216</v>
      </c>
      <c r="G182" s="213">
        <v>0</v>
      </c>
      <c r="H182" s="253">
        <v>764.05999999999972</v>
      </c>
      <c r="I182" s="136" t="s">
        <v>131</v>
      </c>
      <c r="J182" s="219">
        <v>0.2</v>
      </c>
      <c r="K182" s="138">
        <f t="shared" ref="K182:K197" si="158">IF(I182="Yes",G182*J182,0)</f>
        <v>0</v>
      </c>
      <c r="L182" s="135">
        <f t="shared" ref="L182:L197" si="159">IF(F182="Company", G182*H182,0)</f>
        <v>0</v>
      </c>
      <c r="M182" s="139">
        <f t="shared" ref="M182:M197" si="160">E182*G182/1000</f>
        <v>0</v>
      </c>
      <c r="N182" s="223">
        <v>0</v>
      </c>
      <c r="O182" s="170">
        <f t="shared" ref="O182:O197" si="161">E182*4200/1000/12</f>
        <v>5.25</v>
      </c>
      <c r="P182" s="204">
        <f>'Unitized Lighting'!E$21</f>
        <v>6.1581099210352255E-4</v>
      </c>
      <c r="Q182" s="208">
        <f>'Unitized Lighting'!$E$45</f>
        <v>0</v>
      </c>
      <c r="R182" s="208">
        <f>'Unitized Lighting'!E$74</f>
        <v>0</v>
      </c>
      <c r="S182" s="208">
        <f>'Unitized Lighting'!$E$116</f>
        <v>0.15791466263646622</v>
      </c>
      <c r="T182" s="208">
        <f>'Unitized Lighting'!$E$123</f>
        <v>1.0508189438633434E-4</v>
      </c>
      <c r="U182" s="34">
        <f t="shared" ref="U182:U196" si="162">IF(F182="Company", H182*P182, 0)</f>
        <v>0.47051654662661724</v>
      </c>
      <c r="V182" s="34">
        <f t="shared" ref="V182:V197" si="163">IF(I182="yes", J182*Q182, 0)</f>
        <v>0</v>
      </c>
      <c r="W182" s="34">
        <f t="shared" ref="W182:W197" si="164">R182*O182</f>
        <v>0</v>
      </c>
      <c r="X182" s="34">
        <f t="shared" ref="X182:X196" si="165">E182*S182/1000</f>
        <v>2.3687199395469936E-3</v>
      </c>
      <c r="Y182" s="34">
        <f t="shared" ref="Y182:Y197" si="166">O182*T182</f>
        <v>5.5167994552825532E-4</v>
      </c>
      <c r="Z182" s="198">
        <f t="shared" ref="Z182:Z196" si="167">SUM(U182:Y182)</f>
        <v>0.47343694651169249</v>
      </c>
    </row>
    <row r="183" spans="1:26" x14ac:dyDescent="0.2">
      <c r="A183" s="177" t="s">
        <v>142</v>
      </c>
      <c r="B183" s="148"/>
      <c r="C183" s="133" t="s">
        <v>188</v>
      </c>
      <c r="D183" s="133" t="s">
        <v>189</v>
      </c>
      <c r="E183" s="133">
        <v>45</v>
      </c>
      <c r="F183" s="133" t="s">
        <v>216</v>
      </c>
      <c r="G183" s="213">
        <v>3</v>
      </c>
      <c r="H183" s="253">
        <v>917.8399999999998</v>
      </c>
      <c r="I183" s="136" t="s">
        <v>131</v>
      </c>
      <c r="J183" s="219">
        <v>0.2</v>
      </c>
      <c r="K183" s="138">
        <f t="shared" si="158"/>
        <v>0.60000000000000009</v>
      </c>
      <c r="L183" s="135">
        <f t="shared" si="159"/>
        <v>2753.5199999999995</v>
      </c>
      <c r="M183" s="139">
        <f t="shared" si="160"/>
        <v>0.13500000000000001</v>
      </c>
      <c r="N183" s="223">
        <v>567</v>
      </c>
      <c r="O183" s="170">
        <f t="shared" si="161"/>
        <v>15.75</v>
      </c>
      <c r="P183" s="204">
        <f>'Unitized Lighting'!E$21</f>
        <v>6.1581099210352255E-4</v>
      </c>
      <c r="Q183" s="208">
        <f>'Unitized Lighting'!$E$45</f>
        <v>0</v>
      </c>
      <c r="R183" s="208">
        <f>'Unitized Lighting'!E$74</f>
        <v>0</v>
      </c>
      <c r="S183" s="208">
        <f>'Unitized Lighting'!$E$116</f>
        <v>0.15791466263646622</v>
      </c>
      <c r="T183" s="208">
        <f>'Unitized Lighting'!$E$123</f>
        <v>1.0508189438633434E-4</v>
      </c>
      <c r="U183" s="34">
        <f t="shared" si="162"/>
        <v>0.56521596099229698</v>
      </c>
      <c r="V183" s="34">
        <f t="shared" si="163"/>
        <v>0</v>
      </c>
      <c r="W183" s="34">
        <f t="shared" si="164"/>
        <v>0</v>
      </c>
      <c r="X183" s="34">
        <f t="shared" si="165"/>
        <v>7.1061598186409796E-3</v>
      </c>
      <c r="Y183" s="34">
        <f t="shared" si="166"/>
        <v>1.6550398365847659E-3</v>
      </c>
      <c r="Z183" s="198">
        <f t="shared" si="167"/>
        <v>0.57397716064752269</v>
      </c>
    </row>
    <row r="184" spans="1:26" x14ac:dyDescent="0.2">
      <c r="A184" s="177" t="s">
        <v>142</v>
      </c>
      <c r="B184" s="148"/>
      <c r="C184" s="133" t="s">
        <v>188</v>
      </c>
      <c r="D184" s="133" t="s">
        <v>190</v>
      </c>
      <c r="E184" s="133">
        <v>75</v>
      </c>
      <c r="F184" s="133" t="s">
        <v>216</v>
      </c>
      <c r="G184" s="213">
        <v>50</v>
      </c>
      <c r="H184" s="253">
        <v>1071.6199999999999</v>
      </c>
      <c r="I184" s="136" t="s">
        <v>131</v>
      </c>
      <c r="J184" s="219">
        <v>0.2</v>
      </c>
      <c r="K184" s="138">
        <f t="shared" si="158"/>
        <v>10</v>
      </c>
      <c r="L184" s="135">
        <f t="shared" si="159"/>
        <v>53580.999999999993</v>
      </c>
      <c r="M184" s="139">
        <f t="shared" si="160"/>
        <v>3.75</v>
      </c>
      <c r="N184" s="223">
        <v>15750</v>
      </c>
      <c r="O184" s="170">
        <f t="shared" si="161"/>
        <v>26.25</v>
      </c>
      <c r="P184" s="204">
        <f>'Unitized Lighting'!E$21</f>
        <v>6.1581099210352255E-4</v>
      </c>
      <c r="Q184" s="208">
        <f>'Unitized Lighting'!$E$45</f>
        <v>0</v>
      </c>
      <c r="R184" s="208">
        <f>'Unitized Lighting'!E$74</f>
        <v>0</v>
      </c>
      <c r="S184" s="208">
        <f>'Unitized Lighting'!$E$116</f>
        <v>0.15791466263646622</v>
      </c>
      <c r="T184" s="208">
        <f>'Unitized Lighting'!$E$123</f>
        <v>1.0508189438633434E-4</v>
      </c>
      <c r="U184" s="34">
        <f>IF(F184="Company", H184*P184, 0)</f>
        <v>0.65991537535797673</v>
      </c>
      <c r="V184" s="34">
        <f t="shared" si="163"/>
        <v>0</v>
      </c>
      <c r="W184" s="34">
        <f t="shared" si="164"/>
        <v>0</v>
      </c>
      <c r="X184" s="34">
        <f t="shared" si="165"/>
        <v>1.1843599697734967E-2</v>
      </c>
      <c r="Y184" s="34">
        <f t="shared" si="166"/>
        <v>2.7583997276412766E-3</v>
      </c>
      <c r="Z184" s="198">
        <f t="shared" si="167"/>
        <v>0.67451737478335294</v>
      </c>
    </row>
    <row r="185" spans="1:26" x14ac:dyDescent="0.2">
      <c r="A185" s="177" t="s">
        <v>142</v>
      </c>
      <c r="B185" s="148"/>
      <c r="C185" s="133" t="s">
        <v>188</v>
      </c>
      <c r="D185" s="133" t="s">
        <v>191</v>
      </c>
      <c r="E185" s="133">
        <v>105</v>
      </c>
      <c r="F185" s="133" t="s">
        <v>216</v>
      </c>
      <c r="G185" s="213">
        <v>15</v>
      </c>
      <c r="H185" s="253">
        <v>1225.4000000000001</v>
      </c>
      <c r="I185" s="136" t="s">
        <v>131</v>
      </c>
      <c r="J185" s="219">
        <v>0.2</v>
      </c>
      <c r="K185" s="138">
        <f t="shared" si="158"/>
        <v>3</v>
      </c>
      <c r="L185" s="135">
        <f t="shared" si="159"/>
        <v>18381</v>
      </c>
      <c r="M185" s="139">
        <f t="shared" si="160"/>
        <v>1.575</v>
      </c>
      <c r="N185" s="223">
        <v>6615</v>
      </c>
      <c r="O185" s="170">
        <f t="shared" si="161"/>
        <v>36.75</v>
      </c>
      <c r="P185" s="204">
        <f>'Unitized Lighting'!E$21</f>
        <v>6.1581099210352255E-4</v>
      </c>
      <c r="Q185" s="208">
        <f>'Unitized Lighting'!$E$45</f>
        <v>0</v>
      </c>
      <c r="R185" s="208">
        <f>'Unitized Lighting'!E$74</f>
        <v>0</v>
      </c>
      <c r="S185" s="208">
        <f>'Unitized Lighting'!$E$116</f>
        <v>0.15791466263646622</v>
      </c>
      <c r="T185" s="208">
        <f>'Unitized Lighting'!$E$123</f>
        <v>1.0508189438633434E-4</v>
      </c>
      <c r="U185" s="34">
        <f t="shared" si="162"/>
        <v>0.75461478972365659</v>
      </c>
      <c r="V185" s="34">
        <f t="shared" si="163"/>
        <v>0</v>
      </c>
      <c r="W185" s="34">
        <f t="shared" si="164"/>
        <v>0</v>
      </c>
      <c r="X185" s="34">
        <f t="shared" si="165"/>
        <v>1.6581039576828951E-2</v>
      </c>
      <c r="Y185" s="34">
        <f t="shared" si="166"/>
        <v>3.8617596186977872E-3</v>
      </c>
      <c r="Z185" s="198">
        <f t="shared" si="167"/>
        <v>0.77505758891918342</v>
      </c>
    </row>
    <row r="186" spans="1:26" x14ac:dyDescent="0.2">
      <c r="A186" s="177" t="s">
        <v>142</v>
      </c>
      <c r="B186" s="148"/>
      <c r="C186" s="133" t="s">
        <v>188</v>
      </c>
      <c r="D186" s="133" t="s">
        <v>192</v>
      </c>
      <c r="E186" s="133">
        <v>135</v>
      </c>
      <c r="F186" s="133" t="s">
        <v>216</v>
      </c>
      <c r="G186" s="213">
        <v>94</v>
      </c>
      <c r="H186" s="253">
        <v>1379.1800000000003</v>
      </c>
      <c r="I186" s="136" t="s">
        <v>131</v>
      </c>
      <c r="J186" s="219">
        <v>0.2</v>
      </c>
      <c r="K186" s="138">
        <f t="shared" si="158"/>
        <v>18.8</v>
      </c>
      <c r="L186" s="135">
        <f t="shared" si="159"/>
        <v>129642.92000000003</v>
      </c>
      <c r="M186" s="139">
        <f t="shared" si="160"/>
        <v>12.69</v>
      </c>
      <c r="N186" s="223">
        <v>53298</v>
      </c>
      <c r="O186" s="170">
        <f t="shared" si="161"/>
        <v>47.25</v>
      </c>
      <c r="P186" s="204">
        <f>'Unitized Lighting'!E$21</f>
        <v>6.1581099210352255E-4</v>
      </c>
      <c r="Q186" s="208">
        <f>'Unitized Lighting'!$E$45</f>
        <v>0</v>
      </c>
      <c r="R186" s="208">
        <f>'Unitized Lighting'!E$74</f>
        <v>0</v>
      </c>
      <c r="S186" s="208">
        <f>'Unitized Lighting'!$E$116</f>
        <v>0.15791466263646622</v>
      </c>
      <c r="T186" s="208">
        <f>'Unitized Lighting'!$E$123</f>
        <v>1.0508189438633434E-4</v>
      </c>
      <c r="U186" s="34">
        <f t="shared" si="162"/>
        <v>0.84931420408933644</v>
      </c>
      <c r="V186" s="34">
        <f t="shared" si="163"/>
        <v>0</v>
      </c>
      <c r="W186" s="34">
        <f t="shared" si="164"/>
        <v>0</v>
      </c>
      <c r="X186" s="34">
        <f t="shared" si="165"/>
        <v>2.131847945592294E-2</v>
      </c>
      <c r="Y186" s="34">
        <f t="shared" si="166"/>
        <v>4.9651195097542974E-3</v>
      </c>
      <c r="Z186" s="198">
        <f t="shared" si="167"/>
        <v>0.87559780305501367</v>
      </c>
    </row>
    <row r="187" spans="1:26" x14ac:dyDescent="0.2">
      <c r="A187" s="177" t="s">
        <v>142</v>
      </c>
      <c r="B187" s="148"/>
      <c r="C187" s="133" t="s">
        <v>188</v>
      </c>
      <c r="D187" s="133" t="s">
        <v>193</v>
      </c>
      <c r="E187" s="133">
        <v>165</v>
      </c>
      <c r="F187" s="133" t="s">
        <v>216</v>
      </c>
      <c r="G187" s="213">
        <v>11</v>
      </c>
      <c r="H187" s="253">
        <v>1532.9600000000005</v>
      </c>
      <c r="I187" s="136" t="s">
        <v>131</v>
      </c>
      <c r="J187" s="219">
        <v>0.2</v>
      </c>
      <c r="K187" s="138">
        <f t="shared" si="158"/>
        <v>2.2000000000000002</v>
      </c>
      <c r="L187" s="135">
        <f t="shared" si="159"/>
        <v>16862.560000000005</v>
      </c>
      <c r="M187" s="139">
        <f t="shared" si="160"/>
        <v>1.8149999999999999</v>
      </c>
      <c r="N187" s="223">
        <v>7623</v>
      </c>
      <c r="O187" s="170">
        <f t="shared" si="161"/>
        <v>57.75</v>
      </c>
      <c r="P187" s="204">
        <f>'Unitized Lighting'!E$21</f>
        <v>6.1581099210352255E-4</v>
      </c>
      <c r="Q187" s="208">
        <f>'Unitized Lighting'!$E$45</f>
        <v>0</v>
      </c>
      <c r="R187" s="208">
        <f>'Unitized Lighting'!E$74</f>
        <v>0</v>
      </c>
      <c r="S187" s="208">
        <f>'Unitized Lighting'!$E$116</f>
        <v>0.15791466263646622</v>
      </c>
      <c r="T187" s="208">
        <f>'Unitized Lighting'!$E$123</f>
        <v>1.0508189438633434E-4</v>
      </c>
      <c r="U187" s="34">
        <f t="shared" si="162"/>
        <v>0.94401361845501619</v>
      </c>
      <c r="V187" s="34">
        <f t="shared" si="163"/>
        <v>0</v>
      </c>
      <c r="W187" s="34">
        <f t="shared" si="164"/>
        <v>0</v>
      </c>
      <c r="X187" s="34">
        <f t="shared" si="165"/>
        <v>2.6055919335016928E-2</v>
      </c>
      <c r="Y187" s="34">
        <f t="shared" si="166"/>
        <v>6.068479400810808E-3</v>
      </c>
      <c r="Z187" s="198">
        <f t="shared" si="167"/>
        <v>0.97613801719084392</v>
      </c>
    </row>
    <row r="188" spans="1:26" x14ac:dyDescent="0.2">
      <c r="A188" s="177" t="s">
        <v>142</v>
      </c>
      <c r="B188" s="148"/>
      <c r="C188" s="133" t="s">
        <v>188</v>
      </c>
      <c r="D188" s="133" t="s">
        <v>194</v>
      </c>
      <c r="E188" s="133">
        <v>195</v>
      </c>
      <c r="F188" s="133" t="s">
        <v>216</v>
      </c>
      <c r="G188" s="213">
        <v>0</v>
      </c>
      <c r="H188" s="253">
        <v>1686.7400000000007</v>
      </c>
      <c r="I188" s="136" t="s">
        <v>131</v>
      </c>
      <c r="J188" s="219">
        <v>0.2</v>
      </c>
      <c r="K188" s="138">
        <f t="shared" si="158"/>
        <v>0</v>
      </c>
      <c r="L188" s="135">
        <f t="shared" si="159"/>
        <v>0</v>
      </c>
      <c r="M188" s="139">
        <f t="shared" si="160"/>
        <v>0</v>
      </c>
      <c r="N188" s="223">
        <v>0</v>
      </c>
      <c r="O188" s="170">
        <f t="shared" si="161"/>
        <v>68.25</v>
      </c>
      <c r="P188" s="204">
        <f>'Unitized Lighting'!E$21</f>
        <v>6.1581099210352255E-4</v>
      </c>
      <c r="Q188" s="208">
        <f>'Unitized Lighting'!$E$45</f>
        <v>0</v>
      </c>
      <c r="R188" s="208">
        <f>'Unitized Lighting'!E$74</f>
        <v>0</v>
      </c>
      <c r="S188" s="208">
        <f>'Unitized Lighting'!$E$116</f>
        <v>0.15791466263646622</v>
      </c>
      <c r="T188" s="208">
        <f>'Unitized Lighting'!$E$123</f>
        <v>1.0508189438633434E-4</v>
      </c>
      <c r="U188" s="34">
        <f t="shared" si="162"/>
        <v>1.0387130328206959</v>
      </c>
      <c r="V188" s="34">
        <f t="shared" si="163"/>
        <v>0</v>
      </c>
      <c r="W188" s="34">
        <f t="shared" si="164"/>
        <v>0</v>
      </c>
      <c r="X188" s="34">
        <f t="shared" si="165"/>
        <v>3.0793359214110916E-2</v>
      </c>
      <c r="Y188" s="34">
        <f t="shared" si="166"/>
        <v>7.1718392918673187E-3</v>
      </c>
      <c r="Z188" s="198">
        <f t="shared" si="167"/>
        <v>1.0766782313266743</v>
      </c>
    </row>
    <row r="189" spans="1:26" x14ac:dyDescent="0.2">
      <c r="A189" s="177" t="s">
        <v>142</v>
      </c>
      <c r="B189" s="148"/>
      <c r="C189" s="133" t="s">
        <v>188</v>
      </c>
      <c r="D189" s="133" t="s">
        <v>195</v>
      </c>
      <c r="E189" s="133">
        <v>225</v>
      </c>
      <c r="F189" s="133" t="s">
        <v>216</v>
      </c>
      <c r="G189" s="213">
        <v>10</v>
      </c>
      <c r="H189" s="253">
        <v>1840.5200000000007</v>
      </c>
      <c r="I189" s="136" t="s">
        <v>131</v>
      </c>
      <c r="J189" s="219">
        <v>0.2</v>
      </c>
      <c r="K189" s="138">
        <f t="shared" si="158"/>
        <v>2</v>
      </c>
      <c r="L189" s="135">
        <f t="shared" si="159"/>
        <v>18405.200000000008</v>
      </c>
      <c r="M189" s="139">
        <f t="shared" si="160"/>
        <v>2.25</v>
      </c>
      <c r="N189" s="223">
        <v>9450</v>
      </c>
      <c r="O189" s="170">
        <f t="shared" si="161"/>
        <v>78.75</v>
      </c>
      <c r="P189" s="204">
        <f>'Unitized Lighting'!E$21</f>
        <v>6.1581099210352255E-4</v>
      </c>
      <c r="Q189" s="208">
        <f>'Unitized Lighting'!$E$45</f>
        <v>0</v>
      </c>
      <c r="R189" s="208">
        <f>'Unitized Lighting'!E$74</f>
        <v>0</v>
      </c>
      <c r="S189" s="208">
        <f>'Unitized Lighting'!$E$116</f>
        <v>0.15791466263646622</v>
      </c>
      <c r="T189" s="208">
        <f>'Unitized Lighting'!$E$123</f>
        <v>1.0508189438633434E-4</v>
      </c>
      <c r="U189" s="34">
        <f t="shared" si="162"/>
        <v>1.1334124471863758</v>
      </c>
      <c r="V189" s="34">
        <f t="shared" si="163"/>
        <v>0</v>
      </c>
      <c r="W189" s="34">
        <f t="shared" si="164"/>
        <v>0</v>
      </c>
      <c r="X189" s="34">
        <f t="shared" si="165"/>
        <v>3.5530799093204897E-2</v>
      </c>
      <c r="Y189" s="34">
        <f t="shared" si="166"/>
        <v>8.2751991829238293E-3</v>
      </c>
      <c r="Z189" s="198">
        <f t="shared" si="167"/>
        <v>1.1772184454625045</v>
      </c>
    </row>
    <row r="190" spans="1:26" x14ac:dyDescent="0.2">
      <c r="A190" s="177" t="s">
        <v>142</v>
      </c>
      <c r="B190" s="148"/>
      <c r="C190" s="133" t="s">
        <v>188</v>
      </c>
      <c r="D190" s="133" t="s">
        <v>196</v>
      </c>
      <c r="E190" s="133">
        <v>255</v>
      </c>
      <c r="F190" s="133" t="s">
        <v>216</v>
      </c>
      <c r="G190" s="213">
        <v>22</v>
      </c>
      <c r="H190" s="253">
        <v>1994.3000000000009</v>
      </c>
      <c r="I190" s="136" t="s">
        <v>131</v>
      </c>
      <c r="J190" s="219">
        <v>0.2</v>
      </c>
      <c r="K190" s="138">
        <f t="shared" si="158"/>
        <v>4.4000000000000004</v>
      </c>
      <c r="L190" s="135">
        <f t="shared" si="159"/>
        <v>43874.60000000002</v>
      </c>
      <c r="M190" s="139">
        <f t="shared" si="160"/>
        <v>5.61</v>
      </c>
      <c r="N190" s="223">
        <v>23562</v>
      </c>
      <c r="O190" s="170">
        <f t="shared" si="161"/>
        <v>89.25</v>
      </c>
      <c r="P190" s="204">
        <f>'Unitized Lighting'!E$21</f>
        <v>6.1581099210352255E-4</v>
      </c>
      <c r="Q190" s="208">
        <f>'Unitized Lighting'!$E$45</f>
        <v>0</v>
      </c>
      <c r="R190" s="208">
        <f>'Unitized Lighting'!E$74</f>
        <v>0</v>
      </c>
      <c r="S190" s="208">
        <f>'Unitized Lighting'!$E$116</f>
        <v>0.15791466263646622</v>
      </c>
      <c r="T190" s="208">
        <f>'Unitized Lighting'!$E$123</f>
        <v>1.0508189438633434E-4</v>
      </c>
      <c r="U190" s="34">
        <f t="shared" si="162"/>
        <v>1.2281118615520557</v>
      </c>
      <c r="V190" s="34">
        <f t="shared" si="163"/>
        <v>0</v>
      </c>
      <c r="W190" s="34">
        <f t="shared" si="164"/>
        <v>0</v>
      </c>
      <c r="X190" s="34">
        <f t="shared" si="165"/>
        <v>4.0268238972298892E-2</v>
      </c>
      <c r="Y190" s="34">
        <f t="shared" si="166"/>
        <v>9.3785590739803391E-3</v>
      </c>
      <c r="Z190" s="198">
        <f t="shared" si="167"/>
        <v>1.2777586595983348</v>
      </c>
    </row>
    <row r="191" spans="1:26" x14ac:dyDescent="0.2">
      <c r="A191" s="177" t="s">
        <v>142</v>
      </c>
      <c r="B191" s="148"/>
      <c r="C191" s="133" t="s">
        <v>188</v>
      </c>
      <c r="D191" s="133" t="s">
        <v>197</v>
      </c>
      <c r="E191" s="133">
        <v>285</v>
      </c>
      <c r="F191" s="133" t="s">
        <v>216</v>
      </c>
      <c r="G191" s="213">
        <v>0</v>
      </c>
      <c r="H191" s="253">
        <v>2148.0800000000008</v>
      </c>
      <c r="I191" s="136" t="s">
        <v>131</v>
      </c>
      <c r="J191" s="219">
        <v>0.2</v>
      </c>
      <c r="K191" s="138">
        <f t="shared" si="158"/>
        <v>0</v>
      </c>
      <c r="L191" s="135">
        <f t="shared" si="159"/>
        <v>0</v>
      </c>
      <c r="M191" s="139">
        <f t="shared" si="160"/>
        <v>0</v>
      </c>
      <c r="N191" s="223">
        <v>0</v>
      </c>
      <c r="O191" s="170">
        <f t="shared" si="161"/>
        <v>99.75</v>
      </c>
      <c r="P191" s="204">
        <f>'Unitized Lighting'!E$21</f>
        <v>6.1581099210352255E-4</v>
      </c>
      <c r="Q191" s="208">
        <f>'Unitized Lighting'!$E$45</f>
        <v>0</v>
      </c>
      <c r="R191" s="208">
        <f>'Unitized Lighting'!E$74</f>
        <v>0</v>
      </c>
      <c r="S191" s="208">
        <f>'Unitized Lighting'!$E$116</f>
        <v>0.15791466263646622</v>
      </c>
      <c r="T191" s="208">
        <f>'Unitized Lighting'!$E$123</f>
        <v>1.0508189438633434E-4</v>
      </c>
      <c r="U191" s="34">
        <f t="shared" si="162"/>
        <v>1.3228112759177353</v>
      </c>
      <c r="V191" s="34">
        <f t="shared" si="163"/>
        <v>0</v>
      </c>
      <c r="W191" s="34">
        <f t="shared" si="164"/>
        <v>0</v>
      </c>
      <c r="X191" s="34">
        <f t="shared" si="165"/>
        <v>4.5005678851392873E-2</v>
      </c>
      <c r="Y191" s="34">
        <f t="shared" si="166"/>
        <v>1.0481918965036851E-2</v>
      </c>
      <c r="Z191" s="198">
        <f t="shared" si="167"/>
        <v>1.378298873734165</v>
      </c>
    </row>
    <row r="192" spans="1:26" x14ac:dyDescent="0.2">
      <c r="A192" s="177" t="s">
        <v>142</v>
      </c>
      <c r="B192" s="148"/>
      <c r="C192" s="133" t="s">
        <v>188</v>
      </c>
      <c r="D192" s="133" t="s">
        <v>236</v>
      </c>
      <c r="E192" s="133">
        <v>350</v>
      </c>
      <c r="F192" s="133" t="s">
        <v>216</v>
      </c>
      <c r="G192" s="213">
        <v>0</v>
      </c>
      <c r="H192" s="253">
        <v>2481.2700000000013</v>
      </c>
      <c r="I192" s="136" t="s">
        <v>131</v>
      </c>
      <c r="J192" s="219">
        <v>0.2</v>
      </c>
      <c r="K192" s="138">
        <f t="shared" si="158"/>
        <v>0</v>
      </c>
      <c r="L192" s="135">
        <f t="shared" si="159"/>
        <v>0</v>
      </c>
      <c r="M192" s="139">
        <f t="shared" si="160"/>
        <v>0</v>
      </c>
      <c r="N192" s="223">
        <v>0</v>
      </c>
      <c r="O192" s="170">
        <f t="shared" si="161"/>
        <v>122.5</v>
      </c>
      <c r="P192" s="204">
        <f>'Unitized Lighting'!E$21</f>
        <v>6.1581099210352255E-4</v>
      </c>
      <c r="Q192" s="208">
        <f>'Unitized Lighting'!$E$45</f>
        <v>0</v>
      </c>
      <c r="R192" s="208">
        <f>'Unitized Lighting'!E$74</f>
        <v>0</v>
      </c>
      <c r="S192" s="208">
        <f>'Unitized Lighting'!$E$116</f>
        <v>0.15791466263646622</v>
      </c>
      <c r="T192" s="208">
        <f>'Unitized Lighting'!$E$123</f>
        <v>1.0508189438633434E-4</v>
      </c>
      <c r="U192" s="34">
        <f t="shared" si="162"/>
        <v>1.5279933403767083</v>
      </c>
      <c r="V192" s="34">
        <f t="shared" si="163"/>
        <v>0</v>
      </c>
      <c r="W192" s="34">
        <f t="shared" si="164"/>
        <v>0</v>
      </c>
      <c r="X192" s="34">
        <f t="shared" si="165"/>
        <v>5.5270131922763178E-2</v>
      </c>
      <c r="Y192" s="34">
        <f t="shared" si="166"/>
        <v>1.2872532062325956E-2</v>
      </c>
      <c r="Z192" s="198">
        <f t="shared" si="167"/>
        <v>1.5961360043617974</v>
      </c>
    </row>
    <row r="193" spans="1:26" x14ac:dyDescent="0.2">
      <c r="A193" s="177" t="s">
        <v>142</v>
      </c>
      <c r="B193" s="148"/>
      <c r="C193" s="133" t="s">
        <v>188</v>
      </c>
      <c r="D193" s="133" t="s">
        <v>237</v>
      </c>
      <c r="E193" s="133">
        <v>450</v>
      </c>
      <c r="F193" s="133" t="s">
        <v>216</v>
      </c>
      <c r="G193" s="213">
        <v>0</v>
      </c>
      <c r="H193" s="253">
        <v>2993.8700000000017</v>
      </c>
      <c r="I193" s="136" t="s">
        <v>131</v>
      </c>
      <c r="J193" s="219">
        <v>0.2</v>
      </c>
      <c r="K193" s="138">
        <f t="shared" si="158"/>
        <v>0</v>
      </c>
      <c r="L193" s="135">
        <f t="shared" si="159"/>
        <v>0</v>
      </c>
      <c r="M193" s="139">
        <f t="shared" si="160"/>
        <v>0</v>
      </c>
      <c r="N193" s="223">
        <v>0</v>
      </c>
      <c r="O193" s="170">
        <f t="shared" si="161"/>
        <v>157.5</v>
      </c>
      <c r="P193" s="204">
        <f>'Unitized Lighting'!E$21</f>
        <v>6.1581099210352255E-4</v>
      </c>
      <c r="Q193" s="208">
        <f>'Unitized Lighting'!$E$45</f>
        <v>0</v>
      </c>
      <c r="R193" s="208">
        <f>'Unitized Lighting'!E$74</f>
        <v>0</v>
      </c>
      <c r="S193" s="208">
        <f>'Unitized Lighting'!$E$116</f>
        <v>0.15791466263646622</v>
      </c>
      <c r="T193" s="208">
        <f>'Unitized Lighting'!$E$123</f>
        <v>1.0508189438633434E-4</v>
      </c>
      <c r="U193" s="34">
        <f t="shared" si="162"/>
        <v>1.8436580549289741</v>
      </c>
      <c r="V193" s="34">
        <f t="shared" si="163"/>
        <v>0</v>
      </c>
      <c r="W193" s="34">
        <f t="shared" si="164"/>
        <v>0</v>
      </c>
      <c r="X193" s="34">
        <f t="shared" si="165"/>
        <v>7.1061598186409794E-2</v>
      </c>
      <c r="Y193" s="34">
        <f t="shared" si="166"/>
        <v>1.6550398365847659E-2</v>
      </c>
      <c r="Z193" s="198">
        <f t="shared" si="167"/>
        <v>1.9312700514812315</v>
      </c>
    </row>
    <row r="194" spans="1:26" x14ac:dyDescent="0.2">
      <c r="A194" s="177" t="s">
        <v>142</v>
      </c>
      <c r="B194" s="148"/>
      <c r="C194" s="133" t="s">
        <v>188</v>
      </c>
      <c r="D194" s="133" t="s">
        <v>238</v>
      </c>
      <c r="E194" s="133">
        <v>550</v>
      </c>
      <c r="F194" s="133" t="s">
        <v>216</v>
      </c>
      <c r="G194" s="213">
        <v>0</v>
      </c>
      <c r="H194" s="253">
        <v>3506.4700000000021</v>
      </c>
      <c r="I194" s="136" t="s">
        <v>131</v>
      </c>
      <c r="J194" s="219">
        <v>0.2</v>
      </c>
      <c r="K194" s="138">
        <f t="shared" si="158"/>
        <v>0</v>
      </c>
      <c r="L194" s="135">
        <f t="shared" si="159"/>
        <v>0</v>
      </c>
      <c r="M194" s="139">
        <f t="shared" si="160"/>
        <v>0</v>
      </c>
      <c r="N194" s="223">
        <v>0</v>
      </c>
      <c r="O194" s="170">
        <f t="shared" si="161"/>
        <v>192.5</v>
      </c>
      <c r="P194" s="204">
        <f>'Unitized Lighting'!E$21</f>
        <v>6.1581099210352255E-4</v>
      </c>
      <c r="Q194" s="208">
        <f>'Unitized Lighting'!$E$45</f>
        <v>0</v>
      </c>
      <c r="R194" s="208">
        <f>'Unitized Lighting'!E$74</f>
        <v>0</v>
      </c>
      <c r="S194" s="208">
        <f>'Unitized Lighting'!$E$116</f>
        <v>0.15791466263646622</v>
      </c>
      <c r="T194" s="208">
        <f>'Unitized Lighting'!$E$123</f>
        <v>1.0508189438633434E-4</v>
      </c>
      <c r="U194" s="34">
        <f t="shared" si="162"/>
        <v>2.15932276948124</v>
      </c>
      <c r="V194" s="34">
        <f t="shared" si="163"/>
        <v>0</v>
      </c>
      <c r="W194" s="34">
        <f t="shared" si="164"/>
        <v>0</v>
      </c>
      <c r="X194" s="34">
        <f t="shared" si="165"/>
        <v>8.6853064450056416E-2</v>
      </c>
      <c r="Y194" s="34">
        <f t="shared" si="166"/>
        <v>2.0228264669369361E-2</v>
      </c>
      <c r="Z194" s="198">
        <f t="shared" si="167"/>
        <v>2.2664040986006659</v>
      </c>
    </row>
    <row r="195" spans="1:26" x14ac:dyDescent="0.2">
      <c r="A195" s="177" t="s">
        <v>142</v>
      </c>
      <c r="B195" s="148"/>
      <c r="C195" s="133" t="s">
        <v>188</v>
      </c>
      <c r="D195" s="133" t="s">
        <v>239</v>
      </c>
      <c r="E195" s="133">
        <v>650</v>
      </c>
      <c r="F195" s="133" t="s">
        <v>216</v>
      </c>
      <c r="G195" s="213">
        <v>0</v>
      </c>
      <c r="H195" s="253">
        <v>4019.0700000000029</v>
      </c>
      <c r="I195" s="136" t="s">
        <v>131</v>
      </c>
      <c r="J195" s="219">
        <v>0.2</v>
      </c>
      <c r="K195" s="138">
        <f t="shared" si="158"/>
        <v>0</v>
      </c>
      <c r="L195" s="135">
        <f t="shared" si="159"/>
        <v>0</v>
      </c>
      <c r="M195" s="139">
        <f t="shared" si="160"/>
        <v>0</v>
      </c>
      <c r="N195" s="223">
        <v>0</v>
      </c>
      <c r="O195" s="170">
        <f t="shared" si="161"/>
        <v>227.5</v>
      </c>
      <c r="P195" s="204">
        <f>'Unitized Lighting'!E$21</f>
        <v>6.1581099210352255E-4</v>
      </c>
      <c r="Q195" s="208">
        <f>'Unitized Lighting'!$E$45</f>
        <v>0</v>
      </c>
      <c r="R195" s="208">
        <f>'Unitized Lighting'!E$74</f>
        <v>0</v>
      </c>
      <c r="S195" s="208">
        <f>'Unitized Lighting'!$E$116</f>
        <v>0.15791466263646622</v>
      </c>
      <c r="T195" s="208">
        <f>'Unitized Lighting'!$E$123</f>
        <v>1.0508189438633434E-4</v>
      </c>
      <c r="U195" s="34">
        <f t="shared" si="162"/>
        <v>2.4749874840335062</v>
      </c>
      <c r="V195" s="34">
        <f t="shared" si="163"/>
        <v>0</v>
      </c>
      <c r="W195" s="34">
        <f t="shared" si="164"/>
        <v>0</v>
      </c>
      <c r="X195" s="34">
        <f t="shared" si="165"/>
        <v>0.10264453071370305</v>
      </c>
      <c r="Y195" s="34">
        <f t="shared" si="166"/>
        <v>2.3906130972891064E-2</v>
      </c>
      <c r="Z195" s="198">
        <f t="shared" si="167"/>
        <v>2.6015381457201001</v>
      </c>
    </row>
    <row r="196" spans="1:26" x14ac:dyDescent="0.2">
      <c r="A196" s="177" t="s">
        <v>142</v>
      </c>
      <c r="B196" s="148"/>
      <c r="C196" s="133" t="s">
        <v>188</v>
      </c>
      <c r="D196" s="133" t="s">
        <v>240</v>
      </c>
      <c r="E196" s="133">
        <v>750</v>
      </c>
      <c r="F196" s="133" t="s">
        <v>216</v>
      </c>
      <c r="G196" s="213">
        <v>0</v>
      </c>
      <c r="H196" s="253">
        <v>4531.6700000000037</v>
      </c>
      <c r="I196" s="136" t="s">
        <v>131</v>
      </c>
      <c r="J196" s="219">
        <v>0.2</v>
      </c>
      <c r="K196" s="138">
        <f t="shared" si="158"/>
        <v>0</v>
      </c>
      <c r="L196" s="135">
        <f t="shared" si="159"/>
        <v>0</v>
      </c>
      <c r="M196" s="139">
        <f t="shared" si="160"/>
        <v>0</v>
      </c>
      <c r="N196" s="223">
        <v>0</v>
      </c>
      <c r="O196" s="170">
        <f t="shared" si="161"/>
        <v>262.5</v>
      </c>
      <c r="P196" s="204">
        <f>'Unitized Lighting'!E$21</f>
        <v>6.1581099210352255E-4</v>
      </c>
      <c r="Q196" s="208">
        <f>'Unitized Lighting'!$E$45</f>
        <v>0</v>
      </c>
      <c r="R196" s="208">
        <f>'Unitized Lighting'!E$74</f>
        <v>0</v>
      </c>
      <c r="S196" s="208">
        <f>'Unitized Lighting'!$E$116</f>
        <v>0.15791466263646622</v>
      </c>
      <c r="T196" s="208">
        <f>'Unitized Lighting'!$E$123</f>
        <v>1.0508189438633434E-4</v>
      </c>
      <c r="U196" s="34">
        <f t="shared" si="162"/>
        <v>2.7906521985857724</v>
      </c>
      <c r="V196" s="34">
        <f t="shared" si="163"/>
        <v>0</v>
      </c>
      <c r="W196" s="34">
        <f t="shared" si="164"/>
        <v>0</v>
      </c>
      <c r="X196" s="34">
        <f t="shared" si="165"/>
        <v>0.11843599697734968</v>
      </c>
      <c r="Y196" s="34">
        <f t="shared" si="166"/>
        <v>2.7583997276412763E-2</v>
      </c>
      <c r="Z196" s="198">
        <f t="shared" si="167"/>
        <v>2.9366721928395352</v>
      </c>
    </row>
    <row r="197" spans="1:26" x14ac:dyDescent="0.2">
      <c r="A197" s="177" t="s">
        <v>142</v>
      </c>
      <c r="B197" s="148"/>
      <c r="C197" s="133" t="s">
        <v>188</v>
      </c>
      <c r="D197" s="133" t="s">
        <v>241</v>
      </c>
      <c r="E197" s="133">
        <v>850</v>
      </c>
      <c r="F197" s="133" t="s">
        <v>216</v>
      </c>
      <c r="G197" s="213">
        <v>0</v>
      </c>
      <c r="H197" s="253">
        <v>5044.2700000000041</v>
      </c>
      <c r="I197" s="136" t="s">
        <v>131</v>
      </c>
      <c r="J197" s="219">
        <v>0.2</v>
      </c>
      <c r="K197" s="138">
        <f t="shared" si="158"/>
        <v>0</v>
      </c>
      <c r="L197" s="135">
        <f t="shared" si="159"/>
        <v>0</v>
      </c>
      <c r="M197" s="139">
        <f t="shared" si="160"/>
        <v>0</v>
      </c>
      <c r="N197" s="223">
        <v>0</v>
      </c>
      <c r="O197" s="170">
        <f t="shared" si="161"/>
        <v>297.5</v>
      </c>
      <c r="P197" s="204">
        <f>'Unitized Lighting'!E$21</f>
        <v>6.1581099210352255E-4</v>
      </c>
      <c r="Q197" s="208">
        <f>'Unitized Lighting'!$E$45</f>
        <v>0</v>
      </c>
      <c r="R197" s="208">
        <f>'Unitized Lighting'!E$74</f>
        <v>0</v>
      </c>
      <c r="S197" s="208">
        <f>'Unitized Lighting'!$E$116</f>
        <v>0.15791466263646622</v>
      </c>
      <c r="T197" s="208">
        <f>'Unitized Lighting'!$E$123</f>
        <v>1.0508189438633434E-4</v>
      </c>
      <c r="U197" s="34">
        <f>IF(F197="Company", H197*P197, 0)</f>
        <v>3.1063169131380381</v>
      </c>
      <c r="V197" s="34">
        <f t="shared" si="163"/>
        <v>0</v>
      </c>
      <c r="W197" s="34">
        <f t="shared" si="164"/>
        <v>0</v>
      </c>
      <c r="X197" s="34">
        <f>E197*S197/1000</f>
        <v>0.1342274632409963</v>
      </c>
      <c r="Y197" s="34">
        <f t="shared" si="166"/>
        <v>3.1261863579934469E-2</v>
      </c>
      <c r="Z197" s="198">
        <f>SUM(U197:Y197)</f>
        <v>3.2718062399589689</v>
      </c>
    </row>
    <row r="198" spans="1:26" x14ac:dyDescent="0.2">
      <c r="A198" s="167" t="s">
        <v>141</v>
      </c>
      <c r="B198" s="125"/>
      <c r="C198" s="126"/>
      <c r="D198" s="127"/>
      <c r="E198" s="128"/>
      <c r="F198" s="127"/>
      <c r="G198" s="212"/>
      <c r="H198" s="129"/>
      <c r="I198" s="126"/>
      <c r="J198" s="218"/>
      <c r="K198" s="150"/>
      <c r="L198" s="129"/>
      <c r="M198" s="131"/>
      <c r="N198" s="222">
        <v>0</v>
      </c>
      <c r="O198" s="168"/>
      <c r="P198" s="203"/>
      <c r="Q198" s="207"/>
      <c r="R198" s="207"/>
      <c r="S198" s="207"/>
      <c r="T198" s="207"/>
      <c r="U198" s="43"/>
      <c r="V198" s="43"/>
      <c r="W198" s="43"/>
      <c r="X198" s="43"/>
      <c r="Y198" s="43"/>
      <c r="Z198" s="197"/>
    </row>
    <row r="199" spans="1:26" x14ac:dyDescent="0.2">
      <c r="A199" s="181" t="s">
        <v>140</v>
      </c>
      <c r="B199" s="137" t="s">
        <v>139</v>
      </c>
      <c r="C199" s="133" t="s">
        <v>242</v>
      </c>
      <c r="D199" s="133" t="s">
        <v>243</v>
      </c>
      <c r="E199" s="134">
        <v>935514.08333333337</v>
      </c>
      <c r="F199" s="133" t="s">
        <v>27</v>
      </c>
      <c r="G199" s="213">
        <v>1</v>
      </c>
      <c r="H199" s="135" t="s">
        <v>138</v>
      </c>
      <c r="I199" s="136" t="s">
        <v>137</v>
      </c>
      <c r="J199" s="219">
        <v>0</v>
      </c>
      <c r="K199" s="138">
        <f>IF(I199="Yes",G199*J199,0)</f>
        <v>0</v>
      </c>
      <c r="L199" s="135">
        <f>IF(F199="Company", G199*H199,0)</f>
        <v>0</v>
      </c>
      <c r="M199" s="139">
        <f>E199*G199/1000</f>
        <v>935.51408333333336</v>
      </c>
      <c r="N199" s="223">
        <v>8195103.3700000001</v>
      </c>
      <c r="O199" s="170">
        <f>E199*8760/1000/12</f>
        <v>682925.28083333338</v>
      </c>
      <c r="P199" s="263">
        <f>'Unitized Lighting'!E$21</f>
        <v>6.1581099210352255E-4</v>
      </c>
      <c r="Q199" s="264">
        <f>'Unitized Lighting'!$E$45</f>
        <v>0</v>
      </c>
      <c r="R199" s="264">
        <f>'Unitized Lighting'!$E$86</f>
        <v>0</v>
      </c>
      <c r="S199" s="264">
        <f>'Unitized Lighting'!$E$96</f>
        <v>0.1217998090969671</v>
      </c>
      <c r="T199" s="264">
        <f>'Unitized Lighting'!$E$123</f>
        <v>1.0508189438633434E-4</v>
      </c>
      <c r="U199" s="192">
        <f>P199/1000</f>
        <v>6.1581099210352252E-7</v>
      </c>
      <c r="V199" s="265">
        <f>IF(I199="yes", J199*Q199, 0)</f>
        <v>0</v>
      </c>
      <c r="W199" s="265">
        <f>E199*R199</f>
        <v>0</v>
      </c>
      <c r="X199" s="192">
        <f>S199/1000</f>
        <v>1.217998090969671E-4</v>
      </c>
      <c r="Y199" s="192">
        <f>(T199/1000)*(8760/12)</f>
        <v>7.6709782902024067E-5</v>
      </c>
      <c r="Z199" s="266">
        <f>SUM(U199:Y199)</f>
        <v>1.9912540299109468E-4</v>
      </c>
    </row>
    <row r="200" spans="1:26" x14ac:dyDescent="0.2">
      <c r="A200" s="167" t="s">
        <v>136</v>
      </c>
      <c r="B200" s="125"/>
      <c r="C200" s="126"/>
      <c r="D200" s="127"/>
      <c r="E200" s="128"/>
      <c r="F200" s="127"/>
      <c r="G200" s="212"/>
      <c r="H200" s="129"/>
      <c r="I200" s="126"/>
      <c r="J200" s="218"/>
      <c r="K200" s="150"/>
      <c r="L200" s="129"/>
      <c r="M200" s="131"/>
      <c r="N200" s="222"/>
      <c r="O200" s="168"/>
      <c r="P200" s="203"/>
      <c r="Q200" s="207"/>
      <c r="R200" s="207"/>
      <c r="S200" s="207"/>
      <c r="T200" s="207"/>
      <c r="U200" s="43"/>
      <c r="V200" s="43"/>
      <c r="W200" s="43"/>
      <c r="X200" s="43"/>
      <c r="Y200" s="43"/>
      <c r="Z200" s="197"/>
    </row>
    <row r="201" spans="1:26" x14ac:dyDescent="0.2">
      <c r="A201" s="180" t="s">
        <v>135</v>
      </c>
      <c r="B201" s="148" t="s">
        <v>4</v>
      </c>
      <c r="C201" s="133" t="s">
        <v>244</v>
      </c>
      <c r="D201" s="133" t="s">
        <v>4</v>
      </c>
      <c r="E201" s="133"/>
      <c r="F201" s="133" t="s">
        <v>216</v>
      </c>
      <c r="G201" s="213">
        <v>612</v>
      </c>
      <c r="H201" s="253">
        <v>959.25797583146004</v>
      </c>
      <c r="I201" s="136" t="s">
        <v>131</v>
      </c>
      <c r="J201" s="219">
        <v>1</v>
      </c>
      <c r="K201" s="138">
        <f>IF(I201="Yes",G201*J201,0)</f>
        <v>612</v>
      </c>
      <c r="L201" s="135">
        <f>IF(F201="Company", G201*H201,0)</f>
        <v>587065.88120885356</v>
      </c>
      <c r="M201" s="139">
        <f>E201*G201/1000</f>
        <v>0</v>
      </c>
      <c r="N201" s="219">
        <v>0</v>
      </c>
      <c r="O201" s="170">
        <f>E201*4200/1000/12</f>
        <v>0</v>
      </c>
      <c r="P201" s="204">
        <f>'Unitized Lighting'!E$27</f>
        <v>6.1581099210352255E-4</v>
      </c>
      <c r="Q201" s="208">
        <f>'Unitized Lighting'!$E$45</f>
        <v>0</v>
      </c>
      <c r="R201" s="208">
        <f>'Unitized Lighting'!E$74</f>
        <v>0</v>
      </c>
      <c r="S201" s="208">
        <f>'Unitized Lighting'!$E$116</f>
        <v>0.15791466263646622</v>
      </c>
      <c r="T201" s="208">
        <f>'Unitized Lighting'!$E$123</f>
        <v>1.0508189438633434E-4</v>
      </c>
      <c r="U201" s="34">
        <f>IF(F201="Company", H201*P201, 0)</f>
        <v>0.59072160577998822</v>
      </c>
      <c r="V201" s="34">
        <f>IF(I201="yes", J201*Q201, 0)</f>
        <v>0</v>
      </c>
      <c r="W201" s="34">
        <f>R201*O201</f>
        <v>0</v>
      </c>
      <c r="X201" s="34">
        <f>E201*S201/1000</f>
        <v>0</v>
      </c>
      <c r="Y201" s="34">
        <f>O201*T201</f>
        <v>0</v>
      </c>
      <c r="Z201" s="198">
        <f>SUM(U201:Y201)</f>
        <v>0.59072160577998822</v>
      </c>
    </row>
    <row r="202" spans="1:26" x14ac:dyDescent="0.2">
      <c r="A202" s="180" t="s">
        <v>134</v>
      </c>
      <c r="B202" s="148" t="s">
        <v>132</v>
      </c>
      <c r="C202" s="133" t="s">
        <v>244</v>
      </c>
      <c r="D202" s="133" t="s">
        <v>132</v>
      </c>
      <c r="E202" s="133"/>
      <c r="F202" s="133" t="s">
        <v>216</v>
      </c>
      <c r="G202" s="213">
        <v>340</v>
      </c>
      <c r="H202" s="253">
        <v>1918.5159516629201</v>
      </c>
      <c r="I202" s="136" t="s">
        <v>131</v>
      </c>
      <c r="J202" s="219">
        <v>1</v>
      </c>
      <c r="K202" s="138">
        <f>IF(I202="Yes",G202*J202,0)</f>
        <v>340</v>
      </c>
      <c r="L202" s="135">
        <f>IF(F202="Company", G202*H202,0)</f>
        <v>652295.42356539285</v>
      </c>
      <c r="M202" s="139">
        <f>E202*G202/1000</f>
        <v>0</v>
      </c>
      <c r="N202" s="219">
        <v>0</v>
      </c>
      <c r="O202" s="170">
        <f>E202*4200/1000/12</f>
        <v>0</v>
      </c>
      <c r="P202" s="204">
        <f>'Unitized Lighting'!E$27</f>
        <v>6.1581099210352255E-4</v>
      </c>
      <c r="Q202" s="208">
        <f>'Unitized Lighting'!$E$45</f>
        <v>0</v>
      </c>
      <c r="R202" s="208">
        <f>'Unitized Lighting'!E$74</f>
        <v>0</v>
      </c>
      <c r="S202" s="208">
        <f>'Unitized Lighting'!$E$116</f>
        <v>0.15791466263646622</v>
      </c>
      <c r="T202" s="208">
        <f>'Unitized Lighting'!$E$123</f>
        <v>1.0508189438633434E-4</v>
      </c>
      <c r="U202" s="34">
        <f>IF(F202="Company", H202*P202, 0)</f>
        <v>1.1814432115599764</v>
      </c>
      <c r="V202" s="34">
        <f>IF(I202="yes", J202*Q202, 0)</f>
        <v>0</v>
      </c>
      <c r="W202" s="34">
        <f>R202*O202</f>
        <v>0</v>
      </c>
      <c r="X202" s="34">
        <f>E202*S202/1000</f>
        <v>0</v>
      </c>
      <c r="Y202" s="34">
        <f>O202*T202</f>
        <v>0</v>
      </c>
      <c r="Z202" s="198">
        <f>SUM(U202:Y202)</f>
        <v>1.1814432115599764</v>
      </c>
    </row>
    <row r="203" spans="1:26" ht="10.95" customHeight="1" x14ac:dyDescent="0.2">
      <c r="A203" s="180"/>
      <c r="B203" s="137"/>
      <c r="C203" s="136"/>
      <c r="D203" s="137"/>
      <c r="E203" s="156"/>
      <c r="F203" s="137"/>
      <c r="G203" s="215"/>
      <c r="H203" s="253"/>
      <c r="I203" s="136"/>
      <c r="J203" s="219"/>
      <c r="K203" s="138"/>
      <c r="L203" s="135"/>
      <c r="M203" s="139"/>
      <c r="N203" s="219"/>
      <c r="O203" s="175"/>
      <c r="P203" s="204"/>
      <c r="Q203" s="208"/>
      <c r="R203" s="208"/>
      <c r="S203" s="208"/>
      <c r="T203" s="208"/>
      <c r="Z203" s="198"/>
    </row>
    <row r="204" spans="1:26" x14ac:dyDescent="0.2">
      <c r="A204" s="182" t="s">
        <v>133</v>
      </c>
      <c r="B204" s="157" t="s">
        <v>132</v>
      </c>
      <c r="C204" s="158" t="s">
        <v>244</v>
      </c>
      <c r="D204" s="158" t="s">
        <v>132</v>
      </c>
      <c r="E204" s="158"/>
      <c r="F204" s="158" t="s">
        <v>216</v>
      </c>
      <c r="G204" s="216">
        <v>156</v>
      </c>
      <c r="H204" s="254">
        <v>1918.5159516629201</v>
      </c>
      <c r="I204" s="159" t="s">
        <v>131</v>
      </c>
      <c r="J204" s="220">
        <v>1</v>
      </c>
      <c r="K204" s="160">
        <f>IF(I204="Yes",G204*J204,0)</f>
        <v>156</v>
      </c>
      <c r="L204" s="153">
        <f>IF(F204="Company", G204*H204,0)</f>
        <v>299288.48845941556</v>
      </c>
      <c r="M204" s="154">
        <f>E204*G204/1000</f>
        <v>0</v>
      </c>
      <c r="N204" s="220">
        <v>0</v>
      </c>
      <c r="O204" s="183">
        <f>E204*4200/1000/12</f>
        <v>0</v>
      </c>
      <c r="P204" s="206">
        <f>'Unitized Lighting'!E$27</f>
        <v>6.1581099210352255E-4</v>
      </c>
      <c r="Q204" s="210">
        <f>'Unitized Lighting'!$E$45</f>
        <v>0</v>
      </c>
      <c r="R204" s="210">
        <f>'Unitized Lighting'!E$74</f>
        <v>0</v>
      </c>
      <c r="S204" s="210">
        <f>'Unitized Lighting'!$E$116</f>
        <v>0.15791466263646622</v>
      </c>
      <c r="T204" s="210">
        <f>'Unitized Lighting'!$E$123</f>
        <v>1.0508189438633434E-4</v>
      </c>
      <c r="U204" s="42">
        <f>IF(F204="Company", H204*P204, 0)</f>
        <v>1.1814432115599764</v>
      </c>
      <c r="V204" s="42">
        <f>IF(I204="yes", J204*Q204, 0)</f>
        <v>0</v>
      </c>
      <c r="W204" s="42">
        <f>R204*O204</f>
        <v>0</v>
      </c>
      <c r="X204" s="42">
        <f>E204*S204/1000</f>
        <v>0</v>
      </c>
      <c r="Y204" s="42">
        <f>O204*T204</f>
        <v>0</v>
      </c>
      <c r="Z204" s="199">
        <f>SUM(U204:Y204)</f>
        <v>1.1814432115599764</v>
      </c>
    </row>
    <row r="205" spans="1:26" ht="10.8" thickBot="1" x14ac:dyDescent="0.25">
      <c r="A205" s="184"/>
      <c r="B205" s="185"/>
      <c r="C205" s="186"/>
      <c r="D205" s="185"/>
      <c r="E205" s="187"/>
      <c r="F205" s="188"/>
      <c r="G205" s="217">
        <f>SUM(G4:G204)</f>
        <v>120020</v>
      </c>
      <c r="H205" s="189"/>
      <c r="I205" s="186"/>
      <c r="J205" s="221"/>
      <c r="K205" s="185"/>
      <c r="L205" s="190">
        <f>SUM(L201:L204)</f>
        <v>1538649.7932336619</v>
      </c>
      <c r="M205" s="188"/>
      <c r="N205" s="217">
        <f>SUM(N4:N204)</f>
        <v>65151042.969999999</v>
      </c>
      <c r="O205" s="191"/>
      <c r="P205" s="200"/>
      <c r="Q205" s="211"/>
      <c r="R205" s="211"/>
      <c r="S205" s="211"/>
      <c r="T205" s="211"/>
      <c r="U205" s="201"/>
      <c r="V205" s="201"/>
      <c r="W205" s="201"/>
      <c r="X205" s="201"/>
      <c r="Y205" s="201"/>
      <c r="Z205" s="202"/>
    </row>
  </sheetData>
  <mergeCells count="2">
    <mergeCell ref="A1:O1"/>
    <mergeCell ref="P1:Z1"/>
  </mergeCells>
  <pageMargins left="0.7" right="0.7" top="0.75" bottom="0.75" header="0.3" footer="0.3"/>
  <pageSetup paperSize="5" scale="46" fitToWidth="2" fitToHeight="2" orientation="landscape" r:id="rId1"/>
  <headerFooter>
    <oddFooter>&amp;R&amp;F&amp;A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6E9E77519CFD240AC15C1F07276AA5E" ma:contentTypeVersion="24" ma:contentTypeDescription="" ma:contentTypeScope="" ma:versionID="eee9e8bd988d9cda705db7b55ff21e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2023-03-31T07:00:00+00:00</OpenedDate>
    <SignificantOrder xmlns="dc463f71-b30c-4ab2-9473-d307f9d35888">false</SignificantOrder>
    <Date1 xmlns="dc463f71-b30c-4ab2-9473-d307f9d35888">2023-03-31T07:00:00+00:00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EEB5B46-88EE-40AE-9AD0-A07DB3F90DA5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E349F1B4-4A50-401F-9865-E0786A030DDE}"/>
</file>

<file path=customXml/itemProps3.xml><?xml version="1.0" encoding="utf-8"?>
<ds:datastoreItem xmlns:ds="http://schemas.openxmlformats.org/officeDocument/2006/customXml" ds:itemID="{07EE7002-2008-4895-8763-276C549D0946}"/>
</file>

<file path=customXml/itemProps4.xml><?xml version="1.0" encoding="utf-8"?>
<ds:datastoreItem xmlns:ds="http://schemas.openxmlformats.org/officeDocument/2006/customXml" ds:itemID="{D373F6DB-3E60-40D4-B6E7-200EDC8C0A73}"/>
</file>

<file path=customXml/itemProps5.xml><?xml version="1.0" encoding="utf-8"?>
<ds:datastoreItem xmlns:ds="http://schemas.openxmlformats.org/officeDocument/2006/customXml" ds:itemID="{1306BF4D-0B51-4234-877B-F0210CCCB6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Sch 140 Lighting RD</vt:lpstr>
      <vt:lpstr>Plant-in-Service Allocations</vt:lpstr>
      <vt:lpstr>Unitized Lighting</vt:lpstr>
      <vt:lpstr>Adjusted Lamp Cost Allocations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Regan, Jared</dc:creator>
  <cp:lastModifiedBy>Regan, Jared</cp:lastModifiedBy>
  <dcterms:created xsi:type="dcterms:W3CDTF">2021-03-10T01:24:01Z</dcterms:created>
  <dcterms:modified xsi:type="dcterms:W3CDTF">2023-03-31T21:42:43Z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0x0101006E56B4D1795A2E4DB2F0B01679ED314A00F6E9E77519CFD240AC15C1F07276AA5E</vt:lpwstr>
  </property>
  <property fmtid="{D5CDD505-2E9C-101B-9397-08002B2CF9AE}" pid="3" name="_docset_NoMedatataSyncRequired">
    <vt:lpwstr>False</vt:lpwstr>
  </property>
</Properties>
</file>