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weinst\OneDrive - Waste Management\Documents\WUTC Rate Cases\WM Wenatchee\Commodity Rebate\2022\"/>
    </mc:Choice>
  </mc:AlternateContent>
  <xr:revisionPtr revIDLastSave="0" documentId="13_ncr:1_{F262680F-00CD-41CD-AA55-84EB1DF84BDB}" xr6:coauthVersionLast="47" xr6:coauthVersionMax="47" xr10:uidLastSave="{00000000-0000-0000-0000-000000000000}"/>
  <bookViews>
    <workbookView xWindow="34350" yWindow="3285" windowWidth="19185" windowHeight="9180" xr2:uid="{C067B418-F733-4553-9C1E-04EBF145E0B6}"/>
  </bookViews>
  <sheets>
    <sheet name="Rebate Calculation" sheetId="7" r:id="rId1"/>
    <sheet name="Recycling Revenue" sheetId="5" r:id="rId2"/>
    <sheet name="Customers" sheetId="6" r:id="rId3"/>
    <sheet name="Rebate Data" sheetId="4" r:id="rId4"/>
    <sheet name="SMaRT Tons Sold" sheetId="2" r:id="rId5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16" i="4" l="1"/>
  <c r="C19" i="5" l="1"/>
  <c r="D19" i="5"/>
  <c r="E19" i="5"/>
  <c r="D18" i="6"/>
  <c r="C18" i="6"/>
  <c r="D13" i="5"/>
  <c r="D17" i="6"/>
  <c r="C17" i="6"/>
  <c r="D18" i="5"/>
  <c r="E18" i="5"/>
  <c r="D17" i="5"/>
  <c r="E17" i="5"/>
  <c r="D16" i="5"/>
  <c r="E16" i="5"/>
  <c r="D15" i="5"/>
  <c r="E15" i="5"/>
  <c r="D14" i="5"/>
  <c r="E14" i="5"/>
  <c r="E13" i="5"/>
  <c r="D12" i="5"/>
  <c r="E12" i="5"/>
  <c r="E11" i="5"/>
  <c r="D11" i="5"/>
  <c r="D10" i="5"/>
  <c r="E10" i="5"/>
  <c r="D9" i="5"/>
  <c r="E9" i="5"/>
  <c r="D16" i="6"/>
  <c r="C16" i="6"/>
  <c r="D15" i="6"/>
  <c r="C15" i="6"/>
  <c r="D14" i="6"/>
  <c r="C14" i="6"/>
  <c r="D13" i="6"/>
  <c r="C13" i="6"/>
  <c r="D12" i="6"/>
  <c r="C12" i="6"/>
  <c r="D11" i="6"/>
  <c r="C11" i="6"/>
  <c r="D10" i="6"/>
  <c r="C10" i="6"/>
  <c r="D9" i="6"/>
  <c r="C9" i="6"/>
  <c r="D8" i="6"/>
  <c r="C8" i="6"/>
  <c r="V16" i="4"/>
  <c r="T16" i="4"/>
  <c r="R16" i="4"/>
  <c r="P16" i="4"/>
  <c r="N16" i="4"/>
  <c r="L16" i="4"/>
  <c r="J16" i="4"/>
  <c r="H16" i="4"/>
  <c r="F16" i="4"/>
  <c r="D16" i="4" l="1"/>
  <c r="C11" i="7" l="1"/>
  <c r="C10" i="7"/>
  <c r="B16" i="4"/>
  <c r="D8" i="5" l="1"/>
  <c r="E8" i="5"/>
  <c r="C7" i="6"/>
  <c r="A23" i="7"/>
  <c r="D10" i="7"/>
  <c r="C12" i="7"/>
  <c r="E18" i="7" l="1"/>
  <c r="E24" i="7"/>
  <c r="E10" i="7"/>
  <c r="C18" i="5"/>
  <c r="C17" i="5" l="1"/>
  <c r="J10" i="7" l="1"/>
  <c r="I12" i="7" l="1"/>
  <c r="K18" i="7" s="1"/>
  <c r="K10" i="7"/>
  <c r="K24" i="7" l="1"/>
  <c r="Q10" i="7" l="1"/>
  <c r="O12" i="7" l="1"/>
  <c r="Q18" i="7" s="1"/>
  <c r="Q24" i="7" l="1"/>
  <c r="B53" i="4"/>
  <c r="D53" i="4"/>
  <c r="F53" i="4"/>
  <c r="H53" i="4"/>
  <c r="J53" i="4"/>
  <c r="L53" i="4"/>
  <c r="N53" i="4"/>
  <c r="P53" i="4"/>
  <c r="R53" i="4"/>
  <c r="T53" i="4"/>
  <c r="V53" i="4"/>
  <c r="X53" i="4"/>
  <c r="X45" i="4" l="1"/>
  <c r="X44" i="4"/>
  <c r="X43" i="4"/>
  <c r="X42" i="4"/>
  <c r="X41" i="4"/>
  <c r="X40" i="4"/>
  <c r="X39" i="4"/>
  <c r="X38" i="4"/>
  <c r="X37" i="4"/>
  <c r="X36" i="4"/>
  <c r="X46" i="4" l="1"/>
  <c r="C19" i="2" s="1"/>
  <c r="X52" i="4"/>
  <c r="X54" i="4" s="1"/>
  <c r="V45" i="4"/>
  <c r="V44" i="4"/>
  <c r="V43" i="4"/>
  <c r="V42" i="4"/>
  <c r="V41" i="4"/>
  <c r="V40" i="4"/>
  <c r="V39" i="4"/>
  <c r="V38" i="4"/>
  <c r="V37" i="4"/>
  <c r="V36" i="4"/>
  <c r="V52" i="4" l="1"/>
  <c r="V54" i="4" s="1"/>
  <c r="V46" i="4"/>
  <c r="C18" i="2" s="1"/>
  <c r="W10" i="7" l="1"/>
  <c r="T45" i="4" l="1"/>
  <c r="T44" i="4"/>
  <c r="T43" i="4"/>
  <c r="T42" i="4"/>
  <c r="T41" i="4"/>
  <c r="T40" i="4"/>
  <c r="T39" i="4"/>
  <c r="T38" i="4"/>
  <c r="T37" i="4"/>
  <c r="T36" i="4"/>
  <c r="T46" i="4" l="1"/>
  <c r="C17" i="2" s="1"/>
  <c r="T52" i="4"/>
  <c r="T54" i="4" s="1"/>
  <c r="D45" i="4"/>
  <c r="D44" i="4"/>
  <c r="D43" i="4"/>
  <c r="D42" i="4"/>
  <c r="D41" i="4"/>
  <c r="D40" i="4"/>
  <c r="D39" i="4"/>
  <c r="D38" i="4"/>
  <c r="D37" i="4"/>
  <c r="D36" i="4"/>
  <c r="B45" i="4"/>
  <c r="B44" i="4"/>
  <c r="B43" i="4"/>
  <c r="B42" i="4"/>
  <c r="B41" i="4"/>
  <c r="B40" i="4"/>
  <c r="B39" i="4"/>
  <c r="B38" i="4"/>
  <c r="B37" i="4"/>
  <c r="B36" i="4"/>
  <c r="D52" i="4" l="1"/>
  <c r="D54" i="4" s="1"/>
  <c r="B52" i="4"/>
  <c r="B46" i="4"/>
  <c r="C8" i="2" s="1"/>
  <c r="D46" i="4"/>
  <c r="C9" i="2" s="1"/>
  <c r="B54" i="4" l="1"/>
  <c r="D17" i="4"/>
  <c r="B17" i="4"/>
  <c r="C11" i="5"/>
  <c r="E17" i="4" l="1"/>
  <c r="D48" i="4"/>
  <c r="B9" i="2" s="1"/>
  <c r="C17" i="4"/>
  <c r="B48" i="4"/>
  <c r="B8" i="2" s="1"/>
  <c r="E7" i="4"/>
  <c r="E8" i="4"/>
  <c r="E11" i="4"/>
  <c r="E12" i="4"/>
  <c r="E13" i="4"/>
  <c r="E16" i="4"/>
  <c r="F9" i="5" s="1"/>
  <c r="G9" i="5" s="1"/>
  <c r="H9" i="5" s="1"/>
  <c r="C9" i="4"/>
  <c r="C11" i="4"/>
  <c r="C15" i="4"/>
  <c r="C16" i="4"/>
  <c r="F8" i="5" s="1"/>
  <c r="G8" i="5" s="1"/>
  <c r="H8" i="5" s="1"/>
  <c r="E9" i="4"/>
  <c r="E15" i="4"/>
  <c r="C7" i="4"/>
  <c r="C12" i="4"/>
  <c r="C8" i="4"/>
  <c r="C13" i="4"/>
  <c r="E6" i="4"/>
  <c r="E10" i="4"/>
  <c r="E14" i="4"/>
  <c r="C6" i="4"/>
  <c r="C10" i="4"/>
  <c r="C14" i="4"/>
  <c r="C16" i="5"/>
  <c r="D50" i="4" l="1"/>
  <c r="B50" i="4"/>
  <c r="R45" i="4"/>
  <c r="R44" i="4"/>
  <c r="R43" i="4"/>
  <c r="R42" i="4"/>
  <c r="R41" i="4"/>
  <c r="R40" i="4"/>
  <c r="R39" i="4"/>
  <c r="R38" i="4"/>
  <c r="R37" i="4"/>
  <c r="R36" i="4"/>
  <c r="X17" i="4"/>
  <c r="V17" i="4"/>
  <c r="T17" i="4"/>
  <c r="R17" i="4"/>
  <c r="S15" i="4" s="1"/>
  <c r="R52" i="4" l="1"/>
  <c r="R54" i="4" s="1"/>
  <c r="Y17" i="4"/>
  <c r="X48" i="4"/>
  <c r="B19" i="2" s="1"/>
  <c r="W17" i="4"/>
  <c r="V48" i="4"/>
  <c r="B18" i="2" s="1"/>
  <c r="U17" i="4"/>
  <c r="T48" i="4"/>
  <c r="B17" i="2" s="1"/>
  <c r="Y10" i="4"/>
  <c r="Y8" i="4"/>
  <c r="Y6" i="4"/>
  <c r="Y12" i="4"/>
  <c r="Y7" i="4"/>
  <c r="Y13" i="4"/>
  <c r="Y9" i="4"/>
  <c r="Y15" i="4"/>
  <c r="Y11" i="4"/>
  <c r="W13" i="4"/>
  <c r="W9" i="4"/>
  <c r="W6" i="4"/>
  <c r="W7" i="4"/>
  <c r="W11" i="4"/>
  <c r="W16" i="4"/>
  <c r="F18" i="5" s="1"/>
  <c r="G18" i="5" s="1"/>
  <c r="H18" i="5" s="1"/>
  <c r="W8" i="4"/>
  <c r="W12" i="4"/>
  <c r="W10" i="4"/>
  <c r="W15" i="4"/>
  <c r="U6" i="4"/>
  <c r="U14" i="4"/>
  <c r="U10" i="4"/>
  <c r="U11" i="4"/>
  <c r="U12" i="4"/>
  <c r="U16" i="4"/>
  <c r="F17" i="5" s="1"/>
  <c r="G17" i="5" s="1"/>
  <c r="H17" i="5" s="1"/>
  <c r="U7" i="4"/>
  <c r="U15" i="4"/>
  <c r="U8" i="4"/>
  <c r="U9" i="4"/>
  <c r="U13" i="4"/>
  <c r="S7" i="4"/>
  <c r="S11" i="4"/>
  <c r="S8" i="4"/>
  <c r="S12" i="4"/>
  <c r="S9" i="4"/>
  <c r="S13" i="4"/>
  <c r="S6" i="4"/>
  <c r="S10" i="4"/>
  <c r="S14" i="4"/>
  <c r="S17" i="4"/>
  <c r="R48" i="4"/>
  <c r="B16" i="2" s="1"/>
  <c r="R46" i="4"/>
  <c r="C16" i="2" s="1"/>
  <c r="Y14" i="4"/>
  <c r="Y16" i="4"/>
  <c r="F19" i="5" s="1"/>
  <c r="G19" i="5" s="1"/>
  <c r="H19" i="5" s="1"/>
  <c r="W14" i="4"/>
  <c r="S16" i="4"/>
  <c r="F16" i="5" s="1"/>
  <c r="G16" i="5" s="1"/>
  <c r="X50" i="4" l="1"/>
  <c r="I19" i="5" s="1"/>
  <c r="J19" i="5" s="1"/>
  <c r="D18" i="2"/>
  <c r="I18" i="5" s="1"/>
  <c r="J18" i="5" s="1"/>
  <c r="V50" i="4"/>
  <c r="D17" i="2"/>
  <c r="I17" i="5" s="1"/>
  <c r="J17" i="5" s="1"/>
  <c r="T50" i="4"/>
  <c r="R50" i="4"/>
  <c r="D16" i="2"/>
  <c r="I16" i="5" s="1"/>
  <c r="H16" i="5"/>
  <c r="D9" i="2"/>
  <c r="I9" i="5" s="1"/>
  <c r="J9" i="5" s="1"/>
  <c r="P45" i="4"/>
  <c r="P44" i="4"/>
  <c r="P43" i="4"/>
  <c r="P42" i="4"/>
  <c r="P41" i="4"/>
  <c r="P40" i="4"/>
  <c r="P39" i="4"/>
  <c r="P38" i="4"/>
  <c r="P37" i="4"/>
  <c r="P36" i="4"/>
  <c r="P17" i="4"/>
  <c r="P48" i="4" s="1"/>
  <c r="B15" i="2" s="1"/>
  <c r="D19" i="6"/>
  <c r="E8" i="6"/>
  <c r="F8" i="6" s="1"/>
  <c r="E9" i="6"/>
  <c r="F9" i="6" s="1"/>
  <c r="E10" i="6"/>
  <c r="F10" i="6" s="1"/>
  <c r="E11" i="6"/>
  <c r="F11" i="6" s="1"/>
  <c r="E12" i="6"/>
  <c r="F12" i="6" s="1"/>
  <c r="E13" i="6"/>
  <c r="F13" i="6" s="1"/>
  <c r="E14" i="6"/>
  <c r="F14" i="6" s="1"/>
  <c r="E15" i="6"/>
  <c r="F15" i="6" s="1"/>
  <c r="E16" i="6"/>
  <c r="F16" i="6" s="1"/>
  <c r="E17" i="6"/>
  <c r="F17" i="6" s="1"/>
  <c r="E18" i="6"/>
  <c r="F18" i="6" s="1"/>
  <c r="E7" i="6"/>
  <c r="F7" i="6" s="1"/>
  <c r="C19" i="6"/>
  <c r="C12" i="5"/>
  <c r="C15" i="5"/>
  <c r="P52" i="4" l="1"/>
  <c r="P54" i="4" s="1"/>
  <c r="Q16" i="4"/>
  <c r="F15" i="5" s="1"/>
  <c r="G15" i="5" s="1"/>
  <c r="H15" i="5" s="1"/>
  <c r="Q17" i="4"/>
  <c r="J16" i="5"/>
  <c r="D8" i="2"/>
  <c r="I8" i="5" s="1"/>
  <c r="J8" i="5" s="1"/>
  <c r="E20" i="5"/>
  <c r="C14" i="5"/>
  <c r="C13" i="5"/>
  <c r="C9" i="5"/>
  <c r="E19" i="6"/>
  <c r="F19" i="6" s="1"/>
  <c r="P46" i="4"/>
  <c r="C15" i="2" s="1"/>
  <c r="Q6" i="4"/>
  <c r="Q9" i="4"/>
  <c r="Q11" i="4"/>
  <c r="Q13" i="4"/>
  <c r="Q7" i="4"/>
  <c r="Q14" i="4"/>
  <c r="Q10" i="4"/>
  <c r="Q15" i="4"/>
  <c r="Q8" i="4"/>
  <c r="Q12" i="4"/>
  <c r="C8" i="5"/>
  <c r="C10" i="5"/>
  <c r="W11" i="7" l="1"/>
  <c r="W12" i="7" s="1"/>
  <c r="W16" i="7" s="1"/>
  <c r="U12" i="7"/>
  <c r="P50" i="4"/>
  <c r="D15" i="2"/>
  <c r="I15" i="5" s="1"/>
  <c r="J15" i="5" s="1"/>
  <c r="N45" i="4"/>
  <c r="N44" i="4"/>
  <c r="N43" i="4"/>
  <c r="N42" i="4"/>
  <c r="N41" i="4"/>
  <c r="N40" i="4"/>
  <c r="N39" i="4"/>
  <c r="N38" i="4"/>
  <c r="N37" i="4"/>
  <c r="N36" i="4"/>
  <c r="L45" i="4"/>
  <c r="L44" i="4"/>
  <c r="L43" i="4"/>
  <c r="L42" i="4"/>
  <c r="L41" i="4"/>
  <c r="L40" i="4"/>
  <c r="L39" i="4"/>
  <c r="L38" i="4"/>
  <c r="L37" i="4"/>
  <c r="L36" i="4"/>
  <c r="J45" i="4"/>
  <c r="J44" i="4"/>
  <c r="J43" i="4"/>
  <c r="J42" i="4"/>
  <c r="J41" i="4"/>
  <c r="J40" i="4"/>
  <c r="J39" i="4"/>
  <c r="J38" i="4"/>
  <c r="J37" i="4"/>
  <c r="J36" i="4"/>
  <c r="H45" i="4"/>
  <c r="H44" i="4"/>
  <c r="H43" i="4"/>
  <c r="H42" i="4"/>
  <c r="H41" i="4"/>
  <c r="H40" i="4"/>
  <c r="H39" i="4"/>
  <c r="H38" i="4"/>
  <c r="H37" i="4"/>
  <c r="H36" i="4"/>
  <c r="F45" i="4"/>
  <c r="F37" i="4"/>
  <c r="F38" i="4"/>
  <c r="F39" i="4"/>
  <c r="F40" i="4"/>
  <c r="F41" i="4"/>
  <c r="F42" i="4"/>
  <c r="F43" i="4"/>
  <c r="F44" i="4"/>
  <c r="F36" i="4"/>
  <c r="N17" i="4"/>
  <c r="O15" i="4" s="1"/>
  <c r="L17" i="4"/>
  <c r="M15" i="4" s="1"/>
  <c r="J17" i="4"/>
  <c r="K15" i="4" s="1"/>
  <c r="H17" i="4"/>
  <c r="H48" i="4" s="1"/>
  <c r="B11" i="2" s="1"/>
  <c r="F17" i="4"/>
  <c r="F48" i="4" s="1"/>
  <c r="B10" i="2" s="1"/>
  <c r="L52" i="4" l="1"/>
  <c r="L54" i="4" s="1"/>
  <c r="H52" i="4"/>
  <c r="H54" i="4" s="1"/>
  <c r="N52" i="4"/>
  <c r="N54" i="4" s="1"/>
  <c r="J52" i="4"/>
  <c r="J54" i="4" s="1"/>
  <c r="G9" i="4"/>
  <c r="F52" i="4"/>
  <c r="F46" i="4"/>
  <c r="C10" i="2" s="1"/>
  <c r="G14" i="4"/>
  <c r="W18" i="7"/>
  <c r="X20" i="7" s="1"/>
  <c r="W24" i="7"/>
  <c r="X25" i="7" s="1"/>
  <c r="P11" i="7" s="1"/>
  <c r="Q11" i="7" s="1"/>
  <c r="Q12" i="7" s="1"/>
  <c r="L46" i="4"/>
  <c r="C13" i="2" s="1"/>
  <c r="I10" i="4"/>
  <c r="N46" i="4"/>
  <c r="C14" i="2" s="1"/>
  <c r="H46" i="4"/>
  <c r="C11" i="2" s="1"/>
  <c r="O7" i="4"/>
  <c r="J46" i="4"/>
  <c r="C12" i="2" s="1"/>
  <c r="I7" i="4"/>
  <c r="M12" i="4"/>
  <c r="O10" i="4"/>
  <c r="M7" i="4"/>
  <c r="O12" i="4"/>
  <c r="G17" i="4"/>
  <c r="I12" i="4"/>
  <c r="M10" i="4"/>
  <c r="N48" i="4"/>
  <c r="B14" i="2" s="1"/>
  <c r="K10" i="4"/>
  <c r="G16" i="4"/>
  <c r="F10" i="5" s="1"/>
  <c r="G10" i="5" s="1"/>
  <c r="G13" i="4"/>
  <c r="G8" i="4"/>
  <c r="I8" i="4"/>
  <c r="I13" i="4"/>
  <c r="I16" i="4"/>
  <c r="F11" i="5" s="1"/>
  <c r="G11" i="5" s="1"/>
  <c r="H11" i="5" s="1"/>
  <c r="K8" i="4"/>
  <c r="K13" i="4"/>
  <c r="K16" i="4"/>
  <c r="F12" i="5" s="1"/>
  <c r="G12" i="5" s="1"/>
  <c r="H12" i="5" s="1"/>
  <c r="M8" i="4"/>
  <c r="M13" i="4"/>
  <c r="M16" i="4"/>
  <c r="F13" i="5" s="1"/>
  <c r="G13" i="5" s="1"/>
  <c r="H13" i="5" s="1"/>
  <c r="O8" i="4"/>
  <c r="O13" i="4"/>
  <c r="O16" i="4"/>
  <c r="F14" i="5" s="1"/>
  <c r="G14" i="5" s="1"/>
  <c r="H14" i="5" s="1"/>
  <c r="L48" i="4"/>
  <c r="B13" i="2" s="1"/>
  <c r="K7" i="4"/>
  <c r="G10" i="4"/>
  <c r="G12" i="4"/>
  <c r="G7" i="4"/>
  <c r="I9" i="4"/>
  <c r="I14" i="4"/>
  <c r="I17" i="4"/>
  <c r="K9" i="4"/>
  <c r="K14" i="4"/>
  <c r="K17" i="4"/>
  <c r="M9" i="4"/>
  <c r="M14" i="4"/>
  <c r="M17" i="4"/>
  <c r="O9" i="4"/>
  <c r="O14" i="4"/>
  <c r="O17" i="4"/>
  <c r="J48" i="4"/>
  <c r="B12" i="2" s="1"/>
  <c r="K12" i="4"/>
  <c r="G6" i="4"/>
  <c r="G15" i="4"/>
  <c r="G11" i="4"/>
  <c r="I6" i="4"/>
  <c r="I11" i="4"/>
  <c r="I15" i="4"/>
  <c r="K6" i="4"/>
  <c r="K11" i="4"/>
  <c r="M6" i="4"/>
  <c r="M11" i="4"/>
  <c r="O6" i="4"/>
  <c r="O11" i="4"/>
  <c r="H10" i="5" l="1"/>
  <c r="H20" i="5" s="1"/>
  <c r="G20" i="5"/>
  <c r="F20" i="5" s="1"/>
  <c r="B20" i="2"/>
  <c r="D10" i="2"/>
  <c r="I10" i="5" s="1"/>
  <c r="F50" i="4"/>
  <c r="F54" i="4"/>
  <c r="X27" i="7"/>
  <c r="H50" i="4"/>
  <c r="D11" i="2"/>
  <c r="I11" i="5" s="1"/>
  <c r="J11" i="5" s="1"/>
  <c r="L50" i="4"/>
  <c r="D13" i="2"/>
  <c r="I13" i="5" s="1"/>
  <c r="J13" i="5" s="1"/>
  <c r="N50" i="4"/>
  <c r="D14" i="2"/>
  <c r="I14" i="5" s="1"/>
  <c r="J14" i="5" s="1"/>
  <c r="J50" i="4"/>
  <c r="D12" i="2"/>
  <c r="I12" i="5" s="1"/>
  <c r="J12" i="5" s="1"/>
  <c r="D19" i="2"/>
  <c r="J10" i="5" l="1"/>
  <c r="J20" i="5" s="1"/>
  <c r="C20" i="2"/>
  <c r="D20" i="2" s="1"/>
  <c r="K23" i="7" l="1"/>
  <c r="L25" i="7" s="1"/>
  <c r="D11" i="7" s="1"/>
  <c r="E11" i="7" s="1"/>
  <c r="E12" i="7" s="1"/>
  <c r="E14" i="7"/>
  <c r="I20" i="5"/>
  <c r="Q16" i="7" l="1"/>
  <c r="R20" i="7" s="1"/>
  <c r="Q23" i="7"/>
  <c r="R25" i="7" s="1"/>
  <c r="J11" i="7" s="1"/>
  <c r="K11" i="7" s="1"/>
  <c r="K12" i="7" s="1"/>
  <c r="K16" i="7" s="1"/>
  <c r="L20" i="7" s="1"/>
  <c r="L27" i="7" s="1"/>
  <c r="R27" i="7" l="1"/>
  <c r="C20" i="5"/>
  <c r="D20" i="5"/>
  <c r="E23" i="7" l="1"/>
  <c r="F25" i="7" s="1"/>
  <c r="E16" i="7"/>
  <c r="F20" i="7" s="1"/>
  <c r="F27" i="7" l="1"/>
</calcChain>
</file>

<file path=xl/sharedStrings.xml><?xml version="1.0" encoding="utf-8"?>
<sst xmlns="http://schemas.openxmlformats.org/spreadsheetml/2006/main" count="207" uniqueCount="79">
  <si>
    <t>Waste Management - Wenatchee</t>
  </si>
  <si>
    <t>SMaRT</t>
  </si>
  <si>
    <t>Tons</t>
  </si>
  <si>
    <t>Commodity</t>
  </si>
  <si>
    <t>Sold</t>
  </si>
  <si>
    <t>Revenue</t>
  </si>
  <si>
    <t>Rev./ton</t>
  </si>
  <si>
    <t>May</t>
  </si>
  <si>
    <t>Jun</t>
  </si>
  <si>
    <t>Jul</t>
  </si>
  <si>
    <t>Aug</t>
  </si>
  <si>
    <t>Sep</t>
  </si>
  <si>
    <t>Oct</t>
  </si>
  <si>
    <t>Nov</t>
  </si>
  <si>
    <t>Dec</t>
  </si>
  <si>
    <t>Total Customers</t>
  </si>
  <si>
    <t>Jan</t>
  </si>
  <si>
    <t>Feb</t>
  </si>
  <si>
    <t>Mar</t>
  </si>
  <si>
    <t>Apr</t>
  </si>
  <si>
    <t>OCC</t>
  </si>
  <si>
    <t>Glass</t>
  </si>
  <si>
    <t>PET</t>
  </si>
  <si>
    <t>Newspaper</t>
  </si>
  <si>
    <t>Mix Paper</t>
  </si>
  <si>
    <t>Aluminum</t>
  </si>
  <si>
    <t>HDPE Natl</t>
  </si>
  <si>
    <t>HDPE Col</t>
  </si>
  <si>
    <t>#3 - 7</t>
  </si>
  <si>
    <t>Tin Cans</t>
  </si>
  <si>
    <t>%</t>
  </si>
  <si>
    <t>Residue</t>
  </si>
  <si>
    <t>Commodities Sold</t>
  </si>
  <si>
    <t>Prices:</t>
  </si>
  <si>
    <t>Revenue:</t>
  </si>
  <si>
    <t>Revenue/ton</t>
  </si>
  <si>
    <t>SMaRT Processed Tons</t>
  </si>
  <si>
    <t>UTC</t>
  </si>
  <si>
    <t>Non-UTC</t>
  </si>
  <si>
    <t>Total</t>
  </si>
  <si>
    <t>Residual</t>
  </si>
  <si>
    <t>Tonnage</t>
  </si>
  <si>
    <t>Less:</t>
  </si>
  <si>
    <t>% Residual</t>
  </si>
  <si>
    <t>2019 - 2020 Rebate Calculation</t>
  </si>
  <si>
    <t>Residential</t>
  </si>
  <si>
    <t>Customers</t>
  </si>
  <si>
    <t>Credit</t>
  </si>
  <si>
    <t>Credits</t>
  </si>
  <si>
    <t xml:space="preserve">Actual Commodity Revenue </t>
  </si>
  <si>
    <t>Owe Customer (company)</t>
  </si>
  <si>
    <t>Adjust for Under/(Over) payment in 2018-2019</t>
  </si>
  <si>
    <t>Projected Value</t>
  </si>
  <si>
    <t>Residential Commodity Adjustment - as calculated</t>
  </si>
  <si>
    <t>WM Wenatchee</t>
  </si>
  <si>
    <t>Projected Revenue Nov. 2018- Oct. 2019</t>
  </si>
  <si>
    <t>Projected Rev. Nov 2019-Oct 2020 (based on most recent 6 mo. avg.)</t>
  </si>
  <si>
    <t>Nov - Dec projected value without adjustment factor</t>
  </si>
  <si>
    <t>Jan - Oct projected value without adjustment factor</t>
  </si>
  <si>
    <t>Average</t>
  </si>
  <si>
    <t>Rate/ton</t>
  </si>
  <si>
    <t>Total Customers (annualized)</t>
  </si>
  <si>
    <t>Initial</t>
  </si>
  <si>
    <t>Month</t>
  </si>
  <si>
    <t>Calculation of Recycling Revenue</t>
  </si>
  <si>
    <t>Adjust for Under/(Over) payment in 2019-2020</t>
  </si>
  <si>
    <t>Recycling Customers - per Enspire</t>
  </si>
  <si>
    <t xml:space="preserve">Projected Rev. Nov 2020-Oct 2021 </t>
  </si>
  <si>
    <t>2020 - 2021 Rebate Calculation</t>
  </si>
  <si>
    <t>Projected Revenue Nov. 2020- Oct. 2021</t>
  </si>
  <si>
    <t>2021 - 2022 Rebate Calculation</t>
  </si>
  <si>
    <t>Projected Revenue Nov. 2021- Oct. 2022</t>
  </si>
  <si>
    <t>Adjust for Under/(Over) payment in 2020-2021</t>
  </si>
  <si>
    <t xml:space="preserve">Projected Rev. Nov 2021-Oct 2022 </t>
  </si>
  <si>
    <t>Residential Single-Stream from WM</t>
  </si>
  <si>
    <t>2022 - 2023 Rebate Calculation</t>
  </si>
  <si>
    <t>Projected Revenue Nov. 2022- Oct. 2023</t>
  </si>
  <si>
    <t>Nov., 2021</t>
  </si>
  <si>
    <t>Jan.,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</si>
</sst>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_)"/>
    <numFmt numFmtId="166" formatCode="_(* #,##0_);_(* \(#,##0\);_(* &quot;-&quot;??_);_(@_)"/>
    <numFmt numFmtId="167" formatCode="0.0%"/>
  </numFmts>
  <fonts count="7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u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b/>
      <u val="doubleAccounting"/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b/>
      <u val="double"/>
      <sz val="9"/>
      <name val="Arial"/>
      <family val="2"/>
    </font>
    <font>
      <u val="singleAccounting"/>
      <sz val="9"/>
      <name val="Arial"/>
      <family val="2"/>
    </font>
    <font>
      <sz val="11"/>
      <name val="Calibri"/>
      <family val="2"/>
      <scheme val="minor"/>
    </font>
    <font>
      <sz val="12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i/>
      <u/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b/>
      <sz val="12"/>
      <color indexed="12"/>
      <name val="Arial"/>
      <family val="2"/>
    </font>
    <font>
      <u val="singleAccounting"/>
      <sz val="12"/>
      <name val="Arial"/>
      <family val="2"/>
    </font>
    <font>
      <u val="doubleAccounting"/>
      <sz val="11"/>
      <color theme="1"/>
      <name val="Calibri"/>
      <family val="2"/>
      <scheme val="minor"/>
    </font>
    <font>
      <u val="singleAccounting"/>
      <sz val="11"/>
      <name val="Calibri"/>
      <family val="2"/>
      <scheme val="minor"/>
    </font>
    <font>
      <b/>
      <sz val="12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16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8"/>
      <name val="Arial"/>
      <family val="2"/>
    </font>
    <font>
      <sz val="11"/>
      <color indexed="8"/>
      <name val="Calibri"/>
      <family val="2"/>
    </font>
    <font>
      <sz val="8"/>
      <color indexed="56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0"/>
      <color theme="1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006100"/>
      <name val="Times New Roman"/>
      <family val="2"/>
    </font>
    <font>
      <sz val="10"/>
      <color rgb="FF9C0006"/>
      <name val="Times New Roman"/>
      <family val="2"/>
    </font>
    <font>
      <sz val="10"/>
      <color rgb="FF9C650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sz val="10"/>
      <color rgb="FFFF0000"/>
      <name val="Times New Roman"/>
      <family val="2"/>
    </font>
    <font>
      <i/>
      <sz val="10"/>
      <color rgb="FF7F7F7F"/>
      <name val="Times New Roman"/>
      <family val="2"/>
    </font>
    <font>
      <b/>
      <sz val="10"/>
      <color theme="1"/>
      <name val="Times New Roman"/>
      <family val="2"/>
    </font>
    <font>
      <sz val="10"/>
      <color theme="0"/>
      <name val="Times New Roman"/>
      <family val="2"/>
    </font>
    <font>
      <b/>
      <i/>
      <u/>
      <sz val="12"/>
      <color theme="1"/>
      <name val="Calibri"/>
      <family val="2"/>
      <scheme val="minor"/>
    </font>
    <font>
      <u/>
      <sz val="11"/>
      <name val="Calibri"/>
      <family val="2"/>
      <scheme val="minor"/>
    </font>
    <font>
      <u val="singleAccounting"/>
      <sz val="11"/>
      <color rgb="FFFF0000"/>
      <name val="Calibri"/>
      <family val="2"/>
      <scheme val="minor"/>
    </font>
    <font>
      <sz val="9"/>
      <color rgb="FFFF0000"/>
      <name val="Arial"/>
      <family val="2"/>
    </font>
    <font>
      <u val="singleAccounting"/>
      <sz val="9"/>
      <color rgb="FFFF0000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mediumGray">
        <fgColor indexed="22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32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2" fillId="0" borderId="14" applyNumberFormat="0" applyFill="0" applyAlignment="0" applyProtection="0"/>
    <xf numFmtId="0" fontId="33" fillId="0" borderId="15" applyNumberFormat="0" applyFill="0" applyAlignment="0" applyProtection="0"/>
    <xf numFmtId="0" fontId="34" fillId="0" borderId="16" applyNumberFormat="0" applyFill="0" applyAlignment="0" applyProtection="0"/>
    <xf numFmtId="0" fontId="34" fillId="0" borderId="0" applyNumberFormat="0" applyFill="0" applyBorder="0" applyAlignment="0" applyProtection="0"/>
    <xf numFmtId="0" fontId="35" fillId="5" borderId="0" applyNumberFormat="0" applyBorder="0" applyAlignment="0" applyProtection="0"/>
    <xf numFmtId="0" fontId="36" fillId="6" borderId="0" applyNumberFormat="0" applyBorder="0" applyAlignment="0" applyProtection="0"/>
    <xf numFmtId="0" fontId="38" fillId="8" borderId="17" applyNumberFormat="0" applyAlignment="0" applyProtection="0"/>
    <xf numFmtId="0" fontId="39" fillId="9" borderId="18" applyNumberFormat="0" applyAlignment="0" applyProtection="0"/>
    <xf numFmtId="0" fontId="40" fillId="9" borderId="17" applyNumberFormat="0" applyAlignment="0" applyProtection="0"/>
    <xf numFmtId="0" fontId="41" fillId="0" borderId="19" applyNumberFormat="0" applyFill="0" applyAlignment="0" applyProtection="0"/>
    <xf numFmtId="0" fontId="42" fillId="10" borderId="20" applyNumberFormat="0" applyAlignment="0" applyProtection="0"/>
    <xf numFmtId="0" fontId="43" fillId="0" borderId="0" applyNumberFormat="0" applyFill="0" applyBorder="0" applyAlignment="0" applyProtection="0"/>
    <xf numFmtId="0" fontId="1" fillId="11" borderId="21" applyNumberFormat="0" applyFont="0" applyAlignment="0" applyProtection="0"/>
    <xf numFmtId="0" fontId="44" fillId="0" borderId="0" applyNumberFormat="0" applyFill="0" applyBorder="0" applyAlignment="0" applyProtection="0"/>
    <xf numFmtId="0" fontId="2" fillId="0" borderId="22" applyNumberFormat="0" applyFill="0" applyAlignment="0" applyProtection="0"/>
    <xf numFmtId="0" fontId="45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45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45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45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45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45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7" borderId="0" applyNumberFormat="0" applyBorder="0" applyAlignment="0" applyProtection="0"/>
    <xf numFmtId="0" fontId="45" fillId="15" borderId="0" applyNumberFormat="0" applyBorder="0" applyAlignment="0" applyProtection="0"/>
    <xf numFmtId="0" fontId="45" fillId="19" borderId="0" applyNumberFormat="0" applyBorder="0" applyAlignment="0" applyProtection="0"/>
    <xf numFmtId="0" fontId="45" fillId="23" borderId="0" applyNumberFormat="0" applyBorder="0" applyAlignment="0" applyProtection="0"/>
    <xf numFmtId="0" fontId="45" fillId="27" borderId="0" applyNumberFormat="0" applyBorder="0" applyAlignment="0" applyProtection="0"/>
    <xf numFmtId="0" fontId="45" fillId="31" borderId="0" applyNumberFormat="0" applyBorder="0" applyAlignment="0" applyProtection="0"/>
    <xf numFmtId="0" fontId="45" fillId="35" borderId="0" applyNumberFormat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43" fontId="23" fillId="0" borderId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8" fillId="37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9" fontId="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38" fontId="50" fillId="0" borderId="0" applyNumberFormat="0" applyFont="0" applyFill="0" applyBorder="0">
      <alignment horizontal="left" indent="4"/>
      <protection locked="0"/>
    </xf>
    <xf numFmtId="0" fontId="51" fillId="0" borderId="0" applyNumberFormat="0" applyFont="0" applyFill="0" applyBorder="0" applyAlignment="0" applyProtection="0">
      <alignment horizontal="left"/>
    </xf>
    <xf numFmtId="15" fontId="51" fillId="0" borderId="0" applyFont="0" applyFill="0" applyBorder="0" applyAlignment="0" applyProtection="0"/>
    <xf numFmtId="4" fontId="51" fillId="0" borderId="0" applyFont="0" applyFill="0" applyBorder="0" applyAlignment="0" applyProtection="0"/>
    <xf numFmtId="0" fontId="52" fillId="0" borderId="12">
      <alignment horizontal="center"/>
    </xf>
    <xf numFmtId="3" fontId="51" fillId="0" borderId="0" applyFont="0" applyFill="0" applyBorder="0" applyAlignment="0" applyProtection="0"/>
    <xf numFmtId="0" fontId="51" fillId="38" borderId="0" applyNumberFormat="0" applyFont="0" applyBorder="0" applyAlignment="0" applyProtection="0"/>
    <xf numFmtId="166" fontId="17" fillId="36" borderId="0" applyFont="0" applyFill="0" applyBorder="0" applyAlignment="0" applyProtection="0">
      <alignment wrapText="1"/>
    </xf>
    <xf numFmtId="0" fontId="53" fillId="0" borderId="0"/>
    <xf numFmtId="43" fontId="53" fillId="0" borderId="0" applyFont="0" applyFill="0" applyBorder="0" applyAlignment="0" applyProtection="0"/>
    <xf numFmtId="0" fontId="54" fillId="0" borderId="14" applyNumberFormat="0" applyFill="0" applyAlignment="0" applyProtection="0"/>
    <xf numFmtId="0" fontId="55" fillId="0" borderId="15" applyNumberFormat="0" applyFill="0" applyAlignment="0" applyProtection="0"/>
    <xf numFmtId="0" fontId="56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57" fillId="5" borderId="0" applyNumberFormat="0" applyBorder="0" applyAlignment="0" applyProtection="0"/>
    <xf numFmtId="0" fontId="58" fillId="6" borderId="0" applyNumberFormat="0" applyBorder="0" applyAlignment="0" applyProtection="0"/>
    <xf numFmtId="0" fontId="59" fillId="7" borderId="0" applyNumberFormat="0" applyBorder="0" applyAlignment="0" applyProtection="0"/>
    <xf numFmtId="0" fontId="60" fillId="8" borderId="17" applyNumberFormat="0" applyAlignment="0" applyProtection="0"/>
    <xf numFmtId="0" fontId="61" fillId="9" borderId="18" applyNumberFormat="0" applyAlignment="0" applyProtection="0"/>
    <xf numFmtId="0" fontId="62" fillId="9" borderId="17" applyNumberFormat="0" applyAlignment="0" applyProtection="0"/>
    <xf numFmtId="0" fontId="63" fillId="0" borderId="19" applyNumberFormat="0" applyFill="0" applyAlignment="0" applyProtection="0"/>
    <xf numFmtId="0" fontId="64" fillId="10" borderId="20" applyNumberFormat="0" applyAlignment="0" applyProtection="0"/>
    <xf numFmtId="0" fontId="65" fillId="0" borderId="0" applyNumberFormat="0" applyFill="0" applyBorder="0" applyAlignment="0" applyProtection="0"/>
    <xf numFmtId="0" fontId="53" fillId="11" borderId="21" applyNumberFormat="0" applyFont="0" applyAlignment="0" applyProtection="0"/>
    <xf numFmtId="0" fontId="66" fillId="0" borderId="0" applyNumberFormat="0" applyFill="0" applyBorder="0" applyAlignment="0" applyProtection="0"/>
    <xf numFmtId="0" fontId="67" fillId="0" borderId="22" applyNumberFormat="0" applyFill="0" applyAlignment="0" applyProtection="0"/>
    <xf numFmtId="0" fontId="68" fillId="12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68" fillId="31" borderId="0" applyNumberFormat="0" applyBorder="0" applyAlignment="0" applyProtection="0"/>
    <xf numFmtId="0" fontId="68" fillId="32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68" fillId="35" borderId="0" applyNumberFormat="0" applyBorder="0" applyAlignment="0" applyProtection="0"/>
    <xf numFmtId="0" fontId="31" fillId="0" borderId="0" applyNumberFormat="0" applyFill="0" applyBorder="0" applyAlignment="0" applyProtection="0"/>
    <xf numFmtId="0" fontId="37" fillId="7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</cellStyleXfs>
  <cellXfs count="122">
    <xf numFmtId="0" fontId="0" fillId="0" borderId="0" xfId="0"/>
    <xf numFmtId="0" fontId="3" fillId="0" borderId="1" xfId="0" quotePrefix="1" applyFont="1" applyFill="1" applyBorder="1" applyAlignment="1">
      <alignment horizontal="left"/>
    </xf>
    <xf numFmtId="43" fontId="0" fillId="0" borderId="0" xfId="1" applyFont="1"/>
    <xf numFmtId="164" fontId="0" fillId="0" borderId="0" xfId="2" applyNumberFormat="1" applyFont="1"/>
    <xf numFmtId="0" fontId="4" fillId="0" borderId="0" xfId="0" applyFont="1"/>
    <xf numFmtId="0" fontId="5" fillId="0" borderId="0" xfId="0" applyFont="1"/>
    <xf numFmtId="165" fontId="6" fillId="2" borderId="0" xfId="0" applyNumberFormat="1" applyFont="1" applyFill="1" applyBorder="1" applyProtection="1"/>
    <xf numFmtId="43" fontId="2" fillId="0" borderId="0" xfId="1" applyFont="1" applyAlignment="1">
      <alignment horizontal="center"/>
    </xf>
    <xf numFmtId="164" fontId="2" fillId="0" borderId="0" xfId="2" applyNumberFormat="1" applyFont="1"/>
    <xf numFmtId="43" fontId="7" fillId="0" borderId="0" xfId="1" applyFont="1" applyAlignment="1">
      <alignment horizontal="center"/>
    </xf>
    <xf numFmtId="164" fontId="7" fillId="0" borderId="0" xfId="2" applyNumberFormat="1" applyFont="1" applyAlignment="1">
      <alignment horizontal="center"/>
    </xf>
    <xf numFmtId="44" fontId="7" fillId="0" borderId="0" xfId="2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/>
    <xf numFmtId="44" fontId="0" fillId="0" borderId="0" xfId="2" applyFont="1" applyFill="1"/>
    <xf numFmtId="0" fontId="0" fillId="0" borderId="0" xfId="0" applyFill="1"/>
    <xf numFmtId="0" fontId="11" fillId="0" borderId="0" xfId="0" applyFont="1" applyBorder="1"/>
    <xf numFmtId="0" fontId="10" fillId="0" borderId="0" xfId="0" applyFont="1" applyBorder="1"/>
    <xf numFmtId="10" fontId="12" fillId="0" borderId="0" xfId="3" applyNumberFormat="1" applyFont="1" applyBorder="1" applyAlignment="1">
      <alignment horizontal="right"/>
    </xf>
    <xf numFmtId="0" fontId="13" fillId="0" borderId="0" xfId="0" applyFont="1" applyFill="1"/>
    <xf numFmtId="0" fontId="11" fillId="0" borderId="0" xfId="0" applyFont="1"/>
    <xf numFmtId="0" fontId="10" fillId="0" borderId="2" xfId="0" applyFont="1" applyBorder="1" applyAlignment="1">
      <alignment horizontal="center"/>
    </xf>
    <xf numFmtId="43" fontId="12" fillId="0" borderId="0" xfId="1" applyFont="1" applyBorder="1" applyAlignment="1" applyProtection="1">
      <alignment horizontal="right"/>
      <protection locked="0"/>
    </xf>
    <xf numFmtId="0" fontId="13" fillId="0" borderId="0" xfId="0" applyFont="1" applyBorder="1"/>
    <xf numFmtId="10" fontId="14" fillId="0" borderId="0" xfId="3" applyNumberFormat="1" applyFont="1" applyBorder="1" applyAlignment="1">
      <alignment horizontal="right"/>
    </xf>
    <xf numFmtId="43" fontId="13" fillId="0" borderId="3" xfId="1" applyFont="1" applyBorder="1"/>
    <xf numFmtId="10" fontId="15" fillId="0" borderId="0" xfId="3" applyNumberFormat="1" applyFont="1" applyBorder="1" applyAlignment="1">
      <alignment horizontal="right"/>
    </xf>
    <xf numFmtId="43" fontId="9" fillId="0" borderId="0" xfId="0" applyNumberFormat="1" applyFont="1"/>
    <xf numFmtId="0" fontId="13" fillId="0" borderId="0" xfId="0" applyFont="1" applyFill="1" applyBorder="1"/>
    <xf numFmtId="0" fontId="7" fillId="0" borderId="0" xfId="0" applyFont="1"/>
    <xf numFmtId="164" fontId="0" fillId="0" borderId="0" xfId="0" applyNumberFormat="1"/>
    <xf numFmtId="164" fontId="8" fillId="0" borderId="0" xfId="0" applyNumberFormat="1" applyFont="1"/>
    <xf numFmtId="164" fontId="9" fillId="0" borderId="0" xfId="0" applyNumberFormat="1" applyFont="1"/>
    <xf numFmtId="44" fontId="9" fillId="0" borderId="0" xfId="2" applyFont="1"/>
    <xf numFmtId="167" fontId="0" fillId="0" borderId="0" xfId="3" applyNumberFormat="1" applyFont="1"/>
    <xf numFmtId="166" fontId="0" fillId="0" borderId="0" xfId="1" applyNumberFormat="1" applyFont="1"/>
    <xf numFmtId="44" fontId="0" fillId="0" borderId="0" xfId="2" applyFont="1"/>
    <xf numFmtId="43" fontId="0" fillId="0" borderId="0" xfId="0" applyNumberFormat="1"/>
    <xf numFmtId="44" fontId="7" fillId="0" borderId="0" xfId="2" applyFont="1"/>
    <xf numFmtId="10" fontId="0" fillId="0" borderId="0" xfId="1" applyNumberFormat="1" applyFont="1"/>
    <xf numFmtId="0" fontId="3" fillId="4" borderId="4" xfId="0" applyFont="1" applyFill="1" applyBorder="1"/>
    <xf numFmtId="0" fontId="17" fillId="4" borderId="5" xfId="0" applyFont="1" applyFill="1" applyBorder="1"/>
    <xf numFmtId="0" fontId="18" fillId="4" borderId="5" xfId="0" applyFont="1" applyFill="1" applyBorder="1"/>
    <xf numFmtId="0" fontId="18" fillId="4" borderId="6" xfId="0" applyFont="1" applyFill="1" applyBorder="1"/>
    <xf numFmtId="0" fontId="19" fillId="4" borderId="7" xfId="0" applyFont="1" applyFill="1" applyBorder="1"/>
    <xf numFmtId="0" fontId="19" fillId="4" borderId="0" xfId="0" applyFont="1" applyFill="1" applyBorder="1"/>
    <xf numFmtId="0" fontId="20" fillId="4" borderId="0" xfId="0" applyFont="1" applyFill="1" applyBorder="1"/>
    <xf numFmtId="0" fontId="18" fillId="4" borderId="0" xfId="0" applyFont="1" applyFill="1" applyBorder="1"/>
    <xf numFmtId="0" fontId="18" fillId="4" borderId="8" xfId="0" applyFont="1" applyFill="1" applyBorder="1"/>
    <xf numFmtId="15" fontId="19" fillId="4" borderId="7" xfId="0" applyNumberFormat="1" applyFont="1" applyFill="1" applyBorder="1"/>
    <xf numFmtId="15" fontId="19" fillId="4" borderId="0" xfId="0" applyNumberFormat="1" applyFont="1" applyFill="1" applyBorder="1"/>
    <xf numFmtId="0" fontId="18" fillId="4" borderId="7" xfId="0" applyFont="1" applyFill="1" applyBorder="1"/>
    <xf numFmtId="0" fontId="19" fillId="4" borderId="0" xfId="0" applyFont="1" applyFill="1" applyBorder="1" applyAlignment="1">
      <alignment horizontal="center"/>
    </xf>
    <xf numFmtId="0" fontId="22" fillId="4" borderId="0" xfId="0" applyFont="1" applyFill="1" applyBorder="1" applyAlignment="1">
      <alignment horizontal="center"/>
    </xf>
    <xf numFmtId="0" fontId="19" fillId="4" borderId="9" xfId="0" applyFont="1" applyFill="1" applyBorder="1"/>
    <xf numFmtId="0" fontId="18" fillId="4" borderId="0" xfId="0" applyFont="1" applyFill="1" applyBorder="1" applyAlignment="1">
      <alignment horizontal="center"/>
    </xf>
    <xf numFmtId="41" fontId="18" fillId="4" borderId="0" xfId="0" applyNumberFormat="1" applyFont="1" applyFill="1" applyBorder="1"/>
    <xf numFmtId="44" fontId="24" fillId="4" borderId="0" xfId="4" applyFont="1" applyFill="1" applyBorder="1"/>
    <xf numFmtId="0" fontId="17" fillId="4" borderId="7" xfId="0" applyFont="1" applyFill="1" applyBorder="1"/>
    <xf numFmtId="0" fontId="17" fillId="4" borderId="0" xfId="0" applyFont="1" applyFill="1" applyBorder="1"/>
    <xf numFmtId="41" fontId="25" fillId="4" borderId="0" xfId="0" applyNumberFormat="1" applyFont="1" applyFill="1" applyBorder="1"/>
    <xf numFmtId="44" fontId="17" fillId="4" borderId="8" xfId="4" applyNumberFormat="1" applyFont="1" applyFill="1" applyBorder="1"/>
    <xf numFmtId="44" fontId="17" fillId="4" borderId="8" xfId="4" applyFont="1" applyFill="1" applyBorder="1"/>
    <xf numFmtId="164" fontId="17" fillId="4" borderId="0" xfId="4" applyNumberFormat="1" applyFont="1" applyFill="1" applyBorder="1"/>
    <xf numFmtId="44" fontId="25" fillId="4" borderId="8" xfId="4" applyNumberFormat="1" applyFont="1" applyFill="1" applyBorder="1"/>
    <xf numFmtId="44" fontId="19" fillId="4" borderId="10" xfId="4" applyNumberFormat="1" applyFont="1" applyFill="1" applyBorder="1"/>
    <xf numFmtId="44" fontId="19" fillId="4" borderId="8" xfId="4" applyNumberFormat="1" applyFont="1" applyFill="1" applyBorder="1"/>
    <xf numFmtId="0" fontId="0" fillId="4" borderId="11" xfId="0" applyFill="1" applyBorder="1"/>
    <xf numFmtId="0" fontId="0" fillId="4" borderId="12" xfId="0" applyFill="1" applyBorder="1"/>
    <xf numFmtId="0" fontId="0" fillId="4" borderId="13" xfId="0" applyFill="1" applyBorder="1"/>
    <xf numFmtId="166" fontId="8" fillId="0" borderId="0" xfId="1" applyNumberFormat="1" applyFont="1"/>
    <xf numFmtId="167" fontId="8" fillId="0" borderId="0" xfId="3" applyNumberFormat="1" applyFont="1"/>
    <xf numFmtId="166" fontId="9" fillId="0" borderId="0" xfId="1" applyNumberFormat="1" applyFont="1"/>
    <xf numFmtId="167" fontId="9" fillId="0" borderId="0" xfId="3" applyNumberFormat="1" applyFont="1"/>
    <xf numFmtId="43" fontId="9" fillId="0" borderId="0" xfId="0" applyNumberFormat="1" applyFont="1" applyFill="1"/>
    <xf numFmtId="164" fontId="9" fillId="0" borderId="0" xfId="2" applyNumberFormat="1" applyFont="1" applyFill="1"/>
    <xf numFmtId="44" fontId="9" fillId="0" borderId="0" xfId="2" applyFont="1" applyFill="1"/>
    <xf numFmtId="0" fontId="2" fillId="0" borderId="0" xfId="0" applyFont="1" applyAlignment="1">
      <alignment horizontal="center"/>
    </xf>
    <xf numFmtId="44" fontId="0" fillId="0" borderId="0" xfId="0" applyNumberFormat="1"/>
    <xf numFmtId="43" fontId="8" fillId="0" borderId="0" xfId="0" applyNumberFormat="1" applyFont="1"/>
    <xf numFmtId="164" fontId="8" fillId="0" borderId="0" xfId="2" applyNumberFormat="1" applyFont="1"/>
    <xf numFmtId="43" fontId="9" fillId="0" borderId="0" xfId="1" applyFont="1"/>
    <xf numFmtId="0" fontId="26" fillId="0" borderId="0" xfId="0" applyFont="1"/>
    <xf numFmtId="164" fontId="9" fillId="0" borderId="0" xfId="2" applyNumberFormat="1" applyFont="1"/>
    <xf numFmtId="10" fontId="16" fillId="0" borderId="0" xfId="1" applyNumberFormat="1" applyFont="1"/>
    <xf numFmtId="44" fontId="27" fillId="0" borderId="0" xfId="0" applyNumberFormat="1" applyFont="1"/>
    <xf numFmtId="10" fontId="27" fillId="0" borderId="0" xfId="1" applyNumberFormat="1" applyFont="1"/>
    <xf numFmtId="0" fontId="28" fillId="4" borderId="0" xfId="0" applyFont="1" applyFill="1" applyBorder="1" applyAlignment="1">
      <alignment horizontal="center"/>
    </xf>
    <xf numFmtId="10" fontId="9" fillId="0" borderId="0" xfId="3" applyNumberFormat="1" applyFont="1"/>
    <xf numFmtId="0" fontId="29" fillId="0" borderId="0" xfId="0" applyFont="1"/>
    <xf numFmtId="0" fontId="30" fillId="0" borderId="0" xfId="0" applyFont="1" applyFill="1"/>
    <xf numFmtId="0" fontId="16" fillId="0" borderId="0" xfId="0" applyFont="1"/>
    <xf numFmtId="44" fontId="16" fillId="0" borderId="0" xfId="2" applyFont="1" applyFill="1"/>
    <xf numFmtId="44" fontId="70" fillId="0" borderId="0" xfId="2" applyFont="1" applyFill="1"/>
    <xf numFmtId="44" fontId="43" fillId="0" borderId="0" xfId="2" applyFont="1"/>
    <xf numFmtId="43" fontId="70" fillId="0" borderId="0" xfId="0" applyNumberFormat="1" applyFont="1" applyFill="1"/>
    <xf numFmtId="164" fontId="70" fillId="0" borderId="0" xfId="2" applyNumberFormat="1" applyFont="1" applyFill="1"/>
    <xf numFmtId="43" fontId="8" fillId="0" borderId="0" xfId="1" applyFont="1"/>
    <xf numFmtId="43" fontId="43" fillId="0" borderId="0" xfId="1" applyFont="1"/>
    <xf numFmtId="166" fontId="43" fillId="0" borderId="0" xfId="1" applyNumberFormat="1" applyFont="1"/>
    <xf numFmtId="43" fontId="72" fillId="0" borderId="0" xfId="1" applyFont="1" applyBorder="1" applyAlignment="1">
      <alignment horizontal="right"/>
    </xf>
    <xf numFmtId="43" fontId="73" fillId="0" borderId="0" xfId="1" applyFont="1" applyBorder="1" applyAlignment="1" applyProtection="1">
      <alignment horizontal="right"/>
      <protection locked="0"/>
    </xf>
    <xf numFmtId="43" fontId="72" fillId="0" borderId="0" xfId="1" applyFont="1" applyBorder="1" applyAlignment="1" applyProtection="1">
      <alignment horizontal="right"/>
      <protection locked="0"/>
    </xf>
    <xf numFmtId="43" fontId="72" fillId="0" borderId="0" xfId="1" applyFont="1" applyBorder="1" applyProtection="1">
      <protection locked="0"/>
    </xf>
    <xf numFmtId="43" fontId="73" fillId="0" borderId="0" xfId="1" applyFont="1" applyBorder="1" applyProtection="1">
      <protection locked="0"/>
    </xf>
    <xf numFmtId="44" fontId="72" fillId="0" borderId="0" xfId="2" applyFont="1" applyFill="1" applyBorder="1" applyProtection="1">
      <protection locked="0"/>
    </xf>
    <xf numFmtId="0" fontId="72" fillId="0" borderId="0" xfId="0" applyFont="1" applyBorder="1"/>
    <xf numFmtId="44" fontId="72" fillId="0" borderId="0" xfId="2" applyFont="1" applyBorder="1"/>
    <xf numFmtId="0" fontId="43" fillId="0" borderId="0" xfId="0" applyFont="1"/>
    <xf numFmtId="43" fontId="0" fillId="0" borderId="0" xfId="1" applyFont="1" applyFill="1"/>
    <xf numFmtId="43" fontId="43" fillId="0" borderId="0" xfId="1" applyFont="1" applyFill="1"/>
    <xf numFmtId="166" fontId="43" fillId="0" borderId="0" xfId="1" applyNumberFormat="1" applyFont="1" applyFill="1"/>
    <xf numFmtId="166" fontId="71" fillId="0" borderId="0" xfId="1" applyNumberFormat="1" applyFont="1" applyFill="1"/>
    <xf numFmtId="0" fontId="21" fillId="4" borderId="7" xfId="0" applyFont="1" applyFill="1" applyBorder="1" applyAlignment="1">
      <alignment horizontal="center"/>
    </xf>
    <xf numFmtId="0" fontId="21" fillId="4" borderId="0" xfId="0" applyFont="1" applyFill="1" applyBorder="1" applyAlignment="1">
      <alignment horizontal="center"/>
    </xf>
    <xf numFmtId="0" fontId="21" fillId="4" borderId="8" xfId="0" applyFont="1" applyFill="1" applyBorder="1" applyAlignment="1">
      <alignment horizontal="center"/>
    </xf>
    <xf numFmtId="0" fontId="69" fillId="0" borderId="0" xfId="0" applyFont="1" applyAlignment="1">
      <alignment horizontal="center"/>
    </xf>
    <xf numFmtId="17" fontId="10" fillId="3" borderId="0" xfId="0" applyNumberFormat="1" applyFont="1" applyFill="1" applyBorder="1" applyAlignment="1">
      <alignment horizontal="center"/>
    </xf>
    <xf numFmtId="43" fontId="71" fillId="0" borderId="0" xfId="1" applyFont="1" applyFill="1"/>
    <xf numFmtId="43" fontId="72" fillId="0" borderId="0" xfId="1" applyFont="1" applyFill="1" applyBorder="1" applyAlignment="1" applyProtection="1">
      <alignment horizontal="right"/>
      <protection locked="0"/>
    </xf>
    <xf numFmtId="43" fontId="73" fillId="0" borderId="0" xfId="1" applyFont="1" applyFill="1" applyBorder="1" applyAlignment="1" applyProtection="1">
      <alignment horizontal="right"/>
      <protection locked="0"/>
    </xf>
    <xf numFmtId="44" fontId="43" fillId="0" borderId="0" xfId="2" applyFont="1" applyFill="1"/>
  </cellXfs>
  <cellStyles count="132">
    <cellStyle name="20% - Accent1" xfId="21" builtinId="30" customBuiltin="1"/>
    <cellStyle name="20% - Accent1 2" xfId="101" xr:uid="{A7308BCC-A86F-4BB5-BDAF-6C431F42249E}"/>
    <cellStyle name="20% - Accent2" xfId="24" builtinId="34" customBuiltin="1"/>
    <cellStyle name="20% - Accent2 2" xfId="105" xr:uid="{2A50BA10-636B-41C1-B2F3-6E3C789DC8AB}"/>
    <cellStyle name="20% - Accent3" xfId="27" builtinId="38" customBuiltin="1"/>
    <cellStyle name="20% - Accent3 2" xfId="109" xr:uid="{DAEBEFE7-06BD-4BD4-8D2E-DB4B9CABD863}"/>
    <cellStyle name="20% - Accent4" xfId="30" builtinId="42" customBuiltin="1"/>
    <cellStyle name="20% - Accent4 2" xfId="113" xr:uid="{71A57D59-64DE-4ADC-8054-681FD331C96D}"/>
    <cellStyle name="20% - Accent5" xfId="33" builtinId="46" customBuiltin="1"/>
    <cellStyle name="20% - Accent5 2" xfId="117" xr:uid="{4AE8975C-0394-442F-A1FF-2AA7670A5578}"/>
    <cellStyle name="20% - Accent6" xfId="36" builtinId="50" customBuiltin="1"/>
    <cellStyle name="20% - Accent6 2" xfId="121" xr:uid="{B8156916-7E29-4A00-942A-B8B0B2FB4413}"/>
    <cellStyle name="40% - Accent1" xfId="22" builtinId="31" customBuiltin="1"/>
    <cellStyle name="40% - Accent1 2" xfId="102" xr:uid="{52989DFC-B143-407B-886C-D44B7FBE2973}"/>
    <cellStyle name="40% - Accent2" xfId="25" builtinId="35" customBuiltin="1"/>
    <cellStyle name="40% - Accent2 2" xfId="106" xr:uid="{AAE1A59E-A87B-474B-A5B2-E9EB2D57A5A0}"/>
    <cellStyle name="40% - Accent3" xfId="28" builtinId="39" customBuiltin="1"/>
    <cellStyle name="40% - Accent3 2" xfId="110" xr:uid="{16D1E5D0-D056-4E07-9A48-0294545AF7EC}"/>
    <cellStyle name="40% - Accent4" xfId="31" builtinId="43" customBuiltin="1"/>
    <cellStyle name="40% - Accent4 2" xfId="114" xr:uid="{D6CDCB17-A557-4CD7-93BE-3E0A11E5C455}"/>
    <cellStyle name="40% - Accent5" xfId="34" builtinId="47" customBuiltin="1"/>
    <cellStyle name="40% - Accent5 2" xfId="118" xr:uid="{DFBA9A87-357C-4CAF-A303-BF848B33E2BB}"/>
    <cellStyle name="40% - Accent6" xfId="37" builtinId="51" customBuiltin="1"/>
    <cellStyle name="40% - Accent6 2" xfId="122" xr:uid="{98E378EA-C08D-4439-895A-387B63F26938}"/>
    <cellStyle name="60% - Accent1 2" xfId="103" xr:uid="{B158B34C-D723-4A60-B73C-68DC59874D78}"/>
    <cellStyle name="60% - Accent1 3" xfId="126" xr:uid="{5FC7D6A9-3CF2-48AA-B61E-7BAA0A594BFD}"/>
    <cellStyle name="60% - Accent1 4" xfId="40" xr:uid="{A73B4AC2-A6EF-4E49-ADC9-B55E899AC26B}"/>
    <cellStyle name="60% - Accent2 2" xfId="107" xr:uid="{6F707AF6-5DD9-4558-81EF-34F7A1BCB4C6}"/>
    <cellStyle name="60% - Accent2 3" xfId="127" xr:uid="{5688EAF5-D32F-453E-BD79-65494FCFE41E}"/>
    <cellStyle name="60% - Accent2 4" xfId="41" xr:uid="{74791420-0E3B-4AA9-BF7A-665649F337B6}"/>
    <cellStyle name="60% - Accent3 2" xfId="111" xr:uid="{86B686F4-0B0A-40F5-9C58-DDDAB1937A4F}"/>
    <cellStyle name="60% - Accent3 3" xfId="128" xr:uid="{3269D2D8-97B3-4641-A7CD-3479C84E6293}"/>
    <cellStyle name="60% - Accent3 4" xfId="42" xr:uid="{83CC273C-1B58-4360-92DD-FE7334BB6C76}"/>
    <cellStyle name="60% - Accent4 2" xfId="115" xr:uid="{5C79374A-32A6-4B55-8B09-2364F80F5471}"/>
    <cellStyle name="60% - Accent4 3" xfId="129" xr:uid="{901883FC-7CC3-4E7B-AEFA-E3AC40EE1AEE}"/>
    <cellStyle name="60% - Accent4 4" xfId="43" xr:uid="{3CAAB61A-BE3A-4FFC-A64E-A52F2C129AC3}"/>
    <cellStyle name="60% - Accent5 2" xfId="119" xr:uid="{86736EBA-9854-4F02-94A2-963B0AE3FE5E}"/>
    <cellStyle name="60% - Accent5 3" xfId="130" xr:uid="{E44B206E-B47F-460C-AEFA-03632396F7F4}"/>
    <cellStyle name="60% - Accent5 4" xfId="44" xr:uid="{558B842D-6D04-44C0-B8B4-26B6CDD1EB03}"/>
    <cellStyle name="60% - Accent6 2" xfId="123" xr:uid="{5A77059F-10C1-4115-9CA7-E37BD8183B92}"/>
    <cellStyle name="60% - Accent6 3" xfId="131" xr:uid="{57ABD572-5E7C-409F-8B7A-A2BE07346BAE}"/>
    <cellStyle name="60% - Accent6 4" xfId="45" xr:uid="{92464F6F-1B05-4C8B-87F2-EA3FEE9F7348}"/>
    <cellStyle name="Accent1" xfId="20" builtinId="29" customBuiltin="1"/>
    <cellStyle name="Accent1 2" xfId="100" xr:uid="{33B7577B-332E-4F5A-980A-FDD424516C4C}"/>
    <cellStyle name="Accent2" xfId="23" builtinId="33" customBuiltin="1"/>
    <cellStyle name="Accent2 2" xfId="104" xr:uid="{47E5533C-622F-4BB6-AED0-F976FD425244}"/>
    <cellStyle name="Accent3" xfId="26" builtinId="37" customBuiltin="1"/>
    <cellStyle name="Accent3 2" xfId="108" xr:uid="{F474B526-C1D5-4D7C-8675-B9109B788F08}"/>
    <cellStyle name="Accent4" xfId="29" builtinId="41" customBuiltin="1"/>
    <cellStyle name="Accent4 2" xfId="112" xr:uid="{4A5EB185-3A69-4B65-B06B-927D032E29B7}"/>
    <cellStyle name="Accent5" xfId="32" builtinId="45" customBuiltin="1"/>
    <cellStyle name="Accent5 2" xfId="116" xr:uid="{D9ADA78E-F27C-4782-8C4A-EA276709DC0D}"/>
    <cellStyle name="Accent6" xfId="35" builtinId="49" customBuiltin="1"/>
    <cellStyle name="Accent6 2" xfId="120" xr:uid="{B743C08A-0EC5-48EF-8FD9-F9C1C2B5F95C}"/>
    <cellStyle name="Bad" xfId="10" builtinId="27" customBuiltin="1"/>
    <cellStyle name="Bad 2" xfId="89" xr:uid="{154A9896-EDAA-4F3C-8BB3-E00C59CEE54D}"/>
    <cellStyle name="Calculation" xfId="13" builtinId="22" customBuiltin="1"/>
    <cellStyle name="Calculation 2" xfId="93" xr:uid="{14FA5736-7020-4A06-8A8F-CD21F87E81E3}"/>
    <cellStyle name="Check Cell" xfId="15" builtinId="23" customBuiltin="1"/>
    <cellStyle name="Check Cell 2" xfId="95" xr:uid="{DC73242D-EC3F-4DA6-9362-BA8974878676}"/>
    <cellStyle name="Comma" xfId="1" builtinId="3"/>
    <cellStyle name="Comma 2" xfId="51" xr:uid="{51C60B58-E62E-43D6-BDEB-FC5448490095}"/>
    <cellStyle name="Comma 2 2" xfId="57" xr:uid="{5CC4A9FC-8833-4A92-A53C-1D1547DD07C7}"/>
    <cellStyle name="Comma 3" xfId="48" xr:uid="{F884D44F-9C45-4960-ADB0-11569FAF96B7}"/>
    <cellStyle name="Comma 4" xfId="58" xr:uid="{A6E707C8-DA74-4250-AECB-C62C6538D427}"/>
    <cellStyle name="Comma 5" xfId="83" xr:uid="{8EF79FD1-A2B1-4D48-8717-BBC93D540C80}"/>
    <cellStyle name="Currency" xfId="2" builtinId="4"/>
    <cellStyle name="Currency 2" xfId="4" xr:uid="{D61A5A84-EAEF-435A-8928-3680D3EE44AF}"/>
    <cellStyle name="Currency 2 2" xfId="59" xr:uid="{91A12834-27AB-40DE-860E-7E9F5343ADD8}"/>
    <cellStyle name="Currency 3" xfId="60" xr:uid="{50E8C035-A4DC-4F6A-9F94-6B41ECA33C70}"/>
    <cellStyle name="Currency 4" xfId="61" xr:uid="{2EC64388-0B21-4725-9FA1-B05A51696A8B}"/>
    <cellStyle name="Currency 5" xfId="56" xr:uid="{2DA7073E-CC68-4D4A-88BA-F5C6E683317C}"/>
    <cellStyle name="Currency 6" xfId="62" xr:uid="{AC1B6868-A831-43EC-A260-40F35C77F4F9}"/>
    <cellStyle name="Explanatory Text" xfId="18" builtinId="53" customBuiltin="1"/>
    <cellStyle name="Explanatory Text 2" xfId="98" xr:uid="{A300748C-C891-403A-BDC9-2250E8A9AFC4}"/>
    <cellStyle name="Good" xfId="9" builtinId="26" customBuiltin="1"/>
    <cellStyle name="Good 2" xfId="88" xr:uid="{21CE4C8D-8AB4-4B87-960A-DBA0358826B6}"/>
    <cellStyle name="Heading 1" xfId="5" builtinId="16" customBuiltin="1"/>
    <cellStyle name="Heading 1 2" xfId="84" xr:uid="{9F32C357-5FE4-4DAF-956E-96095D4548A2}"/>
    <cellStyle name="Heading 2" xfId="6" builtinId="17" customBuiltin="1"/>
    <cellStyle name="Heading 2 2" xfId="85" xr:uid="{F1816ED9-2DC3-4BB8-B7FD-CDCB98D6C327}"/>
    <cellStyle name="Heading 3" xfId="7" builtinId="18" customBuiltin="1"/>
    <cellStyle name="Heading 3 2" xfId="86" xr:uid="{5428FE80-C0B3-4338-800E-3E5C856A93AE}"/>
    <cellStyle name="Heading 4" xfId="8" builtinId="19" customBuiltin="1"/>
    <cellStyle name="Heading 4 2" xfId="87" xr:uid="{20A4D9A4-0259-4691-A7B1-C7A34DCC256F}"/>
    <cellStyle name="Input" xfId="11" builtinId="20" customBuiltin="1"/>
    <cellStyle name="Input 2" xfId="91" xr:uid="{F3F7C9A0-DE53-42F8-A485-AB32243A59D7}"/>
    <cellStyle name="Lines" xfId="63" xr:uid="{6B068CEB-A5DD-4AF4-AE0D-335E212A085B}"/>
    <cellStyle name="Linked Cell" xfId="14" builtinId="24" customBuiltin="1"/>
    <cellStyle name="Linked Cell 2" xfId="94" xr:uid="{E9A9BB98-F17C-4384-B93F-C23D6AF5B922}"/>
    <cellStyle name="Neutral 2" xfId="90" xr:uid="{76122077-4FE4-4ECD-8AE1-8E49E8DE9B29}"/>
    <cellStyle name="Neutral 3" xfId="125" xr:uid="{D96521E8-5983-48D7-A7CA-91F042F958FE}"/>
    <cellStyle name="Neutral 4" xfId="39" xr:uid="{D8D60256-60D4-4FA1-88D7-40296927DFAD}"/>
    <cellStyle name="Normal" xfId="0" builtinId="0"/>
    <cellStyle name="Normal 2" xfId="46" xr:uid="{6973B987-B5C2-4C5D-AE7C-8FB249393546}"/>
    <cellStyle name="Normal 2 2" xfId="52" xr:uid="{EBF8DFC9-E9EE-423F-90BD-3782523F6DBB}"/>
    <cellStyle name="Normal 2 3" xfId="64" xr:uid="{1228E15D-9095-49D0-9529-512D056D3BC4}"/>
    <cellStyle name="Normal 3" xfId="49" xr:uid="{1E8A89B4-26CF-421D-A7A3-C64C07EB13DA}"/>
    <cellStyle name="Normal 3 2" xfId="65" xr:uid="{38F15C41-018B-4433-ACF4-7DEA4C03630D}"/>
    <cellStyle name="Normal 4" xfId="50" xr:uid="{16AA435F-AA90-48FF-9FAE-5AA6FABDC3AE}"/>
    <cellStyle name="Normal 4 2" xfId="66" xr:uid="{539881DB-D41F-4963-8207-19859D6B535D}"/>
    <cellStyle name="Normal 5" xfId="67" xr:uid="{561C372D-0923-4773-B981-FFB644CC2E10}"/>
    <cellStyle name="Normal 6" xfId="68" xr:uid="{62EFCE47-94B1-4009-A8A1-43C185385F87}"/>
    <cellStyle name="Normal 7" xfId="54" xr:uid="{53ECAF9A-004A-46BB-A3EE-9188174FF686}"/>
    <cellStyle name="Normal 8" xfId="69" xr:uid="{750A7B18-6433-4198-B302-480A2E81F533}"/>
    <cellStyle name="Normal 9" xfId="82" xr:uid="{3CE5E7C8-7B69-44CF-B624-C4DBD8BCE6FA}"/>
    <cellStyle name="Note" xfId="17" builtinId="10" customBuiltin="1"/>
    <cellStyle name="Note 2" xfId="97" xr:uid="{4F01346B-9F45-47D5-A2C6-7BB233581D67}"/>
    <cellStyle name="Output" xfId="12" builtinId="21" customBuiltin="1"/>
    <cellStyle name="Output 2" xfId="92" xr:uid="{7E7936CE-30E1-4C66-A7FA-68F4E0E0204C}"/>
    <cellStyle name="Percent" xfId="3" builtinId="5"/>
    <cellStyle name="Percent 2" xfId="47" xr:uid="{D1893EBA-3AA1-429E-8932-6ED4FF9D65C6}"/>
    <cellStyle name="Percent 2 2" xfId="70" xr:uid="{E4A3BA15-3D48-46BF-AA96-71B45F1C6234}"/>
    <cellStyle name="Percent 3" xfId="71" xr:uid="{75B26D66-D421-4E1B-B598-5D7A25E80263}"/>
    <cellStyle name="Percent 4" xfId="53" xr:uid="{0865CAD7-93E2-4604-8097-D0327BFCF866}"/>
    <cellStyle name="Percent 4 2" xfId="72" xr:uid="{FEC2F3E1-A0D9-4AED-BB0A-60CFB10D04B3}"/>
    <cellStyle name="Percent 5" xfId="55" xr:uid="{BA8B4AD0-6B8C-4469-8837-4F2A752AECA3}"/>
    <cellStyle name="Percent 6" xfId="73" xr:uid="{BC86196B-35B1-42E5-BC52-CAE0F3E7F1C4}"/>
    <cellStyle name="PS_Comma" xfId="74" xr:uid="{484B4459-84F5-4785-A75F-D23FA0288EE1}"/>
    <cellStyle name="PSChar" xfId="75" xr:uid="{D5989D88-C76C-4B4A-90BE-69BC2B20CDD7}"/>
    <cellStyle name="PSDate" xfId="76" xr:uid="{B2214066-571A-4431-857C-D6E4E9550506}"/>
    <cellStyle name="PSDec" xfId="77" xr:uid="{A134F99B-C1D4-4AAD-9DFC-FEEA1DF807C8}"/>
    <cellStyle name="PSHeading" xfId="78" xr:uid="{437478DF-F22B-4201-8EFF-3DE9968E8B25}"/>
    <cellStyle name="PSInt" xfId="79" xr:uid="{A2FC8760-41C1-4C33-84C6-DF250F44D9E2}"/>
    <cellStyle name="PSSpacer" xfId="80" xr:uid="{BA8CCA49-EC35-468C-A09A-800FECF2149C}"/>
    <cellStyle name="Title 2" xfId="124" xr:uid="{B7DA0CA4-EA4B-4BED-8D65-15CAA1ED6318}"/>
    <cellStyle name="Title 3" xfId="38" xr:uid="{27E756C7-AE2D-450D-AECA-5681431D2569}"/>
    <cellStyle name="Total" xfId="19" builtinId="25" customBuiltin="1"/>
    <cellStyle name="Total 2" xfId="99" xr:uid="{39CFAD6E-5941-4BE5-A7B1-F9263DAE1069}"/>
    <cellStyle name="Warning Text" xfId="16" builtinId="11" customBuiltin="1"/>
    <cellStyle name="Warning Text 2" xfId="96" xr:uid="{6F00FECA-AA49-4146-A801-1299856CC1D3}"/>
    <cellStyle name="WM_STANDARD" xfId="81" xr:uid="{4975EA3F-0C55-4FB4-816E-4BAF379DB26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637503-A949-4211-8C37-BDF8A02BFC08}">
  <dimension ref="A1:X29"/>
  <sheetViews>
    <sheetView tabSelected="1" topLeftCell="A13" workbookViewId="0">
      <selection activeCell="A25" sqref="A25"/>
    </sheetView>
  </sheetViews>
  <sheetFormatPr defaultRowHeight="15" x14ac:dyDescent="0.25"/>
  <cols>
    <col min="1" max="1" width="57.28515625" bestFit="1" customWidth="1"/>
    <col min="3" max="3" width="13.42578125" bestFit="1" customWidth="1"/>
    <col min="4" max="4" width="14" bestFit="1" customWidth="1"/>
    <col min="5" max="5" width="12.28515625" bestFit="1" customWidth="1"/>
    <col min="7" max="7" width="57.28515625" bestFit="1" customWidth="1"/>
    <col min="9" max="9" width="13.42578125" bestFit="1" customWidth="1"/>
    <col min="10" max="10" width="14" bestFit="1" customWidth="1"/>
    <col min="11" max="11" width="12.28515625" bestFit="1" customWidth="1"/>
    <col min="12" max="12" width="9.140625" bestFit="1" customWidth="1"/>
    <col min="13" max="13" width="61.28515625" customWidth="1"/>
    <col min="15" max="15" width="13.42578125" bestFit="1" customWidth="1"/>
    <col min="16" max="16" width="14" bestFit="1" customWidth="1"/>
    <col min="17" max="17" width="10.7109375" customWidth="1"/>
    <col min="18" max="18" width="11.5703125" customWidth="1"/>
    <col min="19" max="19" width="66.28515625" customWidth="1"/>
    <col min="20" max="20" width="5.7109375" customWidth="1"/>
    <col min="21" max="21" width="13.42578125" bestFit="1" customWidth="1"/>
    <col min="22" max="22" width="14" bestFit="1" customWidth="1"/>
    <col min="23" max="23" width="11" bestFit="1" customWidth="1"/>
    <col min="24" max="24" width="9.140625" bestFit="1" customWidth="1"/>
  </cols>
  <sheetData>
    <row r="1" spans="1:24" ht="23.25" x14ac:dyDescent="0.35">
      <c r="A1" s="40" t="s">
        <v>54</v>
      </c>
      <c r="B1" s="41"/>
      <c r="C1" s="42"/>
      <c r="D1" s="42"/>
      <c r="E1" s="42"/>
      <c r="F1" s="43"/>
      <c r="G1" s="40" t="s">
        <v>54</v>
      </c>
      <c r="H1" s="41"/>
      <c r="I1" s="42"/>
      <c r="J1" s="42"/>
      <c r="K1" s="42"/>
      <c r="L1" s="43"/>
      <c r="M1" s="40" t="s">
        <v>54</v>
      </c>
      <c r="N1" s="41"/>
      <c r="O1" s="42"/>
      <c r="P1" s="42"/>
      <c r="Q1" s="42"/>
      <c r="R1" s="43"/>
      <c r="S1" s="40" t="s">
        <v>54</v>
      </c>
      <c r="T1" s="41"/>
      <c r="U1" s="42"/>
      <c r="V1" s="42"/>
      <c r="W1" s="42"/>
      <c r="X1" s="43"/>
    </row>
    <row r="2" spans="1:24" ht="15.75" x14ac:dyDescent="0.25">
      <c r="A2" s="44" t="s">
        <v>75</v>
      </c>
      <c r="B2" s="45"/>
      <c r="C2" s="46"/>
      <c r="D2" s="47"/>
      <c r="E2" s="47"/>
      <c r="F2" s="48"/>
      <c r="G2" s="44" t="s">
        <v>70</v>
      </c>
      <c r="H2" s="45"/>
      <c r="I2" s="46"/>
      <c r="J2" s="47"/>
      <c r="K2" s="47"/>
      <c r="L2" s="48"/>
      <c r="M2" s="44" t="s">
        <v>68</v>
      </c>
      <c r="N2" s="45"/>
      <c r="O2" s="46"/>
      <c r="P2" s="47"/>
      <c r="Q2" s="47"/>
      <c r="R2" s="48"/>
      <c r="S2" s="44" t="s">
        <v>44</v>
      </c>
      <c r="T2" s="45"/>
      <c r="U2" s="46"/>
      <c r="V2" s="47"/>
      <c r="W2" s="47"/>
      <c r="X2" s="48"/>
    </row>
    <row r="3" spans="1:24" ht="15.75" x14ac:dyDescent="0.25">
      <c r="A3" s="49"/>
      <c r="B3" s="50"/>
      <c r="C3" s="47"/>
      <c r="D3" s="47"/>
      <c r="E3" s="47"/>
      <c r="F3" s="48"/>
      <c r="G3" s="49"/>
      <c r="H3" s="50"/>
      <c r="I3" s="47"/>
      <c r="J3" s="47"/>
      <c r="K3" s="47"/>
      <c r="L3" s="48"/>
      <c r="M3" s="49"/>
      <c r="N3" s="50"/>
      <c r="O3" s="47"/>
      <c r="P3" s="47"/>
      <c r="Q3" s="47"/>
      <c r="R3" s="48"/>
      <c r="S3" s="49"/>
      <c r="T3" s="50"/>
      <c r="U3" s="47"/>
      <c r="V3" s="47"/>
      <c r="W3" s="47"/>
      <c r="X3" s="48"/>
    </row>
    <row r="4" spans="1:24" ht="15.75" x14ac:dyDescent="0.25">
      <c r="A4" s="51"/>
      <c r="B4" s="47"/>
      <c r="C4" s="47"/>
      <c r="D4" s="47"/>
      <c r="E4" s="47"/>
      <c r="F4" s="48"/>
      <c r="G4" s="51"/>
      <c r="H4" s="47"/>
      <c r="I4" s="47"/>
      <c r="J4" s="47"/>
      <c r="K4" s="47"/>
      <c r="L4" s="48"/>
      <c r="M4" s="51"/>
      <c r="N4" s="47"/>
      <c r="O4" s="47"/>
      <c r="P4" s="47"/>
      <c r="Q4" s="47"/>
      <c r="R4" s="48"/>
      <c r="S4" s="51"/>
      <c r="T4" s="47"/>
      <c r="U4" s="47"/>
      <c r="V4" s="47"/>
      <c r="W4" s="47"/>
      <c r="X4" s="48"/>
    </row>
    <row r="5" spans="1:24" ht="15.75" x14ac:dyDescent="0.25">
      <c r="A5" s="113" t="s">
        <v>45</v>
      </c>
      <c r="B5" s="114"/>
      <c r="C5" s="114"/>
      <c r="D5" s="114"/>
      <c r="E5" s="114"/>
      <c r="F5" s="115"/>
      <c r="G5" s="113" t="s">
        <v>45</v>
      </c>
      <c r="H5" s="114"/>
      <c r="I5" s="114"/>
      <c r="J5" s="114"/>
      <c r="K5" s="114"/>
      <c r="L5" s="115"/>
      <c r="M5" s="113" t="s">
        <v>45</v>
      </c>
      <c r="N5" s="114"/>
      <c r="O5" s="114"/>
      <c r="P5" s="114"/>
      <c r="Q5" s="114"/>
      <c r="R5" s="115"/>
      <c r="S5" s="113" t="s">
        <v>45</v>
      </c>
      <c r="T5" s="114"/>
      <c r="U5" s="114"/>
      <c r="V5" s="114"/>
      <c r="W5" s="114"/>
      <c r="X5" s="115"/>
    </row>
    <row r="6" spans="1:24" ht="15.75" x14ac:dyDescent="0.25">
      <c r="A6" s="51"/>
      <c r="B6" s="47"/>
      <c r="C6" s="47"/>
      <c r="D6" s="87"/>
      <c r="E6" s="47"/>
      <c r="F6" s="48"/>
      <c r="G6" s="51"/>
      <c r="H6" s="47"/>
      <c r="I6" s="47"/>
      <c r="J6" s="87"/>
      <c r="K6" s="47"/>
      <c r="L6" s="48"/>
      <c r="M6" s="51"/>
      <c r="N6" s="47"/>
      <c r="O6" s="47"/>
      <c r="P6" s="87" t="s">
        <v>62</v>
      </c>
      <c r="Q6" s="47"/>
      <c r="R6" s="48"/>
      <c r="S6" s="51"/>
      <c r="T6" s="47"/>
      <c r="U6" s="47"/>
      <c r="V6" s="87" t="s">
        <v>62</v>
      </c>
      <c r="W6" s="47"/>
      <c r="X6" s="48"/>
    </row>
    <row r="7" spans="1:24" ht="15.75" x14ac:dyDescent="0.25">
      <c r="A7" s="51"/>
      <c r="B7" s="47"/>
      <c r="C7" s="52"/>
      <c r="D7" s="52" t="s">
        <v>3</v>
      </c>
      <c r="E7" s="52" t="s">
        <v>39</v>
      </c>
      <c r="F7" s="48"/>
      <c r="G7" s="51"/>
      <c r="H7" s="47"/>
      <c r="I7" s="52"/>
      <c r="J7" s="52" t="s">
        <v>3</v>
      </c>
      <c r="K7" s="52" t="s">
        <v>39</v>
      </c>
      <c r="L7" s="48"/>
      <c r="M7" s="51"/>
      <c r="N7" s="47"/>
      <c r="O7" s="52"/>
      <c r="P7" s="52" t="s">
        <v>3</v>
      </c>
      <c r="Q7" s="52" t="s">
        <v>39</v>
      </c>
      <c r="R7" s="48"/>
      <c r="S7" s="51"/>
      <c r="T7" s="47"/>
      <c r="U7" s="52"/>
      <c r="V7" s="52" t="s">
        <v>3</v>
      </c>
      <c r="W7" s="52" t="s">
        <v>39</v>
      </c>
      <c r="X7" s="48"/>
    </row>
    <row r="8" spans="1:24" ht="15.75" x14ac:dyDescent="0.25">
      <c r="A8" s="51"/>
      <c r="B8" s="47"/>
      <c r="C8" s="53" t="s">
        <v>46</v>
      </c>
      <c r="D8" s="53" t="s">
        <v>47</v>
      </c>
      <c r="E8" s="53" t="s">
        <v>48</v>
      </c>
      <c r="F8" s="48"/>
      <c r="G8" s="51"/>
      <c r="H8" s="47"/>
      <c r="I8" s="53" t="s">
        <v>46</v>
      </c>
      <c r="J8" s="53" t="s">
        <v>47</v>
      </c>
      <c r="K8" s="53" t="s">
        <v>48</v>
      </c>
      <c r="L8" s="48"/>
      <c r="M8" s="51"/>
      <c r="N8" s="47"/>
      <c r="O8" s="53" t="s">
        <v>46</v>
      </c>
      <c r="P8" s="53" t="s">
        <v>47</v>
      </c>
      <c r="Q8" s="53" t="s">
        <v>48</v>
      </c>
      <c r="R8" s="48"/>
      <c r="S8" s="51"/>
      <c r="T8" s="47"/>
      <c r="U8" s="53" t="s">
        <v>46</v>
      </c>
      <c r="V8" s="53" t="s">
        <v>47</v>
      </c>
      <c r="W8" s="53" t="s">
        <v>48</v>
      </c>
      <c r="X8" s="48"/>
    </row>
    <row r="9" spans="1:24" ht="15.75" x14ac:dyDescent="0.25">
      <c r="A9" s="54" t="s">
        <v>76</v>
      </c>
      <c r="B9" s="45"/>
      <c r="C9" s="55"/>
      <c r="D9" s="55"/>
      <c r="E9" s="55"/>
      <c r="F9" s="48"/>
      <c r="G9" s="54" t="s">
        <v>71</v>
      </c>
      <c r="H9" s="45"/>
      <c r="I9" s="55"/>
      <c r="J9" s="55"/>
      <c r="K9" s="55"/>
      <c r="L9" s="48"/>
      <c r="M9" s="54" t="s">
        <v>69</v>
      </c>
      <c r="N9" s="45"/>
      <c r="O9" s="55"/>
      <c r="P9" s="55"/>
      <c r="Q9" s="55"/>
      <c r="R9" s="48"/>
      <c r="S9" s="54" t="s">
        <v>55</v>
      </c>
      <c r="T9" s="45"/>
      <c r="U9" s="55"/>
      <c r="V9" s="55"/>
      <c r="W9" s="55"/>
      <c r="X9" s="48"/>
    </row>
    <row r="10" spans="1:24" ht="15.75" x14ac:dyDescent="0.25">
      <c r="A10" s="51" t="s">
        <v>57</v>
      </c>
      <c r="B10" s="47"/>
      <c r="C10" s="56">
        <f>+Customers!C7+Customers!C8</f>
        <v>12573</v>
      </c>
      <c r="D10" s="57">
        <f>+J11</f>
        <v>0.72</v>
      </c>
      <c r="E10" s="56">
        <f>C10*D10</f>
        <v>9052.56</v>
      </c>
      <c r="F10" s="48"/>
      <c r="G10" s="51" t="s">
        <v>57</v>
      </c>
      <c r="H10" s="47"/>
      <c r="I10" s="56">
        <v>11776</v>
      </c>
      <c r="J10" s="57">
        <f>+P11</f>
        <v>0.76</v>
      </c>
      <c r="K10" s="56">
        <f>I10*J10</f>
        <v>8949.76</v>
      </c>
      <c r="L10" s="48"/>
      <c r="M10" s="51" t="s">
        <v>57</v>
      </c>
      <c r="N10" s="47"/>
      <c r="O10" s="56">
        <v>11001</v>
      </c>
      <c r="P10" s="57">
        <v>1.5</v>
      </c>
      <c r="Q10" s="56">
        <f>O10*P10</f>
        <v>16501.5</v>
      </c>
      <c r="R10" s="48"/>
      <c r="S10" s="51" t="s">
        <v>57</v>
      </c>
      <c r="T10" s="47"/>
      <c r="U10" s="56">
        <v>10580</v>
      </c>
      <c r="V10" s="57">
        <v>1.5</v>
      </c>
      <c r="W10" s="56">
        <f>U10*V10</f>
        <v>15870</v>
      </c>
      <c r="X10" s="48"/>
    </row>
    <row r="11" spans="1:24" ht="17.25" x14ac:dyDescent="0.35">
      <c r="A11" s="58" t="s">
        <v>58</v>
      </c>
      <c r="B11" s="59"/>
      <c r="C11" s="60">
        <f>SUM(Customers!C9:C18)</f>
        <v>64811</v>
      </c>
      <c r="D11" s="57">
        <f>+L25</f>
        <v>1.66</v>
      </c>
      <c r="E11" s="60">
        <f>C11*D11</f>
        <v>107586.26</v>
      </c>
      <c r="F11" s="48"/>
      <c r="G11" s="58" t="s">
        <v>58</v>
      </c>
      <c r="H11" s="59"/>
      <c r="I11" s="60">
        <v>61519</v>
      </c>
      <c r="J11" s="57">
        <f>+R25</f>
        <v>0.72</v>
      </c>
      <c r="K11" s="60">
        <f>I11*J11</f>
        <v>44293.68</v>
      </c>
      <c r="L11" s="48"/>
      <c r="M11" s="58" t="s">
        <v>58</v>
      </c>
      <c r="N11" s="59"/>
      <c r="O11" s="60">
        <v>56377</v>
      </c>
      <c r="P11" s="57">
        <f>+X25</f>
        <v>0.76</v>
      </c>
      <c r="Q11" s="60">
        <f>O11*P11</f>
        <v>42846.520000000004</v>
      </c>
      <c r="R11" s="48"/>
      <c r="S11" s="58" t="s">
        <v>58</v>
      </c>
      <c r="T11" s="59"/>
      <c r="U11" s="60">
        <v>54602</v>
      </c>
      <c r="V11" s="57">
        <v>1.5</v>
      </c>
      <c r="W11" s="60">
        <f>U11*V11</f>
        <v>81903</v>
      </c>
      <c r="X11" s="48"/>
    </row>
    <row r="12" spans="1:24" ht="15.75" x14ac:dyDescent="0.25">
      <c r="A12" s="51" t="s">
        <v>39</v>
      </c>
      <c r="B12" s="47"/>
      <c r="C12" s="56">
        <f>SUM(C10:C11)</f>
        <v>77384</v>
      </c>
      <c r="D12" s="47"/>
      <c r="E12" s="56">
        <f>SUM(E10:E11)</f>
        <v>116638.81999999999</v>
      </c>
      <c r="F12" s="48"/>
      <c r="G12" s="51" t="s">
        <v>39</v>
      </c>
      <c r="H12" s="47"/>
      <c r="I12" s="56">
        <f>SUM(I10:I11)</f>
        <v>73295</v>
      </c>
      <c r="J12" s="47"/>
      <c r="K12" s="56">
        <f>SUM(K10:K11)</f>
        <v>53243.44</v>
      </c>
      <c r="L12" s="48"/>
      <c r="M12" s="51" t="s">
        <v>39</v>
      </c>
      <c r="N12" s="47"/>
      <c r="O12" s="56">
        <f>SUM(O10:O11)</f>
        <v>67378</v>
      </c>
      <c r="P12" s="47"/>
      <c r="Q12" s="56">
        <f>SUM(Q10:Q11)</f>
        <v>59348.020000000004</v>
      </c>
      <c r="R12" s="48"/>
      <c r="S12" s="51" t="s">
        <v>39</v>
      </c>
      <c r="T12" s="47"/>
      <c r="U12" s="56">
        <f>SUM(U10:U11)</f>
        <v>65182</v>
      </c>
      <c r="V12" s="47"/>
      <c r="W12" s="56">
        <f>SUM(W10:W11)</f>
        <v>97773</v>
      </c>
      <c r="X12" s="48"/>
    </row>
    <row r="13" spans="1:24" ht="15.75" x14ac:dyDescent="0.25">
      <c r="A13" s="51"/>
      <c r="B13" s="47"/>
      <c r="C13" s="47"/>
      <c r="D13" s="47"/>
      <c r="E13" s="47"/>
      <c r="F13" s="48"/>
      <c r="G13" s="51"/>
      <c r="H13" s="47"/>
      <c r="I13" s="47"/>
      <c r="J13" s="47"/>
      <c r="K13" s="47"/>
      <c r="L13" s="48"/>
      <c r="M13" s="51"/>
      <c r="N13" s="47"/>
      <c r="O13" s="47"/>
      <c r="P13" s="47"/>
      <c r="Q13" s="47"/>
      <c r="R13" s="48"/>
      <c r="S13" s="51"/>
      <c r="T13" s="47"/>
      <c r="U13" s="47"/>
      <c r="V13" s="47"/>
      <c r="W13" s="47"/>
      <c r="X13" s="48"/>
    </row>
    <row r="14" spans="1:24" ht="15.75" x14ac:dyDescent="0.25">
      <c r="A14" s="44" t="s">
        <v>49</v>
      </c>
      <c r="B14" s="47"/>
      <c r="C14" s="47"/>
      <c r="D14" s="47"/>
      <c r="E14" s="56">
        <f>+'Recycling Revenue'!J20</f>
        <v>132349.97008731353</v>
      </c>
      <c r="F14" s="48"/>
      <c r="G14" s="44" t="s">
        <v>49</v>
      </c>
      <c r="H14" s="47"/>
      <c r="I14" s="47"/>
      <c r="J14" s="47"/>
      <c r="K14" s="56">
        <v>121330.12474071181</v>
      </c>
      <c r="L14" s="48"/>
      <c r="M14" s="44" t="s">
        <v>49</v>
      </c>
      <c r="N14" s="47"/>
      <c r="O14" s="47"/>
      <c r="P14" s="47"/>
      <c r="Q14" s="56">
        <v>48360.050162964129</v>
      </c>
      <c r="R14" s="48"/>
      <c r="S14" s="44" t="s">
        <v>49</v>
      </c>
      <c r="T14" s="47"/>
      <c r="U14" s="47"/>
      <c r="V14" s="47"/>
      <c r="W14" s="56">
        <v>60789</v>
      </c>
      <c r="X14" s="48"/>
    </row>
    <row r="15" spans="1:24" ht="15.75" x14ac:dyDescent="0.25">
      <c r="A15" s="51"/>
      <c r="B15" s="47"/>
      <c r="C15" s="47"/>
      <c r="D15" s="47"/>
      <c r="E15" s="47"/>
      <c r="F15" s="48"/>
      <c r="G15" s="51"/>
      <c r="H15" s="47"/>
      <c r="I15" s="47"/>
      <c r="J15" s="47"/>
      <c r="K15" s="47"/>
      <c r="L15" s="48"/>
      <c r="M15" s="51"/>
      <c r="N15" s="47"/>
      <c r="O15" s="47"/>
      <c r="P15" s="47"/>
      <c r="Q15" s="47"/>
      <c r="R15" s="48"/>
      <c r="S15" s="51"/>
      <c r="T15" s="47"/>
      <c r="U15" s="47"/>
      <c r="V15" s="47"/>
      <c r="W15" s="47"/>
      <c r="X15" s="48"/>
    </row>
    <row r="16" spans="1:24" ht="15.75" x14ac:dyDescent="0.25">
      <c r="A16" s="51" t="s">
        <v>50</v>
      </c>
      <c r="B16" s="47"/>
      <c r="C16" s="47"/>
      <c r="D16" s="47"/>
      <c r="E16" s="56">
        <f>E14-E12</f>
        <v>15711.150087313537</v>
      </c>
      <c r="F16" s="48"/>
      <c r="G16" s="51" t="s">
        <v>50</v>
      </c>
      <c r="H16" s="47"/>
      <c r="I16" s="47"/>
      <c r="J16" s="47"/>
      <c r="K16" s="56">
        <f>K14-K12</f>
        <v>68086.684740711804</v>
      </c>
      <c r="L16" s="48"/>
      <c r="M16" s="51" t="s">
        <v>50</v>
      </c>
      <c r="N16" s="47"/>
      <c r="O16" s="47"/>
      <c r="P16" s="47"/>
      <c r="Q16" s="56">
        <f>Q14-Q12</f>
        <v>-10987.969837035875</v>
      </c>
      <c r="R16" s="48"/>
      <c r="S16" s="51" t="s">
        <v>50</v>
      </c>
      <c r="T16" s="47"/>
      <c r="U16" s="47"/>
      <c r="V16" s="47"/>
      <c r="W16" s="56">
        <f>W14-W12</f>
        <v>-36984</v>
      </c>
      <c r="X16" s="48"/>
    </row>
    <row r="17" spans="1:24" ht="15.75" x14ac:dyDescent="0.25">
      <c r="A17" s="51"/>
      <c r="B17" s="47"/>
      <c r="C17" s="47"/>
      <c r="D17" s="47"/>
      <c r="E17" s="47"/>
      <c r="F17" s="48"/>
      <c r="G17" s="51"/>
      <c r="H17" s="47"/>
      <c r="I17" s="47"/>
      <c r="J17" s="47"/>
      <c r="K17" s="47"/>
      <c r="L17" s="48"/>
      <c r="M17" s="51"/>
      <c r="N17" s="47"/>
      <c r="O17" s="47"/>
      <c r="P17" s="47"/>
      <c r="Q17" s="47"/>
      <c r="R17" s="48"/>
      <c r="S17" s="51"/>
      <c r="T17" s="47"/>
      <c r="U17" s="47"/>
      <c r="V17" s="47"/>
      <c r="W17" s="47"/>
      <c r="X17" s="48"/>
    </row>
    <row r="18" spans="1:24" ht="15.75" x14ac:dyDescent="0.25">
      <c r="A18" s="51" t="s">
        <v>15</v>
      </c>
      <c r="B18" s="47"/>
      <c r="C18" s="47"/>
      <c r="D18" s="47"/>
      <c r="E18" s="56">
        <f>+C12</f>
        <v>77384</v>
      </c>
      <c r="F18" s="48"/>
      <c r="G18" s="51" t="s">
        <v>15</v>
      </c>
      <c r="H18" s="47"/>
      <c r="I18" s="47"/>
      <c r="J18" s="47"/>
      <c r="K18" s="56">
        <f>+I12</f>
        <v>73295</v>
      </c>
      <c r="L18" s="48"/>
      <c r="M18" s="51" t="s">
        <v>15</v>
      </c>
      <c r="N18" s="47"/>
      <c r="O18" s="47"/>
      <c r="P18" s="47"/>
      <c r="Q18" s="56">
        <f>+O12</f>
        <v>67378</v>
      </c>
      <c r="R18" s="48"/>
      <c r="S18" s="51" t="s">
        <v>15</v>
      </c>
      <c r="T18" s="47"/>
      <c r="U18" s="47"/>
      <c r="V18" s="47"/>
      <c r="W18" s="56">
        <f>+U12</f>
        <v>65182</v>
      </c>
      <c r="X18" s="48"/>
    </row>
    <row r="19" spans="1:24" ht="15.75" x14ac:dyDescent="0.25">
      <c r="A19" s="51"/>
      <c r="B19" s="47"/>
      <c r="C19" s="47"/>
      <c r="D19" s="47"/>
      <c r="E19" s="47"/>
      <c r="F19" s="48"/>
      <c r="G19" s="51"/>
      <c r="H19" s="47"/>
      <c r="I19" s="47"/>
      <c r="J19" s="47"/>
      <c r="K19" s="47"/>
      <c r="L19" s="48"/>
      <c r="M19" s="51"/>
      <c r="N19" s="47"/>
      <c r="O19" s="47"/>
      <c r="P19" s="47"/>
      <c r="Q19" s="47"/>
      <c r="R19" s="48"/>
      <c r="S19" s="51"/>
      <c r="T19" s="47"/>
      <c r="U19" s="47"/>
      <c r="V19" s="47"/>
      <c r="W19" s="47"/>
      <c r="X19" s="48"/>
    </row>
    <row r="20" spans="1:24" ht="15.75" x14ac:dyDescent="0.25">
      <c r="A20" s="51" t="s">
        <v>72</v>
      </c>
      <c r="B20" s="47"/>
      <c r="C20" s="47"/>
      <c r="D20" s="47"/>
      <c r="E20" s="47"/>
      <c r="F20" s="61">
        <f>+E16/E18</f>
        <v>0.20302840493271912</v>
      </c>
      <c r="G20" s="51" t="s">
        <v>72</v>
      </c>
      <c r="H20" s="47"/>
      <c r="I20" s="47"/>
      <c r="J20" s="47"/>
      <c r="K20" s="47"/>
      <c r="L20" s="61">
        <f>+K16/K18</f>
        <v>0.92894037438722699</v>
      </c>
      <c r="M20" s="51" t="s">
        <v>65</v>
      </c>
      <c r="N20" s="47"/>
      <c r="O20" s="47"/>
      <c r="P20" s="47"/>
      <c r="Q20" s="47"/>
      <c r="R20" s="61">
        <f>+Q16/Q18</f>
        <v>-0.1630794894036017</v>
      </c>
      <c r="S20" s="51" t="s">
        <v>51</v>
      </c>
      <c r="T20" s="47"/>
      <c r="U20" s="47"/>
      <c r="V20" s="47"/>
      <c r="W20" s="47"/>
      <c r="X20" s="61">
        <f>+W16/W18</f>
        <v>-0.56739590684544816</v>
      </c>
    </row>
    <row r="21" spans="1:24" ht="15.75" x14ac:dyDescent="0.25">
      <c r="A21" s="51"/>
      <c r="B21" s="47"/>
      <c r="C21" s="47"/>
      <c r="D21" s="47"/>
      <c r="E21" s="47"/>
      <c r="F21" s="62"/>
      <c r="G21" s="51"/>
      <c r="H21" s="47"/>
      <c r="I21" s="47"/>
      <c r="J21" s="47"/>
      <c r="K21" s="47"/>
      <c r="L21" s="62"/>
      <c r="M21" s="51"/>
      <c r="N21" s="47"/>
      <c r="O21" s="47"/>
      <c r="P21" s="47"/>
      <c r="Q21" s="47"/>
      <c r="R21" s="62"/>
      <c r="S21" s="51"/>
      <c r="T21" s="47"/>
      <c r="U21" s="47"/>
      <c r="V21" s="47"/>
      <c r="W21" s="47"/>
      <c r="X21" s="62"/>
    </row>
    <row r="22" spans="1:24" ht="15.75" x14ac:dyDescent="0.25">
      <c r="A22" s="51"/>
      <c r="B22" s="47"/>
      <c r="C22" s="47"/>
      <c r="D22" s="47"/>
      <c r="E22" s="47"/>
      <c r="F22" s="62"/>
      <c r="G22" s="51"/>
      <c r="H22" s="47"/>
      <c r="I22" s="47"/>
      <c r="J22" s="47"/>
      <c r="K22" s="47"/>
      <c r="L22" s="62"/>
      <c r="M22" s="51"/>
      <c r="N22" s="47"/>
      <c r="O22" s="47"/>
      <c r="P22" s="47"/>
      <c r="Q22" s="47"/>
      <c r="R22" s="62"/>
      <c r="S22" s="51"/>
      <c r="T22" s="47"/>
      <c r="U22" s="47"/>
      <c r="V22" s="47"/>
      <c r="W22" s="47"/>
      <c r="X22" s="62"/>
    </row>
    <row r="23" spans="1:24" ht="15.75" x14ac:dyDescent="0.25">
      <c r="A23" s="54" t="str">
        <f>+A9</f>
        <v>Projected Revenue Nov. 2022- Oct. 2023</v>
      </c>
      <c r="B23" s="45"/>
      <c r="C23" s="47"/>
      <c r="D23" s="47"/>
      <c r="E23" s="63">
        <f>+E14</f>
        <v>132349.97008731353</v>
      </c>
      <c r="F23" s="62"/>
      <c r="G23" s="54" t="s">
        <v>73</v>
      </c>
      <c r="H23" s="45"/>
      <c r="I23" s="47"/>
      <c r="J23" s="47"/>
      <c r="K23" s="63">
        <f>+K14</f>
        <v>121330.12474071181</v>
      </c>
      <c r="L23" s="62"/>
      <c r="M23" s="54" t="s">
        <v>67</v>
      </c>
      <c r="N23" s="45"/>
      <c r="O23" s="47"/>
      <c r="P23" s="47"/>
      <c r="Q23" s="63">
        <f>+Q14</f>
        <v>48360.050162964129</v>
      </c>
      <c r="R23" s="62"/>
      <c r="S23" s="54" t="s">
        <v>56</v>
      </c>
      <c r="T23" s="45"/>
      <c r="U23" s="47"/>
      <c r="V23" s="47"/>
      <c r="W23" s="63">
        <v>49281</v>
      </c>
      <c r="X23" s="62"/>
    </row>
    <row r="24" spans="1:24" ht="15.75" x14ac:dyDescent="0.25">
      <c r="A24" s="51" t="s">
        <v>61</v>
      </c>
      <c r="B24" s="47"/>
      <c r="C24" s="47"/>
      <c r="D24" s="47"/>
      <c r="E24" s="56">
        <f>+C12</f>
        <v>77384</v>
      </c>
      <c r="F24" s="62"/>
      <c r="G24" s="51" t="s">
        <v>61</v>
      </c>
      <c r="H24" s="47"/>
      <c r="I24" s="47"/>
      <c r="J24" s="47"/>
      <c r="K24" s="56">
        <f>+I12</f>
        <v>73295</v>
      </c>
      <c r="L24" s="62"/>
      <c r="M24" s="51" t="s">
        <v>61</v>
      </c>
      <c r="N24" s="47"/>
      <c r="O24" s="47"/>
      <c r="P24" s="47"/>
      <c r="Q24" s="56">
        <f>+O12</f>
        <v>67378</v>
      </c>
      <c r="R24" s="62"/>
      <c r="S24" s="51" t="s">
        <v>61</v>
      </c>
      <c r="T24" s="47"/>
      <c r="U24" s="47"/>
      <c r="V24" s="47"/>
      <c r="W24" s="56">
        <f>+U12</f>
        <v>65182</v>
      </c>
      <c r="X24" s="62"/>
    </row>
    <row r="25" spans="1:24" ht="17.25" x14ac:dyDescent="0.35">
      <c r="A25" s="51" t="s">
        <v>52</v>
      </c>
      <c r="B25" s="47"/>
      <c r="C25" s="47"/>
      <c r="D25" s="47"/>
      <c r="E25" s="47"/>
      <c r="F25" s="64">
        <f>ROUND(+E23/E24,2)</f>
        <v>1.71</v>
      </c>
      <c r="G25" s="51" t="s">
        <v>52</v>
      </c>
      <c r="H25" s="47"/>
      <c r="I25" s="47"/>
      <c r="J25" s="47"/>
      <c r="K25" s="47"/>
      <c r="L25" s="64">
        <f>ROUND(+K23/K24,2)</f>
        <v>1.66</v>
      </c>
      <c r="M25" s="51" t="s">
        <v>52</v>
      </c>
      <c r="N25" s="47"/>
      <c r="O25" s="47"/>
      <c r="P25" s="47"/>
      <c r="Q25" s="47"/>
      <c r="R25" s="64">
        <f>ROUND(+Q23/Q24,2)</f>
        <v>0.72</v>
      </c>
      <c r="S25" s="51" t="s">
        <v>52</v>
      </c>
      <c r="T25" s="47"/>
      <c r="U25" s="47"/>
      <c r="V25" s="47"/>
      <c r="W25" s="47"/>
      <c r="X25" s="64">
        <f>ROUND(+W23/W24,2)</f>
        <v>0.76</v>
      </c>
    </row>
    <row r="26" spans="1:24" ht="15.75" x14ac:dyDescent="0.25">
      <c r="A26" s="51"/>
      <c r="B26" s="47"/>
      <c r="C26" s="47"/>
      <c r="D26" s="47"/>
      <c r="E26" s="47"/>
      <c r="F26" s="62"/>
      <c r="G26" s="51"/>
      <c r="H26" s="47"/>
      <c r="I26" s="47"/>
      <c r="J26" s="47"/>
      <c r="K26" s="47"/>
      <c r="L26" s="62"/>
      <c r="M26" s="51"/>
      <c r="N26" s="47"/>
      <c r="O26" s="47"/>
      <c r="P26" s="47"/>
      <c r="Q26" s="47"/>
      <c r="R26" s="62"/>
      <c r="S26" s="51"/>
      <c r="T26" s="47"/>
      <c r="U26" s="47"/>
      <c r="V26" s="47"/>
      <c r="W26" s="47"/>
      <c r="X26" s="62"/>
    </row>
    <row r="27" spans="1:24" ht="16.5" thickBot="1" x14ac:dyDescent="0.3">
      <c r="A27" s="44" t="s">
        <v>53</v>
      </c>
      <c r="B27" s="45"/>
      <c r="C27" s="47"/>
      <c r="D27" s="47"/>
      <c r="E27" s="47"/>
      <c r="F27" s="65">
        <f>SUM(F20:F25)</f>
        <v>1.9130284049327191</v>
      </c>
      <c r="G27" s="44" t="s">
        <v>53</v>
      </c>
      <c r="H27" s="45"/>
      <c r="I27" s="47"/>
      <c r="J27" s="47"/>
      <c r="K27" s="47"/>
      <c r="L27" s="65">
        <f>SUM(L20:L25)</f>
        <v>2.588940374387227</v>
      </c>
      <c r="M27" s="44" t="s">
        <v>53</v>
      </c>
      <c r="N27" s="45"/>
      <c r="O27" s="47"/>
      <c r="P27" s="47"/>
      <c r="Q27" s="47"/>
      <c r="R27" s="65">
        <f>SUM(R20:R25)</f>
        <v>0.55692051059639824</v>
      </c>
      <c r="S27" s="44" t="s">
        <v>53</v>
      </c>
      <c r="T27" s="45"/>
      <c r="U27" s="47"/>
      <c r="V27" s="47"/>
      <c r="W27" s="47"/>
      <c r="X27" s="65">
        <f>SUM(X20:X25)</f>
        <v>0.19260409315455185</v>
      </c>
    </row>
    <row r="28" spans="1:24" ht="16.5" thickTop="1" x14ac:dyDescent="0.25">
      <c r="A28" s="44"/>
      <c r="B28" s="45"/>
      <c r="C28" s="47"/>
      <c r="D28" s="47"/>
      <c r="E28" s="47"/>
      <c r="F28" s="66"/>
      <c r="G28" s="44"/>
      <c r="H28" s="45"/>
      <c r="I28" s="47"/>
      <c r="J28" s="47"/>
      <c r="K28" s="47"/>
      <c r="L28" s="66"/>
      <c r="M28" s="44"/>
      <c r="N28" s="45"/>
      <c r="O28" s="47"/>
      <c r="P28" s="47"/>
      <c r="Q28" s="47"/>
      <c r="R28" s="66"/>
      <c r="S28" s="44"/>
      <c r="T28" s="45"/>
      <c r="U28" s="47"/>
      <c r="V28" s="47"/>
      <c r="W28" s="47"/>
      <c r="X28" s="66"/>
    </row>
    <row r="29" spans="1:24" ht="15.75" thickBot="1" x14ac:dyDescent="0.3">
      <c r="A29" s="67"/>
      <c r="B29" s="68"/>
      <c r="C29" s="68"/>
      <c r="D29" s="68"/>
      <c r="E29" s="68"/>
      <c r="F29" s="69"/>
      <c r="G29" s="67"/>
      <c r="H29" s="68"/>
      <c r="I29" s="68"/>
      <c r="J29" s="68"/>
      <c r="K29" s="68"/>
      <c r="L29" s="69"/>
      <c r="M29" s="67"/>
      <c r="N29" s="68"/>
      <c r="O29" s="68"/>
      <c r="P29" s="68"/>
      <c r="Q29" s="68"/>
      <c r="R29" s="69"/>
      <c r="S29" s="67"/>
      <c r="T29" s="68"/>
      <c r="U29" s="68"/>
      <c r="V29" s="68"/>
      <c r="W29" s="68"/>
      <c r="X29" s="69"/>
    </row>
  </sheetData>
  <mergeCells count="4">
    <mergeCell ref="S5:X5"/>
    <mergeCell ref="M5:R5"/>
    <mergeCell ref="G5:L5"/>
    <mergeCell ref="A5:F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988A78-3E21-4368-9B4C-96C8B1ABB500}">
  <dimension ref="A1:K35"/>
  <sheetViews>
    <sheetView topLeftCell="A4" workbookViewId="0">
      <selection activeCell="C18" sqref="C18"/>
    </sheetView>
  </sheetViews>
  <sheetFormatPr defaultRowHeight="15" x14ac:dyDescent="0.25"/>
  <cols>
    <col min="1" max="1" width="11.42578125" customWidth="1"/>
    <col min="3" max="3" width="9.5703125" bestFit="1" customWidth="1"/>
    <col min="4" max="4" width="12.85546875" customWidth="1"/>
    <col min="5" max="5" width="15" customWidth="1"/>
    <col min="6" max="6" width="9.5703125" customWidth="1"/>
    <col min="8" max="8" width="9.5703125" bestFit="1" customWidth="1"/>
    <col min="10" max="10" width="11.5703125" bestFit="1" customWidth="1"/>
  </cols>
  <sheetData>
    <row r="1" spans="1:10" ht="23.25" x14ac:dyDescent="0.35">
      <c r="A1" s="1" t="s">
        <v>0</v>
      </c>
    </row>
    <row r="2" spans="1:10" ht="21" x14ac:dyDescent="0.35">
      <c r="A2" s="89" t="s">
        <v>64</v>
      </c>
    </row>
    <row r="3" spans="1:10" ht="18.75" x14ac:dyDescent="0.3">
      <c r="A3" s="5"/>
    </row>
    <row r="5" spans="1:10" ht="15.75" x14ac:dyDescent="0.25">
      <c r="C5" s="116" t="s">
        <v>41</v>
      </c>
      <c r="D5" s="116"/>
      <c r="E5" s="116"/>
    </row>
    <row r="6" spans="1:10" x14ac:dyDescent="0.25">
      <c r="F6" s="13" t="s">
        <v>42</v>
      </c>
      <c r="G6" s="13" t="s">
        <v>40</v>
      </c>
      <c r="H6" s="13" t="s">
        <v>41</v>
      </c>
      <c r="I6" s="77" t="s">
        <v>59</v>
      </c>
      <c r="J6" s="77" t="s">
        <v>3</v>
      </c>
    </row>
    <row r="7" spans="1:10" x14ac:dyDescent="0.25">
      <c r="A7" s="29" t="s">
        <v>63</v>
      </c>
      <c r="C7" s="12" t="s">
        <v>39</v>
      </c>
      <c r="D7" s="12" t="s">
        <v>38</v>
      </c>
      <c r="E7" s="12" t="s">
        <v>37</v>
      </c>
      <c r="F7" s="12" t="s">
        <v>43</v>
      </c>
      <c r="G7" s="12" t="s">
        <v>41</v>
      </c>
      <c r="H7" s="12" t="s">
        <v>4</v>
      </c>
      <c r="I7" s="12" t="s">
        <v>60</v>
      </c>
      <c r="J7" s="12" t="s">
        <v>5</v>
      </c>
    </row>
    <row r="8" spans="1:10" x14ac:dyDescent="0.25">
      <c r="A8" t="s">
        <v>77</v>
      </c>
      <c r="C8" s="2">
        <f t="shared" ref="C8:C18" si="0">+D8+E8</f>
        <v>347.32</v>
      </c>
      <c r="D8" s="98">
        <f>347.32-94.09</f>
        <v>253.23</v>
      </c>
      <c r="E8" s="98">
        <f>62.38+31.71</f>
        <v>94.09</v>
      </c>
      <c r="F8" s="39">
        <f>+'Rebate Data'!C$16</f>
        <v>0.13747200722317593</v>
      </c>
      <c r="G8" s="37">
        <f>-F8*E8</f>
        <v>-12.934741159628624</v>
      </c>
      <c r="H8" s="37">
        <f>+G8+E8</f>
        <v>81.155258840371374</v>
      </c>
      <c r="I8" s="78">
        <f>+'SMaRT Tons Sold'!D8</f>
        <v>167.04635326850502</v>
      </c>
      <c r="J8" s="3">
        <f>+I8*H8</f>
        <v>13556.690037845641</v>
      </c>
    </row>
    <row r="9" spans="1:10" x14ac:dyDescent="0.25">
      <c r="A9" t="s">
        <v>14</v>
      </c>
      <c r="C9" s="2">
        <f t="shared" si="0"/>
        <v>387.86</v>
      </c>
      <c r="D9" s="98">
        <f>387.86-103.02</f>
        <v>284.84000000000003</v>
      </c>
      <c r="E9" s="98">
        <f>66.27+36.75</f>
        <v>103.02</v>
      </c>
      <c r="F9" s="39">
        <f>+'Rebate Data'!E$16</f>
        <v>0.14959779085124267</v>
      </c>
      <c r="G9" s="37">
        <f t="shared" ref="G9:G19" si="1">-F9*E9</f>
        <v>-15.41156441349502</v>
      </c>
      <c r="H9" s="37">
        <f t="shared" ref="H9:H19" si="2">+G9+E9</f>
        <v>87.608435586504982</v>
      </c>
      <c r="I9" s="78">
        <f>+'SMaRT Tons Sold'!D9</f>
        <v>141.29928189134034</v>
      </c>
      <c r="J9" s="3">
        <f t="shared" ref="J9:J19" si="3">+I9*H9</f>
        <v>12379.0090359969</v>
      </c>
    </row>
    <row r="10" spans="1:10" x14ac:dyDescent="0.25">
      <c r="A10" t="s">
        <v>78</v>
      </c>
      <c r="C10" s="2">
        <f t="shared" si="0"/>
        <v>314.47000000000003</v>
      </c>
      <c r="D10" s="98">
        <f>314.47-77.8</f>
        <v>236.67000000000002</v>
      </c>
      <c r="E10" s="98">
        <f>51.71+26.09</f>
        <v>77.8</v>
      </c>
      <c r="F10" s="39">
        <f>+'Rebate Data'!G$16</f>
        <v>0.16268087460331326</v>
      </c>
      <c r="G10" s="37">
        <f t="shared" si="1"/>
        <v>-12.656572044137771</v>
      </c>
      <c r="H10" s="37">
        <f t="shared" si="2"/>
        <v>65.143427955862222</v>
      </c>
      <c r="I10" s="78">
        <f>+'SMaRT Tons Sold'!D10</f>
        <v>138.56695424800242</v>
      </c>
      <c r="J10" s="3">
        <f t="shared" si="3"/>
        <v>9026.7264011180014</v>
      </c>
    </row>
    <row r="11" spans="1:10" x14ac:dyDescent="0.25">
      <c r="A11" t="s">
        <v>17</v>
      </c>
      <c r="C11" s="2">
        <f t="shared" si="0"/>
        <v>197.17</v>
      </c>
      <c r="D11" s="98">
        <f>197.17-56.47</f>
        <v>140.69999999999999</v>
      </c>
      <c r="E11" s="98">
        <f>35.67+20.8</f>
        <v>56.47</v>
      </c>
      <c r="F11" s="39">
        <f>+'Rebate Data'!I$16</f>
        <v>0.13729585258407648</v>
      </c>
      <c r="G11" s="37">
        <f t="shared" si="1"/>
        <v>-7.7530967954227989</v>
      </c>
      <c r="H11" s="37">
        <f t="shared" si="2"/>
        <v>48.7169032045772</v>
      </c>
      <c r="I11" s="78">
        <f>+'SMaRT Tons Sold'!D11</f>
        <v>138.67823970358145</v>
      </c>
      <c r="J11" s="3">
        <f t="shared" si="3"/>
        <v>6755.9743802205321</v>
      </c>
    </row>
    <row r="12" spans="1:10" x14ac:dyDescent="0.25">
      <c r="A12" t="s">
        <v>18</v>
      </c>
      <c r="C12" s="2">
        <f t="shared" si="0"/>
        <v>222.40000000000003</v>
      </c>
      <c r="D12" s="98">
        <f>222.4-65.07</f>
        <v>157.33000000000001</v>
      </c>
      <c r="E12" s="98">
        <f>23.3+41.77</f>
        <v>65.070000000000007</v>
      </c>
      <c r="F12" s="39">
        <f>+'Rebate Data'!K$16</f>
        <v>0.15212046343160068</v>
      </c>
      <c r="G12" s="37">
        <f t="shared" si="1"/>
        <v>-9.8984785554942576</v>
      </c>
      <c r="H12" s="37">
        <f t="shared" si="2"/>
        <v>55.17152144450575</v>
      </c>
      <c r="I12" s="78">
        <f>+'SMaRT Tons Sold'!D12</f>
        <v>158.67141595173601</v>
      </c>
      <c r="J12" s="3">
        <f t="shared" si="3"/>
        <v>8754.1434278112956</v>
      </c>
    </row>
    <row r="13" spans="1:10" x14ac:dyDescent="0.25">
      <c r="A13" t="s">
        <v>19</v>
      </c>
      <c r="C13" s="2">
        <f t="shared" si="0"/>
        <v>358.72</v>
      </c>
      <c r="D13" s="98">
        <f>358.72-89.14</f>
        <v>269.58000000000004</v>
      </c>
      <c r="E13" s="98">
        <f>19.42+69.72</f>
        <v>89.14</v>
      </c>
      <c r="F13" s="39">
        <f>+'Rebate Data'!M$16</f>
        <v>0.14190091167334126</v>
      </c>
      <c r="G13" s="37">
        <f t="shared" si="1"/>
        <v>-12.64904726656164</v>
      </c>
      <c r="H13" s="37">
        <f t="shared" si="2"/>
        <v>76.490952733438363</v>
      </c>
      <c r="I13" s="78">
        <f>+'SMaRT Tons Sold'!D13</f>
        <v>158.6669718060634</v>
      </c>
      <c r="J13" s="3">
        <f t="shared" si="3"/>
        <v>12136.587840775393</v>
      </c>
    </row>
    <row r="14" spans="1:10" x14ac:dyDescent="0.25">
      <c r="A14" t="s">
        <v>7</v>
      </c>
      <c r="C14" s="2">
        <f t="shared" si="0"/>
        <v>381.17000000000007</v>
      </c>
      <c r="D14" s="98">
        <f>381.17-98.6</f>
        <v>282.57000000000005</v>
      </c>
      <c r="E14" s="98">
        <f>20.53+78.07</f>
        <v>98.6</v>
      </c>
      <c r="F14" s="39">
        <f>+'Rebate Data'!O$16</f>
        <v>0.15409923749580187</v>
      </c>
      <c r="G14" s="37">
        <f t="shared" si="1"/>
        <v>-15.194184817086064</v>
      </c>
      <c r="H14" s="37">
        <f t="shared" si="2"/>
        <v>83.405815182913926</v>
      </c>
      <c r="I14" s="78">
        <f>+'SMaRT Tons Sold'!D14</f>
        <v>177.42596864913352</v>
      </c>
      <c r="J14" s="3">
        <f t="shared" si="3"/>
        <v>14798.357549799111</v>
      </c>
    </row>
    <row r="15" spans="1:10" x14ac:dyDescent="0.25">
      <c r="A15" t="s">
        <v>8</v>
      </c>
      <c r="C15" s="2">
        <f t="shared" si="0"/>
        <v>377.91000000000008</v>
      </c>
      <c r="D15" s="98">
        <f>377.91-86.77</f>
        <v>291.14000000000004</v>
      </c>
      <c r="E15" s="98">
        <f>21.96+64.81</f>
        <v>86.77000000000001</v>
      </c>
      <c r="F15" s="39">
        <f>+'Rebate Data'!Q$16</f>
        <v>0.17690127274356909</v>
      </c>
      <c r="G15" s="37">
        <f t="shared" si="1"/>
        <v>-15.349723435959492</v>
      </c>
      <c r="H15" s="37">
        <f t="shared" si="2"/>
        <v>71.42027656404052</v>
      </c>
      <c r="I15" s="78">
        <f>+'SMaRT Tons Sold'!D15</f>
        <v>163.48143970381062</v>
      </c>
      <c r="J15" s="3">
        <f t="shared" si="3"/>
        <v>11675.889636733669</v>
      </c>
    </row>
    <row r="16" spans="1:10" x14ac:dyDescent="0.25">
      <c r="A16" t="s">
        <v>9</v>
      </c>
      <c r="C16" s="2">
        <f t="shared" si="0"/>
        <v>391.55</v>
      </c>
      <c r="D16" s="98">
        <f>391.55-102.98</f>
        <v>288.57</v>
      </c>
      <c r="E16" s="98">
        <f>23.37+79.61</f>
        <v>102.98</v>
      </c>
      <c r="F16" s="39">
        <f>+'Rebate Data'!S$16</f>
        <v>0.16700020657955891</v>
      </c>
      <c r="G16" s="37">
        <f t="shared" si="1"/>
        <v>-17.197681273562978</v>
      </c>
      <c r="H16" s="37">
        <f t="shared" si="2"/>
        <v>85.782318726437026</v>
      </c>
      <c r="I16" s="78">
        <f>+'SMaRT Tons Sold'!D16</f>
        <v>164.29155143953184</v>
      </c>
      <c r="J16" s="3">
        <f t="shared" si="3"/>
        <v>14093.310229646744</v>
      </c>
    </row>
    <row r="17" spans="1:11" x14ac:dyDescent="0.25">
      <c r="A17" t="s">
        <v>10</v>
      </c>
      <c r="C17" s="2">
        <f t="shared" si="0"/>
        <v>393.62</v>
      </c>
      <c r="D17" s="98">
        <f>393.62-107.14</f>
        <v>286.48</v>
      </c>
      <c r="E17" s="98">
        <f>20.75+86.39</f>
        <v>107.14</v>
      </c>
      <c r="F17" s="39">
        <f>+'Rebate Data'!U$16</f>
        <v>0.14838515349340411</v>
      </c>
      <c r="G17" s="37">
        <f t="shared" si="1"/>
        <v>-15.897985345283317</v>
      </c>
      <c r="H17" s="37">
        <f t="shared" si="2"/>
        <v>91.242014654716684</v>
      </c>
      <c r="I17" s="78">
        <f>+'SMaRT Tons Sold'!D17</f>
        <v>141.06917654956362</v>
      </c>
      <c r="J17" s="3">
        <f t="shared" si="3"/>
        <v>12871.435874064098</v>
      </c>
    </row>
    <row r="18" spans="1:11" x14ac:dyDescent="0.25">
      <c r="A18" t="s">
        <v>11</v>
      </c>
      <c r="C18" s="109">
        <f t="shared" si="0"/>
        <v>363.16999999999996</v>
      </c>
      <c r="D18" s="110">
        <f>363.17-114.23</f>
        <v>248.94</v>
      </c>
      <c r="E18" s="110">
        <f>24.32+89.91</f>
        <v>114.22999999999999</v>
      </c>
      <c r="F18" s="84">
        <f>+'Rebate Data'!W16</f>
        <v>0.1451840134457105</v>
      </c>
      <c r="G18" s="37">
        <f t="shared" si="1"/>
        <v>-16.584369855903507</v>
      </c>
      <c r="H18" s="37">
        <f t="shared" si="2"/>
        <v>97.645630144096486</v>
      </c>
      <c r="I18" s="78">
        <f>+'SMaRT Tons Sold'!D18</f>
        <v>108.69863842706377</v>
      </c>
      <c r="J18" s="3">
        <f t="shared" si="3"/>
        <v>10613.947045015942</v>
      </c>
    </row>
    <row r="19" spans="1:11" ht="17.25" x14ac:dyDescent="0.4">
      <c r="A19" t="s">
        <v>12</v>
      </c>
      <c r="C19" s="97">
        <f>+D19+E19</f>
        <v>361</v>
      </c>
      <c r="D19" s="118">
        <f>361-109.87</f>
        <v>251.13</v>
      </c>
      <c r="E19" s="118">
        <f>89.42+20.45</f>
        <v>109.87</v>
      </c>
      <c r="F19" s="86">
        <f>+'Rebate Data'!Y16</f>
        <v>0.15011179797448376</v>
      </c>
      <c r="G19" s="79">
        <f t="shared" si="1"/>
        <v>-16.492783243456532</v>
      </c>
      <c r="H19" s="79">
        <f t="shared" si="2"/>
        <v>93.377216756543476</v>
      </c>
      <c r="I19" s="85">
        <f>+'Rebate Data'!X50</f>
        <v>60.913130909822478</v>
      </c>
      <c r="J19" s="80">
        <f t="shared" si="3"/>
        <v>5687.8986282862015</v>
      </c>
    </row>
    <row r="20" spans="1:11" ht="17.25" x14ac:dyDescent="0.4">
      <c r="C20" s="81">
        <f>SUM(C8:C19)</f>
        <v>4096.3600000000006</v>
      </c>
      <c r="D20" s="81">
        <f>SUM(D8:D19)</f>
        <v>2991.1800000000003</v>
      </c>
      <c r="E20" s="81">
        <f>SUM(E8:E19)</f>
        <v>1105.1799999999998</v>
      </c>
      <c r="F20" s="88">
        <f>-G20/E20</f>
        <v>0.1520297401382508</v>
      </c>
      <c r="G20" s="81">
        <f t="shared" ref="G20:J20" si="4">SUM(G8:G19)</f>
        <v>-168.020228205992</v>
      </c>
      <c r="H20" s="81">
        <f t="shared" si="4"/>
        <v>937.15977179400784</v>
      </c>
      <c r="I20" s="33">
        <f>+J20/H20</f>
        <v>141.22455324128518</v>
      </c>
      <c r="J20" s="83">
        <f t="shared" si="4"/>
        <v>132349.97008731353</v>
      </c>
      <c r="K20" s="82"/>
    </row>
    <row r="21" spans="1:11" x14ac:dyDescent="0.25">
      <c r="C21" s="2"/>
      <c r="D21" s="2"/>
      <c r="E21" s="2"/>
      <c r="F21" s="2"/>
    </row>
    <row r="22" spans="1:11" x14ac:dyDescent="0.25">
      <c r="C22" s="2"/>
      <c r="D22" s="2"/>
      <c r="E22" s="2"/>
      <c r="F22" s="2"/>
      <c r="G22" s="2"/>
    </row>
    <row r="23" spans="1:11" x14ac:dyDescent="0.25">
      <c r="C23" s="2"/>
      <c r="D23" s="2"/>
      <c r="E23" s="2"/>
      <c r="F23" s="2"/>
    </row>
    <row r="24" spans="1:11" x14ac:dyDescent="0.25">
      <c r="C24" s="34"/>
      <c r="D24" s="34"/>
      <c r="E24" s="34"/>
      <c r="F24" s="2"/>
    </row>
    <row r="25" spans="1:11" x14ac:dyDescent="0.25">
      <c r="C25" s="2"/>
      <c r="D25" s="2"/>
      <c r="E25" s="2"/>
      <c r="F25" s="2"/>
    </row>
    <row r="26" spans="1:11" x14ac:dyDescent="0.25">
      <c r="C26" s="2"/>
      <c r="D26" s="2"/>
      <c r="E26" s="2"/>
      <c r="F26" s="2"/>
    </row>
    <row r="27" spans="1:11" x14ac:dyDescent="0.25">
      <c r="C27" s="2"/>
      <c r="D27" s="2"/>
      <c r="E27" s="2"/>
      <c r="F27" s="2"/>
    </row>
    <row r="28" spans="1:11" x14ac:dyDescent="0.25">
      <c r="C28" s="2"/>
      <c r="D28" s="2"/>
      <c r="E28" s="2"/>
      <c r="F28" s="2"/>
    </row>
    <row r="29" spans="1:11" x14ac:dyDescent="0.25">
      <c r="C29" s="2"/>
      <c r="D29" s="2"/>
      <c r="E29" s="2"/>
      <c r="F29" s="2"/>
    </row>
    <row r="30" spans="1:11" x14ac:dyDescent="0.25">
      <c r="C30" s="2"/>
      <c r="D30" s="2"/>
      <c r="E30" s="2"/>
      <c r="F30" s="2"/>
    </row>
    <row r="31" spans="1:11" x14ac:dyDescent="0.25">
      <c r="C31" s="2"/>
      <c r="D31" s="2"/>
      <c r="E31" s="2"/>
      <c r="F31" s="2"/>
    </row>
    <row r="32" spans="1:11" x14ac:dyDescent="0.25">
      <c r="C32" s="2"/>
      <c r="D32" s="2"/>
      <c r="E32" s="2"/>
      <c r="F32" s="2"/>
    </row>
    <row r="33" spans="3:6" x14ac:dyDescent="0.25">
      <c r="C33" s="2"/>
      <c r="D33" s="2"/>
      <c r="E33" s="2"/>
      <c r="F33" s="2"/>
    </row>
    <row r="34" spans="3:6" x14ac:dyDescent="0.25">
      <c r="C34" s="2"/>
      <c r="D34" s="2"/>
      <c r="E34" s="2"/>
      <c r="F34" s="2"/>
    </row>
    <row r="35" spans="3:6" x14ac:dyDescent="0.25">
      <c r="C35" s="2"/>
      <c r="D35" s="2"/>
      <c r="E35" s="2"/>
      <c r="F35" s="2"/>
    </row>
  </sheetData>
  <mergeCells count="1">
    <mergeCell ref="C5:E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231FB0-8054-43D1-A839-AFBEE53C2BF1}">
  <dimension ref="A1:I33"/>
  <sheetViews>
    <sheetView topLeftCell="A7" workbookViewId="0">
      <selection activeCell="D18" sqref="D18"/>
    </sheetView>
  </sheetViews>
  <sheetFormatPr defaultRowHeight="15" x14ac:dyDescent="0.25"/>
  <cols>
    <col min="3" max="3" width="9.5703125" bestFit="1" customWidth="1"/>
    <col min="4" max="4" width="9" bestFit="1" customWidth="1"/>
    <col min="8" max="9" width="10.5703125" bestFit="1" customWidth="1"/>
  </cols>
  <sheetData>
    <row r="1" spans="1:9" ht="23.25" x14ac:dyDescent="0.35">
      <c r="A1" s="1" t="s">
        <v>0</v>
      </c>
    </row>
    <row r="2" spans="1:9" ht="21" x14ac:dyDescent="0.35">
      <c r="A2" s="89" t="s">
        <v>66</v>
      </c>
    </row>
    <row r="6" spans="1:9" x14ac:dyDescent="0.25">
      <c r="C6" s="12" t="s">
        <v>37</v>
      </c>
      <c r="D6" s="12" t="s">
        <v>38</v>
      </c>
      <c r="E6" s="12" t="s">
        <v>39</v>
      </c>
      <c r="F6" s="12" t="s">
        <v>30</v>
      </c>
    </row>
    <row r="7" spans="1:9" x14ac:dyDescent="0.25">
      <c r="A7" t="s">
        <v>77</v>
      </c>
      <c r="C7" s="99">
        <f>3712+2577</f>
        <v>6289</v>
      </c>
      <c r="D7" s="99">
        <v>14471</v>
      </c>
      <c r="E7" s="35">
        <f t="shared" ref="E7:E18" si="0">+D7+C7</f>
        <v>20760</v>
      </c>
      <c r="F7" s="34">
        <f>+C7/E7</f>
        <v>0.3029383429672447</v>
      </c>
      <c r="H7" s="2"/>
      <c r="I7" s="37"/>
    </row>
    <row r="8" spans="1:9" x14ac:dyDescent="0.25">
      <c r="A8" t="s">
        <v>14</v>
      </c>
      <c r="C8" s="99">
        <f>3706+2578</f>
        <v>6284</v>
      </c>
      <c r="D8" s="99">
        <f>20769-6284</f>
        <v>14485</v>
      </c>
      <c r="E8" s="35">
        <f t="shared" si="0"/>
        <v>20769</v>
      </c>
      <c r="F8" s="34">
        <f t="shared" ref="F8:F18" si="1">+C8/E8</f>
        <v>0.30256632481101642</v>
      </c>
      <c r="H8" s="2"/>
      <c r="I8" s="37"/>
    </row>
    <row r="9" spans="1:9" x14ac:dyDescent="0.25">
      <c r="A9" t="s">
        <v>78</v>
      </c>
      <c r="C9" s="99">
        <f>3681+2594</f>
        <v>6275</v>
      </c>
      <c r="D9" s="99">
        <f>20789-6275</f>
        <v>14514</v>
      </c>
      <c r="E9" s="35">
        <f t="shared" si="0"/>
        <v>20789</v>
      </c>
      <c r="F9" s="34">
        <f t="shared" si="1"/>
        <v>0.30184232045793447</v>
      </c>
      <c r="H9" s="2"/>
      <c r="I9" s="37"/>
    </row>
    <row r="10" spans="1:9" x14ac:dyDescent="0.25">
      <c r="A10" t="s">
        <v>17</v>
      </c>
      <c r="C10" s="99">
        <f>3690+2606</f>
        <v>6296</v>
      </c>
      <c r="D10" s="99">
        <f>20820-6296</f>
        <v>14524</v>
      </c>
      <c r="E10" s="35">
        <f t="shared" si="0"/>
        <v>20820</v>
      </c>
      <c r="F10" s="34">
        <f t="shared" si="1"/>
        <v>0.30240153698366956</v>
      </c>
      <c r="H10" s="2"/>
      <c r="I10" s="37"/>
    </row>
    <row r="11" spans="1:9" x14ac:dyDescent="0.25">
      <c r="A11" t="s">
        <v>18</v>
      </c>
      <c r="C11" s="99">
        <f>3710+2637</f>
        <v>6347</v>
      </c>
      <c r="D11" s="99">
        <f>20884-6347</f>
        <v>14537</v>
      </c>
      <c r="E11" s="35">
        <f t="shared" si="0"/>
        <v>20884</v>
      </c>
      <c r="F11" s="34">
        <f t="shared" si="1"/>
        <v>0.30391687416203794</v>
      </c>
      <c r="H11" s="2"/>
      <c r="I11" s="37"/>
    </row>
    <row r="12" spans="1:9" x14ac:dyDescent="0.25">
      <c r="A12" t="s">
        <v>19</v>
      </c>
      <c r="C12" s="99">
        <f>3738+2656</f>
        <v>6394</v>
      </c>
      <c r="D12" s="99">
        <f>20987-6394</f>
        <v>14593</v>
      </c>
      <c r="E12" s="35">
        <f t="shared" si="0"/>
        <v>20987</v>
      </c>
      <c r="F12" s="34">
        <f t="shared" si="1"/>
        <v>0.30466479249058942</v>
      </c>
      <c r="H12" s="2"/>
      <c r="I12" s="37"/>
    </row>
    <row r="13" spans="1:9" x14ac:dyDescent="0.25">
      <c r="A13" t="s">
        <v>7</v>
      </c>
      <c r="C13" s="99">
        <f>3771+2698</f>
        <v>6469</v>
      </c>
      <c r="D13" s="99">
        <f>20998-6469</f>
        <v>14529</v>
      </c>
      <c r="E13" s="35">
        <f t="shared" si="0"/>
        <v>20998</v>
      </c>
      <c r="F13" s="34">
        <f t="shared" si="1"/>
        <v>0.30807695971044863</v>
      </c>
      <c r="H13" s="2"/>
      <c r="I13" s="37"/>
    </row>
    <row r="14" spans="1:9" x14ac:dyDescent="0.25">
      <c r="A14" t="s">
        <v>8</v>
      </c>
      <c r="C14" s="99">
        <f>3816+2726</f>
        <v>6542</v>
      </c>
      <c r="D14" s="99">
        <f>21053-6542</f>
        <v>14511</v>
      </c>
      <c r="E14" s="35">
        <f t="shared" si="0"/>
        <v>21053</v>
      </c>
      <c r="F14" s="34">
        <f t="shared" si="1"/>
        <v>0.31073956205766401</v>
      </c>
      <c r="H14" s="2"/>
      <c r="I14" s="37"/>
    </row>
    <row r="15" spans="1:9" x14ac:dyDescent="0.25">
      <c r="A15" t="s">
        <v>9</v>
      </c>
      <c r="C15" s="99">
        <f>3854+2742</f>
        <v>6596</v>
      </c>
      <c r="D15" s="99">
        <f>21144-6596</f>
        <v>14548</v>
      </c>
      <c r="E15" s="35">
        <f t="shared" si="0"/>
        <v>21144</v>
      </c>
      <c r="F15" s="34">
        <f t="shared" si="1"/>
        <v>0.31195611048051458</v>
      </c>
      <c r="H15" s="2"/>
      <c r="I15" s="37"/>
    </row>
    <row r="16" spans="1:9" x14ac:dyDescent="0.25">
      <c r="A16" t="s">
        <v>10</v>
      </c>
      <c r="C16" s="99">
        <f>3873+2761</f>
        <v>6634</v>
      </c>
      <c r="D16" s="99">
        <f>21127-6634</f>
        <v>14493</v>
      </c>
      <c r="E16" s="35">
        <f t="shared" si="0"/>
        <v>21127</v>
      </c>
      <c r="F16" s="34">
        <f t="shared" si="1"/>
        <v>0.3140057746012212</v>
      </c>
      <c r="H16" s="2"/>
      <c r="I16" s="37"/>
    </row>
    <row r="17" spans="1:9" x14ac:dyDescent="0.25">
      <c r="A17" t="s">
        <v>11</v>
      </c>
      <c r="C17" s="111">
        <f>3873+2773</f>
        <v>6646</v>
      </c>
      <c r="D17" s="111">
        <f>21181-6646</f>
        <v>14535</v>
      </c>
      <c r="E17" s="35">
        <f t="shared" si="0"/>
        <v>21181</v>
      </c>
      <c r="F17" s="34">
        <f t="shared" si="1"/>
        <v>0.31377177659222888</v>
      </c>
      <c r="H17" s="2"/>
      <c r="I17" s="37"/>
    </row>
    <row r="18" spans="1:9" ht="17.25" x14ac:dyDescent="0.4">
      <c r="A18" t="s">
        <v>12</v>
      </c>
      <c r="C18" s="112">
        <f>3841+2771</f>
        <v>6612</v>
      </c>
      <c r="D18" s="112">
        <f>21133-6612</f>
        <v>14521</v>
      </c>
      <c r="E18" s="70">
        <f t="shared" si="0"/>
        <v>21133</v>
      </c>
      <c r="F18" s="71">
        <f t="shared" si="1"/>
        <v>0.31287559740689919</v>
      </c>
      <c r="H18" s="2"/>
      <c r="I18" s="37"/>
    </row>
    <row r="19" spans="1:9" ht="17.25" x14ac:dyDescent="0.4">
      <c r="C19" s="72">
        <f>SUM(C7:C18)</f>
        <v>77384</v>
      </c>
      <c r="D19" s="72">
        <f t="shared" ref="D19:E19" si="2">SUM(D7:D18)</f>
        <v>174261</v>
      </c>
      <c r="E19" s="72">
        <f t="shared" si="2"/>
        <v>251645</v>
      </c>
      <c r="F19" s="73">
        <f>+C19/E19</f>
        <v>0.30751256730711918</v>
      </c>
      <c r="I19" s="37"/>
    </row>
    <row r="20" spans="1:9" x14ac:dyDescent="0.25">
      <c r="C20" s="35"/>
      <c r="D20" s="35"/>
      <c r="E20" s="35"/>
    </row>
    <row r="21" spans="1:9" x14ac:dyDescent="0.25">
      <c r="C21" s="35"/>
      <c r="D21" s="35"/>
      <c r="E21" s="35"/>
    </row>
    <row r="22" spans="1:9" x14ac:dyDescent="0.25">
      <c r="C22" s="35"/>
      <c r="D22" s="35"/>
      <c r="E22" s="35"/>
    </row>
    <row r="23" spans="1:9" x14ac:dyDescent="0.25">
      <c r="C23" s="35"/>
      <c r="D23" s="35"/>
      <c r="E23" s="35"/>
    </row>
    <row r="24" spans="1:9" x14ac:dyDescent="0.25">
      <c r="C24" s="35"/>
      <c r="D24" s="35"/>
      <c r="E24" s="35"/>
    </row>
    <row r="25" spans="1:9" x14ac:dyDescent="0.25">
      <c r="C25" s="35"/>
      <c r="D25" s="35"/>
      <c r="E25" s="35"/>
    </row>
    <row r="26" spans="1:9" x14ac:dyDescent="0.25">
      <c r="C26" s="35"/>
      <c r="D26" s="35"/>
      <c r="E26" s="35"/>
    </row>
    <row r="27" spans="1:9" x14ac:dyDescent="0.25">
      <c r="C27" s="35"/>
      <c r="D27" s="35"/>
      <c r="E27" s="35"/>
    </row>
    <row r="28" spans="1:9" x14ac:dyDescent="0.25">
      <c r="C28" s="35"/>
      <c r="D28" s="35"/>
      <c r="E28" s="35"/>
    </row>
    <row r="29" spans="1:9" x14ac:dyDescent="0.25">
      <c r="C29" s="35"/>
      <c r="D29" s="35"/>
      <c r="E29" s="35"/>
    </row>
    <row r="30" spans="1:9" x14ac:dyDescent="0.25">
      <c r="C30" s="35"/>
      <c r="D30" s="35"/>
      <c r="E30" s="35"/>
    </row>
    <row r="31" spans="1:9" x14ac:dyDescent="0.25">
      <c r="C31" s="35"/>
      <c r="D31" s="35"/>
      <c r="E31" s="35"/>
    </row>
    <row r="32" spans="1:9" x14ac:dyDescent="0.25">
      <c r="C32" s="35"/>
      <c r="D32" s="35"/>
      <c r="E32" s="35"/>
    </row>
    <row r="33" spans="3:5" x14ac:dyDescent="0.25">
      <c r="C33" s="35"/>
      <c r="D33" s="35"/>
      <c r="E33" s="35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1113D8-2B56-46F9-A458-C066B34B8EDE}">
  <dimension ref="A1:AF54"/>
  <sheetViews>
    <sheetView topLeftCell="G19" workbookViewId="0">
      <selection activeCell="Q30" sqref="Q30"/>
    </sheetView>
  </sheetViews>
  <sheetFormatPr defaultRowHeight="15" x14ac:dyDescent="0.25"/>
  <cols>
    <col min="1" max="1" width="19" customWidth="1"/>
    <col min="2" max="2" width="10" bestFit="1" customWidth="1"/>
    <col min="3" max="3" width="7.7109375" bestFit="1" customWidth="1"/>
    <col min="4" max="4" width="10" bestFit="1" customWidth="1"/>
    <col min="5" max="5" width="10.5703125" bestFit="1" customWidth="1"/>
    <col min="6" max="6" width="10" bestFit="1" customWidth="1"/>
    <col min="7" max="7" width="7.7109375" bestFit="1" customWidth="1"/>
    <col min="8" max="8" width="10" bestFit="1" customWidth="1"/>
    <col min="9" max="9" width="7.7109375" bestFit="1" customWidth="1"/>
    <col min="10" max="10" width="10" bestFit="1" customWidth="1"/>
    <col min="11" max="11" width="9.140625" bestFit="1" customWidth="1"/>
    <col min="12" max="12" width="10" bestFit="1" customWidth="1"/>
    <col min="13" max="13" width="7.7109375" bestFit="1" customWidth="1"/>
    <col min="14" max="14" width="10" bestFit="1" customWidth="1"/>
    <col min="15" max="15" width="7.7109375" bestFit="1" customWidth="1"/>
    <col min="16" max="16" width="10" bestFit="1" customWidth="1"/>
    <col min="17" max="17" width="7.7109375" bestFit="1" customWidth="1"/>
    <col min="18" max="18" width="10.5703125" bestFit="1" customWidth="1"/>
    <col min="19" max="19" width="7.7109375" bestFit="1" customWidth="1"/>
    <col min="20" max="20" width="10.5703125" bestFit="1" customWidth="1"/>
    <col min="21" max="21" width="7.7109375" bestFit="1" customWidth="1"/>
    <col min="22" max="22" width="13.42578125" customWidth="1"/>
    <col min="23" max="23" width="7.7109375" bestFit="1" customWidth="1"/>
    <col min="24" max="24" width="12" customWidth="1"/>
    <col min="25" max="25" width="7.7109375" bestFit="1" customWidth="1"/>
    <col min="26" max="26" width="5" bestFit="1" customWidth="1"/>
  </cols>
  <sheetData>
    <row r="1" spans="1:26" ht="20.25" x14ac:dyDescent="0.3">
      <c r="A1" s="90" t="s">
        <v>36</v>
      </c>
      <c r="B1" s="19"/>
      <c r="C1" s="19"/>
      <c r="D1" s="19"/>
      <c r="E1" s="19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26" x14ac:dyDescent="0.25">
      <c r="A2" s="23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1:26" x14ac:dyDescent="0.25">
      <c r="A3" s="17"/>
      <c r="B3" s="17"/>
      <c r="C3" s="17"/>
      <c r="D3" s="17"/>
      <c r="E3" s="17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1:26" x14ac:dyDescent="0.25">
      <c r="A4" s="16"/>
      <c r="B4" s="117">
        <v>44501</v>
      </c>
      <c r="C4" s="117"/>
      <c r="D4" s="117">
        <v>44531</v>
      </c>
      <c r="E4" s="117"/>
      <c r="F4" s="117">
        <v>44562</v>
      </c>
      <c r="G4" s="117"/>
      <c r="H4" s="117">
        <v>44593</v>
      </c>
      <c r="I4" s="117"/>
      <c r="J4" s="117">
        <v>44621</v>
      </c>
      <c r="K4" s="117"/>
      <c r="L4" s="117">
        <v>44652</v>
      </c>
      <c r="M4" s="117"/>
      <c r="N4" s="117">
        <v>44682</v>
      </c>
      <c r="O4" s="117"/>
      <c r="P4" s="117">
        <v>44713</v>
      </c>
      <c r="Q4" s="117"/>
      <c r="R4" s="117">
        <v>44743</v>
      </c>
      <c r="S4" s="117"/>
      <c r="T4" s="117">
        <v>44774</v>
      </c>
      <c r="U4" s="117"/>
      <c r="V4" s="117">
        <v>44805</v>
      </c>
      <c r="W4" s="117"/>
      <c r="X4" s="117">
        <v>44835</v>
      </c>
      <c r="Y4" s="117"/>
      <c r="Z4" s="16"/>
    </row>
    <row r="5" spans="1:26" x14ac:dyDescent="0.25">
      <c r="A5" s="16"/>
      <c r="B5" s="21" t="s">
        <v>2</v>
      </c>
      <c r="C5" s="21" t="s">
        <v>30</v>
      </c>
      <c r="D5" s="21" t="s">
        <v>2</v>
      </c>
      <c r="E5" s="21" t="s">
        <v>30</v>
      </c>
      <c r="F5" s="21" t="s">
        <v>2</v>
      </c>
      <c r="G5" s="21" t="s">
        <v>30</v>
      </c>
      <c r="H5" s="21" t="s">
        <v>2</v>
      </c>
      <c r="I5" s="21" t="s">
        <v>30</v>
      </c>
      <c r="J5" s="21" t="s">
        <v>2</v>
      </c>
      <c r="K5" s="21" t="s">
        <v>30</v>
      </c>
      <c r="L5" s="21" t="s">
        <v>2</v>
      </c>
      <c r="M5" s="21" t="s">
        <v>30</v>
      </c>
      <c r="N5" s="21" t="s">
        <v>2</v>
      </c>
      <c r="O5" s="21" t="s">
        <v>30</v>
      </c>
      <c r="P5" s="21" t="s">
        <v>2</v>
      </c>
      <c r="Q5" s="21" t="s">
        <v>30</v>
      </c>
      <c r="R5" s="21" t="s">
        <v>2</v>
      </c>
      <c r="S5" s="21" t="s">
        <v>30</v>
      </c>
      <c r="T5" s="21" t="s">
        <v>2</v>
      </c>
      <c r="U5" s="21" t="s">
        <v>30</v>
      </c>
      <c r="V5" s="21" t="s">
        <v>2</v>
      </c>
      <c r="W5" s="21" t="s">
        <v>30</v>
      </c>
      <c r="X5" s="21" t="s">
        <v>2</v>
      </c>
      <c r="Y5" s="21" t="s">
        <v>30</v>
      </c>
      <c r="Z5" s="16"/>
    </row>
    <row r="6" spans="1:26" x14ac:dyDescent="0.25">
      <c r="A6" s="16" t="s">
        <v>23</v>
      </c>
      <c r="B6" s="100">
        <v>309.02</v>
      </c>
      <c r="C6" s="18">
        <f t="shared" ref="C6:C17" si="0">+B6/B$17</f>
        <v>0.18356133462431762</v>
      </c>
      <c r="D6" s="102">
        <v>351.82</v>
      </c>
      <c r="E6" s="18">
        <f t="shared" ref="E6:E17" si="1">+D6/D$17</f>
        <v>0.19200165904452138</v>
      </c>
      <c r="F6" s="102">
        <v>301.07</v>
      </c>
      <c r="G6" s="18">
        <f t="shared" ref="G6:G17" si="2">+F6/F$17</f>
        <v>0.17531079861414389</v>
      </c>
      <c r="H6" s="102">
        <v>276.52</v>
      </c>
      <c r="I6" s="18">
        <f t="shared" ref="I6:I17" si="3">+H6/H$17</f>
        <v>0.18569356398409798</v>
      </c>
      <c r="J6" s="102">
        <v>344.96</v>
      </c>
      <c r="K6" s="18">
        <f t="shared" ref="K6:K15" si="4">+J6/J$17</f>
        <v>0.20686512029552159</v>
      </c>
      <c r="L6" s="102">
        <v>297.94</v>
      </c>
      <c r="M6" s="18">
        <f t="shared" ref="M6:M15" si="5">+L6/L$17</f>
        <v>0.18849684615433276</v>
      </c>
      <c r="N6" s="102">
        <v>287.32</v>
      </c>
      <c r="O6" s="18">
        <f t="shared" ref="O6:Y15" si="6">+N6/N$17</f>
        <v>0.17869715024939981</v>
      </c>
      <c r="P6" s="102">
        <v>360.06</v>
      </c>
      <c r="Q6" s="18">
        <f t="shared" si="6"/>
        <v>0.20170072600161337</v>
      </c>
      <c r="R6" s="102">
        <v>239.95</v>
      </c>
      <c r="S6" s="18">
        <f t="shared" si="6"/>
        <v>0.15490239115839483</v>
      </c>
      <c r="T6" s="102">
        <v>267.74</v>
      </c>
      <c r="U6" s="18">
        <f t="shared" si="6"/>
        <v>0.16458279546097196</v>
      </c>
      <c r="V6" s="102">
        <v>297.43</v>
      </c>
      <c r="W6" s="18">
        <f t="shared" si="6"/>
        <v>0.18378481919968367</v>
      </c>
      <c r="X6" s="119">
        <v>253.66</v>
      </c>
      <c r="Y6" s="18">
        <f t="shared" si="6"/>
        <v>0.16681573063264499</v>
      </c>
      <c r="Z6" s="16"/>
    </row>
    <row r="7" spans="1:26" x14ac:dyDescent="0.25">
      <c r="A7" s="16" t="s">
        <v>24</v>
      </c>
      <c r="B7" s="100">
        <v>0</v>
      </c>
      <c r="C7" s="18">
        <f t="shared" si="0"/>
        <v>0</v>
      </c>
      <c r="D7" s="102">
        <v>0</v>
      </c>
      <c r="E7" s="18">
        <f t="shared" si="1"/>
        <v>0</v>
      </c>
      <c r="F7" s="102">
        <v>0</v>
      </c>
      <c r="G7" s="18">
        <f t="shared" si="2"/>
        <v>0</v>
      </c>
      <c r="H7" s="102">
        <v>0</v>
      </c>
      <c r="I7" s="18">
        <f t="shared" si="3"/>
        <v>0</v>
      </c>
      <c r="J7" s="102">
        <v>0</v>
      </c>
      <c r="K7" s="18">
        <f t="shared" si="4"/>
        <v>0</v>
      </c>
      <c r="L7" s="102">
        <v>0</v>
      </c>
      <c r="M7" s="18">
        <f t="shared" si="5"/>
        <v>0</v>
      </c>
      <c r="N7" s="102">
        <v>0</v>
      </c>
      <c r="O7" s="18">
        <f t="shared" si="6"/>
        <v>0</v>
      </c>
      <c r="P7" s="102">
        <v>0</v>
      </c>
      <c r="Q7" s="18">
        <f t="shared" si="6"/>
        <v>0</v>
      </c>
      <c r="R7" s="102">
        <v>0</v>
      </c>
      <c r="S7" s="18">
        <f t="shared" si="6"/>
        <v>0</v>
      </c>
      <c r="T7" s="102">
        <v>0</v>
      </c>
      <c r="U7" s="18">
        <f t="shared" si="6"/>
        <v>0</v>
      </c>
      <c r="V7" s="102">
        <v>0</v>
      </c>
      <c r="W7" s="18">
        <f t="shared" si="6"/>
        <v>0</v>
      </c>
      <c r="X7" s="119">
        <v>0</v>
      </c>
      <c r="Y7" s="18">
        <f t="shared" si="6"/>
        <v>0</v>
      </c>
      <c r="Z7" s="16"/>
    </row>
    <row r="8" spans="1:26" x14ac:dyDescent="0.25">
      <c r="A8" s="16" t="s">
        <v>20</v>
      </c>
      <c r="B8" s="100">
        <v>813.97</v>
      </c>
      <c r="C8" s="18">
        <f t="shared" si="0"/>
        <v>0.48350727960700224</v>
      </c>
      <c r="D8" s="102">
        <v>797.45</v>
      </c>
      <c r="E8" s="18">
        <f t="shared" si="1"/>
        <v>0.43519903076872712</v>
      </c>
      <c r="F8" s="102">
        <v>737.01</v>
      </c>
      <c r="G8" s="18">
        <f t="shared" si="2"/>
        <v>0.42915538474975984</v>
      </c>
      <c r="H8" s="102">
        <v>679.02</v>
      </c>
      <c r="I8" s="18">
        <f t="shared" si="3"/>
        <v>0.45598742881701942</v>
      </c>
      <c r="J8" s="102">
        <v>709.45</v>
      </c>
      <c r="K8" s="18">
        <f t="shared" si="4"/>
        <v>0.42544196310777427</v>
      </c>
      <c r="L8" s="102">
        <v>755.69</v>
      </c>
      <c r="M8" s="18">
        <f t="shared" si="5"/>
        <v>0.47810022712750133</v>
      </c>
      <c r="N8" s="102">
        <v>752.96</v>
      </c>
      <c r="O8" s="18">
        <f t="shared" si="6"/>
        <v>0.46829947881034417</v>
      </c>
      <c r="P8" s="102">
        <v>714.22</v>
      </c>
      <c r="Q8" s="18">
        <f t="shared" si="6"/>
        <v>0.40009635206596766</v>
      </c>
      <c r="R8" s="102">
        <v>712.25</v>
      </c>
      <c r="S8" s="18">
        <f t="shared" si="6"/>
        <v>0.45980090895005926</v>
      </c>
      <c r="T8" s="102">
        <v>765.98</v>
      </c>
      <c r="U8" s="18">
        <f t="shared" si="6"/>
        <v>0.47085653868378019</v>
      </c>
      <c r="V8" s="102">
        <v>756.67</v>
      </c>
      <c r="W8" s="18">
        <f t="shared" si="6"/>
        <v>0.46755357275266324</v>
      </c>
      <c r="X8" s="119">
        <v>693.62</v>
      </c>
      <c r="Y8" s="18">
        <f t="shared" si="6"/>
        <v>0.45614888859660657</v>
      </c>
      <c r="Z8" s="22"/>
    </row>
    <row r="9" spans="1:26" x14ac:dyDescent="0.25">
      <c r="A9" s="16" t="s">
        <v>25</v>
      </c>
      <c r="B9" s="100">
        <v>28.78</v>
      </c>
      <c r="C9" s="18">
        <f t="shared" si="0"/>
        <v>1.7095641739977546E-2</v>
      </c>
      <c r="D9" s="102">
        <v>29.32</v>
      </c>
      <c r="E9" s="18">
        <f t="shared" si="1"/>
        <v>1.6001047817592425E-2</v>
      </c>
      <c r="F9" s="102">
        <v>28.24</v>
      </c>
      <c r="G9" s="18">
        <f t="shared" si="2"/>
        <v>1.6443939790956999E-2</v>
      </c>
      <c r="H9" s="103">
        <v>25.31</v>
      </c>
      <c r="I9" s="18">
        <f t="shared" si="3"/>
        <v>1.6996615450736004E-2</v>
      </c>
      <c r="J9" s="103">
        <v>30.37</v>
      </c>
      <c r="K9" s="18">
        <f t="shared" si="4"/>
        <v>1.82122382403032E-2</v>
      </c>
      <c r="L9" s="102">
        <v>25.76</v>
      </c>
      <c r="M9" s="18">
        <f t="shared" si="5"/>
        <v>1.6297505393487323E-2</v>
      </c>
      <c r="N9" s="102">
        <v>33.93</v>
      </c>
      <c r="O9" s="18">
        <f t="shared" si="6"/>
        <v>2.1102583558269997E-2</v>
      </c>
      <c r="P9" s="102">
        <v>33.56</v>
      </c>
      <c r="Q9" s="18">
        <f t="shared" si="6"/>
        <v>1.8799856592273914E-2</v>
      </c>
      <c r="R9" s="102">
        <v>35.159999999999997</v>
      </c>
      <c r="S9" s="18">
        <f t="shared" si="6"/>
        <v>2.2697929039921492E-2</v>
      </c>
      <c r="T9" s="102">
        <v>36.92</v>
      </c>
      <c r="U9" s="18">
        <f t="shared" si="6"/>
        <v>2.2695140092698459E-2</v>
      </c>
      <c r="V9" s="102">
        <v>35.119999999999997</v>
      </c>
      <c r="W9" s="18">
        <f t="shared" si="6"/>
        <v>2.1700981240267928E-2</v>
      </c>
      <c r="X9" s="119">
        <v>27.98</v>
      </c>
      <c r="Y9" s="18">
        <f t="shared" si="6"/>
        <v>1.8400631329738258E-2</v>
      </c>
      <c r="Z9" s="22"/>
    </row>
    <row r="10" spans="1:26" x14ac:dyDescent="0.25">
      <c r="A10" s="16" t="s">
        <v>29</v>
      </c>
      <c r="B10" s="100">
        <v>33.83</v>
      </c>
      <c r="C10" s="18">
        <f t="shared" si="0"/>
        <v>2.0095398195394035E-2</v>
      </c>
      <c r="D10" s="102">
        <v>36.1</v>
      </c>
      <c r="E10" s="18">
        <f t="shared" si="1"/>
        <v>1.9701153690828328E-2</v>
      </c>
      <c r="F10" s="102">
        <v>39.840000000000003</v>
      </c>
      <c r="G10" s="18">
        <f t="shared" si="2"/>
        <v>2.3198532622936505E-2</v>
      </c>
      <c r="H10" s="103">
        <v>23.23</v>
      </c>
      <c r="I10" s="18">
        <f t="shared" si="3"/>
        <v>1.5599817341785751E-2</v>
      </c>
      <c r="J10" s="103">
        <v>28.54</v>
      </c>
      <c r="K10" s="18">
        <f t="shared" si="4"/>
        <v>1.7114826453021179E-2</v>
      </c>
      <c r="L10" s="102">
        <v>26.4</v>
      </c>
      <c r="M10" s="18">
        <f t="shared" si="5"/>
        <v>1.6702412359785142E-2</v>
      </c>
      <c r="N10" s="102">
        <v>30.55</v>
      </c>
      <c r="O10" s="18">
        <f t="shared" si="6"/>
        <v>1.9000410483499805E-2</v>
      </c>
      <c r="P10" s="102">
        <v>31.24</v>
      </c>
      <c r="Q10" s="18">
        <f t="shared" si="6"/>
        <v>1.750022407457202E-2</v>
      </c>
      <c r="R10" s="102">
        <v>26.33</v>
      </c>
      <c r="S10" s="18">
        <f t="shared" si="6"/>
        <v>1.6997624335072039E-2</v>
      </c>
      <c r="T10" s="102">
        <v>25.86</v>
      </c>
      <c r="U10" s="18">
        <f t="shared" si="6"/>
        <v>1.5896433445210783E-2</v>
      </c>
      <c r="V10" s="102">
        <v>25.08</v>
      </c>
      <c r="W10" s="18">
        <f t="shared" si="6"/>
        <v>1.5497169974542131E-2</v>
      </c>
      <c r="X10" s="119">
        <v>28.59</v>
      </c>
      <c r="Y10" s="18">
        <f t="shared" si="6"/>
        <v>1.880178876759174E-2</v>
      </c>
      <c r="Z10" s="22"/>
    </row>
    <row r="11" spans="1:26" x14ac:dyDescent="0.25">
      <c r="A11" s="16" t="s">
        <v>21</v>
      </c>
      <c r="B11" s="100">
        <v>187.67</v>
      </c>
      <c r="C11" s="18">
        <f t="shared" si="0"/>
        <v>0.11147807801742828</v>
      </c>
      <c r="D11" s="102">
        <v>248.65</v>
      </c>
      <c r="E11" s="18">
        <f t="shared" si="1"/>
        <v>0.13569783560178569</v>
      </c>
      <c r="F11" s="102">
        <v>243.88</v>
      </c>
      <c r="G11" s="18">
        <f t="shared" si="2"/>
        <v>0.1420094913675139</v>
      </c>
      <c r="H11" s="103">
        <v>221.72</v>
      </c>
      <c r="I11" s="18">
        <f t="shared" si="3"/>
        <v>0.14889330611367788</v>
      </c>
      <c r="J11" s="103">
        <v>221.3</v>
      </c>
      <c r="K11" s="18">
        <f t="shared" si="4"/>
        <v>0.13270886804672696</v>
      </c>
      <c r="L11" s="102">
        <v>185.41</v>
      </c>
      <c r="M11" s="18">
        <f t="shared" si="5"/>
        <v>0.11730281347074861</v>
      </c>
      <c r="N11" s="102">
        <v>168.5</v>
      </c>
      <c r="O11" s="18">
        <f t="shared" si="6"/>
        <v>0.10479768139017077</v>
      </c>
      <c r="P11" s="102">
        <v>236.35</v>
      </c>
      <c r="Q11" s="18">
        <f t="shared" si="6"/>
        <v>0.13240006274088018</v>
      </c>
      <c r="R11" s="102">
        <v>179.38</v>
      </c>
      <c r="S11" s="18">
        <f t="shared" si="6"/>
        <v>0.11580075401539014</v>
      </c>
      <c r="T11" s="102">
        <v>197.63</v>
      </c>
      <c r="U11" s="18">
        <f t="shared" si="6"/>
        <v>0.12148538831310932</v>
      </c>
      <c r="V11" s="102">
        <v>181.72</v>
      </c>
      <c r="W11" s="18">
        <f t="shared" si="6"/>
        <v>0.11228651227168246</v>
      </c>
      <c r="X11" s="119">
        <v>213.06</v>
      </c>
      <c r="Y11" s="18">
        <f t="shared" si="6"/>
        <v>0.14011574378534788</v>
      </c>
      <c r="Z11" s="22"/>
    </row>
    <row r="12" spans="1:26" x14ac:dyDescent="0.25">
      <c r="A12" s="16" t="s">
        <v>22</v>
      </c>
      <c r="B12" s="100">
        <v>57.06</v>
      </c>
      <c r="C12" s="18">
        <f t="shared" si="0"/>
        <v>3.3894277890309896E-2</v>
      </c>
      <c r="D12" s="102">
        <v>69.08</v>
      </c>
      <c r="E12" s="18">
        <f t="shared" si="1"/>
        <v>3.7699603793972872E-2</v>
      </c>
      <c r="F12" s="102">
        <v>63.2</v>
      </c>
      <c r="G12" s="18">
        <f t="shared" si="2"/>
        <v>3.6800885084577989E-2</v>
      </c>
      <c r="H12" s="103">
        <v>38.92</v>
      </c>
      <c r="I12" s="18">
        <f t="shared" si="3"/>
        <v>2.6136241538626839E-2</v>
      </c>
      <c r="J12" s="103">
        <v>51.4</v>
      </c>
      <c r="K12" s="18">
        <f t="shared" si="4"/>
        <v>3.0823478615462113E-2</v>
      </c>
      <c r="L12" s="102">
        <v>41.41</v>
      </c>
      <c r="M12" s="18">
        <f t="shared" si="5"/>
        <v>2.6198746053738738E-2</v>
      </c>
      <c r="N12" s="102">
        <v>60.46</v>
      </c>
      <c r="O12" s="18">
        <f t="shared" si="6"/>
        <v>3.7602776361125967E-2</v>
      </c>
      <c r="P12" s="102">
        <v>67.48</v>
      </c>
      <c r="Q12" s="18">
        <f t="shared" si="6"/>
        <v>3.7801380299363641E-2</v>
      </c>
      <c r="R12" s="102">
        <v>68.47</v>
      </c>
      <c r="S12" s="18">
        <f t="shared" si="6"/>
        <v>4.4201570004648028E-2</v>
      </c>
      <c r="T12" s="102">
        <v>66.37</v>
      </c>
      <c r="U12" s="18">
        <f t="shared" si="6"/>
        <v>4.0798386997627209E-2</v>
      </c>
      <c r="V12" s="102">
        <v>60.84</v>
      </c>
      <c r="W12" s="18">
        <f t="shared" si="6"/>
        <v>3.7593613287525654E-2</v>
      </c>
      <c r="X12" s="119">
        <v>52.01</v>
      </c>
      <c r="Y12" s="18">
        <f t="shared" si="6"/>
        <v>3.4203603840589236E-2</v>
      </c>
      <c r="Z12" s="22"/>
    </row>
    <row r="13" spans="1:26" x14ac:dyDescent="0.25">
      <c r="A13" s="16" t="s">
        <v>26</v>
      </c>
      <c r="B13" s="100">
        <v>12.96</v>
      </c>
      <c r="C13" s="18">
        <f t="shared" si="0"/>
        <v>7.6983848836035098E-3</v>
      </c>
      <c r="D13" s="102">
        <v>15.03</v>
      </c>
      <c r="E13" s="18">
        <f t="shared" si="1"/>
        <v>8.202447090668967E-3</v>
      </c>
      <c r="F13" s="102">
        <v>14.94</v>
      </c>
      <c r="G13" s="18">
        <f t="shared" si="2"/>
        <v>8.6994497336011882E-3</v>
      </c>
      <c r="H13" s="103">
        <v>12.21</v>
      </c>
      <c r="I13" s="18">
        <f t="shared" si="3"/>
        <v>8.1994735145589342E-3</v>
      </c>
      <c r="J13" s="103">
        <v>15.85</v>
      </c>
      <c r="K13" s="18">
        <f t="shared" si="4"/>
        <v>9.5049053707212932E-3</v>
      </c>
      <c r="L13" s="102">
        <v>14.7</v>
      </c>
      <c r="M13" s="18">
        <f t="shared" si="5"/>
        <v>9.3002068821530903E-3</v>
      </c>
      <c r="N13" s="102">
        <v>14.95</v>
      </c>
      <c r="O13" s="18">
        <f t="shared" si="6"/>
        <v>9.298073215329692E-3</v>
      </c>
      <c r="P13" s="102">
        <v>16.07</v>
      </c>
      <c r="Q13" s="18">
        <f t="shared" si="6"/>
        <v>9.0021959308057738E-3</v>
      </c>
      <c r="R13" s="102">
        <v>18.43</v>
      </c>
      <c r="S13" s="18">
        <f t="shared" si="6"/>
        <v>1.1897691473428701E-2</v>
      </c>
      <c r="T13" s="102">
        <v>14.15</v>
      </c>
      <c r="U13" s="18">
        <f t="shared" si="6"/>
        <v>8.6981644721474318E-3</v>
      </c>
      <c r="V13" s="102">
        <v>16.02</v>
      </c>
      <c r="W13" s="18">
        <f t="shared" si="6"/>
        <v>9.8989100076620797E-3</v>
      </c>
      <c r="X13" s="119">
        <v>13.53</v>
      </c>
      <c r="Y13" s="18">
        <f t="shared" si="6"/>
        <v>8.8978034986189648E-3</v>
      </c>
      <c r="Z13" s="22"/>
    </row>
    <row r="14" spans="1:26" x14ac:dyDescent="0.25">
      <c r="A14" s="16" t="s">
        <v>27</v>
      </c>
      <c r="B14" s="100">
        <v>8.75</v>
      </c>
      <c r="C14" s="18">
        <f t="shared" si="0"/>
        <v>5.19759781879095E-3</v>
      </c>
      <c r="D14" s="102">
        <v>10.81</v>
      </c>
      <c r="E14" s="18">
        <f t="shared" si="1"/>
        <v>5.899431340660781E-3</v>
      </c>
      <c r="F14" s="102">
        <v>9.7899999999999991</v>
      </c>
      <c r="G14" s="18">
        <f t="shared" si="2"/>
        <v>5.7006434331964943E-3</v>
      </c>
      <c r="H14" s="103">
        <v>7.74</v>
      </c>
      <c r="I14" s="18">
        <f t="shared" si="3"/>
        <v>5.1977006554206505E-3</v>
      </c>
      <c r="J14" s="103">
        <v>12.02</v>
      </c>
      <c r="K14" s="18">
        <f t="shared" si="4"/>
        <v>7.2081364388687664E-3</v>
      </c>
      <c r="L14" s="102">
        <v>9.01</v>
      </c>
      <c r="M14" s="18">
        <f t="shared" si="5"/>
        <v>5.7003308849115199E-3</v>
      </c>
      <c r="N14" s="102">
        <v>11.42</v>
      </c>
      <c r="O14" s="18">
        <f t="shared" si="6"/>
        <v>7.102608436057865E-3</v>
      </c>
      <c r="P14" s="102">
        <v>10.35</v>
      </c>
      <c r="Q14" s="18">
        <f t="shared" si="6"/>
        <v>5.7979295509545583E-3</v>
      </c>
      <c r="R14" s="102">
        <v>10.38</v>
      </c>
      <c r="S14" s="18">
        <f t="shared" si="6"/>
        <v>6.7009244435263116E-3</v>
      </c>
      <c r="T14" s="102">
        <v>10.74</v>
      </c>
      <c r="U14" s="18">
        <f t="shared" si="6"/>
        <v>6.6019990410504182E-3</v>
      </c>
      <c r="V14" s="102">
        <v>10.52</v>
      </c>
      <c r="W14" s="18">
        <f t="shared" si="6"/>
        <v>6.5004078202624887E-3</v>
      </c>
      <c r="X14" s="119">
        <v>9.89</v>
      </c>
      <c r="Y14" s="18">
        <f t="shared" si="6"/>
        <v>6.5040115743785348E-3</v>
      </c>
      <c r="Z14" s="22"/>
    </row>
    <row r="15" spans="1:26" x14ac:dyDescent="0.25">
      <c r="A15" s="16" t="s">
        <v>28</v>
      </c>
      <c r="B15" s="100">
        <v>0</v>
      </c>
      <c r="C15" s="18">
        <f t="shared" si="0"/>
        <v>0</v>
      </c>
      <c r="D15" s="102">
        <v>0</v>
      </c>
      <c r="E15" s="18">
        <f t="shared" si="1"/>
        <v>0</v>
      </c>
      <c r="F15" s="102">
        <v>0</v>
      </c>
      <c r="G15" s="18">
        <f t="shared" si="2"/>
        <v>0</v>
      </c>
      <c r="H15" s="103">
        <v>0</v>
      </c>
      <c r="I15" s="18">
        <f t="shared" si="3"/>
        <v>0</v>
      </c>
      <c r="J15" s="103">
        <v>0</v>
      </c>
      <c r="K15" s="18">
        <f t="shared" si="4"/>
        <v>0</v>
      </c>
      <c r="L15" s="102">
        <v>0</v>
      </c>
      <c r="M15" s="18">
        <f t="shared" si="5"/>
        <v>0</v>
      </c>
      <c r="N15" s="102">
        <v>0</v>
      </c>
      <c r="O15" s="18">
        <f t="shared" si="6"/>
        <v>0</v>
      </c>
      <c r="P15" s="102">
        <v>0</v>
      </c>
      <c r="Q15" s="18">
        <f t="shared" si="6"/>
        <v>0</v>
      </c>
      <c r="R15" s="102">
        <v>0</v>
      </c>
      <c r="S15" s="18">
        <f t="shared" si="6"/>
        <v>0</v>
      </c>
      <c r="T15" s="102">
        <v>0</v>
      </c>
      <c r="U15" s="18">
        <f t="shared" si="6"/>
        <v>0</v>
      </c>
      <c r="V15" s="102">
        <v>0</v>
      </c>
      <c r="W15" s="18">
        <f t="shared" si="6"/>
        <v>0</v>
      </c>
      <c r="X15" s="119">
        <v>0</v>
      </c>
      <c r="Y15" s="18">
        <f t="shared" si="6"/>
        <v>0</v>
      </c>
      <c r="Z15" s="22"/>
    </row>
    <row r="16" spans="1:26" ht="16.5" x14ac:dyDescent="0.35">
      <c r="A16" s="16" t="s">
        <v>31</v>
      </c>
      <c r="B16" s="101">
        <f>3.7+8.75+218.98</f>
        <v>231.42999999999998</v>
      </c>
      <c r="C16" s="26">
        <f t="shared" si="0"/>
        <v>0.13747200722317593</v>
      </c>
      <c r="D16" s="101">
        <f>3.48+8.98+261.66</f>
        <v>274.12</v>
      </c>
      <c r="E16" s="26">
        <f t="shared" si="1"/>
        <v>0.14959779085124267</v>
      </c>
      <c r="F16" s="101">
        <f>3.31+10.3+265.77</f>
        <v>279.38</v>
      </c>
      <c r="G16" s="26">
        <f t="shared" si="2"/>
        <v>0.16268087460331326</v>
      </c>
      <c r="H16" s="104">
        <f>2.23+4.62+197.6</f>
        <v>204.45</v>
      </c>
      <c r="I16" s="26">
        <f t="shared" si="3"/>
        <v>0.13729585258407648</v>
      </c>
      <c r="J16" s="104">
        <f>2.17+7.01+244.49</f>
        <v>253.67000000000002</v>
      </c>
      <c r="K16" s="26">
        <f t="shared" ref="K16" si="7">+J16/J$17</f>
        <v>0.15212046343160068</v>
      </c>
      <c r="L16" s="101">
        <f>3.32+7.43+213.54</f>
        <v>224.29</v>
      </c>
      <c r="M16" s="26">
        <f t="shared" ref="M16" si="8">+L16/L$17</f>
        <v>0.14190091167334126</v>
      </c>
      <c r="N16" s="101">
        <f>3.86+8.04+235.87</f>
        <v>247.77</v>
      </c>
      <c r="O16" s="26">
        <f t="shared" ref="O16:Y17" si="9">+N16/N$17</f>
        <v>0.15409923749580187</v>
      </c>
      <c r="P16" s="101">
        <f>3.93+12.32+299.54</f>
        <v>315.79000000000002</v>
      </c>
      <c r="Q16" s="26">
        <f t="shared" si="9"/>
        <v>0.17690127274356909</v>
      </c>
      <c r="R16" s="101">
        <f>1.55+10.22+246.92</f>
        <v>258.69</v>
      </c>
      <c r="S16" s="26">
        <f t="shared" si="9"/>
        <v>0.16700020657955891</v>
      </c>
      <c r="T16" s="101">
        <f>2.11+10.9+228.38</f>
        <v>241.39</v>
      </c>
      <c r="U16" s="26">
        <f t="shared" si="9"/>
        <v>0.14838515349340411</v>
      </c>
      <c r="V16" s="101">
        <f>1.46+11+222.5</f>
        <v>234.96</v>
      </c>
      <c r="W16" s="26">
        <f t="shared" si="9"/>
        <v>0.1451840134457105</v>
      </c>
      <c r="X16" s="120">
        <f>1.82+10.95+215.49</f>
        <v>228.26000000000002</v>
      </c>
      <c r="Y16" s="26">
        <f t="shared" si="9"/>
        <v>0.15011179797448376</v>
      </c>
      <c r="Z16" s="22"/>
    </row>
    <row r="17" spans="1:32" s="13" customFormat="1" ht="15.75" thickBot="1" x14ac:dyDescent="0.3">
      <c r="A17" s="23"/>
      <c r="B17" s="25">
        <f>SUM(B6:B16)</f>
        <v>1683.47</v>
      </c>
      <c r="C17" s="24">
        <f t="shared" si="0"/>
        <v>1</v>
      </c>
      <c r="D17" s="25">
        <f>SUM(D6:D16)</f>
        <v>1832.3799999999997</v>
      </c>
      <c r="E17" s="24">
        <f t="shared" si="1"/>
        <v>1</v>
      </c>
      <c r="F17" s="25">
        <f>SUM(F6:F16)</f>
        <v>1717.35</v>
      </c>
      <c r="G17" s="24">
        <f t="shared" si="2"/>
        <v>1</v>
      </c>
      <c r="H17" s="25">
        <f>SUM(H6:H16)</f>
        <v>1489.1200000000001</v>
      </c>
      <c r="I17" s="24">
        <f t="shared" si="3"/>
        <v>1</v>
      </c>
      <c r="J17" s="25">
        <f>SUM(J6:J16)</f>
        <v>1667.56</v>
      </c>
      <c r="K17" s="24">
        <f t="shared" ref="K17" si="10">+J17/J$17</f>
        <v>1</v>
      </c>
      <c r="L17" s="25">
        <f>SUM(L6:L16)</f>
        <v>1580.6100000000004</v>
      </c>
      <c r="M17" s="24">
        <f t="shared" ref="M17" si="11">+L17/L$17</f>
        <v>1</v>
      </c>
      <c r="N17" s="25">
        <f>SUM(N6:N16)</f>
        <v>1607.8600000000001</v>
      </c>
      <c r="O17" s="24">
        <f t="shared" ref="O17:S17" si="12">+N17/N$17</f>
        <v>1</v>
      </c>
      <c r="P17" s="25">
        <f>SUM(P6:P16)</f>
        <v>1785.1199999999997</v>
      </c>
      <c r="Q17" s="24">
        <f t="shared" si="12"/>
        <v>1</v>
      </c>
      <c r="R17" s="25">
        <f>SUM(R6:R16)</f>
        <v>1549.0400000000004</v>
      </c>
      <c r="S17" s="24">
        <f t="shared" si="12"/>
        <v>1</v>
      </c>
      <c r="T17" s="25">
        <f>SUM(T6:T16)</f>
        <v>1626.7800000000002</v>
      </c>
      <c r="U17" s="24">
        <f t="shared" si="9"/>
        <v>1</v>
      </c>
      <c r="V17" s="25">
        <f>SUM(V6:V16)</f>
        <v>1618.3599999999997</v>
      </c>
      <c r="W17" s="24">
        <f t="shared" si="9"/>
        <v>1</v>
      </c>
      <c r="X17" s="25">
        <f>SUM(X6:X16)</f>
        <v>1520.6000000000001</v>
      </c>
      <c r="Y17" s="24">
        <f t="shared" si="9"/>
        <v>1</v>
      </c>
      <c r="Z17" s="22"/>
    </row>
    <row r="18" spans="1:32" ht="15.75" thickTop="1" x14ac:dyDescent="0.25">
      <c r="Z18" s="22"/>
    </row>
    <row r="19" spans="1:32" x14ac:dyDescent="0.25">
      <c r="Z19" s="22"/>
    </row>
    <row r="20" spans="1:32" x14ac:dyDescent="0.25">
      <c r="E20" s="36"/>
    </row>
    <row r="21" spans="1:32" x14ac:dyDescent="0.25">
      <c r="A21" s="29" t="s">
        <v>33</v>
      </c>
      <c r="B21" s="29"/>
      <c r="C21" s="29"/>
      <c r="D21" s="38"/>
      <c r="E21" s="38"/>
    </row>
    <row r="22" spans="1:32" x14ac:dyDescent="0.25">
      <c r="A22" s="16" t="s">
        <v>23</v>
      </c>
      <c r="B22" s="105">
        <v>107.53</v>
      </c>
      <c r="C22" s="106"/>
      <c r="D22" s="105">
        <v>92.62</v>
      </c>
      <c r="E22" s="107"/>
      <c r="F22" s="105">
        <v>92.3</v>
      </c>
      <c r="G22" s="108"/>
      <c r="H22" s="105">
        <v>89.36</v>
      </c>
      <c r="I22" s="108"/>
      <c r="J22" s="105">
        <v>85.29</v>
      </c>
      <c r="K22" s="108"/>
      <c r="L22" s="105">
        <v>85.5</v>
      </c>
      <c r="M22" s="108"/>
      <c r="N22" s="105">
        <v>88.14</v>
      </c>
      <c r="O22" s="108"/>
      <c r="P22" s="105">
        <v>99.38</v>
      </c>
      <c r="Q22" s="94"/>
      <c r="R22" s="94">
        <v>101.68</v>
      </c>
      <c r="S22" s="94"/>
      <c r="T22" s="94">
        <v>103.84</v>
      </c>
      <c r="U22" s="94"/>
      <c r="V22" s="94">
        <v>84.29</v>
      </c>
      <c r="W22" s="94"/>
      <c r="X22" s="121">
        <v>-15.51</v>
      </c>
      <c r="Y22" s="94"/>
      <c r="Z22" s="94"/>
      <c r="AA22" s="108"/>
      <c r="AB22" s="108"/>
      <c r="AC22" s="108"/>
      <c r="AD22" s="108"/>
      <c r="AE22" s="108"/>
      <c r="AF22" s="108"/>
    </row>
    <row r="23" spans="1:32" x14ac:dyDescent="0.25">
      <c r="A23" s="16" t="s">
        <v>24</v>
      </c>
      <c r="B23" s="105">
        <v>0</v>
      </c>
      <c r="C23" s="106"/>
      <c r="D23" s="105">
        <v>0</v>
      </c>
      <c r="E23" s="107"/>
      <c r="F23" s="105">
        <v>0</v>
      </c>
      <c r="G23" s="108"/>
      <c r="H23" s="105">
        <v>0</v>
      </c>
      <c r="I23" s="108"/>
      <c r="J23" s="105">
        <v>0</v>
      </c>
      <c r="K23" s="108"/>
      <c r="L23" s="105">
        <v>0</v>
      </c>
      <c r="M23" s="108"/>
      <c r="N23" s="105">
        <v>0</v>
      </c>
      <c r="O23" s="108"/>
      <c r="P23" s="105">
        <v>0</v>
      </c>
      <c r="Q23" s="94"/>
      <c r="R23" s="94">
        <v>0</v>
      </c>
      <c r="S23" s="94"/>
      <c r="T23" s="94">
        <v>0</v>
      </c>
      <c r="U23" s="94"/>
      <c r="V23" s="94">
        <v>0</v>
      </c>
      <c r="W23" s="94"/>
      <c r="X23" s="121">
        <v>0</v>
      </c>
      <c r="Y23" s="94"/>
      <c r="Z23" s="94"/>
      <c r="AA23" s="108"/>
      <c r="AB23" s="108"/>
      <c r="AC23" s="108"/>
      <c r="AD23" s="108"/>
      <c r="AE23" s="108"/>
      <c r="AF23" s="108"/>
    </row>
    <row r="24" spans="1:32" x14ac:dyDescent="0.25">
      <c r="A24" s="16" t="s">
        <v>20</v>
      </c>
      <c r="B24" s="105">
        <v>157.5</v>
      </c>
      <c r="C24" s="106"/>
      <c r="D24" s="105">
        <v>137.5</v>
      </c>
      <c r="E24" s="107"/>
      <c r="F24" s="105">
        <v>127.5</v>
      </c>
      <c r="G24" s="108"/>
      <c r="H24" s="105">
        <v>132.5</v>
      </c>
      <c r="I24" s="108"/>
      <c r="J24" s="105">
        <v>137.5</v>
      </c>
      <c r="K24" s="108"/>
      <c r="L24" s="105">
        <v>132.5</v>
      </c>
      <c r="M24" s="108"/>
      <c r="N24" s="105">
        <v>132.5</v>
      </c>
      <c r="O24" s="108"/>
      <c r="P24" s="105">
        <v>132.5</v>
      </c>
      <c r="Q24" s="94"/>
      <c r="R24" s="94">
        <v>142.5</v>
      </c>
      <c r="S24" s="94"/>
      <c r="T24" s="94">
        <v>132.5</v>
      </c>
      <c r="U24" s="94"/>
      <c r="V24" s="94">
        <v>95.11</v>
      </c>
      <c r="W24" s="94"/>
      <c r="X24" s="121">
        <v>62.5</v>
      </c>
      <c r="Y24" s="94"/>
      <c r="Z24" s="94"/>
      <c r="AA24" s="108"/>
      <c r="AB24" s="108"/>
      <c r="AC24" s="108"/>
      <c r="AD24" s="108"/>
      <c r="AE24" s="108"/>
      <c r="AF24" s="108"/>
    </row>
    <row r="25" spans="1:32" x14ac:dyDescent="0.25">
      <c r="A25" s="16" t="s">
        <v>25</v>
      </c>
      <c r="B25" s="105">
        <v>1472.52</v>
      </c>
      <c r="C25" s="106"/>
      <c r="D25" s="105">
        <v>1544.18</v>
      </c>
      <c r="E25" s="107"/>
      <c r="F25" s="105">
        <v>1845.75</v>
      </c>
      <c r="G25" s="108"/>
      <c r="H25" s="105">
        <v>1976.37</v>
      </c>
      <c r="I25" s="108"/>
      <c r="J25" s="105">
        <v>2273.9899999999998</v>
      </c>
      <c r="K25" s="108"/>
      <c r="L25" s="105">
        <v>2143</v>
      </c>
      <c r="M25" s="108"/>
      <c r="N25" s="105">
        <v>1764.23</v>
      </c>
      <c r="O25" s="108"/>
      <c r="P25" s="105">
        <v>1615.88</v>
      </c>
      <c r="Q25" s="94"/>
      <c r="R25" s="94">
        <v>1488.14</v>
      </c>
      <c r="S25" s="94"/>
      <c r="T25" s="94">
        <v>1477.2</v>
      </c>
      <c r="U25" s="94"/>
      <c r="V25" s="94">
        <v>1285.56</v>
      </c>
      <c r="W25" s="94"/>
      <c r="X25" s="121">
        <v>1199.49</v>
      </c>
      <c r="Y25" s="94"/>
      <c r="Z25" s="94"/>
      <c r="AA25" s="108"/>
      <c r="AB25" s="108"/>
      <c r="AC25" s="108"/>
      <c r="AD25" s="108"/>
      <c r="AE25" s="108"/>
      <c r="AF25" s="108"/>
    </row>
    <row r="26" spans="1:32" x14ac:dyDescent="0.25">
      <c r="A26" s="16" t="s">
        <v>29</v>
      </c>
      <c r="B26" s="105">
        <v>249.82</v>
      </c>
      <c r="C26" s="106"/>
      <c r="D26" s="105">
        <v>249.13</v>
      </c>
      <c r="E26" s="107"/>
      <c r="F26" s="105">
        <v>222.78</v>
      </c>
      <c r="G26" s="108"/>
      <c r="H26" s="105">
        <v>219.73</v>
      </c>
      <c r="I26" s="108"/>
      <c r="J26" s="105">
        <v>279.49</v>
      </c>
      <c r="K26" s="108"/>
      <c r="L26" s="105">
        <v>305.02</v>
      </c>
      <c r="M26" s="108"/>
      <c r="N26" s="105">
        <v>243.22</v>
      </c>
      <c r="O26" s="108"/>
      <c r="P26" s="105">
        <v>214.93</v>
      </c>
      <c r="Q26" s="94"/>
      <c r="R26" s="94">
        <v>170.77</v>
      </c>
      <c r="S26" s="94"/>
      <c r="T26" s="94">
        <v>161.69</v>
      </c>
      <c r="U26" s="94"/>
      <c r="V26" s="94">
        <v>160.51</v>
      </c>
      <c r="W26" s="94"/>
      <c r="X26" s="121">
        <v>150.80000000000001</v>
      </c>
      <c r="Y26" s="94"/>
      <c r="Z26" s="94"/>
      <c r="AA26" s="108"/>
      <c r="AB26" s="108"/>
      <c r="AC26" s="108"/>
      <c r="AD26" s="108"/>
      <c r="AE26" s="108"/>
      <c r="AF26" s="108"/>
    </row>
    <row r="27" spans="1:32" x14ac:dyDescent="0.25">
      <c r="A27" s="16" t="s">
        <v>21</v>
      </c>
      <c r="B27" s="105">
        <v>-63.5</v>
      </c>
      <c r="C27" s="105"/>
      <c r="D27" s="105">
        <v>-63.5</v>
      </c>
      <c r="E27" s="105"/>
      <c r="F27" s="105">
        <v>-63.5</v>
      </c>
      <c r="G27" s="105"/>
      <c r="H27" s="105">
        <v>-63.5</v>
      </c>
      <c r="I27" s="105"/>
      <c r="J27" s="105">
        <v>-63.5</v>
      </c>
      <c r="K27" s="105"/>
      <c r="L27" s="105">
        <v>-63.5</v>
      </c>
      <c r="M27" s="105"/>
      <c r="N27" s="105">
        <v>-63.5</v>
      </c>
      <c r="O27" s="105"/>
      <c r="P27" s="105">
        <v>-63.5</v>
      </c>
      <c r="Q27" s="105"/>
      <c r="R27" s="105">
        <v>-63.5</v>
      </c>
      <c r="S27" s="105"/>
      <c r="T27" s="105">
        <v>-63.5</v>
      </c>
      <c r="U27" s="105"/>
      <c r="V27" s="105">
        <v>-63.5</v>
      </c>
      <c r="W27" s="105"/>
      <c r="X27" s="105">
        <v>-63.5</v>
      </c>
      <c r="Y27" s="94"/>
      <c r="Z27" s="94"/>
      <c r="AA27" s="108"/>
      <c r="AB27" s="108"/>
      <c r="AC27" s="108"/>
      <c r="AD27" s="108"/>
      <c r="AE27" s="108"/>
      <c r="AF27" s="108"/>
    </row>
    <row r="28" spans="1:32" x14ac:dyDescent="0.25">
      <c r="A28" s="16" t="s">
        <v>22</v>
      </c>
      <c r="B28" s="105">
        <v>250</v>
      </c>
      <c r="C28" s="106"/>
      <c r="D28" s="105">
        <v>260</v>
      </c>
      <c r="E28" s="107"/>
      <c r="F28" s="105">
        <v>243.76</v>
      </c>
      <c r="G28" s="108"/>
      <c r="H28" s="105">
        <v>257.07</v>
      </c>
      <c r="I28" s="108"/>
      <c r="J28" s="105">
        <v>324.95999999999998</v>
      </c>
      <c r="K28" s="108"/>
      <c r="L28" s="105">
        <v>515.12</v>
      </c>
      <c r="M28" s="108"/>
      <c r="N28" s="105">
        <v>628.6</v>
      </c>
      <c r="O28" s="108"/>
      <c r="P28" s="105">
        <v>600</v>
      </c>
      <c r="Q28" s="94"/>
      <c r="R28" s="94">
        <v>310.97000000000003</v>
      </c>
      <c r="S28" s="94"/>
      <c r="T28" s="94">
        <v>102.25</v>
      </c>
      <c r="U28" s="94"/>
      <c r="V28" s="94">
        <v>60</v>
      </c>
      <c r="W28" s="94"/>
      <c r="X28" s="121">
        <v>60</v>
      </c>
      <c r="Y28" s="94"/>
      <c r="Z28" s="94"/>
      <c r="AA28" s="108"/>
      <c r="AB28" s="108"/>
      <c r="AC28" s="108"/>
      <c r="AD28" s="108"/>
      <c r="AE28" s="108"/>
      <c r="AF28" s="108"/>
    </row>
    <row r="29" spans="1:32" x14ac:dyDescent="0.25">
      <c r="A29" s="16" t="s">
        <v>26</v>
      </c>
      <c r="B29" s="105">
        <v>1680</v>
      </c>
      <c r="C29" s="106"/>
      <c r="D29" s="105">
        <v>1100</v>
      </c>
      <c r="E29" s="107"/>
      <c r="F29" s="105">
        <v>900</v>
      </c>
      <c r="G29" s="108"/>
      <c r="H29" s="105">
        <v>840</v>
      </c>
      <c r="I29" s="108"/>
      <c r="J29" s="105">
        <v>820</v>
      </c>
      <c r="K29" s="108"/>
      <c r="L29" s="105">
        <v>860</v>
      </c>
      <c r="M29" s="108"/>
      <c r="N29" s="105">
        <v>1080</v>
      </c>
      <c r="O29" s="108"/>
      <c r="P29" s="105">
        <v>1145</v>
      </c>
      <c r="Q29" s="94"/>
      <c r="R29" s="94">
        <v>860</v>
      </c>
      <c r="S29" s="94"/>
      <c r="T29" s="94">
        <v>780</v>
      </c>
      <c r="U29" s="94"/>
      <c r="V29" s="94">
        <v>680</v>
      </c>
      <c r="W29" s="94"/>
      <c r="X29" s="121">
        <v>780</v>
      </c>
      <c r="Y29" s="94"/>
      <c r="Z29" s="94"/>
      <c r="AA29" s="108"/>
      <c r="AB29" s="108"/>
      <c r="AC29" s="108"/>
      <c r="AD29" s="108"/>
      <c r="AE29" s="108"/>
      <c r="AF29" s="108"/>
    </row>
    <row r="30" spans="1:32" x14ac:dyDescent="0.25">
      <c r="A30" s="16" t="s">
        <v>27</v>
      </c>
      <c r="B30" s="105">
        <v>706</v>
      </c>
      <c r="C30" s="106"/>
      <c r="D30" s="105">
        <v>460</v>
      </c>
      <c r="E30" s="107"/>
      <c r="F30" s="105">
        <v>320</v>
      </c>
      <c r="G30" s="108"/>
      <c r="H30" s="105">
        <v>280</v>
      </c>
      <c r="I30" s="108"/>
      <c r="J30" s="105">
        <v>390</v>
      </c>
      <c r="K30" s="108"/>
      <c r="L30" s="105">
        <v>460</v>
      </c>
      <c r="M30" s="108"/>
      <c r="N30" s="105">
        <v>480</v>
      </c>
      <c r="O30" s="108"/>
      <c r="P30" s="105">
        <v>480</v>
      </c>
      <c r="Q30" s="94"/>
      <c r="R30" s="94">
        <v>340</v>
      </c>
      <c r="S30" s="94"/>
      <c r="T30" s="94">
        <v>200</v>
      </c>
      <c r="U30" s="94"/>
      <c r="V30" s="94">
        <v>110</v>
      </c>
      <c r="W30" s="94"/>
      <c r="X30" s="121">
        <v>130</v>
      </c>
      <c r="Y30" s="94"/>
      <c r="Z30" s="94"/>
      <c r="AA30" s="108"/>
      <c r="AB30" s="108"/>
      <c r="AC30" s="108"/>
      <c r="AD30" s="108"/>
      <c r="AE30" s="108"/>
      <c r="AF30" s="108"/>
    </row>
    <row r="31" spans="1:32" x14ac:dyDescent="0.25">
      <c r="A31" s="16" t="s">
        <v>28</v>
      </c>
      <c r="B31" s="105">
        <v>-205</v>
      </c>
      <c r="C31" s="105"/>
      <c r="D31" s="105">
        <v>-205</v>
      </c>
      <c r="E31" s="105"/>
      <c r="F31" s="105">
        <v>-205</v>
      </c>
      <c r="G31" s="105"/>
      <c r="H31" s="105">
        <v>-205</v>
      </c>
      <c r="I31" s="105"/>
      <c r="J31" s="105">
        <v>-205</v>
      </c>
      <c r="K31" s="105"/>
      <c r="L31" s="105">
        <v>-205</v>
      </c>
      <c r="M31" s="105"/>
      <c r="N31" s="105">
        <v>-205</v>
      </c>
      <c r="O31" s="105"/>
      <c r="P31" s="105">
        <v>-205</v>
      </c>
      <c r="Q31" s="105"/>
      <c r="R31" s="105">
        <v>-205</v>
      </c>
      <c r="S31" s="105"/>
      <c r="T31" s="105">
        <v>-205</v>
      </c>
      <c r="U31" s="105"/>
      <c r="V31" s="105">
        <v>-205</v>
      </c>
      <c r="W31" s="105"/>
      <c r="X31" s="105">
        <v>-205</v>
      </c>
      <c r="Y31" s="94"/>
      <c r="Z31" s="94"/>
      <c r="AA31" s="108"/>
      <c r="AB31" s="108"/>
      <c r="AC31" s="108"/>
      <c r="AD31" s="108"/>
      <c r="AE31" s="108"/>
      <c r="AF31" s="108"/>
    </row>
    <row r="32" spans="1:32" x14ac:dyDescent="0.25">
      <c r="E32" s="36"/>
      <c r="V32" s="91"/>
    </row>
    <row r="35" spans="1:24" x14ac:dyDescent="0.25">
      <c r="A35" s="29" t="s">
        <v>34</v>
      </c>
      <c r="B35" s="29"/>
      <c r="C35" s="29"/>
      <c r="D35" s="29"/>
      <c r="E35" s="29"/>
    </row>
    <row r="36" spans="1:24" x14ac:dyDescent="0.25">
      <c r="A36" s="16" t="s">
        <v>23</v>
      </c>
      <c r="B36" s="30">
        <f>+B6*B22</f>
        <v>33228.920599999998</v>
      </c>
      <c r="C36" s="16"/>
      <c r="D36" s="30">
        <f>+D6*D22</f>
        <v>32585.5684</v>
      </c>
      <c r="E36" s="16"/>
      <c r="F36" s="30">
        <f>+F6*F22</f>
        <v>27788.760999999999</v>
      </c>
      <c r="H36" s="30">
        <f>+H6*H22</f>
        <v>24709.8272</v>
      </c>
      <c r="J36" s="30">
        <f>+J6*J22</f>
        <v>29421.6384</v>
      </c>
      <c r="L36" s="30">
        <f>+L6*L22</f>
        <v>25473.87</v>
      </c>
      <c r="N36" s="30">
        <f>+N6*N22</f>
        <v>25324.3848</v>
      </c>
      <c r="P36" s="30">
        <f>+P6*P22</f>
        <v>35782.762799999997</v>
      </c>
      <c r="R36" s="30">
        <f>+R6*R22</f>
        <v>24398.116000000002</v>
      </c>
      <c r="T36" s="30">
        <f>+T6*T22</f>
        <v>27802.121600000002</v>
      </c>
      <c r="V36" s="30">
        <f>+V6*V22</f>
        <v>25070.374700000004</v>
      </c>
      <c r="X36" s="30">
        <f>+X6*X22</f>
        <v>-3934.2665999999999</v>
      </c>
    </row>
    <row r="37" spans="1:24" x14ac:dyDescent="0.25">
      <c r="A37" s="16" t="s">
        <v>24</v>
      </c>
      <c r="B37" s="30">
        <f t="shared" ref="B37:D37" si="13">+B7*B23</f>
        <v>0</v>
      </c>
      <c r="C37" s="16"/>
      <c r="D37" s="30">
        <f t="shared" si="13"/>
        <v>0</v>
      </c>
      <c r="E37" s="16"/>
      <c r="F37" s="30">
        <f t="shared" ref="F37:H45" si="14">+F7*F23</f>
        <v>0</v>
      </c>
      <c r="H37" s="30">
        <f t="shared" si="14"/>
        <v>0</v>
      </c>
      <c r="J37" s="30">
        <f t="shared" ref="J37" si="15">+J7*J23</f>
        <v>0</v>
      </c>
      <c r="L37" s="30">
        <f t="shared" ref="L37" si="16">+L7*L23</f>
        <v>0</v>
      </c>
      <c r="N37" s="30">
        <f t="shared" ref="N37:P37" si="17">+N7*N23</f>
        <v>0</v>
      </c>
      <c r="P37" s="30">
        <f t="shared" si="17"/>
        <v>0</v>
      </c>
      <c r="R37" s="30">
        <f t="shared" ref="R37:T37" si="18">+R7*R23</f>
        <v>0</v>
      </c>
      <c r="T37" s="30">
        <f t="shared" si="18"/>
        <v>0</v>
      </c>
      <c r="V37" s="30">
        <f t="shared" ref="V37:X37" si="19">+V7*V23</f>
        <v>0</v>
      </c>
      <c r="X37" s="30">
        <f t="shared" si="19"/>
        <v>0</v>
      </c>
    </row>
    <row r="38" spans="1:24" x14ac:dyDescent="0.25">
      <c r="A38" s="16" t="s">
        <v>20</v>
      </c>
      <c r="B38" s="30">
        <f t="shared" ref="B38:D38" si="20">+B8*B24</f>
        <v>128200.27500000001</v>
      </c>
      <c r="C38" s="16"/>
      <c r="D38" s="30">
        <f t="shared" si="20"/>
        <v>109649.375</v>
      </c>
      <c r="E38" s="16"/>
      <c r="F38" s="30">
        <f t="shared" si="14"/>
        <v>93968.774999999994</v>
      </c>
      <c r="H38" s="30">
        <f t="shared" si="14"/>
        <v>89970.15</v>
      </c>
      <c r="J38" s="30">
        <f t="shared" ref="J38" si="21">+J8*J24</f>
        <v>97549.375</v>
      </c>
      <c r="L38" s="30">
        <f t="shared" ref="L38" si="22">+L8*L24</f>
        <v>100128.925</v>
      </c>
      <c r="N38" s="30">
        <f t="shared" ref="N38:P38" si="23">+N8*N24</f>
        <v>99767.200000000012</v>
      </c>
      <c r="P38" s="30">
        <f t="shared" si="23"/>
        <v>94634.150000000009</v>
      </c>
      <c r="R38" s="30">
        <f t="shared" ref="R38:T38" si="24">+R8*R24</f>
        <v>101495.625</v>
      </c>
      <c r="T38" s="30">
        <f t="shared" si="24"/>
        <v>101492.35</v>
      </c>
      <c r="V38" s="30">
        <f t="shared" ref="V38:X38" si="25">+V8*V24</f>
        <v>71966.883699999991</v>
      </c>
      <c r="X38" s="30">
        <f t="shared" si="25"/>
        <v>43351.25</v>
      </c>
    </row>
    <row r="39" spans="1:24" x14ac:dyDescent="0.25">
      <c r="A39" s="16" t="s">
        <v>25</v>
      </c>
      <c r="B39" s="30">
        <f t="shared" ref="B39:D39" si="26">+B9*B25</f>
        <v>42379.125599999999</v>
      </c>
      <c r="C39" s="16"/>
      <c r="D39" s="30">
        <f t="shared" si="26"/>
        <v>45275.357600000003</v>
      </c>
      <c r="E39" s="16"/>
      <c r="F39" s="30">
        <f t="shared" si="14"/>
        <v>52123.979999999996</v>
      </c>
      <c r="H39" s="30">
        <f t="shared" si="14"/>
        <v>50021.924699999996</v>
      </c>
      <c r="J39" s="30">
        <f t="shared" ref="J39" si="27">+J9*J25</f>
        <v>69061.076300000001</v>
      </c>
      <c r="L39" s="30">
        <f t="shared" ref="L39" si="28">+L9*L25</f>
        <v>55203.68</v>
      </c>
      <c r="N39" s="30">
        <f t="shared" ref="N39:P39" si="29">+N9*N25</f>
        <v>59860.323900000003</v>
      </c>
      <c r="P39" s="30">
        <f t="shared" si="29"/>
        <v>54228.93280000001</v>
      </c>
      <c r="R39" s="30">
        <f t="shared" ref="R39:T39" si="30">+R9*R25</f>
        <v>52323.002399999998</v>
      </c>
      <c r="T39" s="30">
        <f t="shared" si="30"/>
        <v>54538.224000000002</v>
      </c>
      <c r="V39" s="30">
        <f t="shared" ref="V39:X39" si="31">+V9*V25</f>
        <v>45148.867199999993</v>
      </c>
      <c r="X39" s="30">
        <f t="shared" si="31"/>
        <v>33561.730199999998</v>
      </c>
    </row>
    <row r="40" spans="1:24" x14ac:dyDescent="0.25">
      <c r="A40" s="16" t="s">
        <v>29</v>
      </c>
      <c r="B40" s="30">
        <f t="shared" ref="B40:D40" si="32">+B10*B26</f>
        <v>8451.4105999999992</v>
      </c>
      <c r="C40" s="16"/>
      <c r="D40" s="30">
        <f t="shared" si="32"/>
        <v>8993.5930000000008</v>
      </c>
      <c r="E40" s="16"/>
      <c r="F40" s="30">
        <f t="shared" si="14"/>
        <v>8875.5552000000007</v>
      </c>
      <c r="H40" s="30">
        <f t="shared" si="14"/>
        <v>5104.3279000000002</v>
      </c>
      <c r="J40" s="30">
        <f t="shared" ref="J40" si="33">+J10*J26</f>
        <v>7976.6445999999996</v>
      </c>
      <c r="L40" s="30">
        <f t="shared" ref="L40" si="34">+L10*L26</f>
        <v>8052.5279999999993</v>
      </c>
      <c r="N40" s="30">
        <f t="shared" ref="N40:P40" si="35">+N10*N26</f>
        <v>7430.3710000000001</v>
      </c>
      <c r="P40" s="30">
        <f t="shared" si="35"/>
        <v>6714.4132</v>
      </c>
      <c r="R40" s="30">
        <f t="shared" ref="R40:T40" si="36">+R10*R26</f>
        <v>4496.3741</v>
      </c>
      <c r="T40" s="30">
        <f t="shared" si="36"/>
        <v>4181.3033999999998</v>
      </c>
      <c r="V40" s="30">
        <f t="shared" ref="V40:X40" si="37">+V10*V26</f>
        <v>4025.5907999999995</v>
      </c>
      <c r="X40" s="30">
        <f t="shared" si="37"/>
        <v>4311.3720000000003</v>
      </c>
    </row>
    <row r="41" spans="1:24" x14ac:dyDescent="0.25">
      <c r="A41" s="16" t="s">
        <v>21</v>
      </c>
      <c r="B41" s="30">
        <f t="shared" ref="B41:D41" si="38">+B11*B27</f>
        <v>-11917.045</v>
      </c>
      <c r="C41" s="16"/>
      <c r="D41" s="30">
        <f t="shared" si="38"/>
        <v>-15789.275</v>
      </c>
      <c r="E41" s="16"/>
      <c r="F41" s="30">
        <f t="shared" si="14"/>
        <v>-15486.38</v>
      </c>
      <c r="H41" s="30">
        <f t="shared" si="14"/>
        <v>-14079.22</v>
      </c>
      <c r="J41" s="30">
        <f t="shared" ref="J41" si="39">+J11*J27</f>
        <v>-14052.550000000001</v>
      </c>
      <c r="L41" s="30">
        <f t="shared" ref="L41" si="40">+L11*L27</f>
        <v>-11773.535</v>
      </c>
      <c r="N41" s="30">
        <f t="shared" ref="N41:P41" si="41">+N11*N27</f>
        <v>-10699.75</v>
      </c>
      <c r="P41" s="30">
        <f t="shared" si="41"/>
        <v>-15008.225</v>
      </c>
      <c r="R41" s="30">
        <f t="shared" ref="R41:T41" si="42">+R11*R27</f>
        <v>-11390.63</v>
      </c>
      <c r="T41" s="30">
        <f t="shared" si="42"/>
        <v>-12549.504999999999</v>
      </c>
      <c r="V41" s="30">
        <f t="shared" ref="V41:X41" si="43">+V11*V27</f>
        <v>-11539.22</v>
      </c>
      <c r="X41" s="30">
        <f t="shared" si="43"/>
        <v>-13529.31</v>
      </c>
    </row>
    <row r="42" spans="1:24" x14ac:dyDescent="0.25">
      <c r="A42" s="16" t="s">
        <v>22</v>
      </c>
      <c r="B42" s="30">
        <f t="shared" ref="B42:D42" si="44">+B12*B28</f>
        <v>14265</v>
      </c>
      <c r="C42" s="16"/>
      <c r="D42" s="30">
        <f t="shared" si="44"/>
        <v>17960.8</v>
      </c>
      <c r="E42" s="16"/>
      <c r="F42" s="30">
        <f t="shared" si="14"/>
        <v>15405.632</v>
      </c>
      <c r="H42" s="30">
        <f t="shared" si="14"/>
        <v>10005.1644</v>
      </c>
      <c r="J42" s="30">
        <f t="shared" ref="J42" si="45">+J12*J28</f>
        <v>16702.944</v>
      </c>
      <c r="L42" s="30">
        <f t="shared" ref="L42" si="46">+L12*L28</f>
        <v>21331.119199999997</v>
      </c>
      <c r="N42" s="30">
        <f t="shared" ref="N42:P42" si="47">+N12*N28</f>
        <v>38005.156000000003</v>
      </c>
      <c r="P42" s="30">
        <f t="shared" si="47"/>
        <v>40488</v>
      </c>
      <c r="R42" s="30">
        <f t="shared" ref="R42:T42" si="48">+R12*R28</f>
        <v>21292.115900000001</v>
      </c>
      <c r="T42" s="30">
        <f t="shared" si="48"/>
        <v>6786.3325000000004</v>
      </c>
      <c r="V42" s="30">
        <f t="shared" ref="V42:X42" si="49">+V12*V28</f>
        <v>3650.4</v>
      </c>
      <c r="X42" s="30">
        <f t="shared" si="49"/>
        <v>3120.6</v>
      </c>
    </row>
    <row r="43" spans="1:24" x14ac:dyDescent="0.25">
      <c r="A43" s="16" t="s">
        <v>26</v>
      </c>
      <c r="B43" s="30">
        <f t="shared" ref="B43:D43" si="50">+B13*B29</f>
        <v>21772.800000000003</v>
      </c>
      <c r="C43" s="16"/>
      <c r="D43" s="30">
        <f t="shared" si="50"/>
        <v>16533</v>
      </c>
      <c r="E43" s="16"/>
      <c r="F43" s="30">
        <f t="shared" si="14"/>
        <v>13446</v>
      </c>
      <c r="H43" s="30">
        <f t="shared" si="14"/>
        <v>10256.400000000001</v>
      </c>
      <c r="J43" s="30">
        <f t="shared" ref="J43" si="51">+J13*J29</f>
        <v>12997</v>
      </c>
      <c r="L43" s="30">
        <f t="shared" ref="L43" si="52">+L13*L29</f>
        <v>12642</v>
      </c>
      <c r="N43" s="30">
        <f t="shared" ref="N43:P43" si="53">+N13*N29</f>
        <v>16146</v>
      </c>
      <c r="P43" s="30">
        <f t="shared" si="53"/>
        <v>18400.150000000001</v>
      </c>
      <c r="R43" s="30">
        <f t="shared" ref="R43:T43" si="54">+R13*R29</f>
        <v>15849.8</v>
      </c>
      <c r="T43" s="30">
        <f t="shared" si="54"/>
        <v>11037</v>
      </c>
      <c r="V43" s="30">
        <f t="shared" ref="V43:X43" si="55">+V13*V29</f>
        <v>10893.6</v>
      </c>
      <c r="X43" s="30">
        <f t="shared" si="55"/>
        <v>10553.4</v>
      </c>
    </row>
    <row r="44" spans="1:24" x14ac:dyDescent="0.25">
      <c r="A44" s="16" t="s">
        <v>27</v>
      </c>
      <c r="B44" s="30">
        <f t="shared" ref="B44:D44" si="56">+B14*B30</f>
        <v>6177.5</v>
      </c>
      <c r="C44" s="16"/>
      <c r="D44" s="30">
        <f t="shared" si="56"/>
        <v>4972.6000000000004</v>
      </c>
      <c r="E44" s="16"/>
      <c r="F44" s="30">
        <f t="shared" si="14"/>
        <v>3132.7999999999997</v>
      </c>
      <c r="H44" s="30">
        <f t="shared" si="14"/>
        <v>2167.2000000000003</v>
      </c>
      <c r="J44" s="30">
        <f t="shared" ref="J44" si="57">+J14*J30</f>
        <v>4687.8</v>
      </c>
      <c r="L44" s="30">
        <f t="shared" ref="L44" si="58">+L14*L30</f>
        <v>4144.5999999999995</v>
      </c>
      <c r="N44" s="30">
        <f t="shared" ref="N44:P44" si="59">+N14*N30</f>
        <v>5481.6</v>
      </c>
      <c r="P44" s="30">
        <f t="shared" si="59"/>
        <v>4968</v>
      </c>
      <c r="R44" s="30">
        <f t="shared" ref="R44:T44" si="60">+R14*R30</f>
        <v>3529.2000000000003</v>
      </c>
      <c r="T44" s="30">
        <f t="shared" si="60"/>
        <v>2148</v>
      </c>
      <c r="V44" s="30">
        <f t="shared" ref="V44:X44" si="61">+V14*V30</f>
        <v>1157.2</v>
      </c>
      <c r="X44" s="30">
        <f t="shared" si="61"/>
        <v>1285.7</v>
      </c>
    </row>
    <row r="45" spans="1:24" ht="17.25" x14ac:dyDescent="0.4">
      <c r="A45" s="16" t="s">
        <v>28</v>
      </c>
      <c r="B45" s="31">
        <f t="shared" ref="B45:D45" si="62">+B15*B31</f>
        <v>0</v>
      </c>
      <c r="C45" s="16"/>
      <c r="D45" s="31">
        <f t="shared" si="62"/>
        <v>0</v>
      </c>
      <c r="E45" s="16"/>
      <c r="F45" s="31">
        <f t="shared" si="14"/>
        <v>0</v>
      </c>
      <c r="H45" s="31">
        <f t="shared" si="14"/>
        <v>0</v>
      </c>
      <c r="J45" s="31">
        <f t="shared" ref="J45" si="63">+J15*J31</f>
        <v>0</v>
      </c>
      <c r="L45" s="31">
        <f t="shared" ref="L45" si="64">+L15*L31</f>
        <v>0</v>
      </c>
      <c r="N45" s="31">
        <f t="shared" ref="N45:P45" si="65">+N15*N31</f>
        <v>0</v>
      </c>
      <c r="P45" s="31">
        <f t="shared" si="65"/>
        <v>0</v>
      </c>
      <c r="R45" s="31">
        <f t="shared" ref="R45:T45" si="66">+R15*R31</f>
        <v>0</v>
      </c>
      <c r="T45" s="31">
        <f t="shared" si="66"/>
        <v>0</v>
      </c>
      <c r="V45" s="31">
        <f t="shared" ref="V45:X45" si="67">+V15*V31</f>
        <v>0</v>
      </c>
      <c r="X45" s="31">
        <f t="shared" si="67"/>
        <v>0</v>
      </c>
    </row>
    <row r="46" spans="1:24" ht="17.25" x14ac:dyDescent="0.4">
      <c r="B46" s="32">
        <f>SUM(B36:B45)</f>
        <v>242557.98680000001</v>
      </c>
      <c r="D46" s="32">
        <f>SUM(D36:D45)</f>
        <v>220181.01899999997</v>
      </c>
      <c r="F46" s="32">
        <f>SUM(F36:F45)</f>
        <v>199255.1232</v>
      </c>
      <c r="H46" s="32">
        <f>SUM(H36:H45)</f>
        <v>178155.77420000001</v>
      </c>
      <c r="J46" s="32">
        <f>SUM(J36:J45)</f>
        <v>224343.9283</v>
      </c>
      <c r="L46" s="32">
        <f>SUM(L36:L45)</f>
        <v>215203.18719999999</v>
      </c>
      <c r="N46" s="32">
        <f>SUM(N36:N45)</f>
        <v>241315.28570000004</v>
      </c>
      <c r="P46" s="32">
        <f>SUM(P36:P45)</f>
        <v>240208.1838</v>
      </c>
      <c r="R46" s="32">
        <f>SUM(R36:R45)</f>
        <v>211993.60339999999</v>
      </c>
      <c r="T46" s="32">
        <f>SUM(T36:T45)</f>
        <v>195435.8265</v>
      </c>
      <c r="V46" s="32">
        <f>SUM(V36:V45)</f>
        <v>150373.69639999999</v>
      </c>
      <c r="X46" s="32">
        <f>SUM(X36:X45)</f>
        <v>78720.475599999991</v>
      </c>
    </row>
    <row r="48" spans="1:24" ht="17.25" x14ac:dyDescent="0.4">
      <c r="A48" s="28" t="s">
        <v>32</v>
      </c>
      <c r="B48" s="27">
        <f>+B17-B16</f>
        <v>1452.04</v>
      </c>
      <c r="C48" s="28"/>
      <c r="D48" s="27">
        <f>+D17-D16</f>
        <v>1558.2599999999998</v>
      </c>
      <c r="E48" s="28"/>
      <c r="F48" s="27">
        <f>+F17-F16</f>
        <v>1437.9699999999998</v>
      </c>
      <c r="G48" s="27"/>
      <c r="H48" s="27">
        <f>+H17-H16</f>
        <v>1284.67</v>
      </c>
      <c r="I48" s="27"/>
      <c r="J48" s="27">
        <f>+J17-J16</f>
        <v>1413.8899999999999</v>
      </c>
      <c r="K48" s="27"/>
      <c r="L48" s="27">
        <f>+L17-L16</f>
        <v>1356.3200000000004</v>
      </c>
      <c r="M48" s="27"/>
      <c r="N48" s="27">
        <f>+N17-N16</f>
        <v>1360.0900000000001</v>
      </c>
      <c r="O48" s="27"/>
      <c r="P48" s="27">
        <f>+P17-P16</f>
        <v>1469.3299999999997</v>
      </c>
      <c r="R48" s="27">
        <f>+R17-R16</f>
        <v>1290.3500000000004</v>
      </c>
      <c r="T48" s="27">
        <f>+T17-T16</f>
        <v>1385.3900000000003</v>
      </c>
      <c r="V48" s="27">
        <f>+V17-V16</f>
        <v>1383.3999999999996</v>
      </c>
      <c r="X48" s="27">
        <f>+X17-X16</f>
        <v>1292.3400000000001</v>
      </c>
    </row>
    <row r="50" spans="1:24" ht="17.25" x14ac:dyDescent="0.4">
      <c r="A50" s="13" t="s">
        <v>35</v>
      </c>
      <c r="B50" s="33">
        <f>+B46/B48</f>
        <v>167.04635326850502</v>
      </c>
      <c r="C50" s="13"/>
      <c r="D50" s="33">
        <f>+D46/D48</f>
        <v>141.29928189134034</v>
      </c>
      <c r="E50" s="13"/>
      <c r="F50" s="33">
        <f>+F46/F48</f>
        <v>138.56695424800242</v>
      </c>
      <c r="G50" s="33"/>
      <c r="H50" s="33">
        <f t="shared" ref="H50:N50" si="68">+H46/H48</f>
        <v>138.67823970358145</v>
      </c>
      <c r="I50" s="33"/>
      <c r="J50" s="33">
        <f t="shared" si="68"/>
        <v>158.67141595173601</v>
      </c>
      <c r="K50" s="33"/>
      <c r="L50" s="33">
        <f t="shared" si="68"/>
        <v>158.6669718060634</v>
      </c>
      <c r="M50" s="33"/>
      <c r="N50" s="33">
        <f t="shared" si="68"/>
        <v>177.42596864913352</v>
      </c>
      <c r="P50" s="33">
        <f t="shared" ref="P50:R50" si="69">+P46/P48</f>
        <v>163.48143970381062</v>
      </c>
      <c r="R50" s="33">
        <f t="shared" si="69"/>
        <v>164.29155143953184</v>
      </c>
      <c r="T50" s="33">
        <f t="shared" ref="T50:V50" si="70">+T46/T48</f>
        <v>141.06917654956362</v>
      </c>
      <c r="V50" s="33">
        <f t="shared" si="70"/>
        <v>108.69863842706377</v>
      </c>
      <c r="X50" s="33">
        <f t="shared" ref="X50" si="71">+X46/X48</f>
        <v>60.913130909822478</v>
      </c>
    </row>
    <row r="52" spans="1:24" x14ac:dyDescent="0.25">
      <c r="B52" s="30">
        <f t="shared" ref="B52:V52" si="72">SUM(B42:B45)</f>
        <v>42215.3</v>
      </c>
      <c r="C52" s="30"/>
      <c r="D52" s="30">
        <f t="shared" si="72"/>
        <v>39466.400000000001</v>
      </c>
      <c r="E52" s="30"/>
      <c r="F52" s="30">
        <f t="shared" si="72"/>
        <v>31984.431999999997</v>
      </c>
      <c r="G52" s="30"/>
      <c r="H52" s="30">
        <f t="shared" si="72"/>
        <v>22428.764400000004</v>
      </c>
      <c r="I52" s="30"/>
      <c r="J52" s="30">
        <f t="shared" si="72"/>
        <v>34387.743999999999</v>
      </c>
      <c r="K52" s="30"/>
      <c r="L52" s="30">
        <f t="shared" si="72"/>
        <v>38117.7192</v>
      </c>
      <c r="M52" s="30"/>
      <c r="N52" s="30">
        <f t="shared" si="72"/>
        <v>59632.756000000001</v>
      </c>
      <c r="O52" s="30"/>
      <c r="P52" s="30">
        <f t="shared" si="72"/>
        <v>63856.15</v>
      </c>
      <c r="Q52" s="30"/>
      <c r="R52" s="30">
        <f t="shared" si="72"/>
        <v>40671.115899999997</v>
      </c>
      <c r="S52" s="30"/>
      <c r="T52" s="30">
        <f t="shared" si="72"/>
        <v>19971.3325</v>
      </c>
      <c r="U52" s="30"/>
      <c r="V52" s="30">
        <f t="shared" si="72"/>
        <v>15701.2</v>
      </c>
      <c r="W52" s="30"/>
      <c r="X52" s="30">
        <f>SUM(X42:X45)</f>
        <v>14959.7</v>
      </c>
    </row>
    <row r="53" spans="1:24" x14ac:dyDescent="0.25">
      <c r="B53" s="37">
        <f t="shared" ref="B53:V53" si="73">SUM(B12:B15)</f>
        <v>78.77000000000001</v>
      </c>
      <c r="C53" s="37"/>
      <c r="D53" s="37">
        <f t="shared" si="73"/>
        <v>94.92</v>
      </c>
      <c r="E53" s="37"/>
      <c r="F53" s="37">
        <f t="shared" si="73"/>
        <v>87.93</v>
      </c>
      <c r="G53" s="37"/>
      <c r="H53" s="37">
        <f t="shared" si="73"/>
        <v>58.870000000000005</v>
      </c>
      <c r="I53" s="37"/>
      <c r="J53" s="37">
        <f t="shared" si="73"/>
        <v>79.27</v>
      </c>
      <c r="K53" s="37"/>
      <c r="L53" s="37">
        <f t="shared" si="73"/>
        <v>65.12</v>
      </c>
      <c r="M53" s="37"/>
      <c r="N53" s="37">
        <f t="shared" si="73"/>
        <v>86.83</v>
      </c>
      <c r="O53" s="37"/>
      <c r="P53" s="37">
        <f t="shared" si="73"/>
        <v>93.9</v>
      </c>
      <c r="Q53" s="37"/>
      <c r="R53" s="37">
        <f t="shared" si="73"/>
        <v>97.28</v>
      </c>
      <c r="S53" s="37"/>
      <c r="T53" s="37">
        <f t="shared" si="73"/>
        <v>91.26</v>
      </c>
      <c r="U53" s="37"/>
      <c r="V53" s="37">
        <f t="shared" si="73"/>
        <v>87.38</v>
      </c>
      <c r="W53" s="37"/>
      <c r="X53" s="37">
        <f>SUM(X12:X15)</f>
        <v>75.429999999999993</v>
      </c>
    </row>
    <row r="54" spans="1:24" x14ac:dyDescent="0.25">
      <c r="B54" s="36">
        <f t="shared" ref="B54:V54" si="74">+B52/B53</f>
        <v>535.93119207820234</v>
      </c>
      <c r="C54" s="36"/>
      <c r="D54" s="36">
        <f t="shared" si="74"/>
        <v>415.78592498946483</v>
      </c>
      <c r="E54" s="36"/>
      <c r="F54" s="36">
        <f t="shared" si="74"/>
        <v>363.74880018196285</v>
      </c>
      <c r="G54" s="36"/>
      <c r="H54" s="36">
        <f t="shared" si="74"/>
        <v>380.98801426872774</v>
      </c>
      <c r="I54" s="36"/>
      <c r="J54" s="36">
        <f t="shared" si="74"/>
        <v>433.80527311719442</v>
      </c>
      <c r="K54" s="36"/>
      <c r="L54" s="36">
        <f t="shared" si="74"/>
        <v>585.3458108108108</v>
      </c>
      <c r="M54" s="36"/>
      <c r="N54" s="36">
        <f t="shared" si="74"/>
        <v>686.77595301163194</v>
      </c>
      <c r="O54" s="36"/>
      <c r="P54" s="36">
        <f t="shared" si="74"/>
        <v>680.04419595314164</v>
      </c>
      <c r="Q54" s="36"/>
      <c r="R54" s="36">
        <f t="shared" si="74"/>
        <v>418.08301706414471</v>
      </c>
      <c r="S54" s="36"/>
      <c r="T54" s="36">
        <f t="shared" si="74"/>
        <v>218.83993534955073</v>
      </c>
      <c r="U54" s="36"/>
      <c r="V54" s="36">
        <f t="shared" si="74"/>
        <v>179.68871595330742</v>
      </c>
      <c r="W54" s="36"/>
      <c r="X54" s="36">
        <f>+X52/X53</f>
        <v>198.32559989394144</v>
      </c>
    </row>
  </sheetData>
  <mergeCells count="12">
    <mergeCell ref="V4:W4"/>
    <mergeCell ref="X4:Y4"/>
    <mergeCell ref="L4:M4"/>
    <mergeCell ref="N4:O4"/>
    <mergeCell ref="P4:Q4"/>
    <mergeCell ref="R4:S4"/>
    <mergeCell ref="T4:U4"/>
    <mergeCell ref="B4:C4"/>
    <mergeCell ref="D4:E4"/>
    <mergeCell ref="F4:G4"/>
    <mergeCell ref="H4:I4"/>
    <mergeCell ref="J4:K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17FE27-8D16-4F91-8BD7-634524FB6E4C}">
  <dimension ref="A1:E21"/>
  <sheetViews>
    <sheetView topLeftCell="A4" workbookViewId="0">
      <selection activeCell="C9" sqref="C9"/>
    </sheetView>
  </sheetViews>
  <sheetFormatPr defaultRowHeight="15" x14ac:dyDescent="0.25"/>
  <cols>
    <col min="2" max="2" width="10.5703125" bestFit="1" customWidth="1"/>
    <col min="3" max="3" width="12.5703125" bestFit="1" customWidth="1"/>
    <col min="4" max="4" width="9.5703125" bestFit="1" customWidth="1"/>
  </cols>
  <sheetData>
    <row r="1" spans="1:5" ht="23.25" x14ac:dyDescent="0.35">
      <c r="A1" s="4" t="s">
        <v>1</v>
      </c>
      <c r="B1" s="2"/>
      <c r="C1" s="3"/>
    </row>
    <row r="2" spans="1:5" ht="18.75" x14ac:dyDescent="0.3">
      <c r="A2" s="5" t="s">
        <v>74</v>
      </c>
      <c r="B2" s="2"/>
      <c r="C2" s="3"/>
    </row>
    <row r="3" spans="1:5" x14ac:dyDescent="0.25">
      <c r="A3" s="6"/>
      <c r="B3" s="2"/>
      <c r="C3" s="3"/>
    </row>
    <row r="4" spans="1:5" x14ac:dyDescent="0.25">
      <c r="B4" s="7" t="s">
        <v>2</v>
      </c>
      <c r="C4" s="8" t="s">
        <v>3</v>
      </c>
    </row>
    <row r="5" spans="1:5" x14ac:dyDescent="0.25">
      <c r="B5" s="9" t="s">
        <v>4</v>
      </c>
      <c r="C5" s="10" t="s">
        <v>5</v>
      </c>
      <c r="D5" s="11" t="s">
        <v>6</v>
      </c>
    </row>
    <row r="6" spans="1:5" x14ac:dyDescent="0.25">
      <c r="B6" s="2"/>
      <c r="C6" s="3"/>
    </row>
    <row r="7" spans="1:5" x14ac:dyDescent="0.25">
      <c r="B7" s="2"/>
      <c r="C7" s="3"/>
    </row>
    <row r="8" spans="1:5" x14ac:dyDescent="0.25">
      <c r="A8" t="s">
        <v>13</v>
      </c>
      <c r="B8" s="2">
        <f>+'Rebate Data'!$B$48</f>
        <v>1452.04</v>
      </c>
      <c r="C8" s="3">
        <f>+'Rebate Data'!$B$46</f>
        <v>242557.98680000001</v>
      </c>
      <c r="D8" s="14">
        <f t="shared" ref="D8:D19" si="0">+C8/B8</f>
        <v>167.04635326850502</v>
      </c>
    </row>
    <row r="9" spans="1:5" x14ac:dyDescent="0.25">
      <c r="A9" t="s">
        <v>14</v>
      </c>
      <c r="B9" s="2">
        <f>+'Rebate Data'!$D$48</f>
        <v>1558.2599999999998</v>
      </c>
      <c r="C9" s="3">
        <f>+'Rebate Data'!$D$46</f>
        <v>220181.01899999997</v>
      </c>
      <c r="D9" s="14">
        <f t="shared" si="0"/>
        <v>141.29928189134034</v>
      </c>
    </row>
    <row r="10" spans="1:5" x14ac:dyDescent="0.25">
      <c r="A10" t="s">
        <v>16</v>
      </c>
      <c r="B10" s="2">
        <f>+'Rebate Data'!$F$48</f>
        <v>1437.9699999999998</v>
      </c>
      <c r="C10" s="3">
        <f>+'Rebate Data'!$F$46</f>
        <v>199255.1232</v>
      </c>
      <c r="D10" s="14">
        <f t="shared" si="0"/>
        <v>138.56695424800242</v>
      </c>
      <c r="E10" s="15"/>
    </row>
    <row r="11" spans="1:5" x14ac:dyDescent="0.25">
      <c r="A11" t="s">
        <v>17</v>
      </c>
      <c r="B11" s="2">
        <f>+'Rebate Data'!$H$48</f>
        <v>1284.67</v>
      </c>
      <c r="C11" s="3">
        <f>+'Rebate Data'!$H$46</f>
        <v>178155.77420000001</v>
      </c>
      <c r="D11" s="14">
        <f t="shared" si="0"/>
        <v>138.67823970358145</v>
      </c>
      <c r="E11" s="14"/>
    </row>
    <row r="12" spans="1:5" x14ac:dyDescent="0.25">
      <c r="A12" t="s">
        <v>18</v>
      </c>
      <c r="B12" s="2">
        <f>+'Rebate Data'!$J$48</f>
        <v>1413.8899999999999</v>
      </c>
      <c r="C12" s="3">
        <f>+'Rebate Data'!$J$46</f>
        <v>224343.9283</v>
      </c>
      <c r="D12" s="14">
        <f t="shared" si="0"/>
        <v>158.67141595173601</v>
      </c>
      <c r="E12" s="15"/>
    </row>
    <row r="13" spans="1:5" x14ac:dyDescent="0.25">
      <c r="A13" t="s">
        <v>19</v>
      </c>
      <c r="B13" s="2">
        <f>+'Rebate Data'!$L$48</f>
        <v>1356.3200000000004</v>
      </c>
      <c r="C13" s="3">
        <f>+'Rebate Data'!$L$46</f>
        <v>215203.18719999999</v>
      </c>
      <c r="D13" s="14">
        <f t="shared" si="0"/>
        <v>158.6669718060634</v>
      </c>
      <c r="E13" s="15"/>
    </row>
    <row r="14" spans="1:5" x14ac:dyDescent="0.25">
      <c r="A14" t="s">
        <v>7</v>
      </c>
      <c r="B14" s="2">
        <f>+'Rebate Data'!$N$48</f>
        <v>1360.0900000000001</v>
      </c>
      <c r="C14" s="3">
        <f>+'Rebate Data'!$N$46</f>
        <v>241315.28570000004</v>
      </c>
      <c r="D14" s="14">
        <f t="shared" si="0"/>
        <v>177.42596864913352</v>
      </c>
      <c r="E14" s="14"/>
    </row>
    <row r="15" spans="1:5" x14ac:dyDescent="0.25">
      <c r="A15" t="s">
        <v>8</v>
      </c>
      <c r="B15" s="2">
        <f>+'Rebate Data'!$P$48</f>
        <v>1469.3299999999997</v>
      </c>
      <c r="C15" s="3">
        <f>+'Rebate Data'!$P$46</f>
        <v>240208.1838</v>
      </c>
      <c r="D15" s="14">
        <f t="shared" si="0"/>
        <v>163.48143970381062</v>
      </c>
      <c r="E15" s="14"/>
    </row>
    <row r="16" spans="1:5" x14ac:dyDescent="0.25">
      <c r="A16" t="s">
        <v>9</v>
      </c>
      <c r="B16" s="2">
        <f>+'Rebate Data'!$R$48</f>
        <v>1290.3500000000004</v>
      </c>
      <c r="C16" s="3">
        <f>+'Rebate Data'!$R$46</f>
        <v>211993.60339999999</v>
      </c>
      <c r="D16" s="14">
        <f t="shared" si="0"/>
        <v>164.29155143953184</v>
      </c>
      <c r="E16" s="14"/>
    </row>
    <row r="17" spans="1:5" x14ac:dyDescent="0.25">
      <c r="A17" t="s">
        <v>10</v>
      </c>
      <c r="B17" s="2">
        <f>+'Rebate Data'!$T$48</f>
        <v>1385.3900000000003</v>
      </c>
      <c r="C17" s="3">
        <f>+'Rebate Data'!$T$46</f>
        <v>195435.8265</v>
      </c>
      <c r="D17" s="14">
        <f t="shared" si="0"/>
        <v>141.06917654956362</v>
      </c>
      <c r="E17" s="14"/>
    </row>
    <row r="18" spans="1:5" x14ac:dyDescent="0.25">
      <c r="A18" t="s">
        <v>11</v>
      </c>
      <c r="B18" s="2">
        <f>+'Rebate Data'!$V$48</f>
        <v>1383.3999999999996</v>
      </c>
      <c r="C18" s="3">
        <f>+'Rebate Data'!$V$46</f>
        <v>150373.69639999999</v>
      </c>
      <c r="D18" s="92">
        <f t="shared" si="0"/>
        <v>108.69863842706377</v>
      </c>
      <c r="E18" s="15"/>
    </row>
    <row r="19" spans="1:5" x14ac:dyDescent="0.25">
      <c r="A19" t="s">
        <v>12</v>
      </c>
      <c r="B19" s="95">
        <f>+'Rebate Data'!X48</f>
        <v>1292.3400000000001</v>
      </c>
      <c r="C19" s="96">
        <f>+'Rebate Data'!X46</f>
        <v>78720.475599999991</v>
      </c>
      <c r="D19" s="93">
        <f t="shared" si="0"/>
        <v>60.913130909822478</v>
      </c>
      <c r="E19" s="15"/>
    </row>
    <row r="20" spans="1:5" ht="17.25" x14ac:dyDescent="0.4">
      <c r="B20" s="74">
        <f>SUM(B8:B19)</f>
        <v>16684.050000000003</v>
      </c>
      <c r="C20" s="75">
        <f t="shared" ref="C20" si="1">SUM(C8:C19)</f>
        <v>2397744.0900999997</v>
      </c>
      <c r="D20" s="76">
        <f>+C20/B20</f>
        <v>143.71475092078958</v>
      </c>
      <c r="E20" s="15"/>
    </row>
    <row r="21" spans="1:5" x14ac:dyDescent="0.25">
      <c r="D21" s="14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54F97CE37276CA4194BC4B89F87AFD62" ma:contentTypeVersion="20" ma:contentTypeDescription="" ma:contentTypeScope="" ma:versionID="cf1ca43a477a841fa721ce796ccbe7a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2022-12-08T08:00:00+00:00</OpenedDate>
    <SignificantOrder xmlns="dc463f71-b30c-4ab2-9473-d307f9d35888">false</SignificantOrder>
    <Date1 xmlns="dc463f71-b30c-4ab2-9473-d307f9d35888">2022-12-08T08:00:00+00:00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Waste Management of Washington, Inc.  </CaseCompanyNames>
    <Nickname xmlns="http://schemas.microsoft.com/sharepoint/v3" xsi:nil="true"/>
    <DocketNumber xmlns="dc463f71-b30c-4ab2-9473-d307f9d35888">220935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39627E0E-E752-441E-A41D-F496AF85C0A7}"/>
</file>

<file path=customXml/itemProps2.xml><?xml version="1.0" encoding="utf-8"?>
<ds:datastoreItem xmlns:ds="http://schemas.openxmlformats.org/officeDocument/2006/customXml" ds:itemID="{C80B99C4-FE97-47BB-91D8-C70CA979A9E8}"/>
</file>

<file path=customXml/itemProps3.xml><?xml version="1.0" encoding="utf-8"?>
<ds:datastoreItem xmlns:ds="http://schemas.openxmlformats.org/officeDocument/2006/customXml" ds:itemID="{D60113C8-8AC5-4772-B3F3-4B424FFFA661}"/>
</file>

<file path=customXml/itemProps4.xml><?xml version="1.0" encoding="utf-8"?>
<ds:datastoreItem xmlns:ds="http://schemas.openxmlformats.org/officeDocument/2006/customXml" ds:itemID="{1A994B5D-2B57-49DE-9B13-B1A46F44ACC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Rebate Calculation</vt:lpstr>
      <vt:lpstr>Recycling Revenue</vt:lpstr>
      <vt:lpstr>Customers</vt:lpstr>
      <vt:lpstr>Rebate Data</vt:lpstr>
      <vt:lpstr>SMaRT Tons Sold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Weinstein, Mike</dc:creator>
  <cp:lastModifiedBy>Weinstein, Mike</cp:lastModifiedBy>
  <dcterms:created xsi:type="dcterms:W3CDTF">2019-06-10T22:23:41Z</dcterms:created>
  <dcterms:modified xsi:type="dcterms:W3CDTF">2022-11-15T19:06:55Z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0x0101006E56B4D1795A2E4DB2F0B01679ED314A0054F97CE37276CA4194BC4B89F87AFD62</vt:lpwstr>
  </property>
  <property fmtid="{D5CDD505-2E9C-101B-9397-08002B2CF9AE}" pid="5" name="IsEFSEC">
    <vt:bool>false</vt:bool>
  </property>
  <property fmtid="{D5CDD505-2E9C-101B-9397-08002B2CF9AE}" pid="6" name="_docset_NoMedatataSyncRequired">
    <vt:lpwstr>False</vt:lpwstr>
  </property>
</Properties>
</file>