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ient Data\Arrow Launch\Fuel Surcharge\December 2022\"/>
    </mc:Choice>
  </mc:AlternateContent>
  <xr:revisionPtr revIDLastSave="0" documentId="8_{397CADE2-23B4-4A29-A4AB-47C75DB2A37B}" xr6:coauthVersionLast="47" xr6:coauthVersionMax="47" xr10:uidLastSave="{00000000-0000-0000-0000-000000000000}"/>
  <bookViews>
    <workbookView xWindow="-53205" yWindow="2265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2" i="1" l="1"/>
  <c r="G222" i="1"/>
  <c r="G223" i="1" s="1"/>
  <c r="G226" i="1" s="1"/>
  <c r="J170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5" i="1"/>
  <c r="J124" i="1"/>
  <c r="J123" i="1"/>
  <c r="J122" i="1"/>
  <c r="J121" i="1"/>
  <c r="J120" i="1"/>
  <c r="J119" i="1"/>
  <c r="J118" i="1"/>
  <c r="J117" i="1"/>
  <c r="J116" i="1"/>
  <c r="J114" i="1"/>
  <c r="J113" i="1"/>
  <c r="J112" i="1"/>
  <c r="J111" i="1"/>
  <c r="J80" i="1"/>
  <c r="J12" i="1"/>
  <c r="J14" i="1"/>
  <c r="J15" i="1"/>
  <c r="J17" i="1"/>
  <c r="J23" i="1"/>
  <c r="J38" i="1"/>
  <c r="J39" i="1"/>
  <c r="J42" i="1"/>
  <c r="J43" i="1"/>
  <c r="J44" i="1"/>
  <c r="J45" i="1"/>
  <c r="J46" i="1"/>
  <c r="J48" i="1"/>
  <c r="J49" i="1"/>
  <c r="J50" i="1"/>
  <c r="J51" i="1"/>
  <c r="J53" i="1"/>
  <c r="J54" i="1"/>
  <c r="J55" i="1"/>
  <c r="J56" i="1"/>
  <c r="J62" i="1"/>
  <c r="J63" i="1"/>
  <c r="J64" i="1"/>
  <c r="J65" i="1"/>
  <c r="J66" i="1"/>
  <c r="J219" i="1"/>
  <c r="J217" i="1"/>
  <c r="J216" i="1"/>
  <c r="J212" i="1"/>
  <c r="J211" i="1"/>
  <c r="J210" i="1"/>
  <c r="J209" i="1"/>
  <c r="J207" i="1"/>
  <c r="J206" i="1"/>
  <c r="J205" i="1"/>
  <c r="J204" i="1"/>
  <c r="J203" i="1"/>
  <c r="J201" i="1"/>
  <c r="J200" i="1"/>
  <c r="J199" i="1"/>
  <c r="J198" i="1"/>
  <c r="J197" i="1"/>
  <c r="J196" i="1"/>
  <c r="J195" i="1"/>
  <c r="J194" i="1"/>
  <c r="J192" i="1"/>
  <c r="J191" i="1"/>
  <c r="J189" i="1"/>
  <c r="J180" i="1"/>
  <c r="J179" i="1"/>
  <c r="J175" i="1"/>
  <c r="J149" i="1"/>
  <c r="J110" i="1"/>
  <c r="J109" i="1"/>
  <c r="J108" i="1"/>
  <c r="J107" i="1"/>
  <c r="J220" i="1" l="1"/>
</calcChain>
</file>

<file path=xl/sharedStrings.xml><?xml version="1.0" encoding="utf-8"?>
<sst xmlns="http://schemas.openxmlformats.org/spreadsheetml/2006/main" count="1105" uniqueCount="454">
  <si>
    <t>Account ID</t>
  </si>
  <si>
    <t>Account Description</t>
  </si>
  <si>
    <t>Date</t>
  </si>
  <si>
    <t>Reference</t>
  </si>
  <si>
    <t>Jrnl</t>
  </si>
  <si>
    <t>Trans Description</t>
  </si>
  <si>
    <t>Debit Amt</t>
  </si>
  <si>
    <t>Credit Amt</t>
  </si>
  <si>
    <t>Balance</t>
  </si>
  <si>
    <t>40600</t>
  </si>
  <si>
    <t>Boat Oil</t>
  </si>
  <si>
    <t>1324016</t>
  </si>
  <si>
    <t>PJ</t>
  </si>
  <si>
    <t>APP Fueling - 1324016</t>
  </si>
  <si>
    <t>89284</t>
  </si>
  <si>
    <t>CDJ</t>
  </si>
  <si>
    <t>APP Fueling - 1299976</t>
  </si>
  <si>
    <t>0</t>
  </si>
  <si>
    <t>Fisheries Supply</t>
  </si>
  <si>
    <t>1338506-IN</t>
  </si>
  <si>
    <t>APP Fueling - 1338506-IN</t>
  </si>
  <si>
    <t>0190771-IN</t>
  </si>
  <si>
    <t>Masco Petroleum, Inc. - 0190771-IN</t>
  </si>
  <si>
    <t>Nov pd Dec</t>
  </si>
  <si>
    <t>American Express - fisheries</t>
  </si>
  <si>
    <t>Dec pd Jan</t>
  </si>
  <si>
    <t>American Express</t>
  </si>
  <si>
    <t>1367461-IN</t>
  </si>
  <si>
    <t>APP Fueling - 1367461-IN</t>
  </si>
  <si>
    <t>40610</t>
  </si>
  <si>
    <t>Boat Fuel- Strait Arrow</t>
  </si>
  <si>
    <t>39861</t>
  </si>
  <si>
    <t>Reisner Distributor - 39861</t>
  </si>
  <si>
    <t>1/7/19</t>
  </si>
  <si>
    <t>Reisner Distributor - On late invoices</t>
  </si>
  <si>
    <t>40986</t>
  </si>
  <si>
    <t>Reisner Distributor - 40986 dyed dsl 200g @2.33</t>
  </si>
  <si>
    <t>0040966-IN</t>
  </si>
  <si>
    <t>Reisner Distributor - 0040966-IN QTY 391.00</t>
  </si>
  <si>
    <t>41121</t>
  </si>
  <si>
    <t>Reisner Distributor - 41121 317g @2.3081 dyed dsl w/ add</t>
  </si>
  <si>
    <t>41143</t>
  </si>
  <si>
    <t>Reisner Distributor - 41143 290g @2.2877 dyed dsl w/ add</t>
  </si>
  <si>
    <t>1458894-IN</t>
  </si>
  <si>
    <t>APP Fueling</t>
  </si>
  <si>
    <t>39272</t>
  </si>
  <si>
    <t>Reisner Distributor - Dyed Dsl 700.6 gal @ 2.36</t>
  </si>
  <si>
    <t>0239867</t>
  </si>
  <si>
    <t>Reisner Distributor - Delo 100 40 motor oil</t>
  </si>
  <si>
    <t>40615</t>
  </si>
  <si>
    <t>Boat Fuel- Crow Arrow</t>
  </si>
  <si>
    <t>0250799</t>
  </si>
  <si>
    <t>Masco Fuel - 0250799</t>
  </si>
  <si>
    <t>1326109-IN</t>
  </si>
  <si>
    <t>APP Fueling - 1326109-IN</t>
  </si>
  <si>
    <t>0253955-IN</t>
  </si>
  <si>
    <t>Masco Petroleum, Inc. - 0253955-IN</t>
  </si>
  <si>
    <t>1383411-IN</t>
  </si>
  <si>
    <t>APP Fueling - 1383411-IN</t>
  </si>
  <si>
    <t>0262848-IN</t>
  </si>
  <si>
    <t>Masco Fuel - 0262848-IN 74G @2.79</t>
  </si>
  <si>
    <t>0193961-IN</t>
  </si>
  <si>
    <t>Masco Petroleum, Inc. - 0193961-IN emptya pail with lid</t>
  </si>
  <si>
    <t>1464336-IN</t>
  </si>
  <si>
    <t>APP Fueling - Chv Delo 100 400w 15 gal</t>
  </si>
  <si>
    <t>40620</t>
  </si>
  <si>
    <t>Boat Fuel- Sealth Arrow</t>
  </si>
  <si>
    <t>0250420</t>
  </si>
  <si>
    <t>Masco Fuel - 0250420</t>
  </si>
  <si>
    <t>0251082</t>
  </si>
  <si>
    <t>Masco Fuel - 0251082</t>
  </si>
  <si>
    <t>0252461-IN</t>
  </si>
  <si>
    <t>Masco Petroleum, Inc. - 0252461-IN</t>
  </si>
  <si>
    <t>0253607-IN</t>
  </si>
  <si>
    <t>Masco Petroleum, Inc. - sealth</t>
  </si>
  <si>
    <t>0254627-IN</t>
  </si>
  <si>
    <t>Masco Petroleum, Inc. - 0254627-IN</t>
  </si>
  <si>
    <t>10451</t>
  </si>
  <si>
    <t>Masco Petroleum, Inc. - 10451</t>
  </si>
  <si>
    <t>CL64892</t>
  </si>
  <si>
    <t>Masco Petroleum, Inc. - CL64892</t>
  </si>
  <si>
    <t>0256423-IN</t>
  </si>
  <si>
    <t>Masco Petroleum, Inc. - 0256423-IN</t>
  </si>
  <si>
    <t>10540</t>
  </si>
  <si>
    <t>Masco Fuel - 10540</t>
  </si>
  <si>
    <t>10593</t>
  </si>
  <si>
    <t>Masco Fuel - 10593</t>
  </si>
  <si>
    <t>0259634-IN</t>
  </si>
  <si>
    <t>Masco Fuel - 0259634-IN</t>
  </si>
  <si>
    <t>0260292-IN</t>
  </si>
  <si>
    <t>Masco Fuel - 0260292-IN 221 2.69 A GAL</t>
  </si>
  <si>
    <t>0260727-IN</t>
  </si>
  <si>
    <t>Masco Fuel - 0260727-IN 206.30g @2.79</t>
  </si>
  <si>
    <t>1390575-IN</t>
  </si>
  <si>
    <t>APP Fueling - 1390575-IN 55g and drum fee</t>
  </si>
  <si>
    <t>0261627-IN</t>
  </si>
  <si>
    <t>Masco Fuel - 0261627-IN fuel oil dyed</t>
  </si>
  <si>
    <t>08013</t>
  </si>
  <si>
    <t>Masco Fuel - 08013 215g @2.79</t>
  </si>
  <si>
    <t>0263960-IN</t>
  </si>
  <si>
    <t>Masco Fuel - 0263960-IN 224.60g @2.8000</t>
  </si>
  <si>
    <t>0266141-IN</t>
  </si>
  <si>
    <t>Masco Fuel - 0266141-IN 232.00g @2.8900</t>
  </si>
  <si>
    <t>0267769-IN</t>
  </si>
  <si>
    <t>Masco Fuel - 0267769-IN 251.70g @3.000</t>
  </si>
  <si>
    <t>0269150-IN</t>
  </si>
  <si>
    <t>Masco Fuel - 0269150-IN 212.10G @2.99</t>
  </si>
  <si>
    <t>0269913-IN</t>
  </si>
  <si>
    <t>Masco Fuel - #0269913-IN off hwy diesel sealth</t>
  </si>
  <si>
    <t>0269913</t>
  </si>
  <si>
    <t>Masco Petroleum, Inc. - 281 Gal at $2.79 per</t>
  </si>
  <si>
    <t>0272662-IN</t>
  </si>
  <si>
    <t>Masco Fuel - 202 @ 2.84 DI 08959</t>
  </si>
  <si>
    <t>DI 09064</t>
  </si>
  <si>
    <t>Masco Fuel - 228.7 gal @ $2.85 DI 09064</t>
  </si>
  <si>
    <t>0275543-IN</t>
  </si>
  <si>
    <t>Masco Fuel - 232.60 gal @ 2.77</t>
  </si>
  <si>
    <t>0000347-IN</t>
  </si>
  <si>
    <t>APP Fueling - CHV DELO 100 40 W- 55 gal</t>
  </si>
  <si>
    <t>0276760-IN</t>
  </si>
  <si>
    <t>Masco Fuel - 230.1 @ 2.72g</t>
  </si>
  <si>
    <t>0279220-IN</t>
  </si>
  <si>
    <t>Masco Fuel - 09580 226.8G @2.77</t>
  </si>
  <si>
    <t>0280634-IN</t>
  </si>
  <si>
    <t>Masco Fuel - 187g @ 2.74</t>
  </si>
  <si>
    <t>281892-IN</t>
  </si>
  <si>
    <t>Masco Fuel - 225.2g @2.88</t>
  </si>
  <si>
    <t>40640</t>
  </si>
  <si>
    <t>Boat Fuel- Warrior</t>
  </si>
  <si>
    <t>0250237</t>
  </si>
  <si>
    <t>Masco Fuel - 0250237</t>
  </si>
  <si>
    <t>Masco Petroleum, Inc. - warrier</t>
  </si>
  <si>
    <t>7851</t>
  </si>
  <si>
    <t>Masco Fuel - 7851</t>
  </si>
  <si>
    <t>07892</t>
  </si>
  <si>
    <t>Masco Fuel - 07892</t>
  </si>
  <si>
    <t>0261524-IN</t>
  </si>
  <si>
    <t>Masco Fuel - 0261524-IN Fuel oil</t>
  </si>
  <si>
    <t>0264942-IN</t>
  </si>
  <si>
    <t>Masco Fuel - 0264942-IN 200.00G @2.8000</t>
  </si>
  <si>
    <t>0265828-IN</t>
  </si>
  <si>
    <t>Masco Fuel - 0265828- IN 200.00g @2.94.000</t>
  </si>
  <si>
    <t>0272750-IN</t>
  </si>
  <si>
    <t>Masco Fuel - 200 @2.84 DI 08982</t>
  </si>
  <si>
    <t>0273524-IN</t>
  </si>
  <si>
    <t>Masco Fuel - 250gal @ $2.85 DI 09044</t>
  </si>
  <si>
    <t>0277191-IN</t>
  </si>
  <si>
    <t>Masco Fuel - 200g @ 2.72</t>
  </si>
  <si>
    <t>40650</t>
  </si>
  <si>
    <t>Boat Fuel- General</t>
  </si>
  <si>
    <t>9047 Harmon 10/22</t>
  </si>
  <si>
    <t>First Bankcard - 0947 Harmon 10/22 Boat Fuel</t>
  </si>
  <si>
    <t>Oct pd Nov18</t>
  </si>
  <si>
    <t>136176-IN</t>
  </si>
  <si>
    <t>APP Fueling - 136176-IN</t>
  </si>
  <si>
    <t>Jan 2019</t>
  </si>
  <si>
    <t/>
  </si>
  <si>
    <t>GENJ</t>
  </si>
  <si>
    <t>Feb pd March</t>
  </si>
  <si>
    <t>Double pay 313299</t>
  </si>
  <si>
    <t>Foss Harbor Marine - Double pay on ticket number 313299</t>
  </si>
  <si>
    <t>March paid April</t>
  </si>
  <si>
    <t>April paid May</t>
  </si>
  <si>
    <t>0194213-IN</t>
  </si>
  <si>
    <t>Masco Petroleum, Inc. - #0194213-IN brave - empty pail with lid</t>
  </si>
  <si>
    <t>May pd in June19</t>
  </si>
  <si>
    <t>322027</t>
  </si>
  <si>
    <t>Foss Harbor Marine - Diesel 57.965@2.86 / Invoice #9031</t>
  </si>
  <si>
    <t>June pd in July19</t>
  </si>
  <si>
    <t>July payment</t>
  </si>
  <si>
    <t>8/12/2019</t>
  </si>
  <si>
    <t>Masco Fuel - Credit per email</t>
  </si>
  <si>
    <t>319623 #2</t>
  </si>
  <si>
    <t>Foss Harbor Marine - corrected invoice for 5/11</t>
  </si>
  <si>
    <t>August 2019</t>
  </si>
  <si>
    <t>Credit memo</t>
  </si>
  <si>
    <t>Masco Fuel - overpay</t>
  </si>
  <si>
    <t>September2019</t>
  </si>
  <si>
    <t>40660</t>
  </si>
  <si>
    <t>Boat Fuel- Swift Arrow</t>
  </si>
  <si>
    <t>306187</t>
  </si>
  <si>
    <t>Foss Harbor Marine - 198.437 USG @ 3.11</t>
  </si>
  <si>
    <t>306440</t>
  </si>
  <si>
    <t>Foss Harbor Marine - 147.762 USG @ 3.11</t>
  </si>
  <si>
    <t>307548</t>
  </si>
  <si>
    <t>Foss Harbor Marine - 307548</t>
  </si>
  <si>
    <t>307778</t>
  </si>
  <si>
    <t>Foss Harbor Marine - 307778</t>
  </si>
  <si>
    <t>308336</t>
  </si>
  <si>
    <t>Foss Harbor Marine - 308336</t>
  </si>
  <si>
    <t>106320</t>
  </si>
  <si>
    <t>Elliott Bay Marina - 106320</t>
  </si>
  <si>
    <t>106496</t>
  </si>
  <si>
    <t>Elliott Bay Marina - 106496</t>
  </si>
  <si>
    <t>1010143</t>
  </si>
  <si>
    <t>Elliott Bay Marina - 1010143</t>
  </si>
  <si>
    <t>1010337</t>
  </si>
  <si>
    <t>Elliott Bay Marina - 1010337</t>
  </si>
  <si>
    <t>1010395</t>
  </si>
  <si>
    <t>Elliott Bay Marina - 1010395</t>
  </si>
  <si>
    <t>1010541</t>
  </si>
  <si>
    <t>Elliott Bay Marina - 1010541</t>
  </si>
  <si>
    <t>1010616</t>
  </si>
  <si>
    <t>Elliott Bay Marina - 1010616</t>
  </si>
  <si>
    <t>1010617</t>
  </si>
  <si>
    <t>Elliott Bay Marina - 1010617</t>
  </si>
  <si>
    <t>1010828</t>
  </si>
  <si>
    <t>Elliott Bay Marina - 1010828</t>
  </si>
  <si>
    <t>acct 9269 01/21/19</t>
  </si>
  <si>
    <t>Elliott Bay Marina - acct 9269 01/21/19</t>
  </si>
  <si>
    <t>1010903</t>
  </si>
  <si>
    <t>Elliott Bay Marina - 1010903</t>
  </si>
  <si>
    <t>1011011</t>
  </si>
  <si>
    <t>Elliott Bay Marina - 1011011 165.462g @3.999</t>
  </si>
  <si>
    <t>1383408-IN</t>
  </si>
  <si>
    <t>APP Fueling - 1383408-IN</t>
  </si>
  <si>
    <t>1011068</t>
  </si>
  <si>
    <t>Elliott Bay Marina - 1011068</t>
  </si>
  <si>
    <t>1011120</t>
  </si>
  <si>
    <t>Elliott Bay Marina - 1011120 approx 200g</t>
  </si>
  <si>
    <t>1011122</t>
  </si>
  <si>
    <t>Elliott Bay Marina - 1011122 approx 151g</t>
  </si>
  <si>
    <t>1011180</t>
  </si>
  <si>
    <t>Elliott Bay Marina - 1011180 approx 212g</t>
  </si>
  <si>
    <t>1011200</t>
  </si>
  <si>
    <t>Elliott Bay Marina - 1011200 approx 287g</t>
  </si>
  <si>
    <t>1011265</t>
  </si>
  <si>
    <t>Elliott Bay Marina - 1011265 247.58g @3.99</t>
  </si>
  <si>
    <t>1011266</t>
  </si>
  <si>
    <t>Elliott Bay Marina - 1011266 20.65g @3.99</t>
  </si>
  <si>
    <t>1011317</t>
  </si>
  <si>
    <t>Elliott Bay Marina - 1011317 211g @3.99</t>
  </si>
  <si>
    <t>1011350</t>
  </si>
  <si>
    <t>Elliott Bay Marina - 1011350 164.22g @3.99</t>
  </si>
  <si>
    <t>1011446</t>
  </si>
  <si>
    <t>Elliott Bay Marina - 1011446</t>
  </si>
  <si>
    <t>1011562</t>
  </si>
  <si>
    <t>Elliott Bay Marina - 1011562 200.092g @3.99</t>
  </si>
  <si>
    <t>1011790</t>
  </si>
  <si>
    <t>Elliott Bay Marina - 1011790 247.755g @3.999</t>
  </si>
  <si>
    <t>1011791</t>
  </si>
  <si>
    <t>Elliott Bay Marina - 1011791 50.027g @3.999</t>
  </si>
  <si>
    <t>1011920</t>
  </si>
  <si>
    <t>Elliott Bay Marina - 1011920 180.00g @3.999</t>
  </si>
  <si>
    <t>1012159</t>
  </si>
  <si>
    <t>Elliott Bay Marina - 1012159 199.915g @3.999</t>
  </si>
  <si>
    <t>1012351</t>
  </si>
  <si>
    <t>Elliott Bay Marina - 1012351 200.006g @3.999</t>
  </si>
  <si>
    <t>1012516</t>
  </si>
  <si>
    <t>Elliott Bay Marina - 1012516 129.349g @3.999</t>
  </si>
  <si>
    <t>1012857</t>
  </si>
  <si>
    <t>Elliott Bay Marina - 1012857 130.205g @3.999</t>
  </si>
  <si>
    <t>1013545</t>
  </si>
  <si>
    <t>Elliott Bay Marina - 1013545 324.796g @3.999</t>
  </si>
  <si>
    <t>1014391</t>
  </si>
  <si>
    <t>Elliott Bay Marina - 1014391 247.602g @3.999</t>
  </si>
  <si>
    <t>1014513</t>
  </si>
  <si>
    <t>Elliott Bay Marina - Diesel</t>
  </si>
  <si>
    <t>1014735</t>
  </si>
  <si>
    <t>Elliott Bay Marina - #1014735 swift fuel</t>
  </si>
  <si>
    <t>1014842</t>
  </si>
  <si>
    <t>Elliott Bay Marina - 1014842 swift fuel</t>
  </si>
  <si>
    <t>1016491</t>
  </si>
  <si>
    <t>Elliott Bay Marina - 253.92 gal @ 3.899</t>
  </si>
  <si>
    <t>1017073</t>
  </si>
  <si>
    <t>Elliott Bay Marina - diesel 100.552 @ 3.899</t>
  </si>
  <si>
    <t>1017239</t>
  </si>
  <si>
    <t>Elliott Bay Marina - 230 @ 3.899</t>
  </si>
  <si>
    <t>1017860</t>
  </si>
  <si>
    <t>Elliott Bay Marina - 200.033 @ 3.899</t>
  </si>
  <si>
    <t>1018294</t>
  </si>
  <si>
    <t>Elliott Bay Marina - 120.025 USG @ 3.899 per gallon</t>
  </si>
  <si>
    <t>0276148-IN</t>
  </si>
  <si>
    <t>Masco Fuel - 249.7 G @ 2.77</t>
  </si>
  <si>
    <t>1019622</t>
  </si>
  <si>
    <t>Elliott Bay Marina - 138.188g @ 3.899</t>
  </si>
  <si>
    <t>1010213</t>
  </si>
  <si>
    <t>Elliott Bay Marina - 105.045g @3.899</t>
  </si>
  <si>
    <t>11798</t>
  </si>
  <si>
    <t>Foss Harbor Marine - 331196 167.134 G @ 2.79</t>
  </si>
  <si>
    <t>1012034</t>
  </si>
  <si>
    <t>Elliott Bay Marina - 124.078 g @ 3.899</t>
  </si>
  <si>
    <t>333421</t>
  </si>
  <si>
    <t>Foss Harbor Marine - 159.8 @2.76</t>
  </si>
  <si>
    <t>1012584</t>
  </si>
  <si>
    <t>Elliott Bay Marina - 170.51g @ 3.899</t>
  </si>
  <si>
    <t>1012844</t>
  </si>
  <si>
    <t>Elliott Bay Marina - 124.53G @3.899</t>
  </si>
  <si>
    <t>40665</t>
  </si>
  <si>
    <t>Boat Fuel - Pacific Arrow</t>
  </si>
  <si>
    <t>1010237</t>
  </si>
  <si>
    <t>Elliott Bay Marina - 1010237</t>
  </si>
  <si>
    <t>1010238</t>
  </si>
  <si>
    <t>Elliott Bay Marina - 1010238</t>
  </si>
  <si>
    <t>1010342</t>
  </si>
  <si>
    <t>Elliott Bay Marina - 1010342</t>
  </si>
  <si>
    <t>1010341</t>
  </si>
  <si>
    <t>1010607</t>
  </si>
  <si>
    <t>Elliott Bay Marina - 1010607</t>
  </si>
  <si>
    <t>1010606</t>
  </si>
  <si>
    <t>Elliott Bay Marina - 1010606</t>
  </si>
  <si>
    <t>1011076</t>
  </si>
  <si>
    <t>Elliott Bay Marina - 1011076</t>
  </si>
  <si>
    <t>1011177</t>
  </si>
  <si>
    <t>Elliott Bay Marina - 1011177 approx 225g</t>
  </si>
  <si>
    <t>1011449</t>
  </si>
  <si>
    <t>Elliott Bay Marina - 1011449 161.7g @3.99</t>
  </si>
  <si>
    <t>1011448</t>
  </si>
  <si>
    <t>Elliott Bay Marina - 1011448 105.82g @3.99</t>
  </si>
  <si>
    <t>1012300</t>
  </si>
  <si>
    <t>Elliott Bay Marina - 1012300 247.748g @3.999</t>
  </si>
  <si>
    <t>1012301</t>
  </si>
  <si>
    <t>Elliott Bay Marina - 1012301 194.851g @3.999</t>
  </si>
  <si>
    <t>1013785</t>
  </si>
  <si>
    <t>Elliott Bay Marina - 1013785 189.651g @3.999</t>
  </si>
  <si>
    <t>1017682</t>
  </si>
  <si>
    <t>Elliott Bay Marina - 120 gal @ 3.899</t>
  </si>
  <si>
    <t>1018502</t>
  </si>
  <si>
    <t>Elliott Bay Marina - 357.199 g @ 3.899</t>
  </si>
  <si>
    <t>1010244</t>
  </si>
  <si>
    <t>Elliott Bay Marina - 253.978g @3.899</t>
  </si>
  <si>
    <t>1011854</t>
  </si>
  <si>
    <t>Elliott Bay Marina - 254.089g @ 3.899 38.35g @ 3.899</t>
  </si>
  <si>
    <t>1012738</t>
  </si>
  <si>
    <t>Elliott Bay Marina - 254.094g @ 3.899</t>
  </si>
  <si>
    <t>1012858</t>
  </si>
  <si>
    <t>Elliott Bay Marina - 234.127G @ 3.899</t>
  </si>
  <si>
    <t>40670</t>
  </si>
  <si>
    <t>Boat Fuel- Sioux Arrow</t>
  </si>
  <si>
    <t>105525</t>
  </si>
  <si>
    <t>Elliott Bay Marina - Sioux-80 USG @ 4.09</t>
  </si>
  <si>
    <t>105748</t>
  </si>
  <si>
    <t>Elliott Bay Marina - 105748</t>
  </si>
  <si>
    <t>105930</t>
  </si>
  <si>
    <t>Elliott Bay Marina - 105930</t>
  </si>
  <si>
    <t>106018</t>
  </si>
  <si>
    <t>Elliott Bay Marina - 106018</t>
  </si>
  <si>
    <t>106170</t>
  </si>
  <si>
    <t>Elliott Bay Marina - 106170</t>
  </si>
  <si>
    <t>1011201</t>
  </si>
  <si>
    <t>Elliott Bay Marina - 1011201 approx 287g</t>
  </si>
  <si>
    <t>1401192-IN</t>
  </si>
  <si>
    <t>APP Fueling - 1401192-IN 55G/DRUM FEE</t>
  </si>
  <si>
    <t>1015791</t>
  </si>
  <si>
    <t>Elliott Bay Marina - fuel</t>
  </si>
  <si>
    <t>DI 09523</t>
  </si>
  <si>
    <t>Masco Fuel - 156g @ 2.87</t>
  </si>
  <si>
    <t>40675</t>
  </si>
  <si>
    <t>Boat Fuel - Chief Arrow</t>
  </si>
  <si>
    <t>0266413-IN</t>
  </si>
  <si>
    <t>Masco Petroleum, Inc. - 0266413-IN teardrop aluminum tabbed</t>
  </si>
  <si>
    <t>1445401-IN</t>
  </si>
  <si>
    <t>APP Fueling - 55 gal drum</t>
  </si>
  <si>
    <t>0194955-IN</t>
  </si>
  <si>
    <t>Masco Petroleum, Inc. - Empty pail with lid</t>
  </si>
  <si>
    <t>0276068-IN</t>
  </si>
  <si>
    <t>Masco Fuel - 400 g @ 2.07</t>
  </si>
  <si>
    <t>40685</t>
  </si>
  <si>
    <t>Boat Fuel- Motega</t>
  </si>
  <si>
    <t>0040156-IN</t>
  </si>
  <si>
    <t>Reisner Distributor - 0040156-IN</t>
  </si>
  <si>
    <t>0040802-IN</t>
  </si>
  <si>
    <t>Reisner Distributor - 0040802-IN</t>
  </si>
  <si>
    <t>40985</t>
  </si>
  <si>
    <t>Reisner Distributor - 40985 dyed dsl 700g @2.26</t>
  </si>
  <si>
    <t>1412374-IN</t>
  </si>
  <si>
    <t>APP Fueling - 1412374-IN 140.000g @2.6585</t>
  </si>
  <si>
    <t>0269573-IN</t>
  </si>
  <si>
    <t>Masco Fuel - #0269573-IN Motega fuel</t>
  </si>
  <si>
    <t>40690</t>
  </si>
  <si>
    <t>Boat Fuel- Cheyenne Arrow</t>
  </si>
  <si>
    <t>308338</t>
  </si>
  <si>
    <t>Foss Harbor Marine - 308338</t>
  </si>
  <si>
    <t>308801</t>
  </si>
  <si>
    <t>Foss Harbor Marine - 308801</t>
  </si>
  <si>
    <t>309905</t>
  </si>
  <si>
    <t>Foss Harbor Marine - 309905</t>
  </si>
  <si>
    <t>310838</t>
  </si>
  <si>
    <t>Foss Harbor Marine - 310838</t>
  </si>
  <si>
    <t>311475</t>
  </si>
  <si>
    <t>Foss Harbor Marine - 311475</t>
  </si>
  <si>
    <t>311816</t>
  </si>
  <si>
    <t>Foss Harbor Marine - 311816</t>
  </si>
  <si>
    <t>0258245-IN</t>
  </si>
  <si>
    <t>Masco Fuel - 0258245-IN</t>
  </si>
  <si>
    <t>313064</t>
  </si>
  <si>
    <t>Foss Harbor Marine - 313064 81.891g @2.89</t>
  </si>
  <si>
    <t>5324</t>
  </si>
  <si>
    <t>Foss Harbor Marine - 5324</t>
  </si>
  <si>
    <t>313299</t>
  </si>
  <si>
    <t>Foss Harbor Marine - 313299 109.662 @2.89</t>
  </si>
  <si>
    <t>313807</t>
  </si>
  <si>
    <t>Foss Harbor Marine - 313807 120.046g @2.85</t>
  </si>
  <si>
    <t>0192237-IN</t>
  </si>
  <si>
    <t>Masco Petroleum, Inc. - 0192237-IN PAILS</t>
  </si>
  <si>
    <t>314058</t>
  </si>
  <si>
    <t>Foss Harbor Marine - 65g @2.85</t>
  </si>
  <si>
    <t>314343</t>
  </si>
  <si>
    <t>Foss Harbor Marine - 314343 143.29g @2.85</t>
  </si>
  <si>
    <t>314929</t>
  </si>
  <si>
    <t>Foss Harbor Marine - 314929 115g @2.85</t>
  </si>
  <si>
    <t>315081</t>
  </si>
  <si>
    <t>Foss Harbor Marine - 315081 75.915g @2.85</t>
  </si>
  <si>
    <t>315936</t>
  </si>
  <si>
    <t>Foss Harbor Marine - 315936 122.897g @2.85</t>
  </si>
  <si>
    <t>317254</t>
  </si>
  <si>
    <t>Foss Harbor Marine - 317254 80.413g @2.88</t>
  </si>
  <si>
    <t>317749</t>
  </si>
  <si>
    <t>Foss Harbor Marine - 317749 94.925g @2.88</t>
  </si>
  <si>
    <t>318546</t>
  </si>
  <si>
    <t>Foss Harbor Marine - 318546 113.308 @2.88</t>
  </si>
  <si>
    <t>319623</t>
  </si>
  <si>
    <t>Foss Harbor Marine - 319623 cheyenne fuel</t>
  </si>
  <si>
    <t>319739</t>
  </si>
  <si>
    <t>Foss Harbor Marine - 319739 71.570g @2.91 / Invoice 8101</t>
  </si>
  <si>
    <t>320618</t>
  </si>
  <si>
    <t>Foss Harbor Marine - 320618 117.166g @2.91</t>
  </si>
  <si>
    <t>321021</t>
  </si>
  <si>
    <t>Foss Harbor Marine - 321021 91.824g @2.91 / Invoice #8417</t>
  </si>
  <si>
    <t>322502</t>
  </si>
  <si>
    <t>Foss Harbor Marine - 93.762 usg@ 2.86 / Invoice #9131</t>
  </si>
  <si>
    <t>324841</t>
  </si>
  <si>
    <t>Foss Harbor Marine - 83.890 @ $2.81</t>
  </si>
  <si>
    <t>APP Fueling - Chv delo 100 400w 15 gal</t>
  </si>
  <si>
    <t>41019072016</t>
  </si>
  <si>
    <t>Foss Harbor Marine - 157.719 @ 2.81</t>
  </si>
  <si>
    <t>1019386</t>
  </si>
  <si>
    <t>Elliott Bay Marina - 141.75G @ 3.899</t>
  </si>
  <si>
    <t>329165</t>
  </si>
  <si>
    <t>Foss Harbor Marine - 64.759 @ 2.79</t>
  </si>
  <si>
    <t>1011301</t>
  </si>
  <si>
    <t>Elliott Bay Marina - 101.947g @ 3.899</t>
  </si>
  <si>
    <t>40695</t>
  </si>
  <si>
    <t>Boat Fuel - Brave Arrow</t>
  </si>
  <si>
    <t>105922/105902/105923</t>
  </si>
  <si>
    <t>Elliott Bay Marina - 105922/105902/105923/105904</t>
  </si>
  <si>
    <t>2177</t>
  </si>
  <si>
    <t>Tacoma Fuel Dock, Inc. - 2177</t>
  </si>
  <si>
    <t>0259239-IN</t>
  </si>
  <si>
    <t>Masco Fuel - 0259239-IN</t>
  </si>
  <si>
    <t>313363</t>
  </si>
  <si>
    <t>Foss Harbor Marine - 313363 400.125g @2.89</t>
  </si>
  <si>
    <t>314613</t>
  </si>
  <si>
    <t>Foss Harbor Marine - 314613 493.1g @2.85</t>
  </si>
  <si>
    <t>0194360-IN</t>
  </si>
  <si>
    <t>Masco Fuel - #0194360-IN Pails - Brave</t>
  </si>
  <si>
    <t>282758-IN</t>
  </si>
  <si>
    <t>Masco Fuel - 500g @ 2.68</t>
  </si>
  <si>
    <t>Average</t>
  </si>
  <si>
    <t>Total Charges &amp; Credits</t>
  </si>
  <si>
    <t>Allocation:Vessel Operating Hours</t>
  </si>
  <si>
    <t xml:space="preserve">Regualted </t>
  </si>
  <si>
    <t xml:space="preserve">Non-Regulated </t>
  </si>
  <si>
    <t>Net Cost -Pro Forma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</si>
</sst>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"/>
    <numFmt numFmtId="165" formatCode="#,##0.00;\-#,##0.00;* ??"/>
    <numFmt numFmtId="166" formatCode="#,##0.000"/>
  </numFmts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b/>
      <u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6" fontId="0" fillId="0" borderId="0" xfId="0" applyNumberFormat="1"/>
    <xf numFmtId="166" fontId="0" fillId="0" borderId="2" xfId="0" applyNumberFormat="1" applyBorder="1"/>
    <xf numFmtId="165" fontId="0" fillId="0" borderId="0" xfId="0" applyNumberFormat="1"/>
    <xf numFmtId="4" fontId="0" fillId="0" borderId="0" xfId="0" applyNumberFormat="1"/>
    <xf numFmtId="49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6"/>
  <sheetViews>
    <sheetView tabSelected="1" topLeftCell="A215" workbookViewId="0">
      <selection activeCell="G226" sqref="G226"/>
    </sheetView>
  </sheetViews>
  <sheetFormatPr defaultRowHeight="15" x14ac:dyDescent="0.25"/>
  <cols>
    <col min="2" max="2" width="19.7109375" bestFit="1" customWidth="1"/>
    <col min="6" max="6" width="50.140625" bestFit="1" customWidth="1"/>
    <col min="7" max="7" width="10.8554687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7"/>
    </row>
    <row r="2" spans="1:10" x14ac:dyDescent="0.25">
      <c r="A2" s="3" t="s">
        <v>9</v>
      </c>
      <c r="B2" s="3" t="s">
        <v>10</v>
      </c>
      <c r="C2" s="4">
        <v>43388</v>
      </c>
      <c r="D2" s="3" t="s">
        <v>11</v>
      </c>
      <c r="E2" s="3" t="s">
        <v>12</v>
      </c>
      <c r="F2" s="6" t="s">
        <v>13</v>
      </c>
      <c r="G2" s="5">
        <v>978.64</v>
      </c>
      <c r="H2" s="5"/>
      <c r="I2" s="5"/>
      <c r="J2" s="7"/>
    </row>
    <row r="3" spans="1:10" x14ac:dyDescent="0.25">
      <c r="A3" s="3" t="s">
        <v>9</v>
      </c>
      <c r="B3" s="3" t="s">
        <v>10</v>
      </c>
      <c r="C3" s="4">
        <v>43389</v>
      </c>
      <c r="D3" s="3" t="s">
        <v>14</v>
      </c>
      <c r="E3" s="3" t="s">
        <v>15</v>
      </c>
      <c r="F3" s="6" t="s">
        <v>16</v>
      </c>
      <c r="G3" s="5">
        <v>1433.52</v>
      </c>
      <c r="H3" s="5"/>
      <c r="I3" s="5"/>
      <c r="J3" s="7"/>
    </row>
    <row r="4" spans="1:10" x14ac:dyDescent="0.25">
      <c r="A4" s="3" t="s">
        <v>9</v>
      </c>
      <c r="B4" s="3" t="s">
        <v>10</v>
      </c>
      <c r="C4" s="4">
        <v>43406</v>
      </c>
      <c r="D4" s="3" t="s">
        <v>17</v>
      </c>
      <c r="E4" s="3" t="s">
        <v>15</v>
      </c>
      <c r="F4" s="6" t="s">
        <v>18</v>
      </c>
      <c r="G4" s="5"/>
      <c r="H4" s="5">
        <v>40.83</v>
      </c>
      <c r="I4" s="5"/>
      <c r="J4" s="7"/>
    </row>
    <row r="5" spans="1:10" x14ac:dyDescent="0.25">
      <c r="A5" s="3" t="s">
        <v>9</v>
      </c>
      <c r="B5" s="3" t="s">
        <v>10</v>
      </c>
      <c r="C5" s="4">
        <v>43417</v>
      </c>
      <c r="D5" s="3" t="s">
        <v>19</v>
      </c>
      <c r="E5" s="3" t="s">
        <v>12</v>
      </c>
      <c r="F5" s="6" t="s">
        <v>20</v>
      </c>
      <c r="G5" s="5">
        <v>978.64</v>
      </c>
      <c r="H5" s="5"/>
      <c r="I5" s="5"/>
      <c r="J5" s="7"/>
    </row>
    <row r="6" spans="1:10" x14ac:dyDescent="0.25">
      <c r="A6" s="3" t="s">
        <v>9</v>
      </c>
      <c r="B6" s="3" t="s">
        <v>10</v>
      </c>
      <c r="C6" s="4">
        <v>43431</v>
      </c>
      <c r="D6" s="3" t="s">
        <v>21</v>
      </c>
      <c r="E6" s="3" t="s">
        <v>12</v>
      </c>
      <c r="F6" s="6" t="s">
        <v>22</v>
      </c>
      <c r="G6" s="5">
        <v>238.69</v>
      </c>
      <c r="H6" s="5"/>
      <c r="I6" s="5"/>
      <c r="J6" s="7"/>
    </row>
    <row r="7" spans="1:10" x14ac:dyDescent="0.25">
      <c r="A7" s="3" t="s">
        <v>9</v>
      </c>
      <c r="B7" s="3" t="s">
        <v>10</v>
      </c>
      <c r="C7" s="4">
        <v>43434</v>
      </c>
      <c r="D7" s="3" t="s">
        <v>23</v>
      </c>
      <c r="E7" s="3" t="s">
        <v>12</v>
      </c>
      <c r="F7" s="6" t="s">
        <v>24</v>
      </c>
      <c r="G7" s="5">
        <v>40.83</v>
      </c>
      <c r="H7" s="5"/>
      <c r="I7" s="5"/>
      <c r="J7" s="7"/>
    </row>
    <row r="8" spans="1:10" x14ac:dyDescent="0.25">
      <c r="A8" s="3" t="s">
        <v>9</v>
      </c>
      <c r="B8" s="3" t="s">
        <v>10</v>
      </c>
      <c r="C8" s="4">
        <v>43465</v>
      </c>
      <c r="D8" s="3" t="s">
        <v>25</v>
      </c>
      <c r="E8" s="3" t="s">
        <v>12</v>
      </c>
      <c r="F8" s="6" t="s">
        <v>26</v>
      </c>
      <c r="G8" s="5">
        <v>751.43</v>
      </c>
      <c r="H8" s="5"/>
      <c r="I8" s="5"/>
      <c r="J8" s="7"/>
    </row>
    <row r="9" spans="1:10" x14ac:dyDescent="0.25">
      <c r="A9" s="3" t="s">
        <v>9</v>
      </c>
      <c r="B9" s="3" t="s">
        <v>10</v>
      </c>
      <c r="C9" s="4">
        <v>43476</v>
      </c>
      <c r="D9" s="3" t="s">
        <v>27</v>
      </c>
      <c r="E9" s="3" t="s">
        <v>12</v>
      </c>
      <c r="F9" s="6" t="s">
        <v>28</v>
      </c>
      <c r="G9" s="5">
        <v>978.64</v>
      </c>
      <c r="H9" s="5"/>
      <c r="I9" s="5"/>
      <c r="J9" s="7"/>
    </row>
    <row r="10" spans="1:10" x14ac:dyDescent="0.25">
      <c r="A10" s="3" t="s">
        <v>29</v>
      </c>
      <c r="B10" s="3" t="s">
        <v>30</v>
      </c>
      <c r="C10" s="4">
        <v>43381</v>
      </c>
      <c r="D10" s="3" t="s">
        <v>31</v>
      </c>
      <c r="E10" s="3" t="s">
        <v>12</v>
      </c>
      <c r="F10" s="6" t="s">
        <v>32</v>
      </c>
      <c r="G10" s="5">
        <v>1147.3699999999999</v>
      </c>
      <c r="H10" s="5"/>
      <c r="I10" s="5"/>
      <c r="J10" s="7"/>
    </row>
    <row r="11" spans="1:10" x14ac:dyDescent="0.25">
      <c r="A11" s="3" t="s">
        <v>29</v>
      </c>
      <c r="B11" s="3" t="s">
        <v>30</v>
      </c>
      <c r="C11" s="4">
        <v>43472</v>
      </c>
      <c r="D11" s="3" t="s">
        <v>33</v>
      </c>
      <c r="E11" s="3" t="s">
        <v>12</v>
      </c>
      <c r="F11" s="6" t="s">
        <v>34</v>
      </c>
      <c r="G11" s="5">
        <v>38.299999999999997</v>
      </c>
      <c r="H11" s="5"/>
      <c r="I11" s="5"/>
      <c r="J11" s="7"/>
    </row>
    <row r="12" spans="1:10" x14ac:dyDescent="0.25">
      <c r="A12" s="3" t="s">
        <v>29</v>
      </c>
      <c r="B12" s="3" t="s">
        <v>30</v>
      </c>
      <c r="C12" s="4">
        <v>43522</v>
      </c>
      <c r="D12" s="3" t="s">
        <v>35</v>
      </c>
      <c r="E12" s="3" t="s">
        <v>12</v>
      </c>
      <c r="F12" s="6" t="s">
        <v>36</v>
      </c>
      <c r="G12" s="5">
        <v>516.22</v>
      </c>
      <c r="H12" s="5"/>
      <c r="I12" s="5"/>
      <c r="J12" s="7">
        <f>+G12/200</f>
        <v>2.5811000000000002</v>
      </c>
    </row>
    <row r="13" spans="1:10" x14ac:dyDescent="0.25">
      <c r="A13" s="3" t="s">
        <v>29</v>
      </c>
      <c r="B13" s="3" t="s">
        <v>30</v>
      </c>
      <c r="C13" s="4">
        <v>43529</v>
      </c>
      <c r="D13" s="3" t="s">
        <v>37</v>
      </c>
      <c r="E13" s="3" t="s">
        <v>12</v>
      </c>
      <c r="F13" s="6" t="s">
        <v>38</v>
      </c>
      <c r="G13" s="5">
        <v>987.66</v>
      </c>
      <c r="H13" s="5"/>
      <c r="I13" s="5"/>
      <c r="J13" s="7"/>
    </row>
    <row r="14" spans="1:10" x14ac:dyDescent="0.25">
      <c r="A14" s="3" t="s">
        <v>29</v>
      </c>
      <c r="B14" s="3" t="s">
        <v>30</v>
      </c>
      <c r="C14" s="4">
        <v>43536</v>
      </c>
      <c r="D14" s="3" t="s">
        <v>39</v>
      </c>
      <c r="E14" s="3" t="s">
        <v>12</v>
      </c>
      <c r="F14" s="6" t="s">
        <v>40</v>
      </c>
      <c r="G14" s="5">
        <v>793.87</v>
      </c>
      <c r="H14" s="5"/>
      <c r="I14" s="5"/>
      <c r="J14" s="7">
        <f>+G14/317</f>
        <v>2.5043217665615143</v>
      </c>
    </row>
    <row r="15" spans="1:10" x14ac:dyDescent="0.25">
      <c r="A15" s="3" t="s">
        <v>29</v>
      </c>
      <c r="B15" s="3" t="s">
        <v>30</v>
      </c>
      <c r="C15" s="4">
        <v>43543</v>
      </c>
      <c r="D15" s="3" t="s">
        <v>41</v>
      </c>
      <c r="E15" s="3" t="s">
        <v>12</v>
      </c>
      <c r="F15" s="6" t="s">
        <v>42</v>
      </c>
      <c r="G15" s="5">
        <v>719.82</v>
      </c>
      <c r="H15" s="5"/>
      <c r="I15" s="5"/>
      <c r="J15" s="7">
        <f>+G15/290</f>
        <v>2.4821379310344831</v>
      </c>
    </row>
    <row r="16" spans="1:10" x14ac:dyDescent="0.25">
      <c r="A16" s="3" t="s">
        <v>29</v>
      </c>
      <c r="B16" s="3" t="s">
        <v>30</v>
      </c>
      <c r="C16" s="4">
        <v>43651</v>
      </c>
      <c r="D16" s="3" t="s">
        <v>43</v>
      </c>
      <c r="E16" s="3" t="s">
        <v>12</v>
      </c>
      <c r="F16" s="6" t="s">
        <v>44</v>
      </c>
      <c r="G16" s="5">
        <v>1021.93</v>
      </c>
      <c r="H16" s="5"/>
      <c r="I16" s="5"/>
      <c r="J16" s="7"/>
    </row>
    <row r="17" spans="1:10" x14ac:dyDescent="0.25">
      <c r="A17" s="3" t="s">
        <v>29</v>
      </c>
      <c r="B17" s="3" t="s">
        <v>30</v>
      </c>
      <c r="C17" s="4">
        <v>43686</v>
      </c>
      <c r="D17" s="3" t="s">
        <v>45</v>
      </c>
      <c r="E17" s="3" t="s">
        <v>12</v>
      </c>
      <c r="F17" s="6" t="s">
        <v>46</v>
      </c>
      <c r="G17" s="5">
        <v>1828</v>
      </c>
      <c r="H17" s="5"/>
      <c r="I17" s="5"/>
      <c r="J17" s="7">
        <f>+G17/700.6</f>
        <v>2.6091921210391091</v>
      </c>
    </row>
    <row r="18" spans="1:10" x14ac:dyDescent="0.25">
      <c r="A18" s="3" t="s">
        <v>29</v>
      </c>
      <c r="B18" s="3" t="s">
        <v>30</v>
      </c>
      <c r="C18" s="4">
        <v>43713</v>
      </c>
      <c r="D18" s="3" t="s">
        <v>47</v>
      </c>
      <c r="E18" s="3" t="s">
        <v>12</v>
      </c>
      <c r="F18" s="6" t="s">
        <v>48</v>
      </c>
      <c r="G18" s="5">
        <v>919.73</v>
      </c>
      <c r="H18" s="5"/>
      <c r="I18" s="5"/>
      <c r="J18" s="7"/>
    </row>
    <row r="19" spans="1:10" x14ac:dyDescent="0.25">
      <c r="A19" s="3" t="s">
        <v>49</v>
      </c>
      <c r="B19" s="3" t="s">
        <v>50</v>
      </c>
      <c r="C19" s="4">
        <v>43390</v>
      </c>
      <c r="D19" s="3" t="s">
        <v>51</v>
      </c>
      <c r="E19" s="3" t="s">
        <v>12</v>
      </c>
      <c r="F19" s="6" t="s">
        <v>52</v>
      </c>
      <c r="G19" s="5">
        <v>2021.82</v>
      </c>
      <c r="H19" s="5"/>
      <c r="I19" s="5"/>
      <c r="J19" s="7"/>
    </row>
    <row r="20" spans="1:10" x14ac:dyDescent="0.25">
      <c r="A20" s="3" t="s">
        <v>49</v>
      </c>
      <c r="B20" s="3" t="s">
        <v>50</v>
      </c>
      <c r="C20" s="4">
        <v>43396</v>
      </c>
      <c r="D20" s="3" t="s">
        <v>53</v>
      </c>
      <c r="E20" s="3" t="s">
        <v>12</v>
      </c>
      <c r="F20" s="6" t="s">
        <v>54</v>
      </c>
      <c r="G20" s="5">
        <v>490.22</v>
      </c>
      <c r="H20" s="5"/>
      <c r="I20" s="5"/>
      <c r="J20" s="7"/>
    </row>
    <row r="21" spans="1:10" x14ac:dyDescent="0.25">
      <c r="A21" s="3" t="s">
        <v>49</v>
      </c>
      <c r="B21" s="3" t="s">
        <v>50</v>
      </c>
      <c r="C21" s="4">
        <v>43432</v>
      </c>
      <c r="D21" s="3" t="s">
        <v>55</v>
      </c>
      <c r="E21" s="3" t="s">
        <v>12</v>
      </c>
      <c r="F21" s="6" t="s">
        <v>56</v>
      </c>
      <c r="G21" s="5">
        <v>346.27</v>
      </c>
      <c r="H21" s="5"/>
      <c r="I21" s="5"/>
      <c r="J21" s="7"/>
    </row>
    <row r="22" spans="1:10" x14ac:dyDescent="0.25">
      <c r="A22" s="3" t="s">
        <v>49</v>
      </c>
      <c r="B22" s="3" t="s">
        <v>50</v>
      </c>
      <c r="C22" s="4">
        <v>43509</v>
      </c>
      <c r="D22" s="3" t="s">
        <v>57</v>
      </c>
      <c r="E22" s="3" t="s">
        <v>12</v>
      </c>
      <c r="F22" s="6" t="s">
        <v>58</v>
      </c>
      <c r="G22" s="5">
        <v>980.44</v>
      </c>
      <c r="H22" s="5"/>
      <c r="I22" s="5"/>
      <c r="J22" s="7"/>
    </row>
    <row r="23" spans="1:10" x14ac:dyDescent="0.25">
      <c r="A23" s="3" t="s">
        <v>49</v>
      </c>
      <c r="B23" s="3" t="s">
        <v>50</v>
      </c>
      <c r="C23" s="4">
        <v>43544</v>
      </c>
      <c r="D23" s="3" t="s">
        <v>59</v>
      </c>
      <c r="E23" s="3" t="s">
        <v>12</v>
      </c>
      <c r="F23" s="6" t="s">
        <v>60</v>
      </c>
      <c r="G23" s="5">
        <v>224.42</v>
      </c>
      <c r="H23" s="5"/>
      <c r="I23" s="5"/>
      <c r="J23" s="7">
        <f>+G23/74</f>
        <v>3.0327027027027027</v>
      </c>
    </row>
    <row r="24" spans="1:10" x14ac:dyDescent="0.25">
      <c r="A24" s="3" t="s">
        <v>49</v>
      </c>
      <c r="B24" s="3" t="s">
        <v>50</v>
      </c>
      <c r="C24" s="4">
        <v>43605</v>
      </c>
      <c r="D24" s="3" t="s">
        <v>61</v>
      </c>
      <c r="E24" s="3" t="s">
        <v>12</v>
      </c>
      <c r="F24" s="6" t="s">
        <v>62</v>
      </c>
      <c r="G24" s="5">
        <v>26.09</v>
      </c>
      <c r="H24" s="5"/>
      <c r="I24" s="5"/>
      <c r="J24" s="7"/>
    </row>
    <row r="25" spans="1:10" x14ac:dyDescent="0.25">
      <c r="A25" s="3" t="s">
        <v>49</v>
      </c>
      <c r="B25" s="3" t="s">
        <v>50</v>
      </c>
      <c r="C25" s="4">
        <v>43661</v>
      </c>
      <c r="D25" s="3" t="s">
        <v>63</v>
      </c>
      <c r="E25" s="3" t="s">
        <v>12</v>
      </c>
      <c r="F25" s="6" t="s">
        <v>64</v>
      </c>
      <c r="G25" s="5">
        <v>295.93</v>
      </c>
      <c r="H25" s="5"/>
      <c r="I25" s="5"/>
      <c r="J25" s="7"/>
    </row>
    <row r="26" spans="1:10" x14ac:dyDescent="0.25">
      <c r="A26" s="3" t="s">
        <v>65</v>
      </c>
      <c r="B26" s="3" t="s">
        <v>66</v>
      </c>
      <c r="C26" s="4">
        <v>43385</v>
      </c>
      <c r="D26" s="3" t="s">
        <v>67</v>
      </c>
      <c r="E26" s="3" t="s">
        <v>12</v>
      </c>
      <c r="F26" s="6" t="s">
        <v>68</v>
      </c>
      <c r="G26" s="5">
        <v>694.82</v>
      </c>
      <c r="H26" s="5"/>
      <c r="I26" s="5"/>
      <c r="J26" s="7"/>
    </row>
    <row r="27" spans="1:10" x14ac:dyDescent="0.25">
      <c r="A27" s="3" t="s">
        <v>65</v>
      </c>
      <c r="B27" s="3" t="s">
        <v>66</v>
      </c>
      <c r="C27" s="4">
        <v>43394</v>
      </c>
      <c r="D27" s="3" t="s">
        <v>69</v>
      </c>
      <c r="E27" s="3" t="s">
        <v>12</v>
      </c>
      <c r="F27" s="6" t="s">
        <v>70</v>
      </c>
      <c r="G27" s="5">
        <v>777.37</v>
      </c>
      <c r="H27" s="5"/>
      <c r="I27" s="5"/>
      <c r="J27" s="7"/>
    </row>
    <row r="28" spans="1:10" x14ac:dyDescent="0.25">
      <c r="A28" s="3" t="s">
        <v>65</v>
      </c>
      <c r="B28" s="3" t="s">
        <v>66</v>
      </c>
      <c r="C28" s="4">
        <v>43396</v>
      </c>
      <c r="D28" s="3" t="s">
        <v>53</v>
      </c>
      <c r="E28" s="3" t="s">
        <v>12</v>
      </c>
      <c r="F28" s="6" t="s">
        <v>54</v>
      </c>
      <c r="G28" s="5">
        <v>490.22</v>
      </c>
      <c r="H28" s="5"/>
      <c r="I28" s="5"/>
      <c r="J28" s="7"/>
    </row>
    <row r="29" spans="1:10" x14ac:dyDescent="0.25">
      <c r="A29" s="3" t="s">
        <v>65</v>
      </c>
      <c r="B29" s="3" t="s">
        <v>66</v>
      </c>
      <c r="C29" s="4">
        <v>43411</v>
      </c>
      <c r="D29" s="3" t="s">
        <v>71</v>
      </c>
      <c r="E29" s="3" t="s">
        <v>12</v>
      </c>
      <c r="F29" s="6" t="s">
        <v>72</v>
      </c>
      <c r="G29" s="5">
        <v>789.33</v>
      </c>
      <c r="H29" s="5"/>
      <c r="I29" s="5"/>
      <c r="J29" s="7"/>
    </row>
    <row r="30" spans="1:10" x14ac:dyDescent="0.25">
      <c r="A30" s="3" t="s">
        <v>65</v>
      </c>
      <c r="B30" s="3" t="s">
        <v>66</v>
      </c>
      <c r="C30" s="4">
        <v>43425</v>
      </c>
      <c r="D30" s="3" t="s">
        <v>73</v>
      </c>
      <c r="E30" s="3" t="s">
        <v>12</v>
      </c>
      <c r="F30" s="6" t="s">
        <v>74</v>
      </c>
      <c r="G30" s="5">
        <v>706.82</v>
      </c>
      <c r="H30" s="5"/>
      <c r="I30" s="5"/>
      <c r="J30" s="7"/>
    </row>
    <row r="31" spans="1:10" x14ac:dyDescent="0.25">
      <c r="A31" s="3" t="s">
        <v>65</v>
      </c>
      <c r="B31" s="3" t="s">
        <v>66</v>
      </c>
      <c r="C31" s="4">
        <v>43441</v>
      </c>
      <c r="D31" s="3" t="s">
        <v>75</v>
      </c>
      <c r="E31" s="3" t="s">
        <v>12</v>
      </c>
      <c r="F31" s="6" t="s">
        <v>76</v>
      </c>
      <c r="G31" s="5">
        <v>664.72</v>
      </c>
      <c r="H31" s="5"/>
      <c r="I31" s="5"/>
      <c r="J31" s="7"/>
    </row>
    <row r="32" spans="1:10" x14ac:dyDescent="0.25">
      <c r="A32" s="3" t="s">
        <v>65</v>
      </c>
      <c r="B32" s="3" t="s">
        <v>66</v>
      </c>
      <c r="C32" s="4">
        <v>43454</v>
      </c>
      <c r="D32" s="3" t="s">
        <v>77</v>
      </c>
      <c r="E32" s="3" t="s">
        <v>12</v>
      </c>
      <c r="F32" s="6" t="s">
        <v>78</v>
      </c>
      <c r="G32" s="5">
        <v>758.03</v>
      </c>
      <c r="H32" s="5"/>
      <c r="I32" s="5"/>
      <c r="J32" s="7"/>
    </row>
    <row r="33" spans="1:10" x14ac:dyDescent="0.25">
      <c r="A33" s="3" t="s">
        <v>65</v>
      </c>
      <c r="B33" s="3" t="s">
        <v>66</v>
      </c>
      <c r="C33" s="4">
        <v>43465</v>
      </c>
      <c r="D33" s="3" t="s">
        <v>79</v>
      </c>
      <c r="E33" s="3" t="s">
        <v>12</v>
      </c>
      <c r="F33" s="6" t="s">
        <v>80</v>
      </c>
      <c r="G33" s="5">
        <v>22.28</v>
      </c>
      <c r="H33" s="5"/>
      <c r="I33" s="5"/>
      <c r="J33" s="7"/>
    </row>
    <row r="34" spans="1:10" x14ac:dyDescent="0.25">
      <c r="A34" s="3" t="s">
        <v>65</v>
      </c>
      <c r="B34" s="3" t="s">
        <v>66</v>
      </c>
      <c r="C34" s="4">
        <v>43468</v>
      </c>
      <c r="D34" s="3" t="s">
        <v>81</v>
      </c>
      <c r="E34" s="3" t="s">
        <v>12</v>
      </c>
      <c r="F34" s="6" t="s">
        <v>82</v>
      </c>
      <c r="G34" s="5">
        <v>641.72</v>
      </c>
      <c r="H34" s="5"/>
      <c r="I34" s="5"/>
      <c r="J34" s="7"/>
    </row>
    <row r="35" spans="1:10" x14ac:dyDescent="0.25">
      <c r="A35" s="3" t="s">
        <v>65</v>
      </c>
      <c r="B35" s="3" t="s">
        <v>66</v>
      </c>
      <c r="C35" s="4">
        <v>43479</v>
      </c>
      <c r="D35" s="3" t="s">
        <v>83</v>
      </c>
      <c r="E35" s="3" t="s">
        <v>12</v>
      </c>
      <c r="F35" s="6" t="s">
        <v>84</v>
      </c>
      <c r="G35" s="5">
        <v>694.18</v>
      </c>
      <c r="H35" s="5"/>
      <c r="I35" s="5"/>
      <c r="J35" s="7"/>
    </row>
    <row r="36" spans="1:10" x14ac:dyDescent="0.25">
      <c r="A36" s="3" t="s">
        <v>65</v>
      </c>
      <c r="B36" s="3" t="s">
        <v>66</v>
      </c>
      <c r="C36" s="4">
        <v>43495</v>
      </c>
      <c r="D36" s="3" t="s">
        <v>85</v>
      </c>
      <c r="E36" s="3" t="s">
        <v>12</v>
      </c>
      <c r="F36" s="6" t="s">
        <v>86</v>
      </c>
      <c r="G36" s="5">
        <v>648.83000000000004</v>
      </c>
      <c r="H36" s="5"/>
      <c r="I36" s="5"/>
      <c r="J36" s="7"/>
    </row>
    <row r="37" spans="1:10" x14ac:dyDescent="0.25">
      <c r="A37" s="3" t="s">
        <v>65</v>
      </c>
      <c r="B37" s="3" t="s">
        <v>66</v>
      </c>
      <c r="C37" s="4">
        <v>43503</v>
      </c>
      <c r="D37" s="3" t="s">
        <v>87</v>
      </c>
      <c r="E37" s="3" t="s">
        <v>12</v>
      </c>
      <c r="F37" s="6" t="s">
        <v>88</v>
      </c>
      <c r="G37" s="5">
        <v>1199.33</v>
      </c>
      <c r="H37" s="5"/>
      <c r="I37" s="5"/>
      <c r="J37" s="7"/>
    </row>
    <row r="38" spans="1:10" x14ac:dyDescent="0.25">
      <c r="A38" s="3" t="s">
        <v>65</v>
      </c>
      <c r="B38" s="3" t="s">
        <v>66</v>
      </c>
      <c r="C38" s="4">
        <v>43514</v>
      </c>
      <c r="D38" s="3" t="s">
        <v>89</v>
      </c>
      <c r="E38" s="3" t="s">
        <v>12</v>
      </c>
      <c r="F38" s="6" t="s">
        <v>90</v>
      </c>
      <c r="G38" s="5">
        <v>646.21</v>
      </c>
      <c r="H38" s="5"/>
      <c r="I38" s="5"/>
      <c r="J38" s="7">
        <f>+G38/221</f>
        <v>2.9240271493212671</v>
      </c>
    </row>
    <row r="39" spans="1:10" x14ac:dyDescent="0.25">
      <c r="A39" s="3" t="s">
        <v>65</v>
      </c>
      <c r="B39" s="3" t="s">
        <v>66</v>
      </c>
      <c r="C39" s="4">
        <v>43518</v>
      </c>
      <c r="D39" s="3" t="s">
        <v>91</v>
      </c>
      <c r="E39" s="3" t="s">
        <v>12</v>
      </c>
      <c r="F39" s="6" t="s">
        <v>92</v>
      </c>
      <c r="G39" s="5">
        <v>625.66</v>
      </c>
      <c r="H39" s="5"/>
      <c r="I39" s="5"/>
      <c r="J39" s="7">
        <f>+G39/206.3</f>
        <v>3.0327678138633054</v>
      </c>
    </row>
    <row r="40" spans="1:10" x14ac:dyDescent="0.25">
      <c r="A40" s="3" t="s">
        <v>65</v>
      </c>
      <c r="B40" s="3" t="s">
        <v>66</v>
      </c>
      <c r="C40" s="4">
        <v>43522</v>
      </c>
      <c r="D40" s="3" t="s">
        <v>93</v>
      </c>
      <c r="E40" s="3" t="s">
        <v>12</v>
      </c>
      <c r="F40" s="6" t="s">
        <v>94</v>
      </c>
      <c r="G40" s="5">
        <v>980.44</v>
      </c>
      <c r="H40" s="5"/>
      <c r="I40" s="5"/>
      <c r="J40" s="7"/>
    </row>
    <row r="41" spans="1:10" x14ac:dyDescent="0.25">
      <c r="A41" s="3" t="s">
        <v>65</v>
      </c>
      <c r="B41" s="3" t="s">
        <v>66</v>
      </c>
      <c r="C41" s="4">
        <v>43532</v>
      </c>
      <c r="D41" s="3" t="s">
        <v>95</v>
      </c>
      <c r="E41" s="3" t="s">
        <v>12</v>
      </c>
      <c r="F41" s="6" t="s">
        <v>96</v>
      </c>
      <c r="G41" s="5">
        <v>742.1</v>
      </c>
      <c r="H41" s="5"/>
      <c r="I41" s="5"/>
      <c r="J41" s="7"/>
    </row>
    <row r="42" spans="1:10" x14ac:dyDescent="0.25">
      <c r="A42" s="3" t="s">
        <v>65</v>
      </c>
      <c r="B42" s="3" t="s">
        <v>66</v>
      </c>
      <c r="C42" s="4">
        <v>43537</v>
      </c>
      <c r="D42" s="3" t="s">
        <v>97</v>
      </c>
      <c r="E42" s="3" t="s">
        <v>12</v>
      </c>
      <c r="F42" s="6" t="s">
        <v>98</v>
      </c>
      <c r="G42" s="5">
        <v>652.04</v>
      </c>
      <c r="H42" s="5"/>
      <c r="I42" s="5"/>
      <c r="J42" s="7">
        <f>+G42/215</f>
        <v>3.0327441860465116</v>
      </c>
    </row>
    <row r="43" spans="1:10" x14ac:dyDescent="0.25">
      <c r="A43" s="3" t="s">
        <v>65</v>
      </c>
      <c r="B43" s="3" t="s">
        <v>66</v>
      </c>
      <c r="C43" s="4">
        <v>43557</v>
      </c>
      <c r="D43" s="3" t="s">
        <v>99</v>
      </c>
      <c r="E43" s="3" t="s">
        <v>12</v>
      </c>
      <c r="F43" s="6" t="s">
        <v>100</v>
      </c>
      <c r="G43" s="5">
        <v>683.59</v>
      </c>
      <c r="H43" s="5"/>
      <c r="I43" s="5"/>
      <c r="J43" s="7">
        <f>+G43/224.6</f>
        <v>3.0435886019590384</v>
      </c>
    </row>
    <row r="44" spans="1:10" x14ac:dyDescent="0.25">
      <c r="A44" s="3" t="s">
        <v>65</v>
      </c>
      <c r="B44" s="3" t="s">
        <v>66</v>
      </c>
      <c r="C44" s="4">
        <v>43583</v>
      </c>
      <c r="D44" s="3" t="s">
        <v>101</v>
      </c>
      <c r="E44" s="3" t="s">
        <v>12</v>
      </c>
      <c r="F44" s="6" t="s">
        <v>102</v>
      </c>
      <c r="G44" s="5">
        <v>751.51</v>
      </c>
      <c r="H44" s="5"/>
      <c r="I44" s="5"/>
      <c r="J44" s="7">
        <f>+G44/232</f>
        <v>3.2392672413793102</v>
      </c>
    </row>
    <row r="45" spans="1:10" x14ac:dyDescent="0.25">
      <c r="A45" s="3" t="s">
        <v>65</v>
      </c>
      <c r="B45" s="3" t="s">
        <v>66</v>
      </c>
      <c r="C45" s="4">
        <v>43600</v>
      </c>
      <c r="D45" s="3" t="s">
        <v>103</v>
      </c>
      <c r="E45" s="3" t="s">
        <v>12</v>
      </c>
      <c r="F45" s="6" t="s">
        <v>104</v>
      </c>
      <c r="G45" s="5">
        <v>820.79</v>
      </c>
      <c r="H45" s="5"/>
      <c r="I45" s="5"/>
      <c r="J45" s="7">
        <f>+G45/251.7</f>
        <v>3.2609852999602702</v>
      </c>
    </row>
    <row r="46" spans="1:10" x14ac:dyDescent="0.25">
      <c r="A46" s="3" t="s">
        <v>65</v>
      </c>
      <c r="B46" s="3" t="s">
        <v>66</v>
      </c>
      <c r="C46" s="4">
        <v>43615</v>
      </c>
      <c r="D46" s="3" t="s">
        <v>105</v>
      </c>
      <c r="E46" s="3" t="s">
        <v>12</v>
      </c>
      <c r="F46" s="6" t="s">
        <v>106</v>
      </c>
      <c r="G46" s="5">
        <v>689.35</v>
      </c>
      <c r="H46" s="5"/>
      <c r="I46" s="5"/>
      <c r="J46" s="7">
        <f>+G46/212</f>
        <v>3.2516509433962266</v>
      </c>
    </row>
    <row r="47" spans="1:10" x14ac:dyDescent="0.25">
      <c r="A47" s="3" t="s">
        <v>65</v>
      </c>
      <c r="B47" s="3" t="s">
        <v>66</v>
      </c>
      <c r="C47" s="4">
        <v>43624</v>
      </c>
      <c r="D47" s="3" t="s">
        <v>107</v>
      </c>
      <c r="E47" s="3" t="s">
        <v>12</v>
      </c>
      <c r="F47" s="6" t="s">
        <v>108</v>
      </c>
      <c r="G47" s="5">
        <v>852.2</v>
      </c>
      <c r="H47" s="5"/>
      <c r="I47" s="5"/>
      <c r="J47" s="7"/>
    </row>
    <row r="48" spans="1:10" x14ac:dyDescent="0.25">
      <c r="A48" s="3" t="s">
        <v>65</v>
      </c>
      <c r="B48" s="3" t="s">
        <v>66</v>
      </c>
      <c r="C48" s="4">
        <v>43624</v>
      </c>
      <c r="D48" s="3" t="s">
        <v>109</v>
      </c>
      <c r="E48" s="3" t="s">
        <v>12</v>
      </c>
      <c r="F48" s="6" t="s">
        <v>110</v>
      </c>
      <c r="G48" s="5">
        <v>852.2</v>
      </c>
      <c r="H48" s="5"/>
      <c r="I48" s="5"/>
      <c r="J48" s="7">
        <f>+G48/281</f>
        <v>3.0327402135231321</v>
      </c>
    </row>
    <row r="49" spans="1:10" x14ac:dyDescent="0.25">
      <c r="A49" s="3" t="s">
        <v>65</v>
      </c>
      <c r="B49" s="3" t="s">
        <v>66</v>
      </c>
      <c r="C49" s="4">
        <v>43651</v>
      </c>
      <c r="D49" s="3" t="s">
        <v>111</v>
      </c>
      <c r="E49" s="3" t="s">
        <v>12</v>
      </c>
      <c r="F49" s="6" t="s">
        <v>112</v>
      </c>
      <c r="G49" s="5">
        <v>623.59</v>
      </c>
      <c r="H49" s="5"/>
      <c r="I49" s="5"/>
      <c r="J49" s="7">
        <f>+G49/202</f>
        <v>3.0870792079207923</v>
      </c>
    </row>
    <row r="50" spans="1:10" x14ac:dyDescent="0.25">
      <c r="A50" s="3" t="s">
        <v>65</v>
      </c>
      <c r="B50" s="3" t="s">
        <v>66</v>
      </c>
      <c r="C50" s="4">
        <v>43661</v>
      </c>
      <c r="D50" s="3" t="s">
        <v>113</v>
      </c>
      <c r="E50" s="3" t="s">
        <v>12</v>
      </c>
      <c r="F50" s="6" t="s">
        <v>114</v>
      </c>
      <c r="G50" s="5">
        <v>708.5</v>
      </c>
      <c r="H50" s="5"/>
      <c r="I50" s="5"/>
      <c r="J50" s="7">
        <f>+G50/228.7</f>
        <v>3.0979449059903805</v>
      </c>
    </row>
    <row r="51" spans="1:10" x14ac:dyDescent="0.25">
      <c r="A51" s="3" t="s">
        <v>65</v>
      </c>
      <c r="B51" s="3" t="s">
        <v>66</v>
      </c>
      <c r="C51" s="4">
        <v>43675</v>
      </c>
      <c r="D51" s="3" t="s">
        <v>115</v>
      </c>
      <c r="E51" s="3" t="s">
        <v>12</v>
      </c>
      <c r="F51" s="6" t="s">
        <v>116</v>
      </c>
      <c r="G51" s="5">
        <v>700.35</v>
      </c>
      <c r="H51" s="5"/>
      <c r="I51" s="5"/>
      <c r="J51" s="7">
        <f>+G51/232.6</f>
        <v>3.0109630266552023</v>
      </c>
    </row>
    <row r="52" spans="1:10" x14ac:dyDescent="0.25">
      <c r="A52" s="3" t="s">
        <v>65</v>
      </c>
      <c r="B52" s="3" t="s">
        <v>66</v>
      </c>
      <c r="C52" s="4">
        <v>43679</v>
      </c>
      <c r="D52" s="3" t="s">
        <v>117</v>
      </c>
      <c r="E52" s="3" t="s">
        <v>12</v>
      </c>
      <c r="F52" s="6" t="s">
        <v>118</v>
      </c>
      <c r="G52" s="5">
        <v>1021.93</v>
      </c>
      <c r="H52" s="5"/>
      <c r="I52" s="5"/>
      <c r="J52" s="7"/>
    </row>
    <row r="53" spans="1:10" x14ac:dyDescent="0.25">
      <c r="A53" s="3" t="s">
        <v>65</v>
      </c>
      <c r="B53" s="3" t="s">
        <v>66</v>
      </c>
      <c r="C53" s="4">
        <v>43689</v>
      </c>
      <c r="D53" s="3" t="s">
        <v>119</v>
      </c>
      <c r="E53" s="3" t="s">
        <v>12</v>
      </c>
      <c r="F53" s="6" t="s">
        <v>120</v>
      </c>
      <c r="G53" s="5">
        <v>680.32</v>
      </c>
      <c r="H53" s="5"/>
      <c r="I53" s="5"/>
      <c r="J53" s="7">
        <f>+G53/231</f>
        <v>2.9451082251082252</v>
      </c>
    </row>
    <row r="54" spans="1:10" x14ac:dyDescent="0.25">
      <c r="A54" s="3" t="s">
        <v>65</v>
      </c>
      <c r="B54" s="3" t="s">
        <v>66</v>
      </c>
      <c r="C54" s="4">
        <v>43703</v>
      </c>
      <c r="D54" s="3" t="s">
        <v>121</v>
      </c>
      <c r="E54" s="3" t="s">
        <v>12</v>
      </c>
      <c r="F54" s="6" t="s">
        <v>122</v>
      </c>
      <c r="G54" s="5">
        <v>673.03</v>
      </c>
      <c r="H54" s="5"/>
      <c r="I54" s="5"/>
      <c r="J54" s="7">
        <f>+G54/226.8</f>
        <v>2.9675044091710756</v>
      </c>
    </row>
    <row r="55" spans="1:10" x14ac:dyDescent="0.25">
      <c r="A55" s="3" t="s">
        <v>65</v>
      </c>
      <c r="B55" s="3" t="s">
        <v>66</v>
      </c>
      <c r="C55" s="4">
        <v>43714</v>
      </c>
      <c r="D55" s="3" t="s">
        <v>123</v>
      </c>
      <c r="E55" s="3" t="s">
        <v>12</v>
      </c>
      <c r="F55" s="6" t="s">
        <v>124</v>
      </c>
      <c r="G55" s="5">
        <v>556.96</v>
      </c>
      <c r="H55" s="5"/>
      <c r="I55" s="5"/>
      <c r="J55" s="7">
        <f>+G55/187</f>
        <v>2.9783957219251338</v>
      </c>
    </row>
    <row r="56" spans="1:10" x14ac:dyDescent="0.25">
      <c r="A56" s="3" t="s">
        <v>65</v>
      </c>
      <c r="B56" s="3" t="s">
        <v>66</v>
      </c>
      <c r="C56" s="4">
        <v>43726</v>
      </c>
      <c r="D56" s="3" t="s">
        <v>125</v>
      </c>
      <c r="E56" s="3" t="s">
        <v>12</v>
      </c>
      <c r="F56" s="6" t="s">
        <v>126</v>
      </c>
      <c r="G56" s="5">
        <v>705.01</v>
      </c>
      <c r="H56" s="5"/>
      <c r="I56" s="5"/>
      <c r="J56" s="7">
        <f>+G56/200</f>
        <v>3.5250499999999998</v>
      </c>
    </row>
    <row r="57" spans="1:10" x14ac:dyDescent="0.25">
      <c r="A57" s="3" t="s">
        <v>127</v>
      </c>
      <c r="B57" s="3" t="s">
        <v>128</v>
      </c>
      <c r="C57" s="4">
        <v>43383</v>
      </c>
      <c r="D57" s="3" t="s">
        <v>129</v>
      </c>
      <c r="E57" s="3" t="s">
        <v>12</v>
      </c>
      <c r="F57" s="6" t="s">
        <v>130</v>
      </c>
      <c r="G57" s="5">
        <v>1053.3</v>
      </c>
      <c r="H57" s="5"/>
      <c r="I57" s="5"/>
      <c r="J57" s="7"/>
    </row>
    <row r="58" spans="1:10" x14ac:dyDescent="0.25">
      <c r="A58" s="3" t="s">
        <v>127</v>
      </c>
      <c r="B58" s="3" t="s">
        <v>128</v>
      </c>
      <c r="C58" s="4">
        <v>43425</v>
      </c>
      <c r="D58" s="3" t="s">
        <v>73</v>
      </c>
      <c r="E58" s="3" t="s">
        <v>12</v>
      </c>
      <c r="F58" s="6" t="s">
        <v>131</v>
      </c>
      <c r="G58" s="5">
        <v>788.19</v>
      </c>
      <c r="H58" s="5"/>
      <c r="I58" s="5"/>
      <c r="J58" s="7"/>
    </row>
    <row r="59" spans="1:10" x14ac:dyDescent="0.25">
      <c r="A59" s="3" t="s">
        <v>127</v>
      </c>
      <c r="B59" s="3" t="s">
        <v>128</v>
      </c>
      <c r="C59" s="4">
        <v>43496</v>
      </c>
      <c r="D59" s="3" t="s">
        <v>132</v>
      </c>
      <c r="E59" s="3" t="s">
        <v>12</v>
      </c>
      <c r="F59" s="6" t="s">
        <v>133</v>
      </c>
      <c r="G59" s="5">
        <v>573.94000000000005</v>
      </c>
      <c r="H59" s="5"/>
      <c r="I59" s="5"/>
      <c r="J59" s="7"/>
    </row>
    <row r="60" spans="1:10" x14ac:dyDescent="0.25">
      <c r="A60" s="3" t="s">
        <v>127</v>
      </c>
      <c r="B60" s="3" t="s">
        <v>128</v>
      </c>
      <c r="C60" s="4">
        <v>43509</v>
      </c>
      <c r="D60" s="3" t="s">
        <v>134</v>
      </c>
      <c r="E60" s="3" t="s">
        <v>12</v>
      </c>
      <c r="F60" s="6" t="s">
        <v>135</v>
      </c>
      <c r="G60" s="5">
        <v>73.28</v>
      </c>
      <c r="H60" s="5"/>
      <c r="I60" s="5"/>
      <c r="J60" s="7"/>
    </row>
    <row r="61" spans="1:10" x14ac:dyDescent="0.25">
      <c r="A61" s="3" t="s">
        <v>127</v>
      </c>
      <c r="B61" s="3" t="s">
        <v>128</v>
      </c>
      <c r="C61" s="4">
        <v>43528</v>
      </c>
      <c r="D61" s="3" t="s">
        <v>136</v>
      </c>
      <c r="E61" s="3" t="s">
        <v>12</v>
      </c>
      <c r="F61" s="6" t="s">
        <v>137</v>
      </c>
      <c r="G61" s="5">
        <v>606.54999999999995</v>
      </c>
      <c r="H61" s="5"/>
      <c r="I61" s="5"/>
      <c r="J61" s="7"/>
    </row>
    <row r="62" spans="1:10" x14ac:dyDescent="0.25">
      <c r="A62" s="3" t="s">
        <v>127</v>
      </c>
      <c r="B62" s="3" t="s">
        <v>128</v>
      </c>
      <c r="C62" s="4">
        <v>43573</v>
      </c>
      <c r="D62" s="3" t="s">
        <v>138</v>
      </c>
      <c r="E62" s="3" t="s">
        <v>12</v>
      </c>
      <c r="F62" s="6" t="s">
        <v>139</v>
      </c>
      <c r="G62" s="5">
        <v>610.39</v>
      </c>
      <c r="H62" s="5"/>
      <c r="I62" s="5"/>
      <c r="J62" s="7">
        <f>+G62/200</f>
        <v>3.0519499999999997</v>
      </c>
    </row>
    <row r="63" spans="1:10" x14ac:dyDescent="0.25">
      <c r="A63" s="3" t="s">
        <v>127</v>
      </c>
      <c r="B63" s="3" t="s">
        <v>128</v>
      </c>
      <c r="C63" s="4">
        <v>43579</v>
      </c>
      <c r="D63" s="3" t="s">
        <v>140</v>
      </c>
      <c r="E63" s="3" t="s">
        <v>12</v>
      </c>
      <c r="F63" s="6" t="s">
        <v>141</v>
      </c>
      <c r="G63" s="5">
        <v>639.16</v>
      </c>
      <c r="H63" s="5"/>
      <c r="I63" s="5"/>
      <c r="J63" s="7">
        <f>+G63/200</f>
        <v>3.1957999999999998</v>
      </c>
    </row>
    <row r="64" spans="1:10" x14ac:dyDescent="0.25">
      <c r="A64" s="3" t="s">
        <v>127</v>
      </c>
      <c r="B64" s="3" t="s">
        <v>128</v>
      </c>
      <c r="C64" s="4">
        <v>43654</v>
      </c>
      <c r="D64" s="3" t="s">
        <v>142</v>
      </c>
      <c r="E64" s="3" t="s">
        <v>12</v>
      </c>
      <c r="F64" s="6" t="s">
        <v>143</v>
      </c>
      <c r="G64" s="5">
        <v>617.41999999999996</v>
      </c>
      <c r="H64" s="5"/>
      <c r="I64" s="5"/>
      <c r="J64" s="7">
        <f>+G64/200</f>
        <v>3.0871</v>
      </c>
    </row>
    <row r="65" spans="1:10" x14ac:dyDescent="0.25">
      <c r="A65" s="3" t="s">
        <v>127</v>
      </c>
      <c r="B65" s="3" t="s">
        <v>128</v>
      </c>
      <c r="C65" s="4">
        <v>43659</v>
      </c>
      <c r="D65" s="3" t="s">
        <v>144</v>
      </c>
      <c r="E65" s="3" t="s">
        <v>12</v>
      </c>
      <c r="F65" s="6" t="s">
        <v>145</v>
      </c>
      <c r="G65" s="5">
        <v>774.49</v>
      </c>
      <c r="H65" s="5"/>
      <c r="I65" s="5"/>
      <c r="J65" s="7">
        <f>+G65/250</f>
        <v>3.09796</v>
      </c>
    </row>
    <row r="66" spans="1:10" x14ac:dyDescent="0.25">
      <c r="A66" s="3" t="s">
        <v>127</v>
      </c>
      <c r="B66" s="3" t="s">
        <v>128</v>
      </c>
      <c r="C66" s="4">
        <v>43691</v>
      </c>
      <c r="D66" s="3" t="s">
        <v>146</v>
      </c>
      <c r="E66" s="3" t="s">
        <v>12</v>
      </c>
      <c r="F66" s="6" t="s">
        <v>147</v>
      </c>
      <c r="G66" s="5">
        <v>591.33000000000004</v>
      </c>
      <c r="H66" s="5"/>
      <c r="I66" s="5"/>
      <c r="J66" s="7">
        <f>+G66/200</f>
        <v>2.9566500000000002</v>
      </c>
    </row>
    <row r="67" spans="1:10" x14ac:dyDescent="0.25">
      <c r="A67" s="3" t="s">
        <v>148</v>
      </c>
      <c r="B67" s="3" t="s">
        <v>149</v>
      </c>
      <c r="C67" s="4">
        <v>43395</v>
      </c>
      <c r="D67" s="3" t="s">
        <v>150</v>
      </c>
      <c r="E67" s="3" t="s">
        <v>12</v>
      </c>
      <c r="F67" s="6" t="s">
        <v>151</v>
      </c>
      <c r="G67" s="5">
        <v>3871.17</v>
      </c>
      <c r="H67" s="5"/>
      <c r="I67" s="5"/>
      <c r="J67" s="7"/>
    </row>
    <row r="68" spans="1:10" x14ac:dyDescent="0.25">
      <c r="A68" s="3" t="s">
        <v>148</v>
      </c>
      <c r="B68" s="3" t="s">
        <v>149</v>
      </c>
      <c r="C68" s="4">
        <v>43404</v>
      </c>
      <c r="D68" s="3" t="s">
        <v>152</v>
      </c>
      <c r="E68" s="3" t="s">
        <v>12</v>
      </c>
      <c r="F68" s="6" t="s">
        <v>26</v>
      </c>
      <c r="G68" s="5">
        <v>7678.98</v>
      </c>
      <c r="H68" s="5"/>
      <c r="I68" s="5"/>
      <c r="J68" s="7"/>
    </row>
    <row r="69" spans="1:10" x14ac:dyDescent="0.25">
      <c r="A69" s="3" t="s">
        <v>148</v>
      </c>
      <c r="B69" s="3" t="s">
        <v>149</v>
      </c>
      <c r="C69" s="4">
        <v>43434</v>
      </c>
      <c r="D69" s="3" t="s">
        <v>23</v>
      </c>
      <c r="E69" s="3" t="s">
        <v>12</v>
      </c>
      <c r="F69" s="6" t="s">
        <v>26</v>
      </c>
      <c r="G69" s="5">
        <v>7235.06</v>
      </c>
      <c r="H69" s="5"/>
      <c r="I69" s="5"/>
      <c r="J69" s="7"/>
    </row>
    <row r="70" spans="1:10" x14ac:dyDescent="0.25">
      <c r="A70" s="3" t="s">
        <v>148</v>
      </c>
      <c r="B70" s="3" t="s">
        <v>149</v>
      </c>
      <c r="C70" s="4">
        <v>43461</v>
      </c>
      <c r="D70" s="3" t="s">
        <v>153</v>
      </c>
      <c r="E70" s="3" t="s">
        <v>12</v>
      </c>
      <c r="F70" s="6" t="s">
        <v>154</v>
      </c>
      <c r="G70" s="5">
        <v>978.64</v>
      </c>
      <c r="H70" s="5"/>
      <c r="I70" s="5"/>
      <c r="J70" s="7"/>
    </row>
    <row r="71" spans="1:10" x14ac:dyDescent="0.25">
      <c r="A71" s="3" t="s">
        <v>148</v>
      </c>
      <c r="B71" s="3" t="s">
        <v>149</v>
      </c>
      <c r="C71" s="4">
        <v>43465</v>
      </c>
      <c r="D71" s="3" t="s">
        <v>25</v>
      </c>
      <c r="E71" s="3" t="s">
        <v>12</v>
      </c>
      <c r="F71" s="6" t="s">
        <v>26</v>
      </c>
      <c r="G71" s="5">
        <v>6672.27</v>
      </c>
      <c r="H71" s="5"/>
      <c r="I71" s="5"/>
      <c r="J71" s="7"/>
    </row>
    <row r="72" spans="1:10" x14ac:dyDescent="0.25">
      <c r="A72" s="3" t="s">
        <v>148</v>
      </c>
      <c r="B72" s="3" t="s">
        <v>149</v>
      </c>
      <c r="C72" s="4">
        <v>43496</v>
      </c>
      <c r="D72" s="3" t="s">
        <v>155</v>
      </c>
      <c r="E72" s="3" t="s">
        <v>12</v>
      </c>
      <c r="F72" s="6" t="s">
        <v>26</v>
      </c>
      <c r="G72" s="5">
        <v>5929.03</v>
      </c>
      <c r="H72" s="5"/>
      <c r="I72" s="5"/>
      <c r="J72" s="7"/>
    </row>
    <row r="73" spans="1:10" x14ac:dyDescent="0.25">
      <c r="A73" s="3" t="s">
        <v>148</v>
      </c>
      <c r="B73" s="3" t="s">
        <v>149</v>
      </c>
      <c r="C73" s="4">
        <v>43524</v>
      </c>
      <c r="D73" s="3" t="s">
        <v>156</v>
      </c>
      <c r="E73" s="3" t="s">
        <v>157</v>
      </c>
      <c r="F73" s="6" t="s">
        <v>156</v>
      </c>
      <c r="G73" s="5">
        <v>1714.52</v>
      </c>
      <c r="H73" s="5"/>
      <c r="I73" s="5"/>
      <c r="J73" s="7"/>
    </row>
    <row r="74" spans="1:10" x14ac:dyDescent="0.25">
      <c r="A74" s="3" t="s">
        <v>148</v>
      </c>
      <c r="B74" s="3" t="s">
        <v>149</v>
      </c>
      <c r="C74" s="4">
        <v>43524</v>
      </c>
      <c r="D74" s="3" t="s">
        <v>158</v>
      </c>
      <c r="E74" s="3" t="s">
        <v>12</v>
      </c>
      <c r="F74" s="6" t="s">
        <v>26</v>
      </c>
      <c r="G74" s="5">
        <v>4688.18</v>
      </c>
      <c r="H74" s="5"/>
      <c r="I74" s="5"/>
      <c r="J74" s="7"/>
    </row>
    <row r="75" spans="1:10" x14ac:dyDescent="0.25">
      <c r="A75" s="3" t="s">
        <v>148</v>
      </c>
      <c r="B75" s="3" t="s">
        <v>149</v>
      </c>
      <c r="C75" s="4">
        <v>43525</v>
      </c>
      <c r="D75" s="3" t="s">
        <v>159</v>
      </c>
      <c r="E75" s="3" t="s">
        <v>12</v>
      </c>
      <c r="F75" s="6" t="s">
        <v>160</v>
      </c>
      <c r="G75" s="5"/>
      <c r="H75" s="5">
        <v>348.93</v>
      </c>
      <c r="I75" s="5"/>
      <c r="J75" s="7"/>
    </row>
    <row r="76" spans="1:10" x14ac:dyDescent="0.25">
      <c r="A76" s="3" t="s">
        <v>148</v>
      </c>
      <c r="B76" s="3" t="s">
        <v>149</v>
      </c>
      <c r="C76" s="4">
        <v>43555</v>
      </c>
      <c r="D76" s="3" t="s">
        <v>161</v>
      </c>
      <c r="E76" s="3" t="s">
        <v>12</v>
      </c>
      <c r="F76" s="6" t="s">
        <v>26</v>
      </c>
      <c r="G76" s="5">
        <v>6880.26</v>
      </c>
      <c r="H76" s="5"/>
      <c r="I76" s="5"/>
      <c r="J76" s="7"/>
    </row>
    <row r="77" spans="1:10" x14ac:dyDescent="0.25">
      <c r="A77" s="3" t="s">
        <v>148</v>
      </c>
      <c r="B77" s="3" t="s">
        <v>149</v>
      </c>
      <c r="C77" s="4">
        <v>43585</v>
      </c>
      <c r="D77" s="3" t="s">
        <v>162</v>
      </c>
      <c r="E77" s="3" t="s">
        <v>12</v>
      </c>
      <c r="F77" s="6" t="s">
        <v>26</v>
      </c>
      <c r="G77" s="5">
        <v>3920.41</v>
      </c>
      <c r="H77" s="5"/>
      <c r="I77" s="5"/>
      <c r="J77" s="7"/>
    </row>
    <row r="78" spans="1:10" x14ac:dyDescent="0.25">
      <c r="A78" s="3" t="s">
        <v>148</v>
      </c>
      <c r="B78" s="3" t="s">
        <v>149</v>
      </c>
      <c r="C78" s="4">
        <v>43616</v>
      </c>
      <c r="D78" s="3" t="s">
        <v>163</v>
      </c>
      <c r="E78" s="3" t="s">
        <v>12</v>
      </c>
      <c r="F78" s="6" t="s">
        <v>164</v>
      </c>
      <c r="G78" s="5">
        <v>39.130000000000003</v>
      </c>
      <c r="H78" s="5"/>
      <c r="I78" s="5"/>
      <c r="J78" s="7"/>
    </row>
    <row r="79" spans="1:10" x14ac:dyDescent="0.25">
      <c r="A79" s="3" t="s">
        <v>148</v>
      </c>
      <c r="B79" s="3" t="s">
        <v>149</v>
      </c>
      <c r="C79" s="4">
        <v>43616</v>
      </c>
      <c r="D79" s="3" t="s">
        <v>165</v>
      </c>
      <c r="E79" s="3" t="s">
        <v>12</v>
      </c>
      <c r="F79" s="6" t="s">
        <v>26</v>
      </c>
      <c r="G79" s="5">
        <v>5667.32</v>
      </c>
      <c r="H79" s="5"/>
      <c r="I79" s="5"/>
      <c r="J79" s="7"/>
    </row>
    <row r="80" spans="1:10" x14ac:dyDescent="0.25">
      <c r="A80" s="3" t="s">
        <v>148</v>
      </c>
      <c r="B80" s="3" t="s">
        <v>149</v>
      </c>
      <c r="C80" s="4">
        <v>43624</v>
      </c>
      <c r="D80" s="3" t="s">
        <v>166</v>
      </c>
      <c r="E80" s="3" t="s">
        <v>12</v>
      </c>
      <c r="F80" s="6" t="s">
        <v>167</v>
      </c>
      <c r="G80" s="5">
        <v>175.15</v>
      </c>
      <c r="H80" s="5"/>
      <c r="I80" s="5"/>
      <c r="J80" s="7">
        <f>+G80/57.965</f>
        <v>3.0216509962908651</v>
      </c>
    </row>
    <row r="81" spans="1:10" x14ac:dyDescent="0.25">
      <c r="A81" s="3" t="s">
        <v>148</v>
      </c>
      <c r="B81" s="3" t="s">
        <v>149</v>
      </c>
      <c r="C81" s="4">
        <v>43646</v>
      </c>
      <c r="D81" s="3" t="s">
        <v>168</v>
      </c>
      <c r="E81" s="3" t="s">
        <v>12</v>
      </c>
      <c r="F81" s="6" t="s">
        <v>26</v>
      </c>
      <c r="G81" s="5">
        <v>3709.69</v>
      </c>
      <c r="H81" s="5"/>
      <c r="I81" s="5"/>
      <c r="J81" s="7"/>
    </row>
    <row r="82" spans="1:10" x14ac:dyDescent="0.25">
      <c r="A82" s="3" t="s">
        <v>148</v>
      </c>
      <c r="B82" s="3" t="s">
        <v>149</v>
      </c>
      <c r="C82" s="4">
        <v>43677</v>
      </c>
      <c r="D82" s="3" t="s">
        <v>169</v>
      </c>
      <c r="E82" s="3" t="s">
        <v>12</v>
      </c>
      <c r="F82" s="6" t="s">
        <v>26</v>
      </c>
      <c r="G82" s="5">
        <v>6474.38</v>
      </c>
      <c r="H82" s="5"/>
      <c r="I82" s="5"/>
      <c r="J82" s="7"/>
    </row>
    <row r="83" spans="1:10" x14ac:dyDescent="0.25">
      <c r="A83" s="3" t="s">
        <v>148</v>
      </c>
      <c r="B83" s="3" t="s">
        <v>149</v>
      </c>
      <c r="C83" s="4">
        <v>43689</v>
      </c>
      <c r="D83" s="3" t="s">
        <v>170</v>
      </c>
      <c r="E83" s="3" t="s">
        <v>12</v>
      </c>
      <c r="F83" s="6" t="s">
        <v>171</v>
      </c>
      <c r="G83" s="5"/>
      <c r="H83" s="5">
        <v>852</v>
      </c>
      <c r="I83" s="5"/>
      <c r="J83" s="7"/>
    </row>
    <row r="84" spans="1:10" x14ac:dyDescent="0.25">
      <c r="A84" s="3" t="s">
        <v>148</v>
      </c>
      <c r="B84" s="3" t="s">
        <v>149</v>
      </c>
      <c r="C84" s="4">
        <v>43689</v>
      </c>
      <c r="D84" s="3" t="s">
        <v>172</v>
      </c>
      <c r="E84" s="3" t="s">
        <v>12</v>
      </c>
      <c r="F84" s="6" t="s">
        <v>173</v>
      </c>
      <c r="G84" s="5">
        <v>200.15</v>
      </c>
      <c r="H84" s="5"/>
      <c r="I84" s="5"/>
      <c r="J84" s="7"/>
    </row>
    <row r="85" spans="1:10" x14ac:dyDescent="0.25">
      <c r="A85" s="3" t="s">
        <v>148</v>
      </c>
      <c r="B85" s="3" t="s">
        <v>149</v>
      </c>
      <c r="C85" s="4">
        <v>43708</v>
      </c>
      <c r="D85" s="3" t="s">
        <v>174</v>
      </c>
      <c r="E85" s="3" t="s">
        <v>12</v>
      </c>
      <c r="F85" s="6" t="s">
        <v>26</v>
      </c>
      <c r="G85" s="5">
        <v>7958.86</v>
      </c>
      <c r="H85" s="5"/>
      <c r="I85" s="5"/>
      <c r="J85" s="7"/>
    </row>
    <row r="86" spans="1:10" x14ac:dyDescent="0.25">
      <c r="A86" s="3" t="s">
        <v>148</v>
      </c>
      <c r="B86" s="3" t="s">
        <v>149</v>
      </c>
      <c r="C86" s="4">
        <v>43712</v>
      </c>
      <c r="D86" s="3" t="s">
        <v>175</v>
      </c>
      <c r="E86" s="3" t="s">
        <v>12</v>
      </c>
      <c r="F86" s="6" t="s">
        <v>176</v>
      </c>
      <c r="G86" s="5"/>
      <c r="H86" s="5">
        <v>0.2</v>
      </c>
      <c r="I86" s="5"/>
      <c r="J86" s="7"/>
    </row>
    <row r="87" spans="1:10" x14ac:dyDescent="0.25">
      <c r="A87" s="3" t="s">
        <v>148</v>
      </c>
      <c r="B87" s="3" t="s">
        <v>149</v>
      </c>
      <c r="C87" s="4">
        <v>43738</v>
      </c>
      <c r="D87" s="3" t="s">
        <v>177</v>
      </c>
      <c r="E87" s="3" t="s">
        <v>12</v>
      </c>
      <c r="F87" s="6" t="s">
        <v>26</v>
      </c>
      <c r="G87" s="5">
        <v>5597.91</v>
      </c>
      <c r="H87" s="5"/>
      <c r="I87" s="5"/>
      <c r="J87" s="7"/>
    </row>
    <row r="88" spans="1:10" x14ac:dyDescent="0.25">
      <c r="A88" s="3" t="s">
        <v>178</v>
      </c>
      <c r="B88" s="3" t="s">
        <v>179</v>
      </c>
      <c r="C88" s="4">
        <v>43374</v>
      </c>
      <c r="D88" s="3" t="s">
        <v>180</v>
      </c>
      <c r="E88" s="3" t="s">
        <v>12</v>
      </c>
      <c r="F88" s="6" t="s">
        <v>181</v>
      </c>
      <c r="G88" s="5">
        <v>653.30999999999995</v>
      </c>
      <c r="H88" s="5"/>
      <c r="I88" s="5"/>
      <c r="J88" s="7">
        <v>3.11</v>
      </c>
    </row>
    <row r="89" spans="1:10" x14ac:dyDescent="0.25">
      <c r="A89" s="3" t="s">
        <v>178</v>
      </c>
      <c r="B89" s="3" t="s">
        <v>179</v>
      </c>
      <c r="C89" s="4">
        <v>43377</v>
      </c>
      <c r="D89" s="3" t="s">
        <v>182</v>
      </c>
      <c r="E89" s="3" t="s">
        <v>12</v>
      </c>
      <c r="F89" s="6" t="s">
        <v>183</v>
      </c>
      <c r="G89" s="5">
        <v>505.82</v>
      </c>
      <c r="H89" s="5"/>
      <c r="I89" s="5"/>
      <c r="J89" s="7">
        <v>3.11</v>
      </c>
    </row>
    <row r="90" spans="1:10" x14ac:dyDescent="0.25">
      <c r="A90" s="3" t="s">
        <v>178</v>
      </c>
      <c r="B90" s="3" t="s">
        <v>179</v>
      </c>
      <c r="C90" s="4">
        <v>43393</v>
      </c>
      <c r="D90" s="3" t="s">
        <v>184</v>
      </c>
      <c r="E90" s="3" t="s">
        <v>12</v>
      </c>
      <c r="F90" s="6" t="s">
        <v>185</v>
      </c>
      <c r="G90" s="5">
        <v>428.39</v>
      </c>
      <c r="H90" s="5"/>
      <c r="I90" s="5"/>
      <c r="J90" s="7"/>
    </row>
    <row r="91" spans="1:10" x14ac:dyDescent="0.25">
      <c r="A91" s="3" t="s">
        <v>178</v>
      </c>
      <c r="B91" s="3" t="s">
        <v>179</v>
      </c>
      <c r="C91" s="4">
        <v>43398</v>
      </c>
      <c r="D91" s="3" t="s">
        <v>186</v>
      </c>
      <c r="E91" s="3" t="s">
        <v>12</v>
      </c>
      <c r="F91" s="6" t="s">
        <v>187</v>
      </c>
      <c r="G91" s="5">
        <v>667.27</v>
      </c>
      <c r="H91" s="5"/>
      <c r="I91" s="5"/>
      <c r="J91" s="7"/>
    </row>
    <row r="92" spans="1:10" x14ac:dyDescent="0.25">
      <c r="A92" s="3" t="s">
        <v>178</v>
      </c>
      <c r="B92" s="3" t="s">
        <v>179</v>
      </c>
      <c r="C92" s="4">
        <v>43408</v>
      </c>
      <c r="D92" s="3" t="s">
        <v>188</v>
      </c>
      <c r="E92" s="3" t="s">
        <v>12</v>
      </c>
      <c r="F92" s="6" t="s">
        <v>189</v>
      </c>
      <c r="G92" s="5">
        <v>640.65</v>
      </c>
      <c r="H92" s="5"/>
      <c r="I92" s="5"/>
      <c r="J92" s="7"/>
    </row>
    <row r="93" spans="1:10" x14ac:dyDescent="0.25">
      <c r="A93" s="3" t="s">
        <v>178</v>
      </c>
      <c r="B93" s="3" t="s">
        <v>179</v>
      </c>
      <c r="C93" s="4">
        <v>43414</v>
      </c>
      <c r="D93" s="3" t="s">
        <v>190</v>
      </c>
      <c r="E93" s="3" t="s">
        <v>12</v>
      </c>
      <c r="F93" s="6" t="s">
        <v>191</v>
      </c>
      <c r="G93" s="5">
        <v>877.33</v>
      </c>
      <c r="H93" s="5"/>
      <c r="I93" s="5"/>
      <c r="J93" s="7"/>
    </row>
    <row r="94" spans="1:10" x14ac:dyDescent="0.25">
      <c r="A94" s="3" t="s">
        <v>178</v>
      </c>
      <c r="B94" s="3" t="s">
        <v>179</v>
      </c>
      <c r="C94" s="4">
        <v>43425</v>
      </c>
      <c r="D94" s="3" t="s">
        <v>192</v>
      </c>
      <c r="E94" s="3" t="s">
        <v>12</v>
      </c>
      <c r="F94" s="6" t="s">
        <v>193</v>
      </c>
      <c r="G94" s="5">
        <v>847.16</v>
      </c>
      <c r="H94" s="5"/>
      <c r="I94" s="5"/>
      <c r="J94" s="7"/>
    </row>
    <row r="95" spans="1:10" x14ac:dyDescent="0.25">
      <c r="A95" s="3" t="s">
        <v>178</v>
      </c>
      <c r="B95" s="3" t="s">
        <v>179</v>
      </c>
      <c r="C95" s="4">
        <v>43439</v>
      </c>
      <c r="D95" s="3" t="s">
        <v>194</v>
      </c>
      <c r="E95" s="3" t="s">
        <v>12</v>
      </c>
      <c r="F95" s="6" t="s">
        <v>195</v>
      </c>
      <c r="G95" s="5">
        <v>762.63</v>
      </c>
      <c r="H95" s="5"/>
      <c r="I95" s="5"/>
      <c r="J95" s="7"/>
    </row>
    <row r="96" spans="1:10" x14ac:dyDescent="0.25">
      <c r="A96" s="3" t="s">
        <v>178</v>
      </c>
      <c r="B96" s="3" t="s">
        <v>179</v>
      </c>
      <c r="C96" s="4">
        <v>43454</v>
      </c>
      <c r="D96" s="3" t="s">
        <v>196</v>
      </c>
      <c r="E96" s="3" t="s">
        <v>12</v>
      </c>
      <c r="F96" s="6" t="s">
        <v>197</v>
      </c>
      <c r="G96" s="5">
        <v>778.73</v>
      </c>
      <c r="H96" s="5"/>
      <c r="I96" s="5"/>
      <c r="J96" s="7"/>
    </row>
    <row r="97" spans="1:10" x14ac:dyDescent="0.25">
      <c r="A97" s="3" t="s">
        <v>178</v>
      </c>
      <c r="B97" s="3" t="s">
        <v>179</v>
      </c>
      <c r="C97" s="4">
        <v>43460</v>
      </c>
      <c r="D97" s="3" t="s">
        <v>198</v>
      </c>
      <c r="E97" s="3" t="s">
        <v>12</v>
      </c>
      <c r="F97" s="6" t="s">
        <v>199</v>
      </c>
      <c r="G97" s="5">
        <v>950.55</v>
      </c>
      <c r="H97" s="5"/>
      <c r="I97" s="5"/>
      <c r="J97" s="7"/>
    </row>
    <row r="98" spans="1:10" x14ac:dyDescent="0.25">
      <c r="A98" s="3" t="s">
        <v>178</v>
      </c>
      <c r="B98" s="3" t="s">
        <v>179</v>
      </c>
      <c r="C98" s="4">
        <v>43469</v>
      </c>
      <c r="D98" s="3" t="s">
        <v>200</v>
      </c>
      <c r="E98" s="3" t="s">
        <v>12</v>
      </c>
      <c r="F98" s="6" t="s">
        <v>201</v>
      </c>
      <c r="G98" s="5">
        <v>807.43</v>
      </c>
      <c r="H98" s="5"/>
      <c r="I98" s="5"/>
      <c r="J98" s="7"/>
    </row>
    <row r="99" spans="1:10" x14ac:dyDescent="0.25">
      <c r="A99" s="3" t="s">
        <v>178</v>
      </c>
      <c r="B99" s="3" t="s">
        <v>179</v>
      </c>
      <c r="C99" s="4">
        <v>43475</v>
      </c>
      <c r="D99" s="3" t="s">
        <v>202</v>
      </c>
      <c r="E99" s="3" t="s">
        <v>12</v>
      </c>
      <c r="F99" s="6" t="s">
        <v>203</v>
      </c>
      <c r="G99" s="5">
        <v>950.52</v>
      </c>
      <c r="H99" s="5"/>
      <c r="I99" s="5"/>
      <c r="J99" s="7"/>
    </row>
    <row r="100" spans="1:10" x14ac:dyDescent="0.25">
      <c r="A100" s="3" t="s">
        <v>178</v>
      </c>
      <c r="B100" s="3" t="s">
        <v>179</v>
      </c>
      <c r="C100" s="4">
        <v>43475</v>
      </c>
      <c r="D100" s="3" t="s">
        <v>204</v>
      </c>
      <c r="E100" s="3" t="s">
        <v>12</v>
      </c>
      <c r="F100" s="6" t="s">
        <v>205</v>
      </c>
      <c r="G100" s="5">
        <v>147.44</v>
      </c>
      <c r="H100" s="5"/>
      <c r="I100" s="5"/>
      <c r="J100" s="7"/>
    </row>
    <row r="101" spans="1:10" x14ac:dyDescent="0.25">
      <c r="A101" s="3" t="s">
        <v>178</v>
      </c>
      <c r="B101" s="3" t="s">
        <v>179</v>
      </c>
      <c r="C101" s="4">
        <v>43486</v>
      </c>
      <c r="D101" s="3" t="s">
        <v>206</v>
      </c>
      <c r="E101" s="3" t="s">
        <v>12</v>
      </c>
      <c r="F101" s="6" t="s">
        <v>207</v>
      </c>
      <c r="G101" s="5">
        <v>950.48</v>
      </c>
      <c r="H101" s="5"/>
      <c r="I101" s="5"/>
      <c r="J101" s="7"/>
    </row>
    <row r="102" spans="1:10" x14ac:dyDescent="0.25">
      <c r="A102" s="3" t="s">
        <v>178</v>
      </c>
      <c r="B102" s="3" t="s">
        <v>179</v>
      </c>
      <c r="C102" s="4">
        <v>43486</v>
      </c>
      <c r="D102" s="3" t="s">
        <v>208</v>
      </c>
      <c r="E102" s="3" t="s">
        <v>12</v>
      </c>
      <c r="F102" s="6" t="s">
        <v>209</v>
      </c>
      <c r="G102" s="5">
        <v>1189.67</v>
      </c>
      <c r="H102" s="5"/>
      <c r="I102" s="5"/>
      <c r="J102" s="7"/>
    </row>
    <row r="103" spans="1:10" x14ac:dyDescent="0.25">
      <c r="A103" s="3" t="s">
        <v>178</v>
      </c>
      <c r="B103" s="3" t="s">
        <v>179</v>
      </c>
      <c r="C103" s="4">
        <v>43492</v>
      </c>
      <c r="D103" s="3" t="s">
        <v>210</v>
      </c>
      <c r="E103" s="3" t="s">
        <v>12</v>
      </c>
      <c r="F103" s="6" t="s">
        <v>211</v>
      </c>
      <c r="G103" s="5">
        <v>633.54</v>
      </c>
      <c r="H103" s="5"/>
      <c r="I103" s="5"/>
      <c r="J103" s="7"/>
    </row>
    <row r="104" spans="1:10" x14ac:dyDescent="0.25">
      <c r="A104" s="3" t="s">
        <v>178</v>
      </c>
      <c r="B104" s="3" t="s">
        <v>179</v>
      </c>
      <c r="C104" s="4">
        <v>43497</v>
      </c>
      <c r="D104" s="3" t="s">
        <v>212</v>
      </c>
      <c r="E104" s="3" t="s">
        <v>12</v>
      </c>
      <c r="F104" s="6" t="s">
        <v>213</v>
      </c>
      <c r="G104" s="5">
        <v>635.21</v>
      </c>
      <c r="H104" s="5"/>
      <c r="I104" s="5"/>
      <c r="J104" s="7"/>
    </row>
    <row r="105" spans="1:10" x14ac:dyDescent="0.25">
      <c r="A105" s="3" t="s">
        <v>178</v>
      </c>
      <c r="B105" s="3" t="s">
        <v>179</v>
      </c>
      <c r="C105" s="4">
        <v>43503</v>
      </c>
      <c r="D105" s="3" t="s">
        <v>214</v>
      </c>
      <c r="E105" s="3" t="s">
        <v>12</v>
      </c>
      <c r="F105" s="6" t="s">
        <v>215</v>
      </c>
      <c r="G105" s="5">
        <v>955.68</v>
      </c>
      <c r="H105" s="5"/>
      <c r="I105" s="5"/>
      <c r="J105" s="7"/>
    </row>
    <row r="106" spans="1:10" x14ac:dyDescent="0.25">
      <c r="A106" s="3" t="s">
        <v>178</v>
      </c>
      <c r="B106" s="3" t="s">
        <v>179</v>
      </c>
      <c r="C106" s="4">
        <v>43506</v>
      </c>
      <c r="D106" s="3" t="s">
        <v>216</v>
      </c>
      <c r="E106" s="3" t="s">
        <v>12</v>
      </c>
      <c r="F106" s="6" t="s">
        <v>217</v>
      </c>
      <c r="G106" s="5">
        <v>672.18</v>
      </c>
      <c r="H106" s="5"/>
      <c r="I106" s="5"/>
      <c r="J106" s="7"/>
    </row>
    <row r="107" spans="1:10" x14ac:dyDescent="0.25">
      <c r="A107" s="3" t="s">
        <v>178</v>
      </c>
      <c r="B107" s="3" t="s">
        <v>179</v>
      </c>
      <c r="C107" s="4">
        <v>43511</v>
      </c>
      <c r="D107" s="3" t="s">
        <v>218</v>
      </c>
      <c r="E107" s="3" t="s">
        <v>12</v>
      </c>
      <c r="F107" s="6" t="s">
        <v>219</v>
      </c>
      <c r="G107" s="5">
        <v>774.66</v>
      </c>
      <c r="H107" s="5"/>
      <c r="I107" s="5"/>
      <c r="J107" s="7">
        <f>+G107/200</f>
        <v>3.8733</v>
      </c>
    </row>
    <row r="108" spans="1:10" x14ac:dyDescent="0.25">
      <c r="A108" s="3" t="s">
        <v>178</v>
      </c>
      <c r="B108" s="3" t="s">
        <v>179</v>
      </c>
      <c r="C108" s="4">
        <v>43512</v>
      </c>
      <c r="D108" s="3" t="s">
        <v>220</v>
      </c>
      <c r="E108" s="3" t="s">
        <v>12</v>
      </c>
      <c r="F108" s="6" t="s">
        <v>221</v>
      </c>
      <c r="G108" s="5">
        <v>574.44000000000005</v>
      </c>
      <c r="H108" s="5"/>
      <c r="I108" s="5"/>
      <c r="J108" s="7">
        <f>+G108/151</f>
        <v>3.8042384105960267</v>
      </c>
    </row>
    <row r="109" spans="1:10" x14ac:dyDescent="0.25">
      <c r="A109" s="3" t="s">
        <v>178</v>
      </c>
      <c r="B109" s="3" t="s">
        <v>179</v>
      </c>
      <c r="C109" s="4">
        <v>43515</v>
      </c>
      <c r="D109" s="3" t="s">
        <v>222</v>
      </c>
      <c r="E109" s="3" t="s">
        <v>12</v>
      </c>
      <c r="F109" s="6" t="s">
        <v>223</v>
      </c>
      <c r="G109" s="5">
        <v>815.79</v>
      </c>
      <c r="H109" s="5"/>
      <c r="I109" s="5"/>
      <c r="J109" s="7">
        <f>+G109/212</f>
        <v>3.8480660377358489</v>
      </c>
    </row>
    <row r="110" spans="1:10" x14ac:dyDescent="0.25">
      <c r="A110" s="3" t="s">
        <v>178</v>
      </c>
      <c r="B110" s="3" t="s">
        <v>179</v>
      </c>
      <c r="C110" s="4">
        <v>43517</v>
      </c>
      <c r="D110" s="3" t="s">
        <v>224</v>
      </c>
      <c r="E110" s="3" t="s">
        <v>12</v>
      </c>
      <c r="F110" s="6" t="s">
        <v>225</v>
      </c>
      <c r="G110" s="5">
        <v>950.48</v>
      </c>
      <c r="H110" s="5"/>
      <c r="I110" s="5"/>
      <c r="J110" s="7">
        <f>+G110/287</f>
        <v>3.3117770034843206</v>
      </c>
    </row>
    <row r="111" spans="1:10" x14ac:dyDescent="0.25">
      <c r="A111" s="3" t="s">
        <v>178</v>
      </c>
      <c r="B111" s="3" t="s">
        <v>179</v>
      </c>
      <c r="C111" s="4">
        <v>43521</v>
      </c>
      <c r="D111" s="3" t="s">
        <v>226</v>
      </c>
      <c r="E111" s="3" t="s">
        <v>12</v>
      </c>
      <c r="F111" s="6" t="s">
        <v>227</v>
      </c>
      <c r="G111" s="5">
        <v>950.49</v>
      </c>
      <c r="H111" s="5"/>
      <c r="I111" s="5"/>
      <c r="J111" s="7">
        <f>+G111/247.58</f>
        <v>3.8391227078116161</v>
      </c>
    </row>
    <row r="112" spans="1:10" x14ac:dyDescent="0.25">
      <c r="A112" s="3" t="s">
        <v>178</v>
      </c>
      <c r="B112" s="3" t="s">
        <v>179</v>
      </c>
      <c r="C112" s="4">
        <v>43521</v>
      </c>
      <c r="D112" s="3" t="s">
        <v>228</v>
      </c>
      <c r="E112" s="3" t="s">
        <v>12</v>
      </c>
      <c r="F112" s="6" t="s">
        <v>229</v>
      </c>
      <c r="G112" s="5">
        <v>79.3</v>
      </c>
      <c r="H112" s="5"/>
      <c r="I112" s="5"/>
      <c r="J112" s="7">
        <f>+G112/20.65</f>
        <v>3.8401937046004844</v>
      </c>
    </row>
    <row r="113" spans="1:10" x14ac:dyDescent="0.25">
      <c r="A113" s="3" t="s">
        <v>178</v>
      </c>
      <c r="B113" s="3" t="s">
        <v>179</v>
      </c>
      <c r="C113" s="4">
        <v>43524</v>
      </c>
      <c r="D113" s="3" t="s">
        <v>230</v>
      </c>
      <c r="E113" s="3" t="s">
        <v>12</v>
      </c>
      <c r="F113" s="6" t="s">
        <v>231</v>
      </c>
      <c r="G113" s="5">
        <v>811.46</v>
      </c>
      <c r="H113" s="5"/>
      <c r="I113" s="5"/>
      <c r="J113" s="7">
        <f>+G113/211</f>
        <v>3.8457819905213273</v>
      </c>
    </row>
    <row r="114" spans="1:10" x14ac:dyDescent="0.25">
      <c r="A114" s="3" t="s">
        <v>178</v>
      </c>
      <c r="B114" s="3" t="s">
        <v>179</v>
      </c>
      <c r="C114" s="4">
        <v>43526</v>
      </c>
      <c r="D114" s="3" t="s">
        <v>232</v>
      </c>
      <c r="E114" s="3" t="s">
        <v>12</v>
      </c>
      <c r="F114" s="6" t="s">
        <v>233</v>
      </c>
      <c r="G114" s="5">
        <v>630.45000000000005</v>
      </c>
      <c r="H114" s="5"/>
      <c r="I114" s="5"/>
      <c r="J114" s="7">
        <f>+G114/164.22</f>
        <v>3.8390573620752653</v>
      </c>
    </row>
    <row r="115" spans="1:10" x14ac:dyDescent="0.25">
      <c r="A115" s="3" t="s">
        <v>178</v>
      </c>
      <c r="B115" s="3" t="s">
        <v>179</v>
      </c>
      <c r="C115" s="4">
        <v>43533</v>
      </c>
      <c r="D115" s="3" t="s">
        <v>234</v>
      </c>
      <c r="E115" s="3" t="s">
        <v>12</v>
      </c>
      <c r="F115" s="6" t="s">
        <v>235</v>
      </c>
      <c r="G115" s="5">
        <v>950.49</v>
      </c>
      <c r="H115" s="5"/>
      <c r="I115" s="5"/>
      <c r="J115" s="7"/>
    </row>
    <row r="116" spans="1:10" x14ac:dyDescent="0.25">
      <c r="A116" s="3" t="s">
        <v>178</v>
      </c>
      <c r="B116" s="3" t="s">
        <v>179</v>
      </c>
      <c r="C116" s="4">
        <v>43540</v>
      </c>
      <c r="D116" s="3" t="s">
        <v>236</v>
      </c>
      <c r="E116" s="3" t="s">
        <v>12</v>
      </c>
      <c r="F116" s="6" t="s">
        <v>237</v>
      </c>
      <c r="G116" s="5">
        <v>768.16</v>
      </c>
      <c r="H116" s="5"/>
      <c r="I116" s="5"/>
      <c r="J116" s="7">
        <f>+G116/200.92</f>
        <v>3.8232132191917181</v>
      </c>
    </row>
    <row r="117" spans="1:10" x14ac:dyDescent="0.25">
      <c r="A117" s="3" t="s">
        <v>178</v>
      </c>
      <c r="B117" s="3" t="s">
        <v>179</v>
      </c>
      <c r="C117" s="4">
        <v>43548</v>
      </c>
      <c r="D117" s="3" t="s">
        <v>238</v>
      </c>
      <c r="E117" s="3" t="s">
        <v>12</v>
      </c>
      <c r="F117" s="6" t="s">
        <v>239</v>
      </c>
      <c r="G117" s="5">
        <v>951.13</v>
      </c>
      <c r="H117" s="5"/>
      <c r="I117" s="5"/>
      <c r="J117" s="7">
        <f>+G117/247.755</f>
        <v>3.838994167625275</v>
      </c>
    </row>
    <row r="118" spans="1:10" x14ac:dyDescent="0.25">
      <c r="A118" s="3" t="s">
        <v>178</v>
      </c>
      <c r="B118" s="3" t="s">
        <v>179</v>
      </c>
      <c r="C118" s="4">
        <v>43548</v>
      </c>
      <c r="D118" s="3" t="s">
        <v>240</v>
      </c>
      <c r="E118" s="3" t="s">
        <v>12</v>
      </c>
      <c r="F118" s="6" t="s">
        <v>241</v>
      </c>
      <c r="G118" s="5">
        <v>192.06</v>
      </c>
      <c r="H118" s="5"/>
      <c r="I118" s="5"/>
      <c r="J118" s="7">
        <f>+G118/50.027</f>
        <v>3.8391268714893956</v>
      </c>
    </row>
    <row r="119" spans="1:10" x14ac:dyDescent="0.25">
      <c r="A119" s="3" t="s">
        <v>178</v>
      </c>
      <c r="B119" s="3" t="s">
        <v>179</v>
      </c>
      <c r="C119" s="4">
        <v>43553</v>
      </c>
      <c r="D119" s="3" t="s">
        <v>242</v>
      </c>
      <c r="E119" s="3" t="s">
        <v>12</v>
      </c>
      <c r="F119" s="6" t="s">
        <v>243</v>
      </c>
      <c r="G119" s="5">
        <v>691.04</v>
      </c>
      <c r="H119" s="5"/>
      <c r="I119" s="5"/>
      <c r="J119" s="7">
        <f>+G119/180</f>
        <v>3.8391111111111109</v>
      </c>
    </row>
    <row r="120" spans="1:10" x14ac:dyDescent="0.25">
      <c r="A120" s="3" t="s">
        <v>178</v>
      </c>
      <c r="B120" s="3" t="s">
        <v>179</v>
      </c>
      <c r="C120" s="4">
        <v>43561</v>
      </c>
      <c r="D120" s="3" t="s">
        <v>244</v>
      </c>
      <c r="E120" s="3" t="s">
        <v>12</v>
      </c>
      <c r="F120" s="6" t="s">
        <v>245</v>
      </c>
      <c r="G120" s="5">
        <v>767.47</v>
      </c>
      <c r="H120" s="5"/>
      <c r="I120" s="5"/>
      <c r="J120" s="7">
        <f>+G120/199.915</f>
        <v>3.8389815671660457</v>
      </c>
    </row>
    <row r="121" spans="1:10" x14ac:dyDescent="0.25">
      <c r="A121" s="3" t="s">
        <v>178</v>
      </c>
      <c r="B121" s="3" t="s">
        <v>179</v>
      </c>
      <c r="C121" s="4">
        <v>43571</v>
      </c>
      <c r="D121" s="3" t="s">
        <v>246</v>
      </c>
      <c r="E121" s="3" t="s">
        <v>12</v>
      </c>
      <c r="F121" s="6" t="s">
        <v>247</v>
      </c>
      <c r="G121" s="5">
        <v>767.82</v>
      </c>
      <c r="H121" s="5"/>
      <c r="I121" s="5"/>
      <c r="J121" s="7">
        <f>+G121/200</f>
        <v>3.8391000000000002</v>
      </c>
    </row>
    <row r="122" spans="1:10" x14ac:dyDescent="0.25">
      <c r="A122" s="3" t="s">
        <v>178</v>
      </c>
      <c r="B122" s="3" t="s">
        <v>179</v>
      </c>
      <c r="C122" s="4">
        <v>43577</v>
      </c>
      <c r="D122" s="3" t="s">
        <v>248</v>
      </c>
      <c r="E122" s="3" t="s">
        <v>12</v>
      </c>
      <c r="F122" s="6" t="s">
        <v>249</v>
      </c>
      <c r="G122" s="5">
        <v>496.57</v>
      </c>
      <c r="H122" s="5"/>
      <c r="I122" s="5"/>
      <c r="J122" s="7">
        <f>+G122/129.49</f>
        <v>3.8348134991119003</v>
      </c>
    </row>
    <row r="123" spans="1:10" x14ac:dyDescent="0.25">
      <c r="A123" s="3" t="s">
        <v>178</v>
      </c>
      <c r="B123" s="3" t="s">
        <v>179</v>
      </c>
      <c r="C123" s="4">
        <v>43586</v>
      </c>
      <c r="D123" s="3" t="s">
        <v>250</v>
      </c>
      <c r="E123" s="3" t="s">
        <v>12</v>
      </c>
      <c r="F123" s="6" t="s">
        <v>251</v>
      </c>
      <c r="G123" s="5">
        <v>496.74</v>
      </c>
      <c r="H123" s="5"/>
      <c r="I123" s="5"/>
      <c r="J123" s="7">
        <f>+G123/130.205</f>
        <v>3.8150608655581579</v>
      </c>
    </row>
    <row r="124" spans="1:10" x14ac:dyDescent="0.25">
      <c r="A124" s="3" t="s">
        <v>178</v>
      </c>
      <c r="B124" s="3" t="s">
        <v>179</v>
      </c>
      <c r="C124" s="4">
        <v>43600</v>
      </c>
      <c r="D124" s="3" t="s">
        <v>252</v>
      </c>
      <c r="E124" s="3" t="s">
        <v>12</v>
      </c>
      <c r="F124" s="6" t="s">
        <v>253</v>
      </c>
      <c r="G124" s="5">
        <v>1294.26</v>
      </c>
      <c r="H124" s="5"/>
      <c r="I124" s="5"/>
      <c r="J124" s="7">
        <f>+G124/324.796</f>
        <v>3.9848397147748127</v>
      </c>
    </row>
    <row r="125" spans="1:10" x14ac:dyDescent="0.25">
      <c r="A125" s="3" t="s">
        <v>178</v>
      </c>
      <c r="B125" s="3" t="s">
        <v>179</v>
      </c>
      <c r="C125" s="4">
        <v>43615</v>
      </c>
      <c r="D125" s="3" t="s">
        <v>254</v>
      </c>
      <c r="E125" s="3" t="s">
        <v>12</v>
      </c>
      <c r="F125" s="6" t="s">
        <v>255</v>
      </c>
      <c r="G125" s="5">
        <v>950.54</v>
      </c>
      <c r="H125" s="5"/>
      <c r="I125" s="5"/>
      <c r="J125" s="7">
        <f>+G125/247.602</f>
        <v>3.8389835300199513</v>
      </c>
    </row>
    <row r="126" spans="1:10" x14ac:dyDescent="0.25">
      <c r="A126" s="3" t="s">
        <v>178</v>
      </c>
      <c r="B126" s="3" t="s">
        <v>179</v>
      </c>
      <c r="C126" s="4">
        <v>43617</v>
      </c>
      <c r="D126" s="3" t="s">
        <v>256</v>
      </c>
      <c r="E126" s="3" t="s">
        <v>12</v>
      </c>
      <c r="F126" s="6" t="s">
        <v>257</v>
      </c>
      <c r="G126" s="5">
        <v>767.7</v>
      </c>
      <c r="H126" s="5"/>
      <c r="I126" s="5"/>
      <c r="J126" s="7"/>
    </row>
    <row r="127" spans="1:10" x14ac:dyDescent="0.25">
      <c r="A127" s="3" t="s">
        <v>178</v>
      </c>
      <c r="B127" s="3" t="s">
        <v>179</v>
      </c>
      <c r="C127" s="4">
        <v>43620</v>
      </c>
      <c r="D127" s="3" t="s">
        <v>258</v>
      </c>
      <c r="E127" s="3" t="s">
        <v>12</v>
      </c>
      <c r="F127" s="6" t="s">
        <v>259</v>
      </c>
      <c r="G127" s="5">
        <v>1300.8900000000001</v>
      </c>
      <c r="H127" s="5"/>
      <c r="I127" s="5"/>
      <c r="J127" s="7"/>
    </row>
    <row r="128" spans="1:10" x14ac:dyDescent="0.25">
      <c r="A128" s="3" t="s">
        <v>178</v>
      </c>
      <c r="B128" s="3" t="s">
        <v>179</v>
      </c>
      <c r="C128" s="4">
        <v>43624</v>
      </c>
      <c r="D128" s="3" t="s">
        <v>260</v>
      </c>
      <c r="E128" s="3" t="s">
        <v>12</v>
      </c>
      <c r="F128" s="6" t="s">
        <v>261</v>
      </c>
      <c r="G128" s="5">
        <v>710.08</v>
      </c>
      <c r="H128" s="5"/>
      <c r="I128" s="5"/>
      <c r="J128" s="7"/>
    </row>
    <row r="129" spans="1:10" x14ac:dyDescent="0.25">
      <c r="A129" s="3" t="s">
        <v>178</v>
      </c>
      <c r="B129" s="3" t="s">
        <v>179</v>
      </c>
      <c r="C129" s="4">
        <v>43647</v>
      </c>
      <c r="D129" s="3" t="s">
        <v>262</v>
      </c>
      <c r="E129" s="3" t="s">
        <v>12</v>
      </c>
      <c r="F129" s="6" t="s">
        <v>263</v>
      </c>
      <c r="G129" s="5">
        <v>949.44</v>
      </c>
      <c r="H129" s="5"/>
      <c r="I129" s="5"/>
      <c r="J129" s="7">
        <f>+G129/253.92</f>
        <v>3.7391304347826093</v>
      </c>
    </row>
    <row r="130" spans="1:10" x14ac:dyDescent="0.25">
      <c r="A130" s="3" t="s">
        <v>178</v>
      </c>
      <c r="B130" s="3" t="s">
        <v>179</v>
      </c>
      <c r="C130" s="4">
        <v>43653</v>
      </c>
      <c r="D130" s="3" t="s">
        <v>264</v>
      </c>
      <c r="E130" s="3" t="s">
        <v>12</v>
      </c>
      <c r="F130" s="6" t="s">
        <v>265</v>
      </c>
      <c r="G130" s="5">
        <v>375.96</v>
      </c>
      <c r="H130" s="5"/>
      <c r="I130" s="5"/>
      <c r="J130" s="7">
        <f>+G130/100.52</f>
        <v>3.7401512136888182</v>
      </c>
    </row>
    <row r="131" spans="1:10" x14ac:dyDescent="0.25">
      <c r="A131" s="3" t="s">
        <v>178</v>
      </c>
      <c r="B131" s="3" t="s">
        <v>179</v>
      </c>
      <c r="C131" s="4">
        <v>43657</v>
      </c>
      <c r="D131" s="3" t="s">
        <v>266</v>
      </c>
      <c r="E131" s="3" t="s">
        <v>12</v>
      </c>
      <c r="F131" s="6" t="s">
        <v>267</v>
      </c>
      <c r="G131" s="5">
        <v>860.01</v>
      </c>
      <c r="H131" s="5"/>
      <c r="I131" s="5"/>
      <c r="J131" s="7">
        <f>+G131/230</f>
        <v>3.7391739130434782</v>
      </c>
    </row>
    <row r="132" spans="1:10" x14ac:dyDescent="0.25">
      <c r="A132" s="3" t="s">
        <v>178</v>
      </c>
      <c r="B132" s="3" t="s">
        <v>179</v>
      </c>
      <c r="C132" s="4">
        <v>43665</v>
      </c>
      <c r="D132" s="3" t="s">
        <v>268</v>
      </c>
      <c r="E132" s="3" t="s">
        <v>12</v>
      </c>
      <c r="F132" s="6" t="s">
        <v>269</v>
      </c>
      <c r="G132" s="5">
        <v>719.92</v>
      </c>
      <c r="H132" s="5"/>
      <c r="I132" s="5"/>
      <c r="J132" s="7">
        <f>+G132/200.033</f>
        <v>3.5990061639829429</v>
      </c>
    </row>
    <row r="133" spans="1:10" x14ac:dyDescent="0.25">
      <c r="A133" s="3" t="s">
        <v>178</v>
      </c>
      <c r="B133" s="3" t="s">
        <v>179</v>
      </c>
      <c r="C133" s="4">
        <v>43670</v>
      </c>
      <c r="D133" s="3" t="s">
        <v>270</v>
      </c>
      <c r="E133" s="3" t="s">
        <v>12</v>
      </c>
      <c r="F133" s="6" t="s">
        <v>271</v>
      </c>
      <c r="G133" s="5">
        <v>448.78</v>
      </c>
      <c r="H133" s="5"/>
      <c r="I133" s="5"/>
      <c r="J133" s="7">
        <f>+G133/120.25</f>
        <v>3.7320582120582118</v>
      </c>
    </row>
    <row r="134" spans="1:10" x14ac:dyDescent="0.25">
      <c r="A134" s="3" t="s">
        <v>178</v>
      </c>
      <c r="B134" s="3" t="s">
        <v>179</v>
      </c>
      <c r="C134" s="4">
        <v>43679</v>
      </c>
      <c r="D134" s="3" t="s">
        <v>272</v>
      </c>
      <c r="E134" s="3" t="s">
        <v>12</v>
      </c>
      <c r="F134" s="6" t="s">
        <v>273</v>
      </c>
      <c r="G134" s="5">
        <v>751.85</v>
      </c>
      <c r="H134" s="5"/>
      <c r="I134" s="5"/>
      <c r="J134" s="7">
        <f>+G134/249.7</f>
        <v>3.0110132158590313</v>
      </c>
    </row>
    <row r="135" spans="1:10" x14ac:dyDescent="0.25">
      <c r="A135" s="3" t="s">
        <v>178</v>
      </c>
      <c r="B135" s="3" t="s">
        <v>179</v>
      </c>
      <c r="C135" s="4">
        <v>43683</v>
      </c>
      <c r="D135" s="3" t="s">
        <v>274</v>
      </c>
      <c r="E135" s="3" t="s">
        <v>12</v>
      </c>
      <c r="F135" s="6" t="s">
        <v>275</v>
      </c>
      <c r="G135" s="5">
        <v>516.69000000000005</v>
      </c>
      <c r="H135" s="5"/>
      <c r="I135" s="5"/>
      <c r="J135" s="7">
        <f>+G135/138.188</f>
        <v>3.7390366746750812</v>
      </c>
    </row>
    <row r="136" spans="1:10" x14ac:dyDescent="0.25">
      <c r="A136" s="3" t="s">
        <v>178</v>
      </c>
      <c r="B136" s="3" t="s">
        <v>179</v>
      </c>
      <c r="C136" s="4">
        <v>43691</v>
      </c>
      <c r="D136" s="3" t="s">
        <v>276</v>
      </c>
      <c r="E136" s="3" t="s">
        <v>12</v>
      </c>
      <c r="F136" s="6" t="s">
        <v>277</v>
      </c>
      <c r="G136" s="5">
        <v>392.76</v>
      </c>
      <c r="H136" s="5"/>
      <c r="I136" s="5"/>
      <c r="J136" s="7">
        <f>+G136/105.045</f>
        <v>3.7389690132800228</v>
      </c>
    </row>
    <row r="137" spans="1:10" x14ac:dyDescent="0.25">
      <c r="A137" s="3" t="s">
        <v>178</v>
      </c>
      <c r="B137" s="3" t="s">
        <v>179</v>
      </c>
      <c r="C137" s="4">
        <v>43706</v>
      </c>
      <c r="D137" s="3" t="s">
        <v>278</v>
      </c>
      <c r="E137" s="3" t="s">
        <v>12</v>
      </c>
      <c r="F137" s="6" t="s">
        <v>279</v>
      </c>
      <c r="G137" s="5">
        <v>491.75</v>
      </c>
      <c r="H137" s="5"/>
      <c r="I137" s="5"/>
      <c r="J137" s="7">
        <f>+G137/167.134</f>
        <v>2.9422499311929351</v>
      </c>
    </row>
    <row r="138" spans="1:10" x14ac:dyDescent="0.25">
      <c r="A138" s="3" t="s">
        <v>178</v>
      </c>
      <c r="B138" s="3" t="s">
        <v>179</v>
      </c>
      <c r="C138" s="4">
        <v>43716</v>
      </c>
      <c r="D138" s="3" t="s">
        <v>280</v>
      </c>
      <c r="E138" s="3" t="s">
        <v>12</v>
      </c>
      <c r="F138" s="6" t="s">
        <v>281</v>
      </c>
      <c r="G138" s="5">
        <v>463.93</v>
      </c>
      <c r="H138" s="5"/>
      <c r="I138" s="5"/>
      <c r="J138" s="7">
        <f>+G138/124.078</f>
        <v>3.7390190041747933</v>
      </c>
    </row>
    <row r="139" spans="1:10" x14ac:dyDescent="0.25">
      <c r="A139" s="3" t="s">
        <v>178</v>
      </c>
      <c r="B139" s="3" t="s">
        <v>179</v>
      </c>
      <c r="C139" s="4">
        <v>43728</v>
      </c>
      <c r="D139" s="3" t="s">
        <v>282</v>
      </c>
      <c r="E139" s="3" t="s">
        <v>12</v>
      </c>
      <c r="F139" s="6" t="s">
        <v>283</v>
      </c>
      <c r="G139" s="5">
        <v>473.81</v>
      </c>
      <c r="H139" s="5"/>
      <c r="I139" s="5"/>
      <c r="J139" s="7">
        <f>+G139/159.8</f>
        <v>2.9650187734668334</v>
      </c>
    </row>
    <row r="140" spans="1:10" x14ac:dyDescent="0.25">
      <c r="A140" s="3" t="s">
        <v>178</v>
      </c>
      <c r="B140" s="3" t="s">
        <v>179</v>
      </c>
      <c r="C140" s="4">
        <v>43729</v>
      </c>
      <c r="D140" s="3" t="s">
        <v>284</v>
      </c>
      <c r="E140" s="3" t="s">
        <v>12</v>
      </c>
      <c r="F140" s="6" t="s">
        <v>285</v>
      </c>
      <c r="G140" s="5">
        <v>630.73</v>
      </c>
      <c r="H140" s="5"/>
      <c r="I140" s="5"/>
      <c r="J140" s="7">
        <f>+G140/170.51</f>
        <v>3.699079232889567</v>
      </c>
    </row>
    <row r="141" spans="1:10" x14ac:dyDescent="0.25">
      <c r="A141" s="3" t="s">
        <v>178</v>
      </c>
      <c r="B141" s="3" t="s">
        <v>179</v>
      </c>
      <c r="C141" s="4">
        <v>43737</v>
      </c>
      <c r="D141" s="3" t="s">
        <v>286</v>
      </c>
      <c r="E141" s="3" t="s">
        <v>12</v>
      </c>
      <c r="F141" s="6" t="s">
        <v>287</v>
      </c>
      <c r="G141" s="5">
        <v>460.63</v>
      </c>
      <c r="H141" s="5"/>
      <c r="I141" s="5"/>
      <c r="J141" s="7">
        <f>+G141/124.53</f>
        <v>3.6989480446478757</v>
      </c>
    </row>
    <row r="142" spans="1:10" x14ac:dyDescent="0.25">
      <c r="A142" s="3" t="s">
        <v>288</v>
      </c>
      <c r="B142" s="3" t="s">
        <v>289</v>
      </c>
      <c r="C142" s="4">
        <v>43446</v>
      </c>
      <c r="D142" s="3" t="s">
        <v>290</v>
      </c>
      <c r="E142" s="3" t="s">
        <v>12</v>
      </c>
      <c r="F142" s="6" t="s">
        <v>291</v>
      </c>
      <c r="G142" s="5">
        <v>916.22</v>
      </c>
      <c r="H142" s="5"/>
      <c r="I142" s="5"/>
      <c r="J142" s="7"/>
    </row>
    <row r="143" spans="1:10" x14ac:dyDescent="0.25">
      <c r="A143" s="3" t="s">
        <v>288</v>
      </c>
      <c r="B143" s="3" t="s">
        <v>289</v>
      </c>
      <c r="C143" s="4">
        <v>43446</v>
      </c>
      <c r="D143" s="3" t="s">
        <v>292</v>
      </c>
      <c r="E143" s="3" t="s">
        <v>12</v>
      </c>
      <c r="F143" s="6" t="s">
        <v>293</v>
      </c>
      <c r="G143" s="5">
        <v>614.73</v>
      </c>
      <c r="H143" s="5"/>
      <c r="I143" s="5"/>
      <c r="J143" s="7"/>
    </row>
    <row r="144" spans="1:10" x14ac:dyDescent="0.25">
      <c r="A144" s="3" t="s">
        <v>288</v>
      </c>
      <c r="B144" s="3" t="s">
        <v>289</v>
      </c>
      <c r="C144" s="4">
        <v>43455</v>
      </c>
      <c r="D144" s="3" t="s">
        <v>294</v>
      </c>
      <c r="E144" s="3" t="s">
        <v>12</v>
      </c>
      <c r="F144" s="6" t="s">
        <v>295</v>
      </c>
      <c r="G144" s="5">
        <v>915.84</v>
      </c>
      <c r="H144" s="5"/>
      <c r="I144" s="5"/>
      <c r="J144" s="7"/>
    </row>
    <row r="145" spans="1:10" x14ac:dyDescent="0.25">
      <c r="A145" s="3" t="s">
        <v>288</v>
      </c>
      <c r="B145" s="3" t="s">
        <v>289</v>
      </c>
      <c r="C145" s="4">
        <v>43455</v>
      </c>
      <c r="D145" s="3" t="s">
        <v>296</v>
      </c>
      <c r="E145" s="3" t="s">
        <v>12</v>
      </c>
      <c r="F145" s="6" t="s">
        <v>295</v>
      </c>
      <c r="G145" s="5">
        <v>915.84</v>
      </c>
      <c r="H145" s="5"/>
      <c r="I145" s="5"/>
      <c r="J145" s="7"/>
    </row>
    <row r="146" spans="1:10" x14ac:dyDescent="0.25">
      <c r="A146" s="3" t="s">
        <v>288</v>
      </c>
      <c r="B146" s="3" t="s">
        <v>289</v>
      </c>
      <c r="C146" s="4">
        <v>43475</v>
      </c>
      <c r="D146" s="3" t="s">
        <v>297</v>
      </c>
      <c r="E146" s="3" t="s">
        <v>12</v>
      </c>
      <c r="F146" s="6" t="s">
        <v>298</v>
      </c>
      <c r="G146" s="5">
        <v>950.49</v>
      </c>
      <c r="H146" s="5"/>
      <c r="I146" s="5"/>
      <c r="J146" s="7"/>
    </row>
    <row r="147" spans="1:10" x14ac:dyDescent="0.25">
      <c r="A147" s="3" t="s">
        <v>288</v>
      </c>
      <c r="B147" s="3" t="s">
        <v>289</v>
      </c>
      <c r="C147" s="4">
        <v>43475</v>
      </c>
      <c r="D147" s="3" t="s">
        <v>299</v>
      </c>
      <c r="E147" s="3" t="s">
        <v>12</v>
      </c>
      <c r="F147" s="6" t="s">
        <v>300</v>
      </c>
      <c r="G147" s="5">
        <v>693.8</v>
      </c>
      <c r="H147" s="5"/>
      <c r="I147" s="5"/>
      <c r="J147" s="7"/>
    </row>
    <row r="148" spans="1:10" x14ac:dyDescent="0.25">
      <c r="A148" s="3" t="s">
        <v>288</v>
      </c>
      <c r="B148" s="3" t="s">
        <v>289</v>
      </c>
      <c r="C148" s="4">
        <v>43508</v>
      </c>
      <c r="D148" s="3" t="s">
        <v>301</v>
      </c>
      <c r="E148" s="3" t="s">
        <v>12</v>
      </c>
      <c r="F148" s="6" t="s">
        <v>302</v>
      </c>
      <c r="G148" s="5">
        <v>1864.39</v>
      </c>
      <c r="H148" s="5"/>
      <c r="I148" s="5"/>
      <c r="J148" s="7"/>
    </row>
    <row r="149" spans="1:10" x14ac:dyDescent="0.25">
      <c r="A149" s="3" t="s">
        <v>288</v>
      </c>
      <c r="B149" s="3" t="s">
        <v>289</v>
      </c>
      <c r="C149" s="4">
        <v>43515</v>
      </c>
      <c r="D149" s="3" t="s">
        <v>303</v>
      </c>
      <c r="E149" s="3" t="s">
        <v>12</v>
      </c>
      <c r="F149" s="6" t="s">
        <v>304</v>
      </c>
      <c r="G149" s="5">
        <v>887.89</v>
      </c>
      <c r="H149" s="5"/>
      <c r="I149" s="5"/>
      <c r="J149" s="7">
        <f>+G149/225</f>
        <v>3.9461777777777778</v>
      </c>
    </row>
    <row r="150" spans="1:10" x14ac:dyDescent="0.25">
      <c r="A150" s="3" t="s">
        <v>288</v>
      </c>
      <c r="B150" s="3" t="s">
        <v>289</v>
      </c>
      <c r="C150" s="4">
        <v>43533</v>
      </c>
      <c r="D150" s="3" t="s">
        <v>305</v>
      </c>
      <c r="E150" s="3" t="s">
        <v>12</v>
      </c>
      <c r="F150" s="6" t="s">
        <v>306</v>
      </c>
      <c r="G150" s="5">
        <v>621.07000000000005</v>
      </c>
      <c r="H150" s="5"/>
      <c r="I150" s="5"/>
      <c r="J150" s="7">
        <f>+G150/161.7</f>
        <v>3.8408781694495988</v>
      </c>
    </row>
    <row r="151" spans="1:10" x14ac:dyDescent="0.25">
      <c r="A151" s="3" t="s">
        <v>288</v>
      </c>
      <c r="B151" s="3" t="s">
        <v>289</v>
      </c>
      <c r="C151" s="4">
        <v>43533</v>
      </c>
      <c r="D151" s="3" t="s">
        <v>307</v>
      </c>
      <c r="E151" s="3" t="s">
        <v>12</v>
      </c>
      <c r="F151" s="6" t="s">
        <v>308</v>
      </c>
      <c r="G151" s="5">
        <v>406.28</v>
      </c>
      <c r="H151" s="5"/>
      <c r="I151" s="5"/>
      <c r="J151" s="7">
        <f>+G151/105.82</f>
        <v>3.8393498393498393</v>
      </c>
    </row>
    <row r="152" spans="1:10" x14ac:dyDescent="0.25">
      <c r="A152" s="3" t="s">
        <v>288</v>
      </c>
      <c r="B152" s="3" t="s">
        <v>289</v>
      </c>
      <c r="C152" s="4">
        <v>43568</v>
      </c>
      <c r="D152" s="3" t="s">
        <v>309</v>
      </c>
      <c r="E152" s="3" t="s">
        <v>12</v>
      </c>
      <c r="F152" s="6" t="s">
        <v>310</v>
      </c>
      <c r="G152" s="5">
        <v>951.1</v>
      </c>
      <c r="H152" s="5"/>
      <c r="I152" s="5"/>
      <c r="J152" s="7">
        <f>+G152/247.748</f>
        <v>3.8389815457642444</v>
      </c>
    </row>
    <row r="153" spans="1:10" x14ac:dyDescent="0.25">
      <c r="A153" s="3" t="s">
        <v>288</v>
      </c>
      <c r="B153" s="3" t="s">
        <v>289</v>
      </c>
      <c r="C153" s="4">
        <v>43568</v>
      </c>
      <c r="D153" s="3" t="s">
        <v>311</v>
      </c>
      <c r="E153" s="3" t="s">
        <v>12</v>
      </c>
      <c r="F153" s="6" t="s">
        <v>312</v>
      </c>
      <c r="G153" s="5">
        <v>748.03</v>
      </c>
      <c r="H153" s="5"/>
      <c r="I153" s="5"/>
      <c r="J153" s="7">
        <f>+G153/194.851</f>
        <v>3.8389846600735944</v>
      </c>
    </row>
    <row r="154" spans="1:10" x14ac:dyDescent="0.25">
      <c r="A154" s="3" t="s">
        <v>288</v>
      </c>
      <c r="B154" s="3" t="s">
        <v>289</v>
      </c>
      <c r="C154" s="4">
        <v>43606</v>
      </c>
      <c r="D154" s="3" t="s">
        <v>313</v>
      </c>
      <c r="E154" s="3" t="s">
        <v>12</v>
      </c>
      <c r="F154" s="6" t="s">
        <v>314</v>
      </c>
      <c r="G154" s="5">
        <v>728.07</v>
      </c>
      <c r="H154" s="5"/>
      <c r="I154" s="5"/>
      <c r="J154" s="7">
        <f>+G154/189.651</f>
        <v>3.8389990034326211</v>
      </c>
    </row>
    <row r="155" spans="1:10" x14ac:dyDescent="0.25">
      <c r="A155" s="3" t="s">
        <v>288</v>
      </c>
      <c r="B155" s="3" t="s">
        <v>289</v>
      </c>
      <c r="C155" s="4">
        <v>43663</v>
      </c>
      <c r="D155" s="3" t="s">
        <v>315</v>
      </c>
      <c r="E155" s="3" t="s">
        <v>12</v>
      </c>
      <c r="F155" s="6" t="s">
        <v>316</v>
      </c>
      <c r="G155" s="5">
        <v>448.68</v>
      </c>
      <c r="H155" s="5"/>
      <c r="I155" s="5"/>
      <c r="J155" s="7">
        <f>+G155/120</f>
        <v>3.7389999999999999</v>
      </c>
    </row>
    <row r="156" spans="1:10" x14ac:dyDescent="0.25">
      <c r="A156" s="3" t="s">
        <v>288</v>
      </c>
      <c r="B156" s="3" t="s">
        <v>289</v>
      </c>
      <c r="C156" s="4">
        <v>43672</v>
      </c>
      <c r="D156" s="3" t="s">
        <v>317</v>
      </c>
      <c r="E156" s="3" t="s">
        <v>12</v>
      </c>
      <c r="F156" s="6" t="s">
        <v>318</v>
      </c>
      <c r="G156" s="5">
        <v>1322.81</v>
      </c>
      <c r="H156" s="5"/>
      <c r="I156" s="5"/>
      <c r="J156" s="7">
        <f>+G156/357.199</f>
        <v>3.703285843465407</v>
      </c>
    </row>
    <row r="157" spans="1:10" x14ac:dyDescent="0.25">
      <c r="A157" s="3" t="s">
        <v>288</v>
      </c>
      <c r="B157" s="3" t="s">
        <v>289</v>
      </c>
      <c r="C157" s="4">
        <v>43691</v>
      </c>
      <c r="D157" s="3" t="s">
        <v>319</v>
      </c>
      <c r="E157" s="3" t="s">
        <v>12</v>
      </c>
      <c r="F157" s="6" t="s">
        <v>320</v>
      </c>
      <c r="G157" s="5">
        <v>949.62</v>
      </c>
      <c r="H157" s="5"/>
      <c r="I157" s="5"/>
      <c r="J157" s="7">
        <f>+G157/253.978</f>
        <v>3.7389852664404004</v>
      </c>
    </row>
    <row r="158" spans="1:10" x14ac:dyDescent="0.25">
      <c r="A158" s="3" t="s">
        <v>288</v>
      </c>
      <c r="B158" s="3" t="s">
        <v>289</v>
      </c>
      <c r="C158" s="4">
        <v>43713</v>
      </c>
      <c r="D158" s="3" t="s">
        <v>321</v>
      </c>
      <c r="E158" s="3" t="s">
        <v>12</v>
      </c>
      <c r="F158" s="6" t="s">
        <v>322</v>
      </c>
      <c r="G158" s="5">
        <v>1093.29</v>
      </c>
      <c r="H158" s="5"/>
      <c r="I158" s="5"/>
      <c r="J158" s="7">
        <f>+G158/254.089</f>
        <v>4.3027836702887567</v>
      </c>
    </row>
    <row r="159" spans="1:10" x14ac:dyDescent="0.25">
      <c r="A159" s="3" t="s">
        <v>288</v>
      </c>
      <c r="B159" s="3" t="s">
        <v>289</v>
      </c>
      <c r="C159" s="4">
        <v>43734</v>
      </c>
      <c r="D159" s="3" t="s">
        <v>323</v>
      </c>
      <c r="E159" s="3" t="s">
        <v>12</v>
      </c>
      <c r="F159" s="6" t="s">
        <v>324</v>
      </c>
      <c r="G159" s="5">
        <v>939.89</v>
      </c>
      <c r="H159" s="5"/>
      <c r="I159" s="5"/>
      <c r="J159" s="7">
        <f>+G159/254.094</f>
        <v>3.698985414846474</v>
      </c>
    </row>
    <row r="160" spans="1:10" x14ac:dyDescent="0.25">
      <c r="A160" s="3" t="s">
        <v>288</v>
      </c>
      <c r="B160" s="3" t="s">
        <v>289</v>
      </c>
      <c r="C160" s="4">
        <v>43737</v>
      </c>
      <c r="D160" s="3" t="s">
        <v>325</v>
      </c>
      <c r="E160" s="3" t="s">
        <v>12</v>
      </c>
      <c r="F160" s="6" t="s">
        <v>326</v>
      </c>
      <c r="G160" s="5">
        <v>866.03</v>
      </c>
      <c r="H160" s="5"/>
      <c r="I160" s="5"/>
      <c r="J160" s="7">
        <f>+G160/234.127</f>
        <v>3.6989753424423495</v>
      </c>
    </row>
    <row r="161" spans="1:10" x14ac:dyDescent="0.25">
      <c r="A161" s="3" t="s">
        <v>327</v>
      </c>
      <c r="B161" s="3" t="s">
        <v>328</v>
      </c>
      <c r="C161" s="4">
        <v>43376</v>
      </c>
      <c r="D161" s="3" t="s">
        <v>329</v>
      </c>
      <c r="E161" s="3" t="s">
        <v>12</v>
      </c>
      <c r="F161" s="6" t="s">
        <v>330</v>
      </c>
      <c r="G161" s="5">
        <v>312.14999999999998</v>
      </c>
      <c r="H161" s="5"/>
      <c r="I161" s="5"/>
      <c r="J161" s="7">
        <f>+G161/80</f>
        <v>3.9018749999999995</v>
      </c>
    </row>
    <row r="162" spans="1:10" x14ac:dyDescent="0.25">
      <c r="A162" s="3" t="s">
        <v>327</v>
      </c>
      <c r="B162" s="3" t="s">
        <v>328</v>
      </c>
      <c r="C162" s="4">
        <v>43386</v>
      </c>
      <c r="D162" s="3" t="s">
        <v>331</v>
      </c>
      <c r="E162" s="3" t="s">
        <v>12</v>
      </c>
      <c r="F162" s="6" t="s">
        <v>332</v>
      </c>
      <c r="G162" s="5">
        <v>611.6</v>
      </c>
      <c r="H162" s="5"/>
      <c r="I162" s="5"/>
      <c r="J162" s="7"/>
    </row>
    <row r="163" spans="1:10" x14ac:dyDescent="0.25">
      <c r="A163" s="3" t="s">
        <v>327</v>
      </c>
      <c r="B163" s="3" t="s">
        <v>328</v>
      </c>
      <c r="C163" s="4">
        <v>43393</v>
      </c>
      <c r="D163" s="3" t="s">
        <v>333</v>
      </c>
      <c r="E163" s="3" t="s">
        <v>12</v>
      </c>
      <c r="F163" s="6" t="s">
        <v>334</v>
      </c>
      <c r="G163" s="5">
        <v>659.11</v>
      </c>
      <c r="H163" s="5"/>
      <c r="I163" s="5"/>
      <c r="J163" s="7"/>
    </row>
    <row r="164" spans="1:10" x14ac:dyDescent="0.25">
      <c r="A164" s="3" t="s">
        <v>327</v>
      </c>
      <c r="B164" s="3" t="s">
        <v>328</v>
      </c>
      <c r="C164" s="4">
        <v>43397</v>
      </c>
      <c r="D164" s="3" t="s">
        <v>335</v>
      </c>
      <c r="E164" s="3" t="s">
        <v>12</v>
      </c>
      <c r="F164" s="6" t="s">
        <v>336</v>
      </c>
      <c r="G164" s="5">
        <v>944.46</v>
      </c>
      <c r="H164" s="5"/>
      <c r="I164" s="5"/>
      <c r="J164" s="7"/>
    </row>
    <row r="165" spans="1:10" x14ac:dyDescent="0.25">
      <c r="A165" s="3" t="s">
        <v>327</v>
      </c>
      <c r="B165" s="3" t="s">
        <v>328</v>
      </c>
      <c r="C165" s="4">
        <v>43407</v>
      </c>
      <c r="D165" s="3" t="s">
        <v>337</v>
      </c>
      <c r="E165" s="3" t="s">
        <v>12</v>
      </c>
      <c r="F165" s="6" t="s">
        <v>338</v>
      </c>
      <c r="G165" s="5">
        <v>761.66</v>
      </c>
      <c r="H165" s="5"/>
      <c r="I165" s="5"/>
      <c r="J165" s="7"/>
    </row>
    <row r="166" spans="1:10" x14ac:dyDescent="0.25">
      <c r="A166" s="3" t="s">
        <v>327</v>
      </c>
      <c r="B166" s="3" t="s">
        <v>328</v>
      </c>
      <c r="C166" s="4"/>
      <c r="D166" s="3" t="s">
        <v>156</v>
      </c>
      <c r="E166" s="3" t="s">
        <v>156</v>
      </c>
      <c r="F166" s="6" t="s">
        <v>156</v>
      </c>
      <c r="G166" s="5"/>
      <c r="H166" s="5"/>
      <c r="I166" s="5"/>
      <c r="J166" s="7"/>
    </row>
    <row r="167" spans="1:10" x14ac:dyDescent="0.25">
      <c r="A167" s="3" t="s">
        <v>327</v>
      </c>
      <c r="B167" s="3" t="s">
        <v>328</v>
      </c>
      <c r="C167" s="4">
        <v>43517</v>
      </c>
      <c r="D167" s="3" t="s">
        <v>339</v>
      </c>
      <c r="E167" s="3" t="s">
        <v>12</v>
      </c>
      <c r="F167" s="6" t="s">
        <v>340</v>
      </c>
      <c r="G167" s="5">
        <v>154.77000000000001</v>
      </c>
      <c r="H167" s="5"/>
      <c r="I167" s="5"/>
      <c r="J167" s="7"/>
    </row>
    <row r="168" spans="1:10" x14ac:dyDescent="0.25">
      <c r="A168" s="3" t="s">
        <v>327</v>
      </c>
      <c r="B168" s="3" t="s">
        <v>328</v>
      </c>
      <c r="C168" s="4">
        <v>43537</v>
      </c>
      <c r="D168" s="3" t="s">
        <v>341</v>
      </c>
      <c r="E168" s="3" t="s">
        <v>12</v>
      </c>
      <c r="F168" s="6" t="s">
        <v>342</v>
      </c>
      <c r="G168" s="5">
        <v>978.64</v>
      </c>
      <c r="H168" s="5"/>
      <c r="I168" s="5"/>
      <c r="J168" s="7"/>
    </row>
    <row r="169" spans="1:10" x14ac:dyDescent="0.25">
      <c r="A169" s="3" t="s">
        <v>327</v>
      </c>
      <c r="B169" s="3" t="s">
        <v>328</v>
      </c>
      <c r="C169" s="4">
        <v>43638</v>
      </c>
      <c r="D169" s="3" t="s">
        <v>343</v>
      </c>
      <c r="E169" s="3" t="s">
        <v>12</v>
      </c>
      <c r="F169" s="6" t="s">
        <v>344</v>
      </c>
      <c r="G169" s="5">
        <v>833.81</v>
      </c>
      <c r="H169" s="5"/>
      <c r="I169" s="5"/>
      <c r="J169" s="7"/>
    </row>
    <row r="170" spans="1:10" x14ac:dyDescent="0.25">
      <c r="A170" s="3" t="s">
        <v>327</v>
      </c>
      <c r="B170" s="3" t="s">
        <v>328</v>
      </c>
      <c r="C170" s="4">
        <v>43697</v>
      </c>
      <c r="D170" s="3" t="s">
        <v>345</v>
      </c>
      <c r="E170" s="3" t="s">
        <v>12</v>
      </c>
      <c r="F170" s="6" t="s">
        <v>346</v>
      </c>
      <c r="G170" s="5">
        <v>486.67</v>
      </c>
      <c r="H170" s="5"/>
      <c r="I170" s="5"/>
      <c r="J170" s="7">
        <f>+G170/156</f>
        <v>3.1196794871794871</v>
      </c>
    </row>
    <row r="171" spans="1:10" x14ac:dyDescent="0.25">
      <c r="A171" s="3" t="s">
        <v>347</v>
      </c>
      <c r="B171" s="3" t="s">
        <v>348</v>
      </c>
      <c r="C171" s="4"/>
      <c r="D171" s="3" t="s">
        <v>156</v>
      </c>
      <c r="E171" s="3" t="s">
        <v>156</v>
      </c>
      <c r="F171" s="6" t="s">
        <v>156</v>
      </c>
      <c r="G171" s="5"/>
      <c r="H171" s="5"/>
      <c r="I171" s="5"/>
      <c r="J171" s="7"/>
    </row>
    <row r="172" spans="1:10" x14ac:dyDescent="0.25">
      <c r="A172" s="3" t="s">
        <v>347</v>
      </c>
      <c r="B172" s="3" t="s">
        <v>348</v>
      </c>
      <c r="C172" s="4">
        <v>43584</v>
      </c>
      <c r="D172" s="3" t="s">
        <v>349</v>
      </c>
      <c r="E172" s="3" t="s">
        <v>12</v>
      </c>
      <c r="F172" s="6" t="s">
        <v>350</v>
      </c>
      <c r="G172" s="5">
        <v>29.33</v>
      </c>
      <c r="H172" s="5"/>
      <c r="I172" s="5"/>
      <c r="J172" s="7"/>
    </row>
    <row r="173" spans="1:10" x14ac:dyDescent="0.25">
      <c r="A173" s="3" t="s">
        <v>347</v>
      </c>
      <c r="B173" s="3" t="s">
        <v>348</v>
      </c>
      <c r="C173" s="4">
        <v>43627</v>
      </c>
      <c r="D173" s="3" t="s">
        <v>351</v>
      </c>
      <c r="E173" s="3" t="s">
        <v>12</v>
      </c>
      <c r="F173" s="6" t="s">
        <v>352</v>
      </c>
      <c r="G173" s="5">
        <v>1020.38</v>
      </c>
      <c r="H173" s="5"/>
      <c r="I173" s="5"/>
      <c r="J173" s="7"/>
    </row>
    <row r="174" spans="1:10" x14ac:dyDescent="0.25">
      <c r="A174" s="3" t="s">
        <v>347</v>
      </c>
      <c r="B174" s="3" t="s">
        <v>348</v>
      </c>
      <c r="C174" s="4">
        <v>43658</v>
      </c>
      <c r="D174" s="3" t="s">
        <v>353</v>
      </c>
      <c r="E174" s="3" t="s">
        <v>12</v>
      </c>
      <c r="F174" s="6" t="s">
        <v>354</v>
      </c>
      <c r="G174" s="5">
        <v>39.130000000000003</v>
      </c>
      <c r="H174" s="5"/>
      <c r="I174" s="5"/>
      <c r="J174" s="7"/>
    </row>
    <row r="175" spans="1:10" x14ac:dyDescent="0.25">
      <c r="A175" s="3" t="s">
        <v>347</v>
      </c>
      <c r="B175" s="3" t="s">
        <v>348</v>
      </c>
      <c r="C175" s="4">
        <v>43678</v>
      </c>
      <c r="D175" s="3" t="s">
        <v>355</v>
      </c>
      <c r="E175" s="3" t="s">
        <v>12</v>
      </c>
      <c r="F175" s="6" t="s">
        <v>356</v>
      </c>
      <c r="G175" s="5">
        <v>1160.92</v>
      </c>
      <c r="H175" s="5"/>
      <c r="I175" s="5"/>
      <c r="J175" s="7">
        <f>+G175/400</f>
        <v>2.9023000000000003</v>
      </c>
    </row>
    <row r="176" spans="1:10" x14ac:dyDescent="0.25">
      <c r="A176" s="3" t="s">
        <v>357</v>
      </c>
      <c r="B176" s="3" t="s">
        <v>358</v>
      </c>
      <c r="C176" s="4">
        <v>43432</v>
      </c>
      <c r="D176" s="3" t="s">
        <v>359</v>
      </c>
      <c r="E176" s="3" t="s">
        <v>12</v>
      </c>
      <c r="F176" s="6" t="s">
        <v>360</v>
      </c>
      <c r="G176" s="5">
        <v>1406.15</v>
      </c>
      <c r="H176" s="5"/>
      <c r="I176" s="5"/>
      <c r="J176" s="7"/>
    </row>
    <row r="177" spans="1:10" x14ac:dyDescent="0.25">
      <c r="A177" s="3" t="s">
        <v>357</v>
      </c>
      <c r="B177" s="3" t="s">
        <v>358</v>
      </c>
      <c r="C177" s="4"/>
      <c r="D177" s="3" t="s">
        <v>156</v>
      </c>
      <c r="E177" s="3" t="s">
        <v>156</v>
      </c>
      <c r="F177" s="6" t="s">
        <v>156</v>
      </c>
      <c r="G177" s="5"/>
      <c r="H177" s="5"/>
      <c r="I177" s="5"/>
      <c r="J177" s="7"/>
    </row>
    <row r="178" spans="1:10" x14ac:dyDescent="0.25">
      <c r="A178" s="3" t="s">
        <v>357</v>
      </c>
      <c r="B178" s="3" t="s">
        <v>358</v>
      </c>
      <c r="C178" s="4">
        <v>43488</v>
      </c>
      <c r="D178" s="3" t="s">
        <v>361</v>
      </c>
      <c r="E178" s="3" t="s">
        <v>12</v>
      </c>
      <c r="F178" s="6" t="s">
        <v>362</v>
      </c>
      <c r="G178" s="5">
        <v>1744.8</v>
      </c>
      <c r="H178" s="5"/>
      <c r="I178" s="5"/>
      <c r="J178" s="7"/>
    </row>
    <row r="179" spans="1:10" x14ac:dyDescent="0.25">
      <c r="A179" s="3" t="s">
        <v>357</v>
      </c>
      <c r="B179" s="3" t="s">
        <v>358</v>
      </c>
      <c r="C179" s="4">
        <v>43522</v>
      </c>
      <c r="D179" s="3" t="s">
        <v>363</v>
      </c>
      <c r="E179" s="3" t="s">
        <v>12</v>
      </c>
      <c r="F179" s="6" t="s">
        <v>364</v>
      </c>
      <c r="G179" s="5">
        <v>1753.61</v>
      </c>
      <c r="H179" s="5"/>
      <c r="I179" s="5"/>
      <c r="J179" s="7">
        <f>+G179/700</f>
        <v>2.5051571428571426</v>
      </c>
    </row>
    <row r="180" spans="1:10" x14ac:dyDescent="0.25">
      <c r="A180" s="3" t="s">
        <v>357</v>
      </c>
      <c r="B180" s="3" t="s">
        <v>358</v>
      </c>
      <c r="C180" s="4">
        <v>43574</v>
      </c>
      <c r="D180" s="3" t="s">
        <v>365</v>
      </c>
      <c r="E180" s="3" t="s">
        <v>12</v>
      </c>
      <c r="F180" s="6" t="s">
        <v>366</v>
      </c>
      <c r="G180" s="5">
        <v>412.87</v>
      </c>
      <c r="H180" s="5"/>
      <c r="I180" s="5"/>
      <c r="J180" s="7">
        <f>+G180/140</f>
        <v>2.9490714285714286</v>
      </c>
    </row>
    <row r="181" spans="1:10" x14ac:dyDescent="0.25">
      <c r="A181" s="3" t="s">
        <v>357</v>
      </c>
      <c r="B181" s="3" t="s">
        <v>358</v>
      </c>
      <c r="C181" s="4">
        <v>43619</v>
      </c>
      <c r="D181" s="3" t="s">
        <v>367</v>
      </c>
      <c r="E181" s="3" t="s">
        <v>12</v>
      </c>
      <c r="F181" s="6" t="s">
        <v>368</v>
      </c>
      <c r="G181" s="5">
        <v>2815.33</v>
      </c>
      <c r="H181" s="5"/>
      <c r="I181" s="5"/>
      <c r="J181" s="7"/>
    </row>
    <row r="182" spans="1:10" x14ac:dyDescent="0.25">
      <c r="A182" s="3" t="s">
        <v>369</v>
      </c>
      <c r="B182" s="3" t="s">
        <v>370</v>
      </c>
      <c r="C182" s="4">
        <v>43408</v>
      </c>
      <c r="D182" s="3" t="s">
        <v>371</v>
      </c>
      <c r="E182" s="3" t="s">
        <v>12</v>
      </c>
      <c r="F182" s="6" t="s">
        <v>372</v>
      </c>
      <c r="G182" s="5">
        <v>445.95</v>
      </c>
      <c r="H182" s="5"/>
      <c r="I182" s="5"/>
      <c r="J182" s="7"/>
    </row>
    <row r="183" spans="1:10" x14ac:dyDescent="0.25">
      <c r="A183" s="3" t="s">
        <v>369</v>
      </c>
      <c r="B183" s="3" t="s">
        <v>370</v>
      </c>
      <c r="C183" s="4">
        <v>43416</v>
      </c>
      <c r="D183" s="3" t="s">
        <v>373</v>
      </c>
      <c r="E183" s="3" t="s">
        <v>12</v>
      </c>
      <c r="F183" s="6" t="s">
        <v>374</v>
      </c>
      <c r="G183" s="5">
        <v>198.32</v>
      </c>
      <c r="H183" s="5"/>
      <c r="I183" s="5"/>
      <c r="J183" s="7"/>
    </row>
    <row r="184" spans="1:10" x14ac:dyDescent="0.25">
      <c r="A184" s="3" t="s">
        <v>369</v>
      </c>
      <c r="B184" s="3" t="s">
        <v>370</v>
      </c>
      <c r="C184" s="4">
        <v>43437</v>
      </c>
      <c r="D184" s="3" t="s">
        <v>375</v>
      </c>
      <c r="E184" s="3" t="s">
        <v>12</v>
      </c>
      <c r="F184" s="6" t="s">
        <v>376</v>
      </c>
      <c r="G184" s="5">
        <v>278.64</v>
      </c>
      <c r="H184" s="5"/>
      <c r="I184" s="5"/>
      <c r="J184" s="7"/>
    </row>
    <row r="185" spans="1:10" x14ac:dyDescent="0.25">
      <c r="A185" s="3" t="s">
        <v>369</v>
      </c>
      <c r="B185" s="3" t="s">
        <v>370</v>
      </c>
      <c r="C185" s="4">
        <v>43453</v>
      </c>
      <c r="D185" s="3" t="s">
        <v>377</v>
      </c>
      <c r="E185" s="3" t="s">
        <v>12</v>
      </c>
      <c r="F185" s="6" t="s">
        <v>378</v>
      </c>
      <c r="G185" s="5">
        <v>297.57</v>
      </c>
      <c r="H185" s="5"/>
      <c r="I185" s="5"/>
      <c r="J185" s="7"/>
    </row>
    <row r="186" spans="1:10" x14ac:dyDescent="0.25">
      <c r="A186" s="3" t="s">
        <v>369</v>
      </c>
      <c r="B186" s="3" t="s">
        <v>370</v>
      </c>
      <c r="C186" s="4">
        <v>43469</v>
      </c>
      <c r="D186" s="3" t="s">
        <v>379</v>
      </c>
      <c r="E186" s="3" t="s">
        <v>12</v>
      </c>
      <c r="F186" s="6" t="s">
        <v>380</v>
      </c>
      <c r="G186" s="5">
        <v>320.88</v>
      </c>
      <c r="H186" s="5"/>
      <c r="I186" s="5"/>
      <c r="J186" s="7"/>
    </row>
    <row r="187" spans="1:10" x14ac:dyDescent="0.25">
      <c r="A187" s="3" t="s">
        <v>369</v>
      </c>
      <c r="B187" s="3" t="s">
        <v>370</v>
      </c>
      <c r="C187" s="4">
        <v>43475</v>
      </c>
      <c r="D187" s="3" t="s">
        <v>381</v>
      </c>
      <c r="E187" s="3" t="s">
        <v>12</v>
      </c>
      <c r="F187" s="6" t="s">
        <v>382</v>
      </c>
      <c r="G187" s="5">
        <v>266.43</v>
      </c>
      <c r="H187" s="5"/>
      <c r="I187" s="5"/>
      <c r="J187" s="7"/>
    </row>
    <row r="188" spans="1:10" x14ac:dyDescent="0.25">
      <c r="A188" s="3" t="s">
        <v>369</v>
      </c>
      <c r="B188" s="3" t="s">
        <v>370</v>
      </c>
      <c r="C188" s="4">
        <v>43490</v>
      </c>
      <c r="D188" s="3" t="s">
        <v>383</v>
      </c>
      <c r="E188" s="3" t="s">
        <v>12</v>
      </c>
      <c r="F188" s="6" t="s">
        <v>384</v>
      </c>
      <c r="G188" s="5">
        <v>293.49</v>
      </c>
      <c r="H188" s="5"/>
      <c r="I188" s="5"/>
      <c r="J188" s="7"/>
    </row>
    <row r="189" spans="1:10" x14ac:dyDescent="0.25">
      <c r="A189" s="3" t="s">
        <v>369</v>
      </c>
      <c r="B189" s="3" t="s">
        <v>370</v>
      </c>
      <c r="C189" s="4">
        <v>43499</v>
      </c>
      <c r="D189" s="3" t="s">
        <v>385</v>
      </c>
      <c r="E189" s="3" t="s">
        <v>12</v>
      </c>
      <c r="F189" s="6" t="s">
        <v>386</v>
      </c>
      <c r="G189" s="5">
        <v>249.74</v>
      </c>
      <c r="H189" s="5"/>
      <c r="I189" s="5"/>
      <c r="J189" s="7">
        <f>+G189/81.9</f>
        <v>3.0493284493284492</v>
      </c>
    </row>
    <row r="190" spans="1:10" x14ac:dyDescent="0.25">
      <c r="A190" s="3" t="s">
        <v>369</v>
      </c>
      <c r="B190" s="3" t="s">
        <v>370</v>
      </c>
      <c r="C190" s="4">
        <v>43504</v>
      </c>
      <c r="D190" s="3" t="s">
        <v>387</v>
      </c>
      <c r="E190" s="3" t="s">
        <v>12</v>
      </c>
      <c r="F190" s="6" t="s">
        <v>388</v>
      </c>
      <c r="G190" s="5">
        <v>348.93</v>
      </c>
      <c r="H190" s="5"/>
      <c r="I190" s="5"/>
      <c r="J190" s="7"/>
    </row>
    <row r="191" spans="1:10" x14ac:dyDescent="0.25">
      <c r="A191" s="3" t="s">
        <v>369</v>
      </c>
      <c r="B191" s="3" t="s">
        <v>370</v>
      </c>
      <c r="C191" s="4">
        <v>43504</v>
      </c>
      <c r="D191" s="3" t="s">
        <v>389</v>
      </c>
      <c r="E191" s="3" t="s">
        <v>12</v>
      </c>
      <c r="F191" s="6" t="s">
        <v>390</v>
      </c>
      <c r="G191" s="5">
        <v>348.93</v>
      </c>
      <c r="H191" s="5"/>
      <c r="I191" s="5"/>
      <c r="J191" s="7">
        <f>+G191/109.662</f>
        <v>3.1818679214313068</v>
      </c>
    </row>
    <row r="192" spans="1:10" x14ac:dyDescent="0.25">
      <c r="A192" s="3" t="s">
        <v>369</v>
      </c>
      <c r="B192" s="3" t="s">
        <v>370</v>
      </c>
      <c r="C192" s="4">
        <v>43515</v>
      </c>
      <c r="D192" s="3" t="s">
        <v>391</v>
      </c>
      <c r="E192" s="3" t="s">
        <v>12</v>
      </c>
      <c r="F192" s="6" t="s">
        <v>392</v>
      </c>
      <c r="G192" s="5">
        <v>376.69</v>
      </c>
      <c r="H192" s="5"/>
      <c r="I192" s="5"/>
      <c r="J192" s="7">
        <f>+G192/120.046</f>
        <v>3.1378804791496591</v>
      </c>
    </row>
    <row r="193" spans="1:10" x14ac:dyDescent="0.25">
      <c r="A193" s="3" t="s">
        <v>369</v>
      </c>
      <c r="B193" s="3" t="s">
        <v>370</v>
      </c>
      <c r="C193" s="4">
        <v>43516</v>
      </c>
      <c r="D193" s="3" t="s">
        <v>393</v>
      </c>
      <c r="E193" s="3" t="s">
        <v>12</v>
      </c>
      <c r="F193" s="6" t="s">
        <v>394</v>
      </c>
      <c r="G193" s="5">
        <v>52.18</v>
      </c>
      <c r="H193" s="5"/>
      <c r="I193" s="5"/>
      <c r="J193" s="7"/>
    </row>
    <row r="194" spans="1:10" x14ac:dyDescent="0.25">
      <c r="A194" s="3" t="s">
        <v>369</v>
      </c>
      <c r="B194" s="3" t="s">
        <v>370</v>
      </c>
      <c r="C194" s="4">
        <v>43521</v>
      </c>
      <c r="D194" s="3" t="s">
        <v>395</v>
      </c>
      <c r="E194" s="3" t="s">
        <v>12</v>
      </c>
      <c r="F194" s="6" t="s">
        <v>396</v>
      </c>
      <c r="G194" s="5">
        <v>196.03</v>
      </c>
      <c r="H194" s="5"/>
      <c r="I194" s="5"/>
      <c r="J194" s="7">
        <f>+G194/65</f>
        <v>3.0158461538461538</v>
      </c>
    </row>
    <row r="195" spans="1:10" x14ac:dyDescent="0.25">
      <c r="A195" s="3" t="s">
        <v>369</v>
      </c>
      <c r="B195" s="3" t="s">
        <v>370</v>
      </c>
      <c r="C195" s="4">
        <v>43526</v>
      </c>
      <c r="D195" s="3" t="s">
        <v>397</v>
      </c>
      <c r="E195" s="3" t="s">
        <v>12</v>
      </c>
      <c r="F195" s="6" t="s">
        <v>398</v>
      </c>
      <c r="G195" s="5">
        <v>449.63</v>
      </c>
      <c r="H195" s="5"/>
      <c r="I195" s="5"/>
      <c r="J195" s="7">
        <f>+G195/143.29</f>
        <v>3.1379021564659086</v>
      </c>
    </row>
    <row r="196" spans="1:10" x14ac:dyDescent="0.25">
      <c r="A196" s="3" t="s">
        <v>369</v>
      </c>
      <c r="B196" s="3" t="s">
        <v>370</v>
      </c>
      <c r="C196" s="4">
        <v>43535</v>
      </c>
      <c r="D196" s="3" t="s">
        <v>399</v>
      </c>
      <c r="E196" s="3" t="s">
        <v>12</v>
      </c>
      <c r="F196" s="6" t="s">
        <v>400</v>
      </c>
      <c r="G196" s="5">
        <v>345.67</v>
      </c>
      <c r="H196" s="5"/>
      <c r="I196" s="5"/>
      <c r="J196" s="7">
        <f>+G196/115</f>
        <v>3.0058260869565219</v>
      </c>
    </row>
    <row r="197" spans="1:10" x14ac:dyDescent="0.25">
      <c r="A197" s="3" t="s">
        <v>369</v>
      </c>
      <c r="B197" s="3" t="s">
        <v>370</v>
      </c>
      <c r="C197" s="4">
        <v>43538</v>
      </c>
      <c r="D197" s="3" t="s">
        <v>401</v>
      </c>
      <c r="E197" s="3" t="s">
        <v>12</v>
      </c>
      <c r="F197" s="6" t="s">
        <v>402</v>
      </c>
      <c r="G197" s="5">
        <v>238.21</v>
      </c>
      <c r="H197" s="5"/>
      <c r="I197" s="5"/>
      <c r="J197" s="7">
        <f>+G197/75.915</f>
        <v>3.1378515444905486</v>
      </c>
    </row>
    <row r="198" spans="1:10" x14ac:dyDescent="0.25">
      <c r="A198" s="3" t="s">
        <v>369</v>
      </c>
      <c r="B198" s="3" t="s">
        <v>370</v>
      </c>
      <c r="C198" s="4">
        <v>43549</v>
      </c>
      <c r="D198" s="3" t="s">
        <v>403</v>
      </c>
      <c r="E198" s="3" t="s">
        <v>12</v>
      </c>
      <c r="F198" s="6" t="s">
        <v>404</v>
      </c>
      <c r="G198" s="5">
        <v>369.52</v>
      </c>
      <c r="H198" s="5"/>
      <c r="I198" s="5"/>
      <c r="J198" s="7">
        <f>+G198/122.897</f>
        <v>3.0067454860574299</v>
      </c>
    </row>
    <row r="199" spans="1:10" x14ac:dyDescent="0.25">
      <c r="A199" s="3" t="s">
        <v>369</v>
      </c>
      <c r="B199" s="3" t="s">
        <v>370</v>
      </c>
      <c r="C199" s="4">
        <v>43566</v>
      </c>
      <c r="D199" s="3" t="s">
        <v>405</v>
      </c>
      <c r="E199" s="3" t="s">
        <v>12</v>
      </c>
      <c r="F199" s="6" t="s">
        <v>406</v>
      </c>
      <c r="G199" s="5">
        <v>244.63</v>
      </c>
      <c r="H199" s="5"/>
      <c r="I199" s="5"/>
      <c r="J199" s="7">
        <f>+G199/80.41</f>
        <v>3.0422832980972516</v>
      </c>
    </row>
    <row r="200" spans="1:10" x14ac:dyDescent="0.25">
      <c r="A200" s="3" t="s">
        <v>369</v>
      </c>
      <c r="B200" s="3" t="s">
        <v>370</v>
      </c>
      <c r="C200" s="4">
        <v>43573</v>
      </c>
      <c r="D200" s="3" t="s">
        <v>407</v>
      </c>
      <c r="E200" s="3" t="s">
        <v>12</v>
      </c>
      <c r="F200" s="6" t="s">
        <v>408</v>
      </c>
      <c r="G200" s="5">
        <v>288.83</v>
      </c>
      <c r="H200" s="5"/>
      <c r="I200" s="5"/>
      <c r="J200" s="7">
        <f>+G200/94.925</f>
        <v>3.0427179352120093</v>
      </c>
    </row>
    <row r="201" spans="1:10" x14ac:dyDescent="0.25">
      <c r="A201" s="3" t="s">
        <v>369</v>
      </c>
      <c r="B201" s="3" t="s">
        <v>370</v>
      </c>
      <c r="C201" s="4">
        <v>43585</v>
      </c>
      <c r="D201" s="3" t="s">
        <v>409</v>
      </c>
      <c r="E201" s="3" t="s">
        <v>12</v>
      </c>
      <c r="F201" s="6" t="s">
        <v>410</v>
      </c>
      <c r="G201" s="5">
        <v>344.67</v>
      </c>
      <c r="H201" s="5"/>
      <c r="I201" s="5"/>
      <c r="J201" s="7">
        <f>+G201/113.308</f>
        <v>3.0418858333039149</v>
      </c>
    </row>
    <row r="202" spans="1:10" x14ac:dyDescent="0.25">
      <c r="A202" s="3" t="s">
        <v>369</v>
      </c>
      <c r="B202" s="3" t="s">
        <v>370</v>
      </c>
      <c r="C202" s="4">
        <v>43596</v>
      </c>
      <c r="D202" s="3" t="s">
        <v>411</v>
      </c>
      <c r="E202" s="3" t="s">
        <v>12</v>
      </c>
      <c r="F202" s="6" t="s">
        <v>412</v>
      </c>
      <c r="G202" s="5">
        <v>200.5</v>
      </c>
      <c r="H202" s="5"/>
      <c r="I202" s="5"/>
      <c r="J202" s="7"/>
    </row>
    <row r="203" spans="1:10" x14ac:dyDescent="0.25">
      <c r="A203" s="3" t="s">
        <v>369</v>
      </c>
      <c r="B203" s="3" t="s">
        <v>370</v>
      </c>
      <c r="C203" s="4">
        <v>43598</v>
      </c>
      <c r="D203" s="3" t="s">
        <v>413</v>
      </c>
      <c r="E203" s="3" t="s">
        <v>12</v>
      </c>
      <c r="F203" s="6" t="s">
        <v>414</v>
      </c>
      <c r="G203" s="5">
        <v>220.12</v>
      </c>
      <c r="H203" s="5"/>
      <c r="I203" s="5"/>
      <c r="J203" s="7">
        <f>+G203/71.57</f>
        <v>3.0755903311443347</v>
      </c>
    </row>
    <row r="204" spans="1:10" x14ac:dyDescent="0.25">
      <c r="A204" s="3" t="s">
        <v>369</v>
      </c>
      <c r="B204" s="3" t="s">
        <v>370</v>
      </c>
      <c r="C204" s="4">
        <v>43610</v>
      </c>
      <c r="D204" s="3" t="s">
        <v>415</v>
      </c>
      <c r="E204" s="3" t="s">
        <v>12</v>
      </c>
      <c r="F204" s="6" t="s">
        <v>416</v>
      </c>
      <c r="G204" s="5">
        <v>360.25</v>
      </c>
      <c r="H204" s="5"/>
      <c r="I204" s="5"/>
      <c r="J204" s="7">
        <f>+G204/117.166</f>
        <v>3.0746974378232594</v>
      </c>
    </row>
    <row r="205" spans="1:10" x14ac:dyDescent="0.25">
      <c r="A205" s="3" t="s">
        <v>369</v>
      </c>
      <c r="B205" s="3" t="s">
        <v>370</v>
      </c>
      <c r="C205" s="4">
        <v>43614</v>
      </c>
      <c r="D205" s="3" t="s">
        <v>417</v>
      </c>
      <c r="E205" s="3" t="s">
        <v>12</v>
      </c>
      <c r="F205" s="6" t="s">
        <v>418</v>
      </c>
      <c r="G205" s="5">
        <v>282.43</v>
      </c>
      <c r="H205" s="5"/>
      <c r="I205" s="5"/>
      <c r="J205" s="7">
        <f>+G205/91.824</f>
        <v>3.0757753964105246</v>
      </c>
    </row>
    <row r="206" spans="1:10" x14ac:dyDescent="0.25">
      <c r="A206" s="3" t="s">
        <v>369</v>
      </c>
      <c r="B206" s="3" t="s">
        <v>370</v>
      </c>
      <c r="C206" s="4">
        <v>43629</v>
      </c>
      <c r="D206" s="3" t="s">
        <v>419</v>
      </c>
      <c r="E206" s="3" t="s">
        <v>12</v>
      </c>
      <c r="F206" s="6" t="s">
        <v>420</v>
      </c>
      <c r="G206" s="5">
        <v>283.20999999999998</v>
      </c>
      <c r="H206" s="5"/>
      <c r="I206" s="5"/>
      <c r="J206" s="7">
        <f>+G206/93.762</f>
        <v>3.0205200401015335</v>
      </c>
    </row>
    <row r="207" spans="1:10" x14ac:dyDescent="0.25">
      <c r="A207" s="3" t="s">
        <v>369</v>
      </c>
      <c r="B207" s="3" t="s">
        <v>370</v>
      </c>
      <c r="C207" s="4">
        <v>43651</v>
      </c>
      <c r="D207" s="3" t="s">
        <v>421</v>
      </c>
      <c r="E207" s="3" t="s">
        <v>12</v>
      </c>
      <c r="F207" s="6" t="s">
        <v>422</v>
      </c>
      <c r="G207" s="5">
        <v>248.8</v>
      </c>
      <c r="H207" s="5"/>
      <c r="I207" s="5"/>
      <c r="J207" s="7">
        <f>+G207/83.89</f>
        <v>2.9657885326022173</v>
      </c>
    </row>
    <row r="208" spans="1:10" x14ac:dyDescent="0.25">
      <c r="A208" s="3" t="s">
        <v>369</v>
      </c>
      <c r="B208" s="3" t="s">
        <v>370</v>
      </c>
      <c r="C208" s="4">
        <v>43661</v>
      </c>
      <c r="D208" s="3" t="s">
        <v>63</v>
      </c>
      <c r="E208" s="3" t="s">
        <v>12</v>
      </c>
      <c r="F208" s="6" t="s">
        <v>423</v>
      </c>
      <c r="G208" s="5">
        <v>295.94</v>
      </c>
      <c r="H208" s="5"/>
      <c r="I208" s="5"/>
      <c r="J208" s="7"/>
    </row>
    <row r="209" spans="1:10" x14ac:dyDescent="0.25">
      <c r="A209" s="3" t="s">
        <v>369</v>
      </c>
      <c r="B209" s="3" t="s">
        <v>370</v>
      </c>
      <c r="C209" s="4">
        <v>43666</v>
      </c>
      <c r="D209" s="3" t="s">
        <v>424</v>
      </c>
      <c r="E209" s="3" t="s">
        <v>12</v>
      </c>
      <c r="F209" s="6" t="s">
        <v>425</v>
      </c>
      <c r="G209" s="5">
        <v>467.63</v>
      </c>
      <c r="H209" s="5"/>
      <c r="I209" s="5"/>
      <c r="J209" s="7">
        <f>+G209/157.719</f>
        <v>2.964956663433068</v>
      </c>
    </row>
    <row r="210" spans="1:10" x14ac:dyDescent="0.25">
      <c r="A210" s="3" t="s">
        <v>369</v>
      </c>
      <c r="B210" s="3" t="s">
        <v>370</v>
      </c>
      <c r="C210" s="4">
        <v>43681</v>
      </c>
      <c r="D210" s="3" t="s">
        <v>426</v>
      </c>
      <c r="E210" s="3" t="s">
        <v>12</v>
      </c>
      <c r="F210" s="6" t="s">
        <v>427</v>
      </c>
      <c r="G210" s="5">
        <v>530.02</v>
      </c>
      <c r="H210" s="5"/>
      <c r="I210" s="5"/>
      <c r="J210" s="7">
        <f>+G210/141.75</f>
        <v>3.7391181657848325</v>
      </c>
    </row>
    <row r="211" spans="1:10" x14ac:dyDescent="0.25">
      <c r="A211" s="3" t="s">
        <v>369</v>
      </c>
      <c r="B211" s="3" t="s">
        <v>370</v>
      </c>
      <c r="C211" s="4">
        <v>43688</v>
      </c>
      <c r="D211" s="3" t="s">
        <v>428</v>
      </c>
      <c r="E211" s="3" t="s">
        <v>12</v>
      </c>
      <c r="F211" s="6" t="s">
        <v>429</v>
      </c>
      <c r="G211" s="5">
        <v>191.43</v>
      </c>
      <c r="H211" s="5"/>
      <c r="I211" s="5"/>
      <c r="J211" s="7">
        <f>+G211/64.759</f>
        <v>2.956036998718325</v>
      </c>
    </row>
    <row r="212" spans="1:10" x14ac:dyDescent="0.25">
      <c r="A212" s="3" t="s">
        <v>369</v>
      </c>
      <c r="B212" s="3" t="s">
        <v>370</v>
      </c>
      <c r="C212" s="4">
        <v>43706</v>
      </c>
      <c r="D212" s="3" t="s">
        <v>430</v>
      </c>
      <c r="E212" s="3" t="s">
        <v>12</v>
      </c>
      <c r="F212" s="6" t="s">
        <v>431</v>
      </c>
      <c r="G212" s="5">
        <v>381.18</v>
      </c>
      <c r="H212" s="5"/>
      <c r="I212" s="5"/>
      <c r="J212" s="7">
        <f>+G212/101.947</f>
        <v>3.7390016381060747</v>
      </c>
    </row>
    <row r="213" spans="1:10" x14ac:dyDescent="0.25">
      <c r="A213" s="3" t="s">
        <v>432</v>
      </c>
      <c r="B213" s="3" t="s">
        <v>433</v>
      </c>
      <c r="C213" s="4">
        <v>43392</v>
      </c>
      <c r="D213" s="3" t="s">
        <v>434</v>
      </c>
      <c r="E213" s="3" t="s">
        <v>12</v>
      </c>
      <c r="F213" s="6" t="s">
        <v>435</v>
      </c>
      <c r="G213" s="5">
        <v>1965.13</v>
      </c>
      <c r="H213" s="5"/>
      <c r="I213" s="5"/>
      <c r="J213" s="7"/>
    </row>
    <row r="214" spans="1:10" x14ac:dyDescent="0.25">
      <c r="A214" s="3" t="s">
        <v>432</v>
      </c>
      <c r="B214" s="3" t="s">
        <v>433</v>
      </c>
      <c r="C214" s="4">
        <v>43476</v>
      </c>
      <c r="D214" s="3" t="s">
        <v>436</v>
      </c>
      <c r="E214" s="3" t="s">
        <v>12</v>
      </c>
      <c r="F214" s="6" t="s">
        <v>437</v>
      </c>
      <c r="G214" s="5">
        <v>1312.32</v>
      </c>
      <c r="H214" s="5"/>
      <c r="I214" s="5"/>
      <c r="J214" s="7"/>
    </row>
    <row r="215" spans="1:10" x14ac:dyDescent="0.25">
      <c r="A215" s="3" t="s">
        <v>432</v>
      </c>
      <c r="B215" s="3" t="s">
        <v>433</v>
      </c>
      <c r="C215" s="4">
        <v>43500</v>
      </c>
      <c r="D215" s="3" t="s">
        <v>438</v>
      </c>
      <c r="E215" s="3" t="s">
        <v>12</v>
      </c>
      <c r="F215" s="6" t="s">
        <v>439</v>
      </c>
      <c r="G215" s="5">
        <v>442.16</v>
      </c>
      <c r="H215" s="5"/>
      <c r="I215" s="5"/>
      <c r="J215" s="7"/>
    </row>
    <row r="216" spans="1:10" x14ac:dyDescent="0.25">
      <c r="A216" s="3" t="s">
        <v>432</v>
      </c>
      <c r="B216" s="3" t="s">
        <v>433</v>
      </c>
      <c r="C216" s="4">
        <v>43505</v>
      </c>
      <c r="D216" s="3" t="s">
        <v>440</v>
      </c>
      <c r="E216" s="3" t="s">
        <v>12</v>
      </c>
      <c r="F216" s="6" t="s">
        <v>441</v>
      </c>
      <c r="G216" s="5">
        <v>1220.3</v>
      </c>
      <c r="H216" s="5"/>
      <c r="I216" s="5"/>
      <c r="J216" s="7">
        <f>+G216/400.125</f>
        <v>3.0497969384567321</v>
      </c>
    </row>
    <row r="217" spans="1:10" x14ac:dyDescent="0.25">
      <c r="A217" s="3" t="s">
        <v>432</v>
      </c>
      <c r="B217" s="3" t="s">
        <v>433</v>
      </c>
      <c r="C217" s="4">
        <v>43530</v>
      </c>
      <c r="D217" s="3" t="s">
        <v>442</v>
      </c>
      <c r="E217" s="3" t="s">
        <v>12</v>
      </c>
      <c r="F217" s="6" t="s">
        <v>443</v>
      </c>
      <c r="G217" s="5">
        <v>1547.29</v>
      </c>
      <c r="H217" s="5"/>
      <c r="I217" s="5"/>
      <c r="J217" s="7">
        <f>+G217/493</f>
        <v>3.138519269776876</v>
      </c>
    </row>
    <row r="218" spans="1:10" x14ac:dyDescent="0.25">
      <c r="A218" s="3" t="s">
        <v>432</v>
      </c>
      <c r="B218" s="3" t="s">
        <v>433</v>
      </c>
      <c r="C218" s="4">
        <v>43622</v>
      </c>
      <c r="D218" s="3" t="s">
        <v>444</v>
      </c>
      <c r="E218" s="3" t="s">
        <v>12</v>
      </c>
      <c r="F218" s="6" t="s">
        <v>445</v>
      </c>
      <c r="G218" s="5">
        <v>71.739999999999995</v>
      </c>
      <c r="H218" s="5"/>
      <c r="I218" s="5"/>
      <c r="J218" s="7"/>
    </row>
    <row r="219" spans="1:10" x14ac:dyDescent="0.25">
      <c r="A219" s="3" t="s">
        <v>432</v>
      </c>
      <c r="B219" s="3" t="s">
        <v>433</v>
      </c>
      <c r="C219" s="4">
        <v>43734</v>
      </c>
      <c r="D219" s="3" t="s">
        <v>446</v>
      </c>
      <c r="E219" s="3" t="s">
        <v>12</v>
      </c>
      <c r="F219" s="6" t="s">
        <v>447</v>
      </c>
      <c r="G219" s="5">
        <v>1456.58</v>
      </c>
      <c r="H219" s="5"/>
      <c r="I219" s="5"/>
      <c r="J219" s="8">
        <f>+G219/500</f>
        <v>2.91316</v>
      </c>
    </row>
    <row r="220" spans="1:10" x14ac:dyDescent="0.25">
      <c r="F220" s="6" t="s">
        <v>448</v>
      </c>
      <c r="J220" s="7">
        <f>AVERAGE(J2:J219)</f>
        <v>3.3531673172030305</v>
      </c>
    </row>
    <row r="222" spans="1:10" x14ac:dyDescent="0.25">
      <c r="F222" s="6" t="s">
        <v>449</v>
      </c>
      <c r="G222" s="9">
        <f>SUM(G2:G219)</f>
        <v>214204.77000000002</v>
      </c>
      <c r="H222" s="9">
        <f>SUM(H2:H219)</f>
        <v>1241.96</v>
      </c>
    </row>
    <row r="223" spans="1:10" x14ac:dyDescent="0.25">
      <c r="F223" s="6" t="s">
        <v>453</v>
      </c>
      <c r="G223" s="10">
        <f>+G222-H222</f>
        <v>212962.81000000003</v>
      </c>
    </row>
    <row r="224" spans="1:10" x14ac:dyDescent="0.25">
      <c r="F224" s="11" t="s">
        <v>450</v>
      </c>
      <c r="G224" s="10"/>
    </row>
    <row r="225" spans="6:7" x14ac:dyDescent="0.25">
      <c r="F225" s="6" t="s">
        <v>451</v>
      </c>
      <c r="G225" s="10">
        <v>184965</v>
      </c>
    </row>
    <row r="226" spans="6:7" x14ac:dyDescent="0.25">
      <c r="F226" s="6" t="s">
        <v>452</v>
      </c>
      <c r="G226" s="10">
        <f>+G223-G225</f>
        <v>27997.810000000027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926BD63E1EBFD44BA19057609A7EA89" ma:contentTypeVersion="28" ma:contentTypeDescription="" ma:contentTypeScope="" ma:versionID="e3e1749a9139c316c4b66069d42c2e9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Fuel Surcharge Tariff</CaseType>
    <IndustryCode xmlns="dc463f71-b30c-4ab2-9473-d307f9d35888">216</IndustryCode>
    <CaseStatus xmlns="dc463f71-b30c-4ab2-9473-d307f9d35888">Closed</CaseStatus>
    <OpenedDate xmlns="dc463f71-b30c-4ab2-9473-d307f9d35888">2022-12-07T08:00:00+00:00</OpenedDate>
    <SignificantOrder xmlns="dc463f71-b30c-4ab2-9473-d307f9d35888">false</SignificantOrder>
    <Date1 xmlns="dc463f71-b30c-4ab2-9473-d307f9d35888">2022-12-07T08:00:00+00:00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Arrow Launch Service, Inc. </CaseCompanyNames>
    <Nickname xmlns="http://schemas.microsoft.com/sharepoint/v3" xsi:nil="true"/>
    <DocketNumber xmlns="dc463f71-b30c-4ab2-9473-d307f9d35888">220908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36D36CB-7709-42C0-BFBB-4BB358A61A71}"/>
</file>

<file path=customXml/itemProps2.xml><?xml version="1.0" encoding="utf-8"?>
<ds:datastoreItem xmlns:ds="http://schemas.openxmlformats.org/officeDocument/2006/customXml" ds:itemID="{5F83B76F-73BA-405D-8FFC-90A36B7F79A4}"/>
</file>

<file path=customXml/itemProps3.xml><?xml version="1.0" encoding="utf-8"?>
<ds:datastoreItem xmlns:ds="http://schemas.openxmlformats.org/officeDocument/2006/customXml" ds:itemID="{F89380CA-9AE0-478F-89F6-69B2A3924B37}"/>
</file>

<file path=customXml/itemProps4.xml><?xml version="1.0" encoding="utf-8"?>
<ds:datastoreItem xmlns:ds="http://schemas.openxmlformats.org/officeDocument/2006/customXml" ds:itemID="{E93699CA-FE35-4A4B-BEE6-AD4FF75829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 Johnson</dc:creator>
  <cp:lastModifiedBy>Weldon Burton</cp:lastModifiedBy>
  <dcterms:created xsi:type="dcterms:W3CDTF">2019-12-11T20:15:12Z</dcterms:created>
  <dcterms:modified xsi:type="dcterms:W3CDTF">2022-12-07T18:39:39Z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0x0101006E56B4D1795A2E4DB2F0B01679ED314A003926BD63E1EBFD44BA19057609A7EA89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