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2\2022 WA Sch 88 Wildfire Tariff Filing\For Filing\"/>
    </mc:Choice>
  </mc:AlternateContent>
  <xr:revisionPtr revIDLastSave="0" documentId="13_ncr:1_{130D0798-4C99-4E53-908D-7D8310E4B414}" xr6:coauthVersionLast="46" xr6:coauthVersionMax="46" xr10:uidLastSave="{00000000-0000-0000-0000-000000000000}"/>
  <bookViews>
    <workbookView xWindow="735" yWindow="480" windowWidth="25650" windowHeight="21120" firstSheet="1" activeTab="1" xr2:uid="{1FA0B0A0-6986-41C4-A6DD-5AFE1D5CCAEF}"/>
  </bookViews>
  <sheets>
    <sheet name="Rate Design" sheetId="2" r:id="rId1"/>
    <sheet name="Deferral Balance" sheetId="1" r:id="rId2"/>
    <sheet name="Deferral Schedule" sheetId="11" r:id="rId3"/>
    <sheet name="Forecasted Revenue" sheetId="6" r:id="rId4"/>
    <sheet name="kWh Forecast" sheetId="3" r:id="rId5"/>
    <sheet name="CF WA Elec" sheetId="9" r:id="rId6"/>
    <sheet name="Tables for Cust Notice" sheetId="10" r:id="rId7"/>
  </sheets>
  <externalReferences>
    <externalReference r:id="rId8"/>
    <externalReference r:id="rId9"/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'Forecasted Revenue'!$A$1:$S$47</definedName>
    <definedName name="_xlnm.Print_Area" localSheetId="4">'kWh Forecast'!$A$1:$N$64</definedName>
    <definedName name="_xlnm.Print_Area" localSheetId="0">'Rate Design'!$A$1:$K$51</definedName>
    <definedName name="PrintAll">#REF!</definedName>
    <definedName name="Recover">[1]Macro1!$A$85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1" l="1"/>
  <c r="G34" i="1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I11" i="1" l="1"/>
  <c r="I3" i="1"/>
  <c r="I4" i="1"/>
  <c r="I5" i="1"/>
  <c r="I6" i="1"/>
  <c r="I7" i="1"/>
  <c r="I8" i="1"/>
  <c r="I9" i="1"/>
  <c r="I10" i="1"/>
  <c r="I2" i="1"/>
  <c r="D20" i="6" l="1"/>
  <c r="E20" i="6"/>
  <c r="F20" i="6"/>
  <c r="G20" i="6"/>
  <c r="I8" i="6"/>
  <c r="J8" i="6"/>
  <c r="K8" i="6"/>
  <c r="L8" i="6"/>
  <c r="M8" i="6"/>
  <c r="N8" i="6"/>
  <c r="O8" i="6"/>
  <c r="P8" i="6"/>
  <c r="Q8" i="6"/>
  <c r="R8" i="6"/>
  <c r="S8" i="6"/>
  <c r="I9" i="6"/>
  <c r="J9" i="6"/>
  <c r="K9" i="6"/>
  <c r="L9" i="6"/>
  <c r="M9" i="6"/>
  <c r="N9" i="6"/>
  <c r="O9" i="6"/>
  <c r="P9" i="6"/>
  <c r="Q9" i="6"/>
  <c r="R9" i="6"/>
  <c r="S9" i="6"/>
  <c r="H9" i="6"/>
  <c r="H8" i="6"/>
  <c r="G23" i="11"/>
  <c r="T9" i="6" l="1"/>
  <c r="D16" i="11"/>
  <c r="D6" i="11" l="1"/>
  <c r="D8" i="11" s="1"/>
  <c r="H12" i="2" l="1"/>
  <c r="G12" i="2"/>
  <c r="H10" i="2"/>
  <c r="G10" i="2"/>
  <c r="G29" i="2"/>
  <c r="H29" i="2"/>
  <c r="B14" i="1"/>
  <c r="C4" i="1" s="1"/>
  <c r="D4" i="1" s="1"/>
  <c r="C13" i="1"/>
  <c r="D13" i="1" s="1"/>
  <c r="G11" i="1"/>
  <c r="C11" i="1"/>
  <c r="D11" i="1" s="1"/>
  <c r="C9" i="1"/>
  <c r="D9" i="1" s="1"/>
  <c r="G8" i="1"/>
  <c r="C8" i="1"/>
  <c r="D8" i="1" s="1"/>
  <c r="G6" i="1"/>
  <c r="C6" i="1"/>
  <c r="D6" i="1" s="1"/>
  <c r="C5" i="1"/>
  <c r="D5" i="1" s="1"/>
  <c r="G5" i="1" s="1"/>
  <c r="G4" i="1"/>
  <c r="C3" i="1"/>
  <c r="D3" i="1" s="1"/>
  <c r="F14" i="1"/>
  <c r="E14" i="1"/>
  <c r="G3" i="1" l="1"/>
  <c r="G9" i="1"/>
  <c r="C10" i="1"/>
  <c r="D10" i="1" s="1"/>
  <c r="G10" i="1" s="1"/>
  <c r="C7" i="1"/>
  <c r="D7" i="1" s="1"/>
  <c r="G7" i="1" s="1"/>
  <c r="C12" i="1"/>
  <c r="D12" i="1" s="1"/>
  <c r="C2" i="1"/>
  <c r="D2" i="1" l="1"/>
  <c r="G2" i="1" s="1"/>
  <c r="C14" i="1"/>
  <c r="G14" i="1" l="1"/>
  <c r="I5" i="6"/>
  <c r="J5" i="6"/>
  <c r="K5" i="6"/>
  <c r="L5" i="6"/>
  <c r="M5" i="6"/>
  <c r="N5" i="6"/>
  <c r="O5" i="6"/>
  <c r="P5" i="6"/>
  <c r="Q5" i="6"/>
  <c r="R5" i="6"/>
  <c r="S5" i="6"/>
  <c r="I6" i="6"/>
  <c r="J6" i="6"/>
  <c r="K6" i="6"/>
  <c r="L6" i="6"/>
  <c r="M6" i="6"/>
  <c r="N6" i="6"/>
  <c r="O6" i="6"/>
  <c r="P6" i="6"/>
  <c r="Q6" i="6"/>
  <c r="R6" i="6"/>
  <c r="S6" i="6"/>
  <c r="I7" i="6"/>
  <c r="J7" i="6"/>
  <c r="K7" i="6"/>
  <c r="L7" i="6"/>
  <c r="M7" i="6"/>
  <c r="N7" i="6"/>
  <c r="O7" i="6"/>
  <c r="P7" i="6"/>
  <c r="Q7" i="6"/>
  <c r="R7" i="6"/>
  <c r="S7" i="6"/>
  <c r="I10" i="6"/>
  <c r="J10" i="6"/>
  <c r="K10" i="6"/>
  <c r="L10" i="6"/>
  <c r="M10" i="6"/>
  <c r="N10" i="6"/>
  <c r="O10" i="6"/>
  <c r="P10" i="6"/>
  <c r="Q10" i="6"/>
  <c r="R10" i="6"/>
  <c r="S10" i="6"/>
  <c r="I11" i="6"/>
  <c r="J11" i="6"/>
  <c r="K11" i="6"/>
  <c r="L11" i="6"/>
  <c r="M11" i="6"/>
  <c r="N11" i="6"/>
  <c r="O11" i="6"/>
  <c r="P11" i="6"/>
  <c r="Q11" i="6"/>
  <c r="R11" i="6"/>
  <c r="S11" i="6"/>
  <c r="H6" i="6"/>
  <c r="H7" i="6"/>
  <c r="H10" i="6"/>
  <c r="H11" i="6"/>
  <c r="H5" i="6"/>
  <c r="C34" i="2" l="1"/>
  <c r="D9" i="11"/>
  <c r="N29" i="3"/>
  <c r="N30" i="3"/>
  <c r="N59" i="3"/>
  <c r="N60" i="3"/>
  <c r="B60" i="3"/>
  <c r="N53" i="3"/>
  <c r="N54" i="3"/>
  <c r="N55" i="3"/>
  <c r="N56" i="3"/>
  <c r="N57" i="3"/>
  <c r="N52" i="3"/>
  <c r="N38" i="3"/>
  <c r="N39" i="3"/>
  <c r="N40" i="3"/>
  <c r="N41" i="3"/>
  <c r="N42" i="3"/>
  <c r="N43" i="3"/>
  <c r="N44" i="3"/>
  <c r="N45" i="3"/>
  <c r="N46" i="3"/>
  <c r="N47" i="3"/>
  <c r="N48" i="3"/>
  <c r="N49" i="3"/>
  <c r="N37" i="3"/>
  <c r="B50" i="3"/>
  <c r="C50" i="3"/>
  <c r="D50" i="3"/>
  <c r="E50" i="3"/>
  <c r="F50" i="3"/>
  <c r="G50" i="3"/>
  <c r="H50" i="3"/>
  <c r="I50" i="3"/>
  <c r="J50" i="3"/>
  <c r="K50" i="3"/>
  <c r="L50" i="3"/>
  <c r="M50" i="3"/>
  <c r="B52" i="3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H53" i="3"/>
  <c r="I53" i="3"/>
  <c r="J53" i="3"/>
  <c r="K53" i="3"/>
  <c r="L53" i="3"/>
  <c r="M53" i="3"/>
  <c r="B54" i="3"/>
  <c r="C54" i="3"/>
  <c r="D54" i="3"/>
  <c r="E54" i="3"/>
  <c r="F54" i="3"/>
  <c r="G54" i="3"/>
  <c r="H54" i="3"/>
  <c r="I54" i="3"/>
  <c r="J54" i="3"/>
  <c r="K54" i="3"/>
  <c r="L54" i="3"/>
  <c r="M54" i="3"/>
  <c r="N23" i="3"/>
  <c r="N24" i="3"/>
  <c r="N25" i="3"/>
  <c r="N26" i="3"/>
  <c r="N27" i="3"/>
  <c r="N22" i="3"/>
  <c r="B22" i="3"/>
  <c r="N8" i="3"/>
  <c r="N9" i="3"/>
  <c r="N10" i="3"/>
  <c r="N11" i="3"/>
  <c r="N12" i="3"/>
  <c r="N13" i="3"/>
  <c r="N14" i="3"/>
  <c r="N15" i="3"/>
  <c r="N16" i="3"/>
  <c r="N17" i="3"/>
  <c r="N18" i="3"/>
  <c r="N19" i="3"/>
  <c r="N7" i="3"/>
  <c r="G19" i="11" l="1"/>
  <c r="C29" i="2"/>
  <c r="H8" i="2" s="1"/>
  <c r="F8" i="2" l="1"/>
  <c r="E8" i="2"/>
  <c r="D8" i="2"/>
  <c r="J8" i="2"/>
  <c r="I8" i="2"/>
  <c r="G8" i="2"/>
  <c r="C37" i="2"/>
  <c r="C47" i="2"/>
  <c r="H9" i="2" l="1"/>
  <c r="H11" i="2" s="1"/>
  <c r="C8" i="2"/>
  <c r="K20" i="6" l="1"/>
  <c r="K30" i="6" s="1"/>
  <c r="K40" i="6" s="1"/>
  <c r="S20" i="6"/>
  <c r="S30" i="6" s="1"/>
  <c r="S40" i="6" s="1"/>
  <c r="Q20" i="6"/>
  <c r="Q30" i="6" s="1"/>
  <c r="Q40" i="6" s="1"/>
  <c r="J20" i="6"/>
  <c r="J30" i="6" s="1"/>
  <c r="J40" i="6" s="1"/>
  <c r="L20" i="6"/>
  <c r="L30" i="6" s="1"/>
  <c r="L40" i="6" s="1"/>
  <c r="H20" i="6"/>
  <c r="H30" i="6" s="1"/>
  <c r="H40" i="6" s="1"/>
  <c r="I20" i="6"/>
  <c r="I30" i="6" s="1"/>
  <c r="I40" i="6" s="1"/>
  <c r="M20" i="6"/>
  <c r="M30" i="6" s="1"/>
  <c r="M40" i="6" s="1"/>
  <c r="N20" i="6"/>
  <c r="N30" i="6" s="1"/>
  <c r="N40" i="6" s="1"/>
  <c r="P20" i="6"/>
  <c r="P30" i="6" s="1"/>
  <c r="P40" i="6" s="1"/>
  <c r="R20" i="6"/>
  <c r="R30" i="6" s="1"/>
  <c r="R40" i="6" s="1"/>
  <c r="O20" i="6"/>
  <c r="O30" i="6" s="1"/>
  <c r="O40" i="6" s="1"/>
  <c r="H16" i="2"/>
  <c r="H18" i="2" s="1"/>
  <c r="H19" i="2" s="1"/>
  <c r="H23" i="2" s="1"/>
  <c r="D23" i="10" s="1"/>
  <c r="H14" i="2"/>
  <c r="H13" i="2"/>
  <c r="C55" i="3" l="1"/>
  <c r="D55" i="3"/>
  <c r="E55" i="3"/>
  <c r="F55" i="3"/>
  <c r="G55" i="3"/>
  <c r="H55" i="3"/>
  <c r="H60" i="3" s="1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B57" i="3"/>
  <c r="B56" i="3"/>
  <c r="B58" i="3" s="1"/>
  <c r="B55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4" i="3"/>
  <c r="D24" i="3"/>
  <c r="E24" i="3"/>
  <c r="F24" i="3"/>
  <c r="G24" i="3"/>
  <c r="H24" i="3"/>
  <c r="I24" i="3"/>
  <c r="J24" i="3"/>
  <c r="K24" i="3"/>
  <c r="L24" i="3"/>
  <c r="M24" i="3"/>
  <c r="C25" i="3"/>
  <c r="D25" i="3"/>
  <c r="E25" i="3"/>
  <c r="F25" i="3"/>
  <c r="G25" i="3"/>
  <c r="H25" i="3"/>
  <c r="I25" i="3"/>
  <c r="J25" i="3"/>
  <c r="K25" i="3"/>
  <c r="L25" i="3"/>
  <c r="M25" i="3"/>
  <c r="C26" i="3"/>
  <c r="D26" i="3"/>
  <c r="E26" i="3"/>
  <c r="F26" i="3"/>
  <c r="G26" i="3"/>
  <c r="H26" i="3"/>
  <c r="I26" i="3"/>
  <c r="J26" i="3"/>
  <c r="K26" i="3"/>
  <c r="L26" i="3"/>
  <c r="M26" i="3"/>
  <c r="C27" i="3"/>
  <c r="C30" i="3" s="1"/>
  <c r="D27" i="3"/>
  <c r="E27" i="3"/>
  <c r="F27" i="3"/>
  <c r="G27" i="3"/>
  <c r="H27" i="3"/>
  <c r="I27" i="3"/>
  <c r="J27" i="3"/>
  <c r="K27" i="3"/>
  <c r="K30" i="3" s="1"/>
  <c r="L27" i="3"/>
  <c r="M27" i="3"/>
  <c r="L30" i="3"/>
  <c r="B20" i="3"/>
  <c r="C20" i="3"/>
  <c r="D20" i="3"/>
  <c r="E20" i="3"/>
  <c r="F20" i="3"/>
  <c r="G20" i="3"/>
  <c r="H20" i="3"/>
  <c r="I20" i="3"/>
  <c r="J20" i="3"/>
  <c r="K20" i="3"/>
  <c r="L20" i="3"/>
  <c r="M20" i="3"/>
  <c r="B27" i="3"/>
  <c r="B26" i="3"/>
  <c r="B25" i="3"/>
  <c r="B24" i="3"/>
  <c r="B23" i="3"/>
  <c r="J60" i="3" l="1"/>
  <c r="K60" i="3"/>
  <c r="C60" i="3"/>
  <c r="G30" i="3"/>
  <c r="F60" i="3"/>
  <c r="B30" i="3"/>
  <c r="I60" i="3"/>
  <c r="G60" i="3"/>
  <c r="M60" i="3"/>
  <c r="E60" i="3"/>
  <c r="D30" i="3"/>
  <c r="L60" i="3"/>
  <c r="D60" i="3"/>
  <c r="H30" i="3"/>
  <c r="B28" i="3"/>
  <c r="I30" i="3"/>
  <c r="F30" i="3"/>
  <c r="M30" i="3"/>
  <c r="E30" i="3"/>
  <c r="J30" i="3"/>
  <c r="D9" i="2" l="1"/>
  <c r="N50" i="3" l="1"/>
  <c r="E19" i="9" l="1"/>
  <c r="E21" i="9" s="1"/>
  <c r="C35" i="6" s="1"/>
  <c r="E25" i="9" l="1"/>
  <c r="S35" i="6" l="1"/>
  <c r="A1" i="9" l="1"/>
  <c r="M36" i="3" l="1"/>
  <c r="L36" i="3"/>
  <c r="K36" i="3"/>
  <c r="J36" i="3"/>
  <c r="I36" i="3"/>
  <c r="H36" i="3"/>
  <c r="G36" i="3"/>
  <c r="F36" i="3"/>
  <c r="E36" i="3"/>
  <c r="D36" i="3"/>
  <c r="C36" i="3"/>
  <c r="B36" i="3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G22" i="6"/>
  <c r="F22" i="6"/>
  <c r="E22" i="6"/>
  <c r="D22" i="6"/>
  <c r="G21" i="6"/>
  <c r="F21" i="6"/>
  <c r="E21" i="6"/>
  <c r="D21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C22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N20" i="3" l="1"/>
  <c r="I58" i="3"/>
  <c r="M58" i="3"/>
  <c r="H58" i="3"/>
  <c r="L58" i="3"/>
  <c r="P12" i="6"/>
  <c r="P13" i="6" s="1"/>
  <c r="E10" i="2"/>
  <c r="J28" i="3"/>
  <c r="L12" i="6"/>
  <c r="L13" i="6" s="1"/>
  <c r="E12" i="2"/>
  <c r="F12" i="2"/>
  <c r="I12" i="2"/>
  <c r="F58" i="3"/>
  <c r="J58" i="3"/>
  <c r="G58" i="3"/>
  <c r="K58" i="3"/>
  <c r="D12" i="2"/>
  <c r="I12" i="6"/>
  <c r="I13" i="6" s="1"/>
  <c r="Q12" i="6"/>
  <c r="Q13" i="6" s="1"/>
  <c r="F10" i="2"/>
  <c r="M12" i="6"/>
  <c r="M13" i="6" s="1"/>
  <c r="G28" i="3"/>
  <c r="K28" i="3"/>
  <c r="I10" i="2"/>
  <c r="J10" i="2"/>
  <c r="F28" i="3"/>
  <c r="H28" i="3"/>
  <c r="L28" i="3"/>
  <c r="I28" i="3"/>
  <c r="M28" i="3"/>
  <c r="K12" i="6"/>
  <c r="K13" i="6" s="1"/>
  <c r="O12" i="6"/>
  <c r="O13" i="6" s="1"/>
  <c r="S12" i="6"/>
  <c r="S13" i="6" s="1"/>
  <c r="C12" i="2" l="1"/>
  <c r="H12" i="6"/>
  <c r="H13" i="6" s="1"/>
  <c r="N58" i="3"/>
  <c r="N28" i="3"/>
  <c r="D10" i="2"/>
  <c r="D11" i="2" s="1"/>
  <c r="R12" i="6"/>
  <c r="R13" i="6" s="1"/>
  <c r="J12" i="6"/>
  <c r="J13" i="6" s="1"/>
  <c r="N12" i="6"/>
  <c r="N13" i="6" s="1"/>
  <c r="F32" i="6"/>
  <c r="F42" i="6" s="1"/>
  <c r="F27" i="6"/>
  <c r="F37" i="6" s="1"/>
  <c r="E31" i="6"/>
  <c r="E41" i="6" s="1"/>
  <c r="E29" i="6"/>
  <c r="E39" i="6" s="1"/>
  <c r="G32" i="6"/>
  <c r="G42" i="6" s="1"/>
  <c r="G28" i="6"/>
  <c r="G38" i="6" s="1"/>
  <c r="F31" i="6"/>
  <c r="F41" i="6" s="1"/>
  <c r="G29" i="6"/>
  <c r="G39" i="6" s="1"/>
  <c r="F28" i="6"/>
  <c r="F38" i="6" s="1"/>
  <c r="E32" i="6"/>
  <c r="E42" i="6" s="1"/>
  <c r="E28" i="6"/>
  <c r="E38" i="6" s="1"/>
  <c r="F29" i="6"/>
  <c r="F39" i="6" s="1"/>
  <c r="G31" i="6"/>
  <c r="G41" i="6" s="1"/>
  <c r="G27" i="6"/>
  <c r="G37" i="6" s="1"/>
  <c r="C10" i="2" l="1"/>
  <c r="E27" i="6"/>
  <c r="E37" i="6" s="1"/>
  <c r="D28" i="6"/>
  <c r="D38" i="6" s="1"/>
  <c r="T7" i="6"/>
  <c r="D29" i="6"/>
  <c r="D39" i="6" s="1"/>
  <c r="T8" i="6"/>
  <c r="D31" i="6"/>
  <c r="D41" i="6" s="1"/>
  <c r="T10" i="6"/>
  <c r="D32" i="6"/>
  <c r="D42" i="6" s="1"/>
  <c r="T11" i="6"/>
  <c r="G26" i="6"/>
  <c r="E12" i="6"/>
  <c r="E26" i="6"/>
  <c r="E36" i="6" s="1"/>
  <c r="F12" i="6"/>
  <c r="E28" i="3"/>
  <c r="C28" i="3"/>
  <c r="D28" i="3"/>
  <c r="D26" i="6"/>
  <c r="D36" i="6" s="1"/>
  <c r="F26" i="6"/>
  <c r="D16" i="2" l="1"/>
  <c r="D13" i="2"/>
  <c r="G12" i="6"/>
  <c r="T5" i="6"/>
  <c r="D27" i="6"/>
  <c r="D37" i="6" s="1"/>
  <c r="D43" i="6" s="1"/>
  <c r="T6" i="6"/>
  <c r="G36" i="6"/>
  <c r="G43" i="6" s="1"/>
  <c r="G33" i="6"/>
  <c r="E9" i="2"/>
  <c r="E11" i="2" s="1"/>
  <c r="F9" i="2"/>
  <c r="F11" i="2" s="1"/>
  <c r="I9" i="2"/>
  <c r="I11" i="2" s="1"/>
  <c r="G9" i="2"/>
  <c r="G11" i="2" s="1"/>
  <c r="J9" i="2"/>
  <c r="J11" i="2" s="1"/>
  <c r="F33" i="6"/>
  <c r="F36" i="6"/>
  <c r="F43" i="6" s="1"/>
  <c r="D12" i="6"/>
  <c r="E33" i="6"/>
  <c r="E43" i="6"/>
  <c r="D25" i="2" l="1"/>
  <c r="D26" i="2" s="1"/>
  <c r="I14" i="2"/>
  <c r="J16" i="2"/>
  <c r="T12" i="6"/>
  <c r="F16" i="2"/>
  <c r="F13" i="2"/>
  <c r="F14" i="2"/>
  <c r="E13" i="2"/>
  <c r="E14" i="2"/>
  <c r="E16" i="2"/>
  <c r="G16" i="2"/>
  <c r="G13" i="2"/>
  <c r="G14" i="2"/>
  <c r="D33" i="6"/>
  <c r="C49" i="2" l="1"/>
  <c r="I16" i="2"/>
  <c r="Q21" i="6" s="1"/>
  <c r="Q31" i="6" s="1"/>
  <c r="Q41" i="6" s="1"/>
  <c r="I13" i="2"/>
  <c r="H22" i="6"/>
  <c r="H32" i="6" s="1"/>
  <c r="H42" i="6" s="1"/>
  <c r="N22" i="6"/>
  <c r="N32" i="6" s="1"/>
  <c r="N42" i="6" s="1"/>
  <c r="P22" i="6"/>
  <c r="P32" i="6" s="1"/>
  <c r="P42" i="6" s="1"/>
  <c r="I22" i="6"/>
  <c r="I32" i="6" s="1"/>
  <c r="I42" i="6" s="1"/>
  <c r="L22" i="6"/>
  <c r="L32" i="6" s="1"/>
  <c r="L42" i="6" s="1"/>
  <c r="S22" i="6"/>
  <c r="S32" i="6" s="1"/>
  <c r="S42" i="6" s="1"/>
  <c r="K22" i="6"/>
  <c r="K32" i="6" s="1"/>
  <c r="K42" i="6" s="1"/>
  <c r="J18" i="2"/>
  <c r="J19" i="2" s="1"/>
  <c r="J23" i="2" s="1"/>
  <c r="D25" i="10" s="1"/>
  <c r="Q22" i="6"/>
  <c r="Q32" i="6" s="1"/>
  <c r="Q42" i="6" s="1"/>
  <c r="J22" i="6"/>
  <c r="J32" i="6" s="1"/>
  <c r="J42" i="6" s="1"/>
  <c r="M22" i="6"/>
  <c r="M32" i="6" s="1"/>
  <c r="M42" i="6" s="1"/>
  <c r="O22" i="6"/>
  <c r="O32" i="6" s="1"/>
  <c r="O42" i="6" s="1"/>
  <c r="R22" i="6"/>
  <c r="R32" i="6" s="1"/>
  <c r="R42" i="6" s="1"/>
  <c r="R19" i="6"/>
  <c r="R29" i="6" s="1"/>
  <c r="R39" i="6" s="1"/>
  <c r="L19" i="6"/>
  <c r="L29" i="6" s="1"/>
  <c r="L39" i="6" s="1"/>
  <c r="G18" i="2"/>
  <c r="G19" i="2" s="1"/>
  <c r="G23" i="2" s="1"/>
  <c r="S19" i="6"/>
  <c r="S29" i="6" s="1"/>
  <c r="S39" i="6" s="1"/>
  <c r="N19" i="6"/>
  <c r="N29" i="6" s="1"/>
  <c r="N39" i="6" s="1"/>
  <c r="H19" i="6"/>
  <c r="H29" i="6" s="1"/>
  <c r="H39" i="6" s="1"/>
  <c r="M19" i="6"/>
  <c r="M29" i="6" s="1"/>
  <c r="M39" i="6" s="1"/>
  <c r="O19" i="6"/>
  <c r="O29" i="6" s="1"/>
  <c r="O39" i="6" s="1"/>
  <c r="J19" i="6"/>
  <c r="J29" i="6" s="1"/>
  <c r="J39" i="6" s="1"/>
  <c r="I19" i="6"/>
  <c r="I29" i="6" s="1"/>
  <c r="I39" i="6" s="1"/>
  <c r="K19" i="6"/>
  <c r="K29" i="6" s="1"/>
  <c r="K39" i="6" s="1"/>
  <c r="P19" i="6"/>
  <c r="P29" i="6" s="1"/>
  <c r="P39" i="6" s="1"/>
  <c r="Q19" i="6"/>
  <c r="Q29" i="6" s="1"/>
  <c r="Q39" i="6" s="1"/>
  <c r="K17" i="6"/>
  <c r="K27" i="6" s="1"/>
  <c r="K37" i="6" s="1"/>
  <c r="P17" i="6"/>
  <c r="P27" i="6" s="1"/>
  <c r="P37" i="6" s="1"/>
  <c r="E18" i="2"/>
  <c r="E19" i="2" s="1"/>
  <c r="E23" i="2" s="1"/>
  <c r="R17" i="6"/>
  <c r="R27" i="6" s="1"/>
  <c r="R37" i="6" s="1"/>
  <c r="L17" i="6"/>
  <c r="L27" i="6" s="1"/>
  <c r="L37" i="6" s="1"/>
  <c r="M17" i="6"/>
  <c r="M27" i="6" s="1"/>
  <c r="M37" i="6" s="1"/>
  <c r="S17" i="6"/>
  <c r="S27" i="6" s="1"/>
  <c r="S37" i="6" s="1"/>
  <c r="N17" i="6"/>
  <c r="N27" i="6" s="1"/>
  <c r="N37" i="6" s="1"/>
  <c r="H17" i="6"/>
  <c r="H27" i="6" s="1"/>
  <c r="H37" i="6" s="1"/>
  <c r="I17" i="6"/>
  <c r="I27" i="6" s="1"/>
  <c r="I37" i="6" s="1"/>
  <c r="O17" i="6"/>
  <c r="O27" i="6" s="1"/>
  <c r="O37" i="6" s="1"/>
  <c r="J17" i="6"/>
  <c r="J27" i="6" s="1"/>
  <c r="J37" i="6" s="1"/>
  <c r="Q17" i="6"/>
  <c r="Q27" i="6" s="1"/>
  <c r="Q37" i="6" s="1"/>
  <c r="D14" i="2"/>
  <c r="K18" i="6"/>
  <c r="K28" i="6" s="1"/>
  <c r="K38" i="6" s="1"/>
  <c r="P18" i="6"/>
  <c r="P28" i="6" s="1"/>
  <c r="P38" i="6" s="1"/>
  <c r="M18" i="6"/>
  <c r="M28" i="6" s="1"/>
  <c r="M38" i="6" s="1"/>
  <c r="R18" i="6"/>
  <c r="R28" i="6" s="1"/>
  <c r="R38" i="6" s="1"/>
  <c r="L18" i="6"/>
  <c r="L28" i="6" s="1"/>
  <c r="L38" i="6" s="1"/>
  <c r="I18" i="6"/>
  <c r="I28" i="6" s="1"/>
  <c r="I38" i="6" s="1"/>
  <c r="S18" i="6"/>
  <c r="S28" i="6" s="1"/>
  <c r="S38" i="6" s="1"/>
  <c r="N18" i="6"/>
  <c r="N28" i="6" s="1"/>
  <c r="N38" i="6" s="1"/>
  <c r="H18" i="6"/>
  <c r="H28" i="6" s="1"/>
  <c r="H38" i="6" s="1"/>
  <c r="F18" i="2"/>
  <c r="F19" i="2" s="1"/>
  <c r="F23" i="2" s="1"/>
  <c r="O18" i="6"/>
  <c r="O28" i="6" s="1"/>
  <c r="O38" i="6" s="1"/>
  <c r="J18" i="6"/>
  <c r="J28" i="6" s="1"/>
  <c r="J38" i="6" s="1"/>
  <c r="Q18" i="6"/>
  <c r="Q28" i="6" s="1"/>
  <c r="Q38" i="6" s="1"/>
  <c r="C51" i="2" l="1"/>
  <c r="D49" i="2"/>
  <c r="M21" i="6"/>
  <c r="M31" i="6" s="1"/>
  <c r="M41" i="6" s="1"/>
  <c r="L21" i="6"/>
  <c r="L31" i="6" s="1"/>
  <c r="L41" i="6" s="1"/>
  <c r="R21" i="6"/>
  <c r="R31" i="6" s="1"/>
  <c r="R41" i="6" s="1"/>
  <c r="J21" i="6"/>
  <c r="J31" i="6" s="1"/>
  <c r="J41" i="6" s="1"/>
  <c r="O21" i="6"/>
  <c r="O31" i="6" s="1"/>
  <c r="O41" i="6" s="1"/>
  <c r="I18" i="2"/>
  <c r="I19" i="2" s="1"/>
  <c r="I23" i="2" s="1"/>
  <c r="D24" i="10" s="1"/>
  <c r="I21" i="6"/>
  <c r="I31" i="6" s="1"/>
  <c r="I41" i="6" s="1"/>
  <c r="N21" i="6"/>
  <c r="N31" i="6" s="1"/>
  <c r="N41" i="6" s="1"/>
  <c r="P21" i="6"/>
  <c r="P31" i="6" s="1"/>
  <c r="P41" i="6" s="1"/>
  <c r="S21" i="6"/>
  <c r="S31" i="6" s="1"/>
  <c r="S41" i="6" s="1"/>
  <c r="H21" i="6"/>
  <c r="H31" i="6" s="1"/>
  <c r="H41" i="6" s="1"/>
  <c r="K21" i="6"/>
  <c r="K31" i="6" s="1"/>
  <c r="K41" i="6" s="1"/>
  <c r="D22" i="10"/>
  <c r="D21" i="10"/>
  <c r="D20" i="10"/>
  <c r="R16" i="6"/>
  <c r="R26" i="6" s="1"/>
  <c r="L16" i="6"/>
  <c r="L26" i="6" s="1"/>
  <c r="Q16" i="6"/>
  <c r="Q26" i="6" s="1"/>
  <c r="S16" i="6"/>
  <c r="S26" i="6" s="1"/>
  <c r="N16" i="6"/>
  <c r="N26" i="6" s="1"/>
  <c r="H16" i="6"/>
  <c r="H26" i="6" s="1"/>
  <c r="D18" i="2"/>
  <c r="D19" i="2" s="1"/>
  <c r="D23" i="2" s="1"/>
  <c r="O16" i="6"/>
  <c r="O26" i="6" s="1"/>
  <c r="J16" i="6"/>
  <c r="J26" i="6" s="1"/>
  <c r="M16" i="6"/>
  <c r="M26" i="6" s="1"/>
  <c r="K16" i="6"/>
  <c r="K26" i="6" s="1"/>
  <c r="P16" i="6"/>
  <c r="P26" i="6" s="1"/>
  <c r="I16" i="6"/>
  <c r="I26" i="6" s="1"/>
  <c r="H36" i="6" l="1"/>
  <c r="H43" i="6" s="1"/>
  <c r="H33" i="6"/>
  <c r="M33" i="6"/>
  <c r="M36" i="6"/>
  <c r="M43" i="6" s="1"/>
  <c r="L36" i="6"/>
  <c r="L43" i="6" s="1"/>
  <c r="L33" i="6"/>
  <c r="I33" i="6"/>
  <c r="I36" i="6"/>
  <c r="I43" i="6" s="1"/>
  <c r="J36" i="6"/>
  <c r="J43" i="6" s="1"/>
  <c r="J33" i="6"/>
  <c r="N36" i="6"/>
  <c r="N43" i="6" s="1"/>
  <c r="N33" i="6"/>
  <c r="R36" i="6"/>
  <c r="R43" i="6" s="1"/>
  <c r="R33" i="6"/>
  <c r="P33" i="6"/>
  <c r="P36" i="6"/>
  <c r="P43" i="6" s="1"/>
  <c r="O36" i="6"/>
  <c r="O43" i="6" s="1"/>
  <c r="O33" i="6"/>
  <c r="S36" i="6"/>
  <c r="S43" i="6" s="1"/>
  <c r="S33" i="6"/>
  <c r="K36" i="6"/>
  <c r="K43" i="6" s="1"/>
  <c r="K33" i="6"/>
  <c r="Q36" i="6"/>
  <c r="Q43" i="6" s="1"/>
  <c r="Q33" i="6"/>
  <c r="J6" i="11" l="1"/>
  <c r="J37" i="11"/>
  <c r="L6" i="11"/>
  <c r="J39" i="11"/>
  <c r="O6" i="11"/>
  <c r="J42" i="11"/>
  <c r="J43" i="11"/>
  <c r="P6" i="11"/>
  <c r="J44" i="11"/>
  <c r="Q6" i="11"/>
  <c r="M6" i="11"/>
  <c r="J40" i="11"/>
  <c r="J35" i="11"/>
  <c r="H6" i="11"/>
  <c r="J36" i="11"/>
  <c r="I6" i="11"/>
  <c r="K6" i="11"/>
  <c r="J38" i="11"/>
  <c r="N6" i="11"/>
  <c r="J41" i="11"/>
  <c r="G6" i="11"/>
  <c r="J34" i="11"/>
  <c r="F6" i="11"/>
  <c r="J33" i="11"/>
  <c r="I33" i="11" s="1"/>
  <c r="U33" i="6"/>
  <c r="U43" i="6"/>
  <c r="C19" i="2"/>
  <c r="C23" i="2" s="1"/>
  <c r="R6" i="11" l="1"/>
  <c r="H33" i="11"/>
  <c r="I34" i="11" s="1"/>
  <c r="J46" i="11"/>
  <c r="F7" i="11"/>
  <c r="U45" i="6"/>
  <c r="D26" i="10"/>
  <c r="D19" i="10"/>
  <c r="F8" i="11" l="1"/>
  <c r="F9" i="11" s="1"/>
  <c r="G7" i="11"/>
  <c r="E58" i="3"/>
  <c r="C58" i="3"/>
  <c r="D58" i="3"/>
  <c r="G8" i="11" l="1"/>
  <c r="G9" i="11" s="1"/>
  <c r="H7" i="11" s="1"/>
  <c r="H8" i="11" l="1"/>
  <c r="H9" i="11" s="1"/>
  <c r="I7" i="11" s="1"/>
  <c r="I8" i="11" l="1"/>
  <c r="I9" i="11" s="1"/>
  <c r="J7" i="11" s="1"/>
  <c r="J8" i="11" l="1"/>
  <c r="J9" i="11" s="1"/>
  <c r="K7" i="11" s="1"/>
  <c r="K8" i="11" l="1"/>
  <c r="K9" i="11" s="1"/>
  <c r="L7" i="11" s="1"/>
  <c r="L8" i="11" l="1"/>
  <c r="L9" i="11" s="1"/>
  <c r="M7" i="11" s="1"/>
  <c r="M8" i="11" l="1"/>
  <c r="M9" i="11" s="1"/>
  <c r="N7" i="11" s="1"/>
  <c r="N8" i="11" l="1"/>
  <c r="N9" i="11" s="1"/>
  <c r="O7" i="11" s="1"/>
  <c r="O8" i="11" l="1"/>
  <c r="O9" i="11" s="1"/>
  <c r="P7" i="11" s="1"/>
  <c r="P8" i="11" l="1"/>
  <c r="P9" i="11" s="1"/>
  <c r="Q7" i="11" s="1"/>
  <c r="G20" i="11" s="1"/>
  <c r="Q8" i="11" l="1"/>
  <c r="Q9" i="11" s="1"/>
  <c r="R7" i="11"/>
  <c r="C35" i="2" s="1"/>
  <c r="G21" i="11"/>
  <c r="G24" i="11" s="1"/>
  <c r="C38" i="2" l="1"/>
  <c r="C36" i="2"/>
  <c r="H34" i="11" l="1"/>
  <c r="I35" i="11" s="1"/>
  <c r="H35" i="11" l="1"/>
  <c r="I36" i="11" s="1"/>
  <c r="H36" i="11" l="1"/>
  <c r="I37" i="11" s="1"/>
  <c r="H37" i="11" l="1"/>
  <c r="I38" i="11" s="1"/>
  <c r="H38" i="11" l="1"/>
  <c r="I39" i="11" s="1"/>
  <c r="H39" i="11" l="1"/>
  <c r="I40" i="11" s="1"/>
  <c r="H40" i="11" l="1"/>
  <c r="I41" i="11" s="1"/>
  <c r="H41" i="11" l="1"/>
  <c r="I42" i="11" s="1"/>
  <c r="H42" i="11" l="1"/>
  <c r="I43" i="11" s="1"/>
  <c r="H43" i="11" l="1"/>
  <c r="I44" i="11" s="1"/>
  <c r="I46" i="11" l="1"/>
  <c r="H44" i="11" l="1"/>
</calcChain>
</file>

<file path=xl/sharedStrings.xml><?xml version="1.0" encoding="utf-8"?>
<sst xmlns="http://schemas.openxmlformats.org/spreadsheetml/2006/main" count="227" uniqueCount="168">
  <si>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</si>
  <si>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</si>
  <si>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</si>
  <si>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</si>
  <si>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</si>
  <si>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</si>
  <si>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</si>
  <si>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</si>
  <si>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</si>
  <si>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</si>
  <si>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</si>
  <si>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</si>
  <si>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</si>
  <si>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</si>
  <si>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</si>
  <si>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</si>
  <si>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</si>
  <si>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</si>
  <si>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</si>
  <si>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</si>
  <si>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</si>
  <si>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</si>
  <si>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(1)</t>
  </si>
  <si>
    <t>Annual Load (Rate Year)</t>
  </si>
  <si>
    <t>(2)</t>
  </si>
  <si>
    <t>Cents Per kWh Rate</t>
  </si>
  <si>
    <t>Total Bills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</si>
  <si>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</si>
  <si>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</si>
  <si>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</si>
  <si>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</si>
  <si>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</si>
  <si>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</si>
  <si>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</si>
  <si>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</si>
  <si>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</si>
  <si>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</si>
  <si>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</si>
  <si>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</si>
  <si>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</si>
  <si>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</si>
  <si>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</si>
  <si>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</si>
  <si>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</si>
  <si>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</si>
  <si>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</si>
  <si>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</si>
  <si>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</si>
  <si>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</si>
  <si>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</si>
  <si>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</si>
  <si>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</si>
  <si>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</si>
  <si>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</si>
  <si>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</si>
  <si>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</si>
  <si>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</si>
  <si>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</si>
  <si>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</si>
  <si>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</si>
  <si>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</si>
  <si>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</si>
  <si>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</si>
  <si>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</si>
  <si>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</si>
  <si>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</si>
  <si>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</si>
  <si>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</si>
  <si>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</si>
  <si>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</si>
  <si>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</si>
  <si>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</si>
  <si>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</si>
  <si>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</si>
  <si>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SCHEDULE 1, 2</t>
  </si>
  <si>
    <t>WA001/WA002</t>
  </si>
  <si>
    <t>Residential Schedule 001/002</t>
  </si>
  <si>
    <t>Schedule No.</t>
  </si>
  <si>
    <t>1/2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</si>
  <si>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</si>
  <si>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</si>
  <si>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</si>
  <si>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</si>
  <si>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</si>
  <si>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</si>
  <si>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</si>
  <si>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</si>
  <si>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Overall</t>
  </si>
  <si>
    <t>Present</t>
  </si>
  <si>
    <t>Proposed</t>
  </si>
  <si>
    <t>Total Rebate Amount (Grossed Up)</t>
  </si>
  <si>
    <t>Approved In</t>
  </si>
  <si>
    <t>Change in Billed Revenue</t>
  </si>
  <si>
    <t>Plus Bill Impact</t>
  </si>
  <si>
    <t>SCH. 21,22,23</t>
  </si>
  <si>
    <t>SCH. 11,12,13</t>
  </si>
  <si>
    <t>UE-200900 Cost of Service Study</t>
  </si>
  <si>
    <t>TWELVE MONTHS ENDED DECEMBER 31, 2019 (Effective 10/01/21)</t>
  </si>
  <si>
    <t>UE-200900</t>
  </si>
  <si>
    <t>WA002</t>
  </si>
  <si>
    <t>WA025I</t>
  </si>
  <si>
    <t>WA023</t>
  </si>
  <si>
    <t>WA013</t>
  </si>
  <si>
    <t>WA011/012/013</t>
  </si>
  <si>
    <t>WA025/025I</t>
  </si>
  <si>
    <t>WA021/022/023</t>
  </si>
  <si>
    <t>EREV Feb Mid-month 02.16.22</t>
  </si>
  <si>
    <t>Residential Bill Impact (932 kWh's)</t>
  </si>
  <si>
    <t>Bill at 932 kWhs</t>
  </si>
  <si>
    <t>Amortization</t>
  </si>
  <si>
    <t>11/12/13</t>
  </si>
  <si>
    <t>21/22/23</t>
  </si>
  <si>
    <t>Total Base Revenue Percentage</t>
  </si>
  <si>
    <t>Base Revenue Allocated</t>
  </si>
  <si>
    <t xml:space="preserve">Wildfire Allocation </t>
  </si>
  <si>
    <t>Wildfire Deferral</t>
  </si>
  <si>
    <t>Conversion Factor</t>
  </si>
  <si>
    <t>Grossed up Wildfire Deferral Costs</t>
  </si>
  <si>
    <t>R01 Retail Sales Revenue</t>
  </si>
  <si>
    <t>Nov 1, 2022 through Oct 31, 2023 Forecasted Loads (input)</t>
  </si>
  <si>
    <t>Wildfire Amortization Rates</t>
  </si>
  <si>
    <t xml:space="preserve">Gross Wildfire Amortization </t>
  </si>
  <si>
    <t xml:space="preserve">Net Wildfire Amortization  </t>
  </si>
  <si>
    <t>Curve</t>
  </si>
  <si>
    <t>Monthly WA Wildfire Expense</t>
  </si>
  <si>
    <t>DJ477 - Booked</t>
  </si>
  <si>
    <t>WA Revenue Forecast</t>
  </si>
  <si>
    <r>
      <t>WA Wildfire Expense Base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</si>
  <si>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  </t>
  </si>
  <si>
    <t>Avg Monthly Impact Per Customer</t>
  </si>
  <si>
    <t>Avg Annual Impact Per Customer</t>
  </si>
  <si>
    <t>SCHEDULE 25</t>
  </si>
  <si>
    <t>SCHEDULE 25I</t>
  </si>
  <si>
    <t>SP. CONTRACT</t>
  </si>
  <si>
    <t>Table 1 - Impact by Rate Schedule</t>
  </si>
  <si>
    <t>25I</t>
  </si>
  <si>
    <t>Special Contract</t>
  </si>
  <si>
    <t>25</t>
  </si>
  <si>
    <t>End January</t>
  </si>
  <si>
    <t>End February</t>
  </si>
  <si>
    <t>End March</t>
  </si>
  <si>
    <t>End April</t>
  </si>
  <si>
    <t>End May</t>
  </si>
  <si>
    <t>End June</t>
  </si>
  <si>
    <t>End July</t>
  </si>
  <si>
    <t>End August</t>
  </si>
  <si>
    <t>End September</t>
  </si>
  <si>
    <t xml:space="preserve">End October </t>
  </si>
  <si>
    <t>End November</t>
  </si>
  <si>
    <t>End December</t>
  </si>
  <si>
    <t>Net change in balance</t>
  </si>
  <si>
    <t>Return on Wildfire Costs</t>
  </si>
  <si>
    <t>Total Wildfire Costs</t>
  </si>
  <si>
    <t>Elec Wildfire deferral balance</t>
  </si>
  <si>
    <t>ROR</t>
  </si>
  <si>
    <t>Monthly Rate</t>
  </si>
  <si>
    <t>Rate of Return (UE-200900)</t>
  </si>
  <si>
    <t>Expected Wildfire tariff rider amortization revenue</t>
  </si>
  <si>
    <t>Expected Wildfire interest</t>
  </si>
  <si>
    <t>Revenue Conversion</t>
  </si>
  <si>
    <t>Total to Recover</t>
  </si>
  <si>
    <t>Total To Collect</t>
  </si>
  <si>
    <t>Special Contract Schedule 25I</t>
  </si>
  <si>
    <t>July 31 Balance</t>
  </si>
  <si>
    <t>Date</t>
  </si>
  <si>
    <t>Unamortized Balance (1)</t>
  </si>
  <si>
    <t>Interest (2)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</si>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</sst>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  <numFmt numFmtId="176" formatCode="_(&quot;$&quot;* #,##0.000_);_(&quot;$&quot;* \(#,##0.000\);_(&quot;$&quot;* &quot;-&quot;??_);_(@_)"/>
    <numFmt numFmtId="177" formatCode="_(* #,##0.00000_);_(* \(#,##0.00000\);_(* &quot;-&quot;??_);_(@_)"/>
    <numFmt numFmtId="178" formatCode="0000"/>
    <numFmt numFmtId="179" formatCode="000000"/>
    <numFmt numFmtId="180" formatCode="d\.mmm\.yy"/>
    <numFmt numFmtId="181" formatCode="_-* #,##0.00\ _D_M_-;\-* #,##0.00\ _D_M_-;_-* &quot;-&quot;??\ _D_M_-;_-@_-"/>
    <numFmt numFmtId="182" formatCode="_(* #,##0.000_);_(* \(#,##0.000\);_(* &quot;-&quot;??_);_(@_)"/>
    <numFmt numFmtId="183" formatCode="#."/>
    <numFmt numFmtId="184" formatCode="_-* #,##0.00\ &quot;DM&quot;_-;\-* #,##0.00\ &quot;DM&quot;_-;_-* &quot;-&quot;??\ &quot;DM&quot;_-;_-@_-"/>
    <numFmt numFmtId="185" formatCode="_(* ###0_);_(* \(###0\);_(* &quot;-&quot;_);_(@_)"/>
    <numFmt numFmtId="186" formatCode="&quot;$&quot;#,##0\ ;\(&quot;$&quot;#,##0\)"/>
    <numFmt numFmtId="187" formatCode="mmmm\ d\,\ yyyy"/>
    <numFmt numFmtId="188" formatCode="[Blue]#,##0_);[Magenta]\(#,##0\)"/>
    <numFmt numFmtId="189" formatCode="_([$€-2]* #,##0.00_);_([$€-2]* \(#,##0.00\);_([$€-2]* &quot;-&quot;??_)"/>
    <numFmt numFmtId="190" formatCode="_(&quot;$&quot;* #,##0.0_);_(&quot;$&quot;* \(#,##0.0\);_(&quot;$&quot;* &quot;-&quot;??_);_(@_)"/>
    <numFmt numFmtId="191" formatCode="0.0000_);\(0.0000\)"/>
    <numFmt numFmtId="192" formatCode="0.00_)"/>
    <numFmt numFmtId="193" formatCode="&quot;$&quot;#,##0;\-&quot;$&quot;#,##0"/>
    <numFmt numFmtId="194" formatCode="_(&quot;$&quot;* #,##0.000000_);_(&quot;$&quot;* \(#,##0.000000\);_(&quot;$&quot;* &quot;-&quot;??????_);_(@_)"/>
    <numFmt numFmtId="195" formatCode="#,##0.00\ ;\(#,##0.00\)"/>
    <numFmt numFmtId="196" formatCode="0\ &quot; HR&quot;"/>
    <numFmt numFmtId="197" formatCode="0000000"/>
    <numFmt numFmtId="198" formatCode="0.0000%"/>
    <numFmt numFmtId="199" formatCode="0.00000%"/>
    <numFmt numFmtId="200" formatCode="mmm\-yyyy"/>
    <numFmt numFmtId="201" formatCode="m/yy"/>
    <numFmt numFmtId="202" formatCode="_(&quot;$&quot;* #,##0.0000_);_(&quot;$&quot;* \(#,##0.0000\);_(&quot;$&quot;* &quot;-&quot;????_);_(@_)"/>
    <numFmt numFmtId="203" formatCode="_(* #,##0.0_);_(* \(#,##0.0\);_(* &quot;-&quot;_);_(@_)"/>
    <numFmt numFmtId="204" formatCode="0.000000%"/>
  </numFmts>
  <fonts count="14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6" tint="-0.249977111117893"/>
      <name val="Arial"/>
      <family val="2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</fonts>
  <fills count="10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490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40" fillId="0" borderId="0">
      <alignment readingOrder="1"/>
    </xf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0" fillId="0" borderId="0">
      <alignment readingOrder="1"/>
    </xf>
    <xf numFmtId="0" fontId="7" fillId="0" borderId="0"/>
    <xf numFmtId="3" fontId="12" fillId="0" borderId="0"/>
    <xf numFmtId="3" fontId="12" fillId="0" borderId="0"/>
    <xf numFmtId="0" fontId="13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4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4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49" fillId="0" borderId="0"/>
    <xf numFmtId="0" fontId="49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49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49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49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13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4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49" fillId="0" borderId="0"/>
    <xf numFmtId="0" fontId="49" fillId="0" borderId="0"/>
    <xf numFmtId="0" fontId="49" fillId="0" borderId="0"/>
    <xf numFmtId="0" fontId="49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7" fontId="13" fillId="0" borderId="0">
      <alignment horizontal="left" wrapText="1"/>
    </xf>
    <xf numFmtId="177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49" fillId="0" borderId="0"/>
    <xf numFmtId="0" fontId="49" fillId="0" borderId="0"/>
    <xf numFmtId="178" fontId="51" fillId="0" borderId="0">
      <alignment horizontal="left"/>
    </xf>
    <xf numFmtId="179" fontId="52" fillId="0" borderId="0">
      <alignment horizontal="left"/>
    </xf>
    <xf numFmtId="0" fontId="53" fillId="0" borderId="28"/>
    <xf numFmtId="0" fontId="54" fillId="0" borderId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171" fontId="50" fillId="0" borderId="0">
      <alignment horizontal="left" wrapText="1"/>
    </xf>
    <xf numFmtId="0" fontId="55" fillId="3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171" fontId="50" fillId="0" borderId="0">
      <alignment horizontal="left" wrapText="1"/>
    </xf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5" fillId="35" borderId="0" applyNumberFormat="0" applyBorder="0" applyAlignment="0" applyProtection="0"/>
    <xf numFmtId="171" fontId="50" fillId="0" borderId="0">
      <alignment horizontal="left" wrapText="1"/>
    </xf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171" fontId="50" fillId="0" borderId="0">
      <alignment horizontal="left" wrapText="1"/>
    </xf>
    <xf numFmtId="0" fontId="55" fillId="3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171" fontId="50" fillId="0" borderId="0">
      <alignment horizontal="left" wrapText="1"/>
    </xf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55" fillId="37" borderId="0" applyNumberFormat="0" applyBorder="0" applyAlignment="0" applyProtection="0"/>
    <xf numFmtId="171" fontId="50" fillId="0" borderId="0">
      <alignment horizontal="left" wrapText="1"/>
    </xf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171" fontId="50" fillId="0" borderId="0">
      <alignment horizontal="left" wrapText="1"/>
    </xf>
    <xf numFmtId="0" fontId="55" fillId="3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171" fontId="50" fillId="0" borderId="0">
      <alignment horizontal="left" wrapText="1"/>
    </xf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5" fillId="39" borderId="0" applyNumberFormat="0" applyBorder="0" applyAlignment="0" applyProtection="0"/>
    <xf numFmtId="171" fontId="50" fillId="0" borderId="0">
      <alignment horizontal="left" wrapText="1"/>
    </xf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171" fontId="50" fillId="0" borderId="0">
      <alignment horizontal="left" wrapText="1"/>
    </xf>
    <xf numFmtId="0" fontId="55" fillId="41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171" fontId="50" fillId="0" borderId="0">
      <alignment horizontal="left" wrapText="1"/>
    </xf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55" fillId="41" borderId="0" applyNumberFormat="0" applyBorder="0" applyAlignment="0" applyProtection="0"/>
    <xf numFmtId="171" fontId="50" fillId="0" borderId="0">
      <alignment horizontal="left" wrapText="1"/>
    </xf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171" fontId="50" fillId="0" borderId="0">
      <alignment horizontal="left" wrapText="1"/>
    </xf>
    <xf numFmtId="0" fontId="55" fillId="4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55" fillId="4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171" fontId="50" fillId="0" borderId="0">
      <alignment horizontal="left" wrapText="1"/>
    </xf>
    <xf numFmtId="0" fontId="55" fillId="42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171" fontId="50" fillId="0" borderId="0">
      <alignment horizontal="left" wrapText="1"/>
    </xf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5" fillId="42" borderId="0" applyNumberFormat="0" applyBorder="0" applyAlignment="0" applyProtection="0"/>
    <xf numFmtId="171" fontId="50" fillId="0" borderId="0">
      <alignment horizontal="left" wrapText="1"/>
    </xf>
    <xf numFmtId="0" fontId="55" fillId="42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171" fontId="50" fillId="0" borderId="0">
      <alignment horizontal="left" wrapText="1"/>
    </xf>
    <xf numFmtId="0" fontId="55" fillId="36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171" fontId="50" fillId="0" borderId="0">
      <alignment horizontal="left" wrapText="1"/>
    </xf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5" fillId="36" borderId="0" applyNumberFormat="0" applyBorder="0" applyAlignment="0" applyProtection="0"/>
    <xf numFmtId="171" fontId="50" fillId="0" borderId="0">
      <alignment horizontal="left" wrapText="1"/>
    </xf>
    <xf numFmtId="0" fontId="55" fillId="3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171" fontId="50" fillId="0" borderId="0">
      <alignment horizontal="left" wrapText="1"/>
    </xf>
    <xf numFmtId="0" fontId="55" fillId="3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55" fillId="3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171" fontId="50" fillId="0" borderId="0">
      <alignment horizontal="left" wrapText="1"/>
    </xf>
    <xf numFmtId="0" fontId="55" fillId="44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171" fontId="50" fillId="0" borderId="0">
      <alignment horizontal="left" wrapText="1"/>
    </xf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55" fillId="44" borderId="0" applyNumberFormat="0" applyBorder="0" applyAlignment="0" applyProtection="0"/>
    <xf numFmtId="171" fontId="50" fillId="0" borderId="0">
      <alignment horizontal="left" wrapText="1"/>
    </xf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171" fontId="50" fillId="0" borderId="0">
      <alignment horizontal="left" wrapText="1"/>
    </xf>
    <xf numFmtId="0" fontId="55" fillId="4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171" fontId="50" fillId="0" borderId="0">
      <alignment horizontal="left" wrapText="1"/>
    </xf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5" fillId="41" borderId="0" applyNumberFormat="0" applyBorder="0" applyAlignment="0" applyProtection="0"/>
    <xf numFmtId="171" fontId="50" fillId="0" borderId="0">
      <alignment horizontal="left" wrapText="1"/>
    </xf>
    <xf numFmtId="0" fontId="55" fillId="41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171" fontId="50" fillId="0" borderId="0">
      <alignment horizontal="left" wrapText="1"/>
    </xf>
    <xf numFmtId="0" fontId="55" fillId="36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171" fontId="50" fillId="0" borderId="0">
      <alignment horizontal="left" wrapText="1"/>
    </xf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5" fillId="36" borderId="0" applyNumberFormat="0" applyBorder="0" applyAlignment="0" applyProtection="0"/>
    <xf numFmtId="171" fontId="50" fillId="0" borderId="0">
      <alignment horizontal="left" wrapText="1"/>
    </xf>
    <xf numFmtId="0" fontId="55" fillId="3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171" fontId="50" fillId="0" borderId="0">
      <alignment horizontal="left" wrapText="1"/>
    </xf>
    <xf numFmtId="0" fontId="55" fillId="46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171" fontId="50" fillId="0" borderId="0">
      <alignment horizontal="left" wrapText="1"/>
    </xf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5" fillId="46" borderId="0" applyNumberFormat="0" applyBorder="0" applyAlignment="0" applyProtection="0"/>
    <xf numFmtId="171" fontId="50" fillId="0" borderId="0">
      <alignment horizontal="left" wrapText="1"/>
    </xf>
    <xf numFmtId="0" fontId="55" fillId="46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25" fillId="13" borderId="0" applyNumberFormat="0" applyBorder="0" applyAlignment="0" applyProtection="0"/>
    <xf numFmtId="0" fontId="25" fillId="43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6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25" fillId="17" borderId="0" applyNumberFormat="0" applyBorder="0" applyAlignment="0" applyProtection="0"/>
    <xf numFmtId="0" fontId="25" fillId="48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6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25" fillId="21" borderId="0" applyNumberFormat="0" applyBorder="0" applyAlignment="0" applyProtection="0"/>
    <xf numFmtId="0" fontId="25" fillId="46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6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25" fillId="25" borderId="0" applyNumberFormat="0" applyBorder="0" applyAlignment="0" applyProtection="0"/>
    <xf numFmtId="0" fontId="25" fillId="37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6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25" fillId="29" borderId="0" applyNumberFormat="0" applyBorder="0" applyAlignment="0" applyProtection="0"/>
    <xf numFmtId="0" fontId="25" fillId="43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6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6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25" fillId="10" borderId="0" applyNumberFormat="0" applyBorder="0" applyAlignment="0" applyProtection="0"/>
    <xf numFmtId="0" fontId="25" fillId="56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25" fillId="10" borderId="0" applyNumberFormat="0" applyBorder="0" applyAlignment="0" applyProtection="0"/>
    <xf numFmtId="0" fontId="25" fillId="56" borderId="0" applyNumberFormat="0" applyBorder="0" applyAlignment="0" applyProtection="0"/>
    <xf numFmtId="171" fontId="50" fillId="0" borderId="0">
      <alignment horizontal="left" wrapText="1"/>
    </xf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6" fillId="59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25" fillId="14" borderId="0" applyNumberFormat="0" applyBorder="0" applyAlignment="0" applyProtection="0"/>
    <xf numFmtId="0" fontId="25" fillId="48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25" fillId="14" borderId="0" applyNumberFormat="0" applyBorder="0" applyAlignment="0" applyProtection="0"/>
    <xf numFmtId="0" fontId="25" fillId="48" borderId="0" applyNumberFormat="0" applyBorder="0" applyAlignment="0" applyProtection="0"/>
    <xf numFmtId="171" fontId="50" fillId="0" borderId="0">
      <alignment horizontal="left" wrapText="1"/>
    </xf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6" fillId="60" borderId="0" applyNumberFormat="0" applyBorder="0" applyAlignment="0" applyProtection="0"/>
    <xf numFmtId="0" fontId="55" fillId="61" borderId="0" applyNumberFormat="0" applyBorder="0" applyAlignment="0" applyProtection="0"/>
    <xf numFmtId="0" fontId="55" fillId="61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6" fillId="63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25" fillId="18" borderId="0" applyNumberFormat="0" applyBorder="0" applyAlignment="0" applyProtection="0"/>
    <xf numFmtId="0" fontId="25" fillId="46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25" fillId="18" borderId="0" applyNumberFormat="0" applyBorder="0" applyAlignment="0" applyProtection="0"/>
    <xf numFmtId="0" fontId="25" fillId="46" borderId="0" applyNumberFormat="0" applyBorder="0" applyAlignment="0" applyProtection="0"/>
    <xf numFmtId="171" fontId="50" fillId="0" borderId="0">
      <alignment horizontal="left" wrapText="1"/>
    </xf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6" fillId="64" borderId="0" applyNumberFormat="0" applyBorder="0" applyAlignment="0" applyProtection="0"/>
    <xf numFmtId="0" fontId="55" fillId="62" borderId="0" applyNumberFormat="0" applyBorder="0" applyAlignment="0" applyProtection="0"/>
    <xf numFmtId="0" fontId="55" fillId="62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25" fillId="22" borderId="0" applyNumberFormat="0" applyBorder="0" applyAlignment="0" applyProtection="0"/>
    <xf numFmtId="0" fontId="25" fillId="65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25" fillId="22" borderId="0" applyNumberFormat="0" applyBorder="0" applyAlignment="0" applyProtection="0"/>
    <xf numFmtId="0" fontId="25" fillId="65" borderId="0" applyNumberFormat="0" applyBorder="0" applyAlignment="0" applyProtection="0"/>
    <xf numFmtId="171" fontId="50" fillId="0" borderId="0">
      <alignment horizontal="left" wrapText="1"/>
    </xf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6" fillId="53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171" fontId="50" fillId="0" borderId="0">
      <alignment horizontal="left" wrapText="1"/>
    </xf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25" fillId="26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55" fillId="66" borderId="0" applyNumberFormat="0" applyBorder="0" applyAlignment="0" applyProtection="0"/>
    <xf numFmtId="0" fontId="55" fillId="66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6" fillId="6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25" fillId="30" borderId="0" applyNumberFormat="0" applyBorder="0" applyAlignment="0" applyProtection="0"/>
    <xf numFmtId="0" fontId="25" fillId="60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25" fillId="30" borderId="0" applyNumberFormat="0" applyBorder="0" applyAlignment="0" applyProtection="0"/>
    <xf numFmtId="0" fontId="25" fillId="60" borderId="0" applyNumberFormat="0" applyBorder="0" applyAlignment="0" applyProtection="0"/>
    <xf numFmtId="171" fontId="50" fillId="0" borderId="0">
      <alignment horizontal="left" wrapText="1"/>
    </xf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34" fillId="4" borderId="0" applyNumberFormat="0" applyBorder="0" applyAlignment="0" applyProtection="0"/>
    <xf numFmtId="0" fontId="34" fillId="41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57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52" fillId="0" borderId="0" applyFont="0" applyFill="0" applyBorder="0" applyAlignment="0" applyProtection="0">
      <alignment horizontal="right"/>
    </xf>
    <xf numFmtId="0" fontId="54" fillId="0" borderId="28"/>
    <xf numFmtId="180" fontId="58" fillId="0" borderId="0" applyFill="0" applyBorder="0" applyAlignment="0"/>
    <xf numFmtId="180" fontId="58" fillId="0" borderId="0" applyFill="0" applyBorder="0" applyAlignment="0"/>
    <xf numFmtId="171" fontId="50" fillId="0" borderId="0">
      <alignment horizontal="left" wrapText="1"/>
    </xf>
    <xf numFmtId="171" fontId="50" fillId="0" borderId="0">
      <alignment horizontal="left" wrapText="1"/>
    </xf>
    <xf numFmtId="180" fontId="58" fillId="0" borderId="0" applyFill="0" applyBorder="0" applyAlignment="0"/>
    <xf numFmtId="41" fontId="13" fillId="68" borderId="0"/>
    <xf numFmtId="0" fontId="59" fillId="69" borderId="29" applyNumberFormat="0" applyAlignment="0" applyProtection="0"/>
    <xf numFmtId="171" fontId="50" fillId="0" borderId="0">
      <alignment horizontal="left" wrapText="1"/>
    </xf>
    <xf numFmtId="0" fontId="59" fillId="69" borderId="29" applyNumberFormat="0" applyAlignment="0" applyProtection="0"/>
    <xf numFmtId="0" fontId="37" fillId="7" borderId="22" applyNumberFormat="0" applyAlignment="0" applyProtection="0"/>
    <xf numFmtId="0" fontId="60" fillId="70" borderId="22" applyNumberFormat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1" fontId="13" fillId="68" borderId="0"/>
    <xf numFmtId="171" fontId="50" fillId="0" borderId="0">
      <alignment horizontal="left" wrapText="1"/>
    </xf>
    <xf numFmtId="41" fontId="13" fillId="68" borderId="0"/>
    <xf numFmtId="0" fontId="37" fillId="7" borderId="22" applyNumberFormat="0" applyAlignment="0" applyProtection="0"/>
    <xf numFmtId="0" fontId="60" fillId="70" borderId="22" applyNumberFormat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1" fontId="13" fillId="68" borderId="0"/>
    <xf numFmtId="41" fontId="13" fillId="68" borderId="0"/>
    <xf numFmtId="171" fontId="50" fillId="0" borderId="0">
      <alignment horizontal="left" wrapText="1"/>
    </xf>
    <xf numFmtId="41" fontId="13" fillId="68" borderId="0"/>
    <xf numFmtId="171" fontId="50" fillId="0" borderId="0">
      <alignment horizontal="left" wrapText="1"/>
    </xf>
    <xf numFmtId="41" fontId="13" fillId="68" borderId="0"/>
    <xf numFmtId="171" fontId="50" fillId="0" borderId="0">
      <alignment horizontal="left" wrapText="1"/>
    </xf>
    <xf numFmtId="41" fontId="13" fillId="68" borderId="0"/>
    <xf numFmtId="171" fontId="50" fillId="0" borderId="0">
      <alignment horizontal="left" wrapText="1"/>
    </xf>
    <xf numFmtId="41" fontId="13" fillId="68" borderId="0"/>
    <xf numFmtId="41" fontId="13" fillId="68" borderId="0"/>
    <xf numFmtId="41" fontId="13" fillId="68" borderId="0"/>
    <xf numFmtId="0" fontId="60" fillId="70" borderId="22" applyNumberFormat="0" applyAlignment="0" applyProtection="0"/>
    <xf numFmtId="0" fontId="37" fillId="7" borderId="22" applyNumberFormat="0" applyAlignment="0" applyProtection="0"/>
    <xf numFmtId="0" fontId="61" fillId="71" borderId="30" applyNumberFormat="0" applyAlignment="0" applyProtection="0"/>
    <xf numFmtId="0" fontId="61" fillId="71" borderId="30" applyNumberFormat="0" applyAlignment="0" applyProtection="0"/>
    <xf numFmtId="171" fontId="50" fillId="0" borderId="0">
      <alignment horizontal="left" wrapText="1"/>
    </xf>
    <xf numFmtId="0" fontId="61" fillId="71" borderId="30" applyNumberFormat="0" applyAlignment="0" applyProtection="0"/>
    <xf numFmtId="171" fontId="50" fillId="0" borderId="0">
      <alignment horizontal="left" wrapText="1"/>
    </xf>
    <xf numFmtId="0" fontId="26" fillId="8" borderId="25" applyNumberFormat="0" applyAlignment="0" applyProtection="0"/>
    <xf numFmtId="0" fontId="61" fillId="71" borderId="30" applyNumberFormat="0" applyAlignment="0" applyProtection="0"/>
    <xf numFmtId="41" fontId="13" fillId="34" borderId="0"/>
    <xf numFmtId="41" fontId="13" fillId="34" borderId="0"/>
    <xf numFmtId="171" fontId="50" fillId="0" borderId="0">
      <alignment horizontal="left" wrapText="1"/>
    </xf>
    <xf numFmtId="41" fontId="13" fillId="34" borderId="0"/>
    <xf numFmtId="41" fontId="13" fillId="34" borderId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" fontId="62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0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8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7" fillId="0" borderId="0" applyFont="0" applyFill="0" applyBorder="0" applyAlignment="0" applyProtection="0"/>
    <xf numFmtId="43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3" fontId="55" fillId="0" borderId="0" applyFont="0" applyFill="0" applyBorder="0" applyAlignment="0" applyProtection="0"/>
    <xf numFmtId="171" fontId="50" fillId="0" borderId="0">
      <alignment horizontal="left" wrapText="1"/>
    </xf>
    <xf numFmtId="43" fontId="55" fillId="0" borderId="0" applyFont="0" applyFill="0" applyBorder="0" applyAlignment="0" applyProtection="0"/>
    <xf numFmtId="171" fontId="50" fillId="0" borderId="0">
      <alignment horizontal="left" wrapText="1"/>
    </xf>
    <xf numFmtId="43" fontId="55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0" fillId="0" borderId="0">
      <alignment horizontal="left" wrapText="1"/>
    </xf>
    <xf numFmtId="43" fontId="13" fillId="0" borderId="0" applyFont="0" applyFill="0" applyBorder="0" applyAlignment="0" applyProtection="0"/>
    <xf numFmtId="3" fontId="65" fillId="0" borderId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8" fillId="0" borderId="0"/>
    <xf numFmtId="0" fontId="69" fillId="0" borderId="0"/>
    <xf numFmtId="0" fontId="69" fillId="0" borderId="0"/>
    <xf numFmtId="0" fontId="68" fillId="0" borderId="0"/>
    <xf numFmtId="0" fontId="69" fillId="0" borderId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65" fillId="0" borderId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171" fontId="50" fillId="0" borderId="0">
      <alignment horizontal="left" wrapText="1"/>
    </xf>
    <xf numFmtId="3" fontId="65" fillId="0" borderId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183" fontId="72" fillId="0" borderId="0">
      <protection locked="0"/>
    </xf>
    <xf numFmtId="0" fontId="68" fillId="0" borderId="0"/>
    <xf numFmtId="0" fontId="69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3" fillId="0" borderId="0" applyNumberFormat="0" applyAlignment="0">
      <alignment horizontal="left"/>
    </xf>
    <xf numFmtId="0" fontId="73" fillId="0" borderId="0" applyNumberFormat="0" applyAlignment="0">
      <alignment horizontal="left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73" fillId="0" borderId="0" applyNumberFormat="0" applyAlignment="0">
      <alignment horizontal="left"/>
    </xf>
    <xf numFmtId="0" fontId="74" fillId="0" borderId="0" applyNumberFormat="0" applyAlignment="0"/>
    <xf numFmtId="0" fontId="74" fillId="0" borderId="0" applyNumberFormat="0" applyAlignment="0"/>
    <xf numFmtId="171" fontId="50" fillId="0" borderId="0">
      <alignment horizontal="left" wrapText="1"/>
    </xf>
    <xf numFmtId="171" fontId="50" fillId="0" borderId="0">
      <alignment horizontal="left" wrapText="1"/>
    </xf>
    <xf numFmtId="0" fontId="74" fillId="0" borderId="0" applyNumberFormat="0" applyAlignment="0"/>
    <xf numFmtId="0" fontId="66" fillId="0" borderId="0"/>
    <xf numFmtId="0" fontId="66" fillId="0" borderId="0"/>
    <xf numFmtId="0" fontId="68" fillId="0" borderId="0"/>
    <xf numFmtId="0" fontId="69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66" fillId="0" borderId="0"/>
    <xf numFmtId="0" fontId="66" fillId="0" borderId="0"/>
    <xf numFmtId="0" fontId="68" fillId="0" borderId="0"/>
    <xf numFmtId="0" fontId="69" fillId="0" borderId="0"/>
    <xf numFmtId="0" fontId="69" fillId="0" borderId="0"/>
    <xf numFmtId="0" fontId="68" fillId="0" borderId="0"/>
    <xf numFmtId="0" fontId="69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8" fontId="6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8" fontId="62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75" fillId="0" borderId="0" applyFont="0" applyFill="0" applyBorder="0" applyAlignment="0" applyProtection="0"/>
    <xf numFmtId="44" fontId="76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8" fontId="66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50" fillId="0" borderId="0">
      <alignment horizontal="left" wrapText="1"/>
    </xf>
    <xf numFmtId="44" fontId="6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8" fontId="62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6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5" fillId="0" borderId="0" applyFont="0" applyFill="0" applyBorder="0" applyAlignment="0" applyProtection="0"/>
    <xf numFmtId="8" fontId="6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71" fontId="50" fillId="0" borderId="0">
      <alignment horizontal="left" wrapText="1"/>
    </xf>
    <xf numFmtId="184" fontId="13" fillId="0" borderId="0" applyFont="0" applyFill="0" applyBorder="0" applyAlignment="0" applyProtection="0"/>
    <xf numFmtId="171" fontId="50" fillId="0" borderId="0">
      <alignment horizontal="left" wrapText="1"/>
    </xf>
    <xf numFmtId="18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8" fontId="6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4" fontId="7" fillId="0" borderId="0" applyFont="0" applyFill="0" applyBorder="0" applyAlignment="0" applyProtection="0"/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44" fontId="55" fillId="0" borderId="0" applyFont="0" applyFill="0" applyBorder="0" applyAlignment="0" applyProtection="0"/>
    <xf numFmtId="171" fontId="50" fillId="0" borderId="0">
      <alignment horizontal="left" wrapText="1"/>
    </xf>
    <xf numFmtId="44" fontId="55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50" fillId="0" borderId="0">
      <alignment horizontal="left" wrapText="1"/>
    </xf>
    <xf numFmtId="44" fontId="13" fillId="0" borderId="0" applyFont="0" applyFill="0" applyBorder="0" applyAlignment="0" applyProtection="0"/>
    <xf numFmtId="5" fontId="65" fillId="0" borderId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85" fontId="13" fillId="0" borderId="0" applyFont="0" applyFill="0" applyBorder="0" applyAlignment="0" applyProtection="0"/>
    <xf numFmtId="186" fontId="77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71" fontId="50" fillId="0" borderId="0">
      <alignment horizontal="left" wrapText="1"/>
    </xf>
    <xf numFmtId="5" fontId="65" fillId="0" borderId="0" applyFill="0" applyBorder="0" applyAlignment="0" applyProtection="0"/>
    <xf numFmtId="185" fontId="13" fillId="0" borderId="0" applyFont="0" applyFill="0" applyBorder="0" applyAlignment="0" applyProtection="0"/>
    <xf numFmtId="186" fontId="65" fillId="0" borderId="0" applyFont="0" applyFill="0" applyBorder="0" applyAlignment="0" applyProtection="0"/>
    <xf numFmtId="5" fontId="65" fillId="0" borderId="0" applyFill="0" applyBorder="0" applyAlignment="0" applyProtection="0"/>
    <xf numFmtId="185" fontId="13" fillId="0" borderId="0" applyFont="0" applyFill="0" applyBorder="0" applyAlignment="0" applyProtection="0"/>
    <xf numFmtId="187" fontId="65" fillId="0" borderId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50" fillId="0" borderId="0">
      <alignment horizontal="left" wrapText="1"/>
    </xf>
    <xf numFmtId="187" fontId="65" fillId="0" borderId="0" applyFill="0" applyBorder="0" applyAlignment="0" applyProtection="0"/>
    <xf numFmtId="0" fontId="70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65" fillId="0" borderId="0" applyFill="0" applyBorder="0" applyAlignment="0" applyProtection="0"/>
    <xf numFmtId="0" fontId="77" fillId="0" borderId="0" applyFont="0" applyFill="0" applyBorder="0" applyAlignment="0" applyProtection="0"/>
    <xf numFmtId="0" fontId="54" fillId="0" borderId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3" borderId="0" applyNumberFormat="0" applyBorder="0" applyAlignment="0" applyProtection="0"/>
    <xf numFmtId="0" fontId="78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4" borderId="0" applyNumberFormat="0" applyBorder="0" applyAlignment="0" applyProtection="0"/>
    <xf numFmtId="171" fontId="13" fillId="0" borderId="0"/>
    <xf numFmtId="171" fontId="13" fillId="0" borderId="0"/>
    <xf numFmtId="171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/>
    <xf numFmtId="171" fontId="13" fillId="0" borderId="0"/>
    <xf numFmtId="171" fontId="50" fillId="0" borderId="0">
      <alignment horizontal="left" wrapText="1"/>
    </xf>
    <xf numFmtId="171" fontId="13" fillId="0" borderId="0"/>
    <xf numFmtId="171" fontId="50" fillId="0" borderId="0">
      <alignment horizontal="left" wrapText="1"/>
    </xf>
    <xf numFmtId="171" fontId="13" fillId="0" borderId="0"/>
    <xf numFmtId="171" fontId="50" fillId="0" borderId="0">
      <alignment horizontal="left" wrapText="1"/>
    </xf>
    <xf numFmtId="188" fontId="79" fillId="0" borderId="0"/>
    <xf numFmtId="171" fontId="50" fillId="0" borderId="0">
      <alignment horizontal="left" wrapText="1"/>
    </xf>
    <xf numFmtId="171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/>
    <xf numFmtId="171" fontId="13" fillId="0" borderId="0"/>
    <xf numFmtId="171" fontId="13" fillId="0" borderId="0"/>
    <xf numFmtId="189" fontId="13" fillId="0" borderId="0" applyFont="0" applyFill="0" applyBorder="0" applyAlignment="0" applyProtection="0">
      <alignment horizontal="left" wrapText="1"/>
    </xf>
    <xf numFmtId="189" fontId="13" fillId="0" borderId="0" applyFont="0" applyFill="0" applyBorder="0" applyAlignment="0" applyProtection="0">
      <alignment horizontal="left" wrapText="1"/>
    </xf>
    <xf numFmtId="189" fontId="13" fillId="0" borderId="0" applyFont="0" applyFill="0" applyBorder="0" applyAlignment="0" applyProtection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89" fontId="13" fillId="0" borderId="0" applyFont="0" applyFill="0" applyBorder="0" applyAlignment="0" applyProtection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89" fontId="13" fillId="0" borderId="0" applyFont="0" applyFill="0" applyBorder="0" applyAlignment="0" applyProtection="0">
      <alignment horizontal="left" wrapText="1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71" fontId="50" fillId="0" borderId="0">
      <alignment horizontal="left" wrapText="1"/>
    </xf>
    <xf numFmtId="0" fontId="3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" fontId="65" fillId="0" borderId="0" applyFill="0" applyBorder="0" applyAlignment="0" applyProtection="0"/>
    <xf numFmtId="2" fontId="70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2" fontId="65" fillId="0" borderId="0" applyFont="0" applyFill="0" applyBorder="0" applyAlignment="0" applyProtection="0"/>
    <xf numFmtId="2" fontId="65" fillId="0" borderId="0" applyFont="0" applyFill="0" applyBorder="0" applyAlignment="0" applyProtection="0"/>
    <xf numFmtId="2" fontId="65" fillId="0" borderId="0" applyFill="0" applyBorder="0" applyAlignment="0" applyProtection="0"/>
    <xf numFmtId="2" fontId="70" fillId="0" borderId="0" applyFont="0" applyFill="0" applyBorder="0" applyAlignment="0" applyProtection="0"/>
    <xf numFmtId="0" fontId="66" fillId="0" borderId="0"/>
    <xf numFmtId="0" fontId="66" fillId="0" borderId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81" fillId="39" borderId="0" applyNumberFormat="0" applyBorder="0" applyAlignment="0" applyProtection="0"/>
    <xf numFmtId="0" fontId="33" fillId="3" borderId="0" applyNumberFormat="0" applyBorder="0" applyAlignment="0" applyProtection="0"/>
    <xf numFmtId="0" fontId="33" fillId="43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81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171" fontId="50" fillId="0" borderId="0">
      <alignment horizontal="left" wrapText="1"/>
    </xf>
    <xf numFmtId="38" fontId="45" fillId="34" borderId="0" applyNumberFormat="0" applyBorder="0" applyAlignment="0" applyProtection="0"/>
    <xf numFmtId="0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38" fontId="45" fillId="34" borderId="0" applyNumberFormat="0" applyBorder="0" applyAlignment="0" applyProtection="0"/>
    <xf numFmtId="0" fontId="82" fillId="0" borderId="28"/>
    <xf numFmtId="190" fontId="43" fillId="0" borderId="0" applyNumberFormat="0" applyFill="0" applyBorder="0" applyProtection="0">
      <alignment horizontal="right"/>
    </xf>
    <xf numFmtId="0" fontId="83" fillId="0" borderId="1" applyNumberFormat="0" applyAlignment="0" applyProtection="0">
      <alignment horizontal="left"/>
    </xf>
    <xf numFmtId="0" fontId="83" fillId="0" borderId="1" applyNumberFormat="0" applyAlignment="0" applyProtection="0">
      <alignment horizontal="left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83" fillId="0" borderId="1" applyNumberFormat="0" applyAlignment="0" applyProtection="0">
      <alignment horizontal="left"/>
    </xf>
    <xf numFmtId="171" fontId="50" fillId="0" borderId="0">
      <alignment horizontal="left" wrapText="1"/>
    </xf>
    <xf numFmtId="0" fontId="83" fillId="0" borderId="14">
      <alignment horizontal="left"/>
    </xf>
    <xf numFmtId="0" fontId="83" fillId="0" borderId="14">
      <alignment horizontal="left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83" fillId="0" borderId="14">
      <alignment horizontal="left"/>
    </xf>
    <xf numFmtId="0" fontId="83" fillId="0" borderId="14">
      <alignment horizontal="left"/>
    </xf>
    <xf numFmtId="171" fontId="50" fillId="0" borderId="0">
      <alignment horizontal="left" wrapText="1"/>
    </xf>
    <xf numFmtId="14" fontId="42" fillId="75" borderId="31">
      <alignment horizontal="center" vertical="center" wrapText="1"/>
    </xf>
    <xf numFmtId="0" fontId="70" fillId="0" borderId="0" applyNumberFormat="0" applyFill="0" applyBorder="0" applyAlignment="0" applyProtection="0"/>
    <xf numFmtId="0" fontId="84" fillId="0" borderId="32" applyNumberFormat="0" applyFill="0" applyAlignment="0" applyProtection="0"/>
    <xf numFmtId="0" fontId="84" fillId="0" borderId="32" applyNumberFormat="0" applyFill="0" applyAlignment="0" applyProtection="0"/>
    <xf numFmtId="0" fontId="30" fillId="0" borderId="19" applyNumberFormat="0" applyFill="0" applyAlignment="0" applyProtection="0"/>
    <xf numFmtId="0" fontId="85" fillId="0" borderId="33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85" fillId="0" borderId="33" applyNumberFormat="0" applyFill="0" applyAlignment="0" applyProtection="0"/>
    <xf numFmtId="0" fontId="30" fillId="0" borderId="19" applyNumberFormat="0" applyFill="0" applyAlignment="0" applyProtection="0"/>
    <xf numFmtId="0" fontId="85" fillId="0" borderId="33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86" fillId="0" borderId="0" applyNumberFormat="0" applyFill="0" applyBorder="0" applyAlignment="0" applyProtection="0"/>
    <xf numFmtId="171" fontId="50" fillId="0" borderId="0">
      <alignment horizontal="left" wrapText="1"/>
    </xf>
    <xf numFmtId="0" fontId="85" fillId="0" borderId="33" applyNumberFormat="0" applyFill="0" applyAlignment="0" applyProtection="0"/>
    <xf numFmtId="0" fontId="86" fillId="0" borderId="0" applyNumberFormat="0" applyFill="0" applyBorder="0" applyAlignment="0" applyProtection="0"/>
    <xf numFmtId="0" fontId="85" fillId="0" borderId="33" applyNumberFormat="0" applyFill="0" applyAlignment="0" applyProtection="0"/>
    <xf numFmtId="0" fontId="30" fillId="0" borderId="19" applyNumberFormat="0" applyFill="0" applyAlignment="0" applyProtection="0"/>
    <xf numFmtId="0" fontId="70" fillId="0" borderId="0" applyNumberFormat="0" applyFill="0" applyBorder="0" applyAlignment="0" applyProtection="0"/>
    <xf numFmtId="0" fontId="87" fillId="0" borderId="34" applyNumberFormat="0" applyFill="0" applyAlignment="0" applyProtection="0"/>
    <xf numFmtId="0" fontId="87" fillId="0" borderId="34" applyNumberFormat="0" applyFill="0" applyAlignment="0" applyProtection="0"/>
    <xf numFmtId="0" fontId="31" fillId="0" borderId="20" applyNumberFormat="0" applyFill="0" applyAlignment="0" applyProtection="0"/>
    <xf numFmtId="0" fontId="88" fillId="0" borderId="35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88" fillId="0" borderId="35" applyNumberFormat="0" applyFill="0" applyAlignment="0" applyProtection="0"/>
    <xf numFmtId="0" fontId="31" fillId="0" borderId="20" applyNumberFormat="0" applyFill="0" applyAlignment="0" applyProtection="0"/>
    <xf numFmtId="0" fontId="88" fillId="0" borderId="35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45" fillId="0" borderId="0" applyNumberFormat="0" applyFill="0" applyBorder="0" applyAlignment="0" applyProtection="0"/>
    <xf numFmtId="171" fontId="50" fillId="0" borderId="0">
      <alignment horizontal="left" wrapText="1"/>
    </xf>
    <xf numFmtId="0" fontId="88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88" fillId="0" borderId="35" applyNumberFormat="0" applyFill="0" applyAlignment="0" applyProtection="0"/>
    <xf numFmtId="0" fontId="31" fillId="0" borderId="20" applyNumberFormat="0" applyFill="0" applyAlignment="0" applyProtection="0"/>
    <xf numFmtId="0" fontId="89" fillId="0" borderId="36" applyNumberFormat="0" applyFill="0" applyAlignment="0" applyProtection="0"/>
    <xf numFmtId="0" fontId="89" fillId="0" borderId="36" applyNumberFormat="0" applyFill="0" applyAlignment="0" applyProtection="0"/>
    <xf numFmtId="0" fontId="89" fillId="0" borderId="36" applyNumberFormat="0" applyFill="0" applyAlignment="0" applyProtection="0"/>
    <xf numFmtId="0" fontId="89" fillId="0" borderId="36" applyNumberFormat="0" applyFill="0" applyAlignment="0" applyProtection="0"/>
    <xf numFmtId="0" fontId="32" fillId="0" borderId="21" applyNumberFormat="0" applyFill="0" applyAlignment="0" applyProtection="0"/>
    <xf numFmtId="0" fontId="90" fillId="0" borderId="37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90" fillId="0" borderId="37" applyNumberFormat="0" applyFill="0" applyAlignment="0" applyProtection="0"/>
    <xf numFmtId="0" fontId="90" fillId="0" borderId="37" applyNumberFormat="0" applyFill="0" applyAlignment="0" applyProtection="0"/>
    <xf numFmtId="0" fontId="90" fillId="0" borderId="37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38" fontId="91" fillId="0" borderId="0"/>
    <xf numFmtId="38" fontId="91" fillId="0" borderId="0"/>
    <xf numFmtId="38" fontId="91" fillId="0" borderId="0"/>
    <xf numFmtId="38" fontId="91" fillId="0" borderId="0"/>
    <xf numFmtId="171" fontId="50" fillId="0" borderId="0">
      <alignment horizontal="left" wrapText="1"/>
    </xf>
    <xf numFmtId="0" fontId="91" fillId="0" borderId="0"/>
    <xf numFmtId="0" fontId="91" fillId="0" borderId="0"/>
    <xf numFmtId="0" fontId="91" fillId="0" borderId="0"/>
    <xf numFmtId="38" fontId="91" fillId="0" borderId="0"/>
    <xf numFmtId="38" fontId="91" fillId="0" borderId="0"/>
    <xf numFmtId="38" fontId="91" fillId="0" borderId="0"/>
    <xf numFmtId="40" fontId="91" fillId="0" borderId="0"/>
    <xf numFmtId="40" fontId="91" fillId="0" borderId="0"/>
    <xf numFmtId="40" fontId="91" fillId="0" borderId="0"/>
    <xf numFmtId="40" fontId="91" fillId="0" borderId="0"/>
    <xf numFmtId="171" fontId="50" fillId="0" borderId="0">
      <alignment horizontal="left" wrapText="1"/>
    </xf>
    <xf numFmtId="0" fontId="91" fillId="0" borderId="0"/>
    <xf numFmtId="0" fontId="91" fillId="0" borderId="0"/>
    <xf numFmtId="0" fontId="91" fillId="0" borderId="0"/>
    <xf numFmtId="40" fontId="91" fillId="0" borderId="0"/>
    <xf numFmtId="40" fontId="91" fillId="0" borderId="0"/>
    <xf numFmtId="40" fontId="91" fillId="0" borderId="0"/>
    <xf numFmtId="0" fontId="44" fillId="0" borderId="0" applyNumberFormat="0" applyFill="0" applyBorder="0" applyAlignment="0" applyProtection="0">
      <alignment vertical="top"/>
      <protection locked="0"/>
    </xf>
    <xf numFmtId="171" fontId="50" fillId="0" borderId="0">
      <alignment horizontal="left" wrapText="1"/>
    </xf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71" fontId="50" fillId="0" borderId="0">
      <alignment horizontal="left" wrapText="1"/>
    </xf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171" fontId="50" fillId="0" borderId="0">
      <alignment horizontal="left" wrapText="1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35" fillId="6" borderId="22" applyNumberFormat="0" applyAlignment="0" applyProtection="0"/>
    <xf numFmtId="0" fontId="35" fillId="45" borderId="22" applyNumberFormat="0" applyAlignment="0" applyProtection="0"/>
    <xf numFmtId="0" fontId="92" fillId="42" borderId="29" applyNumberFormat="0" applyAlignment="0" applyProtection="0"/>
    <xf numFmtId="171" fontId="50" fillId="0" borderId="0">
      <alignment horizontal="left" wrapText="1"/>
    </xf>
    <xf numFmtId="0" fontId="92" fillId="42" borderId="29" applyNumberFormat="0" applyAlignment="0" applyProtection="0"/>
    <xf numFmtId="0" fontId="35" fillId="6" borderId="22" applyNumberFormat="0" applyAlignment="0" applyProtection="0"/>
    <xf numFmtId="0" fontId="35" fillId="45" borderId="22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41" fontId="41" fillId="76" borderId="38">
      <alignment horizontal="left"/>
      <protection locked="0"/>
    </xf>
    <xf numFmtId="171" fontId="50" fillId="0" borderId="0">
      <alignment horizontal="left" wrapText="1"/>
    </xf>
    <xf numFmtId="41" fontId="41" fillId="76" borderId="38">
      <alignment horizontal="left"/>
      <protection locked="0"/>
    </xf>
    <xf numFmtId="10" fontId="41" fillId="76" borderId="38">
      <alignment horizontal="right"/>
      <protection locked="0"/>
    </xf>
    <xf numFmtId="171" fontId="50" fillId="0" borderId="0">
      <alignment horizontal="left" wrapText="1"/>
    </xf>
    <xf numFmtId="10" fontId="41" fillId="76" borderId="38">
      <alignment horizontal="right"/>
      <protection locked="0"/>
    </xf>
    <xf numFmtId="171" fontId="50" fillId="0" borderId="0">
      <alignment horizontal="left" wrapText="1"/>
    </xf>
    <xf numFmtId="41" fontId="41" fillId="76" borderId="38">
      <alignment horizontal="left"/>
      <protection locked="0"/>
    </xf>
    <xf numFmtId="0" fontId="82" fillId="0" borderId="39"/>
    <xf numFmtId="0" fontId="45" fillId="34" borderId="0"/>
    <xf numFmtId="0" fontId="45" fillId="34" borderId="0"/>
    <xf numFmtId="0" fontId="45" fillId="34" borderId="0"/>
    <xf numFmtId="0" fontId="45" fillId="34" borderId="0"/>
    <xf numFmtId="171" fontId="50" fillId="0" borderId="0">
      <alignment horizontal="left" wrapText="1"/>
    </xf>
    <xf numFmtId="3" fontId="93" fillId="0" borderId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3" fontId="93" fillId="0" borderId="0" applyFill="0" applyBorder="0" applyAlignment="0" applyProtection="0"/>
    <xf numFmtId="3" fontId="93" fillId="0" borderId="0" applyFill="0" applyBorder="0" applyAlignment="0" applyProtection="0"/>
    <xf numFmtId="0" fontId="94" fillId="0" borderId="40" applyNumberFormat="0" applyFill="0" applyAlignment="0" applyProtection="0"/>
    <xf numFmtId="0" fontId="94" fillId="0" borderId="40" applyNumberFormat="0" applyFill="0" applyAlignment="0" applyProtection="0"/>
    <xf numFmtId="0" fontId="94" fillId="0" borderId="40" applyNumberFormat="0" applyFill="0" applyAlignment="0" applyProtection="0"/>
    <xf numFmtId="0" fontId="94" fillId="0" borderId="40" applyNumberFormat="0" applyFill="0" applyAlignment="0" applyProtection="0"/>
    <xf numFmtId="0" fontId="38" fillId="0" borderId="24" applyNumberFormat="0" applyFill="0" applyAlignment="0" applyProtection="0"/>
    <xf numFmtId="0" fontId="95" fillId="0" borderId="41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19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171" fontId="50" fillId="0" borderId="0">
      <alignment horizontal="left" wrapText="1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2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171" fontId="50" fillId="0" borderId="0">
      <alignment horizontal="left" wrapText="1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44" fontId="42" fillId="0" borderId="43" applyNumberFormat="0" applyFont="0" applyAlignment="0">
      <alignment horizont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96" fillId="45" borderId="0" applyNumberFormat="0" applyBorder="0" applyAlignment="0" applyProtection="0"/>
    <xf numFmtId="0" fontId="96" fillId="45" borderId="0" applyNumberFormat="0" applyBorder="0" applyAlignment="0" applyProtection="0"/>
    <xf numFmtId="0" fontId="96" fillId="45" borderId="0" applyNumberFormat="0" applyBorder="0" applyAlignment="0" applyProtection="0"/>
    <xf numFmtId="0" fontId="96" fillId="45" borderId="0" applyNumberFormat="0" applyBorder="0" applyAlignment="0" applyProtection="0"/>
    <xf numFmtId="0" fontId="47" fillId="5" borderId="0" applyNumberFormat="0" applyBorder="0" applyAlignment="0" applyProtection="0"/>
    <xf numFmtId="0" fontId="97" fillId="5" borderId="0" applyNumberForma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98" fillId="4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37" fontId="99" fillId="0" borderId="0"/>
    <xf numFmtId="37" fontId="99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37" fontId="99" fillId="0" borderId="0"/>
    <xf numFmtId="192" fontId="100" fillId="0" borderId="0"/>
    <xf numFmtId="193" fontId="13" fillId="0" borderId="0"/>
    <xf numFmtId="193" fontId="13" fillId="0" borderId="0"/>
    <xf numFmtId="171" fontId="50" fillId="0" borderId="0">
      <alignment horizontal="left" wrapText="1"/>
    </xf>
    <xf numFmtId="193" fontId="13" fillId="0" borderId="0"/>
    <xf numFmtId="193" fontId="13" fillId="0" borderId="0"/>
    <xf numFmtId="193" fontId="13" fillId="0" borderId="0"/>
    <xf numFmtId="193" fontId="13" fillId="0" borderId="0"/>
    <xf numFmtId="171" fontId="50" fillId="0" borderId="0">
      <alignment horizontal="left" wrapText="1"/>
    </xf>
    <xf numFmtId="193" fontId="13" fillId="0" borderId="0"/>
    <xf numFmtId="193" fontId="13" fillId="0" borderId="0"/>
    <xf numFmtId="193" fontId="13" fillId="0" borderId="0"/>
    <xf numFmtId="193" fontId="13" fillId="0" borderId="0"/>
    <xf numFmtId="171" fontId="50" fillId="0" borderId="0">
      <alignment horizontal="left" wrapText="1"/>
    </xf>
    <xf numFmtId="193" fontId="13" fillId="0" borderId="0"/>
    <xf numFmtId="193" fontId="13" fillId="0" borderId="0"/>
    <xf numFmtId="194" fontId="50" fillId="0" borderId="0"/>
    <xf numFmtId="194" fontId="50" fillId="0" borderId="0"/>
    <xf numFmtId="192" fontId="100" fillId="0" borderId="0"/>
    <xf numFmtId="0" fontId="13" fillId="0" borderId="0"/>
    <xf numFmtId="192" fontId="100" fillId="0" borderId="0"/>
    <xf numFmtId="195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94" fontId="50" fillId="0" borderId="0"/>
    <xf numFmtId="196" fontId="13" fillId="0" borderId="0"/>
    <xf numFmtId="197" fontId="64" fillId="0" borderId="0"/>
    <xf numFmtId="177" fontId="13" fillId="0" borderId="0">
      <alignment horizontal="left" wrapText="1"/>
    </xf>
    <xf numFmtId="177" fontId="13" fillId="0" borderId="0">
      <alignment horizontal="left" wrapText="1"/>
    </xf>
    <xf numFmtId="0" fontId="7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13" fillId="0" borderId="0" applyFill="0" applyBorder="0" applyAlignment="0" applyProtection="0"/>
    <xf numFmtId="0" fontId="7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171" fontId="13" fillId="0" borderId="0">
      <alignment horizontal="left" wrapText="1"/>
    </xf>
    <xf numFmtId="0" fontId="7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7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7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193" fontId="50" fillId="0" borderId="0">
      <alignment horizontal="left" wrapText="1"/>
    </xf>
    <xf numFmtId="0" fontId="55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7" fillId="0" borderId="0"/>
    <xf numFmtId="193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0" fontId="7" fillId="0" borderId="0"/>
    <xf numFmtId="0" fontId="13" fillId="0" borderId="0"/>
    <xf numFmtId="0" fontId="7" fillId="0" borderId="0"/>
    <xf numFmtId="193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0" fontId="13" fillId="0" borderId="0"/>
    <xf numFmtId="193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0" fontId="13" fillId="0" borderId="0"/>
    <xf numFmtId="193" fontId="50" fillId="0" borderId="0">
      <alignment horizontal="left" wrapText="1"/>
    </xf>
    <xf numFmtId="171" fontId="13" fillId="0" borderId="0">
      <alignment horizontal="left" wrapText="1"/>
    </xf>
    <xf numFmtId="193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93" fontId="50" fillId="0" borderId="0">
      <alignment horizontal="left" wrapText="1"/>
    </xf>
    <xf numFmtId="193" fontId="50" fillId="0" borderId="0">
      <alignment horizontal="left" wrapText="1"/>
    </xf>
    <xf numFmtId="193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93" fontId="50" fillId="0" borderId="0">
      <alignment horizontal="left" wrapText="1"/>
    </xf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01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0" fontId="13" fillId="0" borderId="0"/>
    <xf numFmtId="0" fontId="55" fillId="0" borderId="0"/>
    <xf numFmtId="0" fontId="55" fillId="0" borderId="0"/>
    <xf numFmtId="0" fontId="55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63" fillId="0" borderId="0"/>
    <xf numFmtId="171" fontId="50" fillId="0" borderId="0">
      <alignment horizontal="left" wrapText="1"/>
    </xf>
    <xf numFmtId="0" fontId="55" fillId="0" borderId="0"/>
    <xf numFmtId="0" fontId="55" fillId="0" borderId="0"/>
    <xf numFmtId="0" fontId="63" fillId="0" borderId="0"/>
    <xf numFmtId="0" fontId="55" fillId="0" borderId="0"/>
    <xf numFmtId="0" fontId="55" fillId="0" borderId="0"/>
    <xf numFmtId="0" fontId="63" fillId="0" borderId="0"/>
    <xf numFmtId="0" fontId="55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98" fontId="13" fillId="0" borderId="0">
      <alignment horizontal="left" wrapText="1"/>
    </xf>
    <xf numFmtId="198" fontId="13" fillId="0" borderId="0">
      <alignment horizontal="left" wrapText="1"/>
    </xf>
    <xf numFmtId="171" fontId="50" fillId="0" borderId="0">
      <alignment horizontal="left" wrapText="1"/>
    </xf>
    <xf numFmtId="198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98" fontId="13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9" fontId="5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55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50" fillId="0" borderId="0"/>
    <xf numFmtId="200" fontId="50" fillId="0" borderId="0">
      <alignment horizontal="left" wrapText="1"/>
    </xf>
    <xf numFmtId="0" fontId="13" fillId="0" borderId="0"/>
    <xf numFmtId="0" fontId="13" fillId="0" borderId="0"/>
    <xf numFmtId="171" fontId="50" fillId="0" borderId="0">
      <alignment horizontal="left" wrapText="1"/>
    </xf>
    <xf numFmtId="174" fontId="50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176" fontId="13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13" fillId="0" borderId="0"/>
    <xf numFmtId="167" fontId="13" fillId="0" borderId="0">
      <alignment horizontal="left" wrapText="1"/>
    </xf>
    <xf numFmtId="167" fontId="13" fillId="0" borderId="0">
      <alignment horizontal="left" wrapText="1"/>
    </xf>
    <xf numFmtId="0" fontId="55" fillId="0" borderId="0"/>
    <xf numFmtId="167" fontId="13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171" fontId="13" fillId="0" borderId="0">
      <alignment horizontal="left" wrapText="1"/>
    </xf>
    <xf numFmtId="0" fontId="75" fillId="0" borderId="0"/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39" fontId="102" fillId="0" borderId="0" applyNumberForma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39" fontId="102" fillId="0" borderId="0" applyNumberFormat="0" applyFill="0" applyBorder="0" applyAlignment="0" applyProtection="0"/>
    <xf numFmtId="171" fontId="50" fillId="0" borderId="0">
      <alignment horizontal="left" wrapText="1"/>
    </xf>
    <xf numFmtId="0" fontId="7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0" fontId="63" fillId="0" borderId="0"/>
    <xf numFmtId="0" fontId="63" fillId="0" borderId="0"/>
    <xf numFmtId="0" fontId="63" fillId="0" borderId="0"/>
    <xf numFmtId="0" fontId="63" fillId="0" borderId="0"/>
    <xf numFmtId="171" fontId="50" fillId="0" borderId="0">
      <alignment horizontal="left" wrapText="1"/>
    </xf>
    <xf numFmtId="0" fontId="13" fillId="0" borderId="0"/>
    <xf numFmtId="171" fontId="13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50" fillId="0" borderId="0">
      <alignment horizontal="left" wrapText="1"/>
    </xf>
    <xf numFmtId="0" fontId="7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13" fillId="0" borderId="0"/>
    <xf numFmtId="171" fontId="50" fillId="0" borderId="0">
      <alignment horizontal="left" wrapText="1"/>
    </xf>
    <xf numFmtId="174" fontId="50" fillId="0" borderId="0">
      <alignment horizontal="left" wrapText="1"/>
    </xf>
    <xf numFmtId="0" fontId="13" fillId="0" borderId="0"/>
    <xf numFmtId="0" fontId="13" fillId="0" borderId="0"/>
    <xf numFmtId="201" fontId="13" fillId="0" borderId="0">
      <alignment horizontal="left" wrapText="1"/>
    </xf>
    <xf numFmtId="0" fontId="13" fillId="0" borderId="0"/>
    <xf numFmtId="0" fontId="7" fillId="0" borderId="0"/>
    <xf numFmtId="0" fontId="13" fillId="0" borderId="0"/>
    <xf numFmtId="0" fontId="13" fillId="0" borderId="0"/>
    <xf numFmtId="0" fontId="55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171" fontId="13" fillId="0" borderId="0">
      <alignment horizontal="left" wrapText="1"/>
    </xf>
    <xf numFmtId="0" fontId="63" fillId="0" borderId="0"/>
    <xf numFmtId="171" fontId="13" fillId="0" borderId="0">
      <alignment horizontal="left" wrapText="1"/>
    </xf>
    <xf numFmtId="171" fontId="50" fillId="0" borderId="0">
      <alignment horizontal="left" wrapText="1"/>
    </xf>
    <xf numFmtId="0" fontId="63" fillId="0" borderId="0"/>
    <xf numFmtId="171" fontId="13" fillId="0" borderId="0">
      <alignment horizontal="left" wrapText="1"/>
    </xf>
    <xf numFmtId="0" fontId="63" fillId="0" borderId="0"/>
    <xf numFmtId="171" fontId="13" fillId="0" borderId="0">
      <alignment horizontal="left" wrapText="1"/>
    </xf>
    <xf numFmtId="171" fontId="50" fillId="0" borderId="0">
      <alignment horizontal="left" wrapText="1"/>
    </xf>
    <xf numFmtId="0" fontId="63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55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4" fontId="50" fillId="0" borderId="0">
      <alignment horizontal="left" wrapText="1"/>
    </xf>
    <xf numFmtId="174" fontId="50" fillId="0" borderId="0">
      <alignment horizontal="left" wrapText="1"/>
    </xf>
    <xf numFmtId="0" fontId="13" fillId="0" borderId="0"/>
    <xf numFmtId="0" fontId="13" fillId="0" borderId="0"/>
    <xf numFmtId="0" fontId="7" fillId="0" borderId="0"/>
    <xf numFmtId="0" fontId="7" fillId="0" borderId="0"/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55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0" fontId="7" fillId="0" borderId="0"/>
    <xf numFmtId="0" fontId="7" fillId="0" borderId="0"/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0" fontId="13" fillId="0" borderId="0"/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55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0" fontId="13" fillId="0" borderId="0"/>
    <xf numFmtId="0" fontId="7" fillId="0" borderId="0"/>
    <xf numFmtId="0" fontId="7" fillId="0" borderId="0"/>
    <xf numFmtId="0" fontId="101" fillId="0" borderId="0"/>
    <xf numFmtId="202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55" fillId="0" borderId="0"/>
    <xf numFmtId="0" fontId="13" fillId="0" borderId="0"/>
    <xf numFmtId="0" fontId="13" fillId="0" borderId="0"/>
    <xf numFmtId="171" fontId="50" fillId="0" borderId="0">
      <alignment horizontal="left" wrapText="1"/>
    </xf>
    <xf numFmtId="171" fontId="50" fillId="0" borderId="0">
      <alignment horizontal="left" wrapText="1"/>
    </xf>
    <xf numFmtId="0" fontId="7" fillId="0" borderId="0"/>
    <xf numFmtId="0" fontId="7" fillId="0" borderId="0"/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13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13" fillId="40" borderId="44" applyNumberFormat="0" applyFont="0" applyAlignment="0" applyProtection="0"/>
    <xf numFmtId="171" fontId="50" fillId="0" borderId="0">
      <alignment horizontal="left" wrapText="1"/>
    </xf>
    <xf numFmtId="0" fontId="13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0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171" fontId="50" fillId="0" borderId="0">
      <alignment horizontal="left" wrapTex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171" fontId="50" fillId="0" borderId="0">
      <alignment horizontal="left" wrapTex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9" borderId="26" applyNumberFormat="0" applyFont="0" applyAlignment="0" applyProtection="0"/>
    <xf numFmtId="0" fontId="55" fillId="9" borderId="26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171" fontId="50" fillId="0" borderId="0">
      <alignment horizontal="left" wrapText="1"/>
    </xf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36" fillId="7" borderId="23" applyNumberFormat="0" applyAlignment="0" applyProtection="0"/>
    <xf numFmtId="0" fontId="36" fillId="70" borderId="23" applyNumberFormat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103" fillId="70" borderId="45" applyNumberFormat="0" applyAlignment="0" applyProtection="0"/>
    <xf numFmtId="0" fontId="36" fillId="70" borderId="23" applyNumberFormat="0" applyAlignment="0" applyProtection="0"/>
    <xf numFmtId="0" fontId="36" fillId="70" borderId="23" applyNumberFormat="0" applyAlignment="0" applyProtection="0"/>
    <xf numFmtId="0" fontId="66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8" fillId="0" borderId="0"/>
    <xf numFmtId="0" fontId="69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172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0" fontId="13" fillId="0" borderId="38"/>
    <xf numFmtId="9" fontId="75" fillId="0" borderId="0" applyFont="0" applyFill="0" applyBorder="0" applyAlignment="0" applyProtection="0"/>
    <xf numFmtId="9" fontId="76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76" fillId="0" borderId="0" applyFont="0" applyFill="0" applyBorder="0" applyAlignment="0" applyProtection="0"/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0" fontId="13" fillId="0" borderId="38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9" fontId="63" fillId="0" borderId="0" applyFont="0" applyFill="0" applyBorder="0" applyAlignment="0" applyProtection="0"/>
    <xf numFmtId="10" fontId="13" fillId="0" borderId="38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0" fontId="13" fillId="0" borderId="38"/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7" fillId="0" borderId="0" applyFont="0" applyFill="0" applyBorder="0" applyAlignment="0" applyProtection="0"/>
    <xf numFmtId="10" fontId="13" fillId="0" borderId="38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38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0" borderId="38"/>
    <xf numFmtId="9" fontId="62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9" fontId="63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9" fontId="63" fillId="0" borderId="0" applyFont="0" applyFill="0" applyBorder="0" applyAlignment="0" applyProtection="0"/>
    <xf numFmtId="10" fontId="13" fillId="0" borderId="38"/>
    <xf numFmtId="9" fontId="63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9" fontId="63" fillId="0" borderId="0" applyFont="0" applyFill="0" applyBorder="0" applyAlignment="0" applyProtection="0"/>
    <xf numFmtId="10" fontId="13" fillId="0" borderId="38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0" borderId="38"/>
    <xf numFmtId="10" fontId="13" fillId="0" borderId="38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38"/>
    <xf numFmtId="171" fontId="50" fillId="0" borderId="0">
      <alignment horizontal="left" wrapText="1"/>
    </xf>
    <xf numFmtId="10" fontId="13" fillId="0" borderId="38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0" fontId="13" fillId="0" borderId="38"/>
    <xf numFmtId="10" fontId="13" fillId="0" borderId="38"/>
    <xf numFmtId="10" fontId="13" fillId="0" borderId="38"/>
    <xf numFmtId="10" fontId="13" fillId="0" borderId="38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2" fillId="0" borderId="0" applyFont="0" applyFill="0" applyBorder="0" applyAlignment="0" applyProtection="0"/>
    <xf numFmtId="171" fontId="50" fillId="0" borderId="0">
      <alignment horizontal="left" wrapText="1"/>
    </xf>
    <xf numFmtId="9" fontId="6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50" fillId="0" borderId="0">
      <alignment horizontal="left" wrapText="1"/>
    </xf>
    <xf numFmtId="9" fontId="62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9" fontId="5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3" fillId="0" borderId="38"/>
    <xf numFmtId="10" fontId="13" fillId="0" borderId="38"/>
    <xf numFmtId="10" fontId="13" fillId="0" borderId="38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0" fillId="0" borderId="0">
      <alignment horizontal="left" wrapText="1"/>
    </xf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10" fontId="13" fillId="0" borderId="38"/>
    <xf numFmtId="41" fontId="13" fillId="77" borderId="38"/>
    <xf numFmtId="41" fontId="13" fillId="77" borderId="38"/>
    <xf numFmtId="171" fontId="50" fillId="0" borderId="0">
      <alignment horizontal="left" wrapText="1"/>
    </xf>
    <xf numFmtId="41" fontId="13" fillId="77" borderId="38"/>
    <xf numFmtId="41" fontId="13" fillId="77" borderId="38"/>
    <xf numFmtId="171" fontId="50" fillId="0" borderId="0">
      <alignment horizontal="left" wrapText="1"/>
    </xf>
    <xf numFmtId="0" fontId="63" fillId="0" borderId="0" applyNumberFormat="0" applyFont="0" applyFill="0" applyBorder="0" applyAlignment="0" applyProtection="0">
      <alignment horizontal="left"/>
    </xf>
    <xf numFmtId="0" fontId="63" fillId="0" borderId="0" applyNumberFormat="0" applyFont="0" applyFill="0" applyBorder="0" applyAlignment="0" applyProtection="0">
      <alignment horizontal="left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63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" fontId="63" fillId="0" borderId="0" applyFont="0" applyFill="0" applyBorder="0" applyAlignment="0" applyProtection="0"/>
    <xf numFmtId="0" fontId="104" fillId="0" borderId="31">
      <alignment horizontal="center"/>
    </xf>
    <xf numFmtId="0" fontId="104" fillId="0" borderId="31">
      <alignment horizontal="center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04" fillId="0" borderId="31">
      <alignment horizontal="center"/>
    </xf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3" fontId="63" fillId="0" borderId="0" applyFont="0" applyFill="0" applyBorder="0" applyAlignment="0" applyProtection="0"/>
    <xf numFmtId="0" fontId="63" fillId="78" borderId="0" applyNumberFormat="0" applyFont="0" applyBorder="0" applyAlignment="0" applyProtection="0"/>
    <xf numFmtId="0" fontId="63" fillId="78" borderId="0" applyNumberFormat="0" applyFont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63" fillId="78" borderId="0" applyNumberFormat="0" applyFont="0" applyBorder="0" applyAlignment="0" applyProtection="0"/>
    <xf numFmtId="0" fontId="68" fillId="0" borderId="0"/>
    <xf numFmtId="0" fontId="69" fillId="0" borderId="0"/>
    <xf numFmtId="0" fontId="69" fillId="0" borderId="0"/>
    <xf numFmtId="0" fontId="68" fillId="0" borderId="0"/>
    <xf numFmtId="0" fontId="69" fillId="0" borderId="0"/>
    <xf numFmtId="3" fontId="105" fillId="0" borderId="0" applyFill="0" applyBorder="0" applyAlignment="0" applyProtection="0"/>
    <xf numFmtId="0" fontId="106" fillId="0" borderId="0"/>
    <xf numFmtId="0" fontId="107" fillId="0" borderId="0"/>
    <xf numFmtId="0" fontId="107" fillId="0" borderId="0"/>
    <xf numFmtId="0" fontId="106" fillId="0" borderId="0"/>
    <xf numFmtId="0" fontId="107" fillId="0" borderId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42" fontId="13" fillId="68" borderId="0"/>
    <xf numFmtId="0" fontId="67" fillId="79" borderId="0"/>
    <xf numFmtId="0" fontId="108" fillId="79" borderId="39"/>
    <xf numFmtId="0" fontId="109" fillId="80" borderId="46"/>
    <xf numFmtId="0" fontId="110" fillId="79" borderId="47"/>
    <xf numFmtId="42" fontId="13" fillId="68" borderId="0"/>
    <xf numFmtId="171" fontId="50" fillId="0" borderId="0">
      <alignment horizontal="left" wrapText="1"/>
    </xf>
    <xf numFmtId="42" fontId="13" fillId="68" borderId="0"/>
    <xf numFmtId="171" fontId="50" fillId="0" borderId="0">
      <alignment horizontal="left" wrapText="1"/>
    </xf>
    <xf numFmtId="42" fontId="13" fillId="68" borderId="0"/>
    <xf numFmtId="42" fontId="13" fillId="68" borderId="0"/>
    <xf numFmtId="42" fontId="13" fillId="68" borderId="48">
      <alignment vertical="center"/>
    </xf>
    <xf numFmtId="42" fontId="13" fillId="68" borderId="48">
      <alignment vertical="center"/>
    </xf>
    <xf numFmtId="171" fontId="50" fillId="0" borderId="0">
      <alignment horizontal="left" wrapText="1"/>
    </xf>
    <xf numFmtId="42" fontId="13" fillId="68" borderId="48">
      <alignment vertical="center"/>
    </xf>
    <xf numFmtId="171" fontId="50" fillId="0" borderId="0">
      <alignment horizontal="left" wrapText="1"/>
    </xf>
    <xf numFmtId="42" fontId="13" fillId="68" borderId="48">
      <alignment vertical="center"/>
    </xf>
    <xf numFmtId="171" fontId="50" fillId="0" borderId="0">
      <alignment horizontal="left" wrapText="1"/>
    </xf>
    <xf numFmtId="0" fontId="42" fillId="68" borderId="9" applyNumberFormat="0">
      <alignment horizontal="center" vertical="center" wrapText="1"/>
    </xf>
    <xf numFmtId="0" fontId="42" fillId="68" borderId="9" applyNumberFormat="0">
      <alignment horizontal="center" vertical="center" wrapText="1"/>
    </xf>
    <xf numFmtId="0" fontId="42" fillId="68" borderId="9" applyNumberFormat="0">
      <alignment horizontal="center" vertical="center" wrapText="1"/>
    </xf>
    <xf numFmtId="171" fontId="50" fillId="0" borderId="0">
      <alignment horizontal="left" wrapText="1"/>
    </xf>
    <xf numFmtId="10" fontId="13" fillId="68" borderId="0"/>
    <xf numFmtId="10" fontId="13" fillId="68" borderId="0"/>
    <xf numFmtId="10" fontId="13" fillId="68" borderId="0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68" borderId="0"/>
    <xf numFmtId="10" fontId="13" fillId="68" borderId="0"/>
    <xf numFmtId="171" fontId="50" fillId="0" borderId="0">
      <alignment horizontal="left" wrapText="1"/>
    </xf>
    <xf numFmtId="10" fontId="13" fillId="68" borderId="0"/>
    <xf numFmtId="171" fontId="50" fillId="0" borderId="0">
      <alignment horizontal="left" wrapText="1"/>
    </xf>
    <xf numFmtId="10" fontId="13" fillId="68" borderId="0"/>
    <xf numFmtId="171" fontId="50" fillId="0" borderId="0">
      <alignment horizontal="left" wrapText="1"/>
    </xf>
    <xf numFmtId="10" fontId="13" fillId="68" borderId="0"/>
    <xf numFmtId="171" fontId="50" fillId="0" borderId="0">
      <alignment horizontal="left" wrapText="1"/>
    </xf>
    <xf numFmtId="171" fontId="50" fillId="0" borderId="0">
      <alignment horizontal="left" wrapText="1"/>
    </xf>
    <xf numFmtId="10" fontId="13" fillId="68" borderId="0"/>
    <xf numFmtId="10" fontId="13" fillId="68" borderId="0"/>
    <xf numFmtId="10" fontId="13" fillId="68" borderId="0"/>
    <xf numFmtId="202" fontId="13" fillId="68" borderId="0"/>
    <xf numFmtId="202" fontId="13" fillId="68" borderId="0"/>
    <xf numFmtId="202" fontId="13" fillId="68" borderId="0"/>
    <xf numFmtId="171" fontId="50" fillId="0" borderId="0">
      <alignment horizontal="left" wrapText="1"/>
    </xf>
    <xf numFmtId="171" fontId="50" fillId="0" borderId="0">
      <alignment horizontal="left" wrapText="1"/>
    </xf>
    <xf numFmtId="202" fontId="13" fillId="68" borderId="0"/>
    <xf numFmtId="202" fontId="13" fillId="68" borderId="0"/>
    <xf numFmtId="171" fontId="50" fillId="0" borderId="0">
      <alignment horizontal="left" wrapText="1"/>
    </xf>
    <xf numFmtId="202" fontId="13" fillId="68" borderId="0"/>
    <xf numFmtId="171" fontId="50" fillId="0" borderId="0">
      <alignment horizontal="left" wrapText="1"/>
    </xf>
    <xf numFmtId="202" fontId="13" fillId="68" borderId="0"/>
    <xf numFmtId="171" fontId="50" fillId="0" borderId="0">
      <alignment horizontal="left" wrapText="1"/>
    </xf>
    <xf numFmtId="202" fontId="13" fillId="68" borderId="0"/>
    <xf numFmtId="171" fontId="50" fillId="0" borderId="0">
      <alignment horizontal="left" wrapText="1"/>
    </xf>
    <xf numFmtId="171" fontId="50" fillId="0" borderId="0">
      <alignment horizontal="left" wrapText="1"/>
    </xf>
    <xf numFmtId="202" fontId="13" fillId="68" borderId="0"/>
    <xf numFmtId="202" fontId="13" fillId="68" borderId="0"/>
    <xf numFmtId="202" fontId="13" fillId="68" borderId="0"/>
    <xf numFmtId="42" fontId="13" fillId="68" borderId="0"/>
    <xf numFmtId="169" fontId="91" fillId="0" borderId="0" applyBorder="0" applyAlignment="0"/>
    <xf numFmtId="169" fontId="91" fillId="0" borderId="0" applyBorder="0" applyAlignment="0"/>
    <xf numFmtId="169" fontId="91" fillId="0" borderId="0" applyBorder="0" applyAlignment="0"/>
    <xf numFmtId="42" fontId="13" fillId="68" borderId="3">
      <alignment horizontal="left"/>
    </xf>
    <xf numFmtId="42" fontId="13" fillId="68" borderId="3">
      <alignment horizontal="left"/>
    </xf>
    <xf numFmtId="171" fontId="50" fillId="0" borderId="0">
      <alignment horizontal="left" wrapText="1"/>
    </xf>
    <xf numFmtId="42" fontId="13" fillId="68" borderId="3">
      <alignment horizontal="left"/>
    </xf>
    <xf numFmtId="171" fontId="50" fillId="0" borderId="0">
      <alignment horizontal="left" wrapText="1"/>
    </xf>
    <xf numFmtId="42" fontId="13" fillId="68" borderId="3">
      <alignment horizontal="left"/>
    </xf>
    <xf numFmtId="171" fontId="50" fillId="0" borderId="0">
      <alignment horizontal="left" wrapText="1"/>
    </xf>
    <xf numFmtId="202" fontId="111" fillId="68" borderId="3">
      <alignment horizontal="left"/>
    </xf>
    <xf numFmtId="171" fontId="50" fillId="0" borderId="0">
      <alignment horizontal="left" wrapText="1"/>
    </xf>
    <xf numFmtId="202" fontId="111" fillId="68" borderId="3">
      <alignment horizontal="left"/>
    </xf>
    <xf numFmtId="169" fontId="91" fillId="0" borderId="0" applyBorder="0" applyAlignment="0"/>
    <xf numFmtId="14" fontId="50" fillId="0" borderId="0" applyNumberFormat="0" applyFill="0" applyBorder="0" applyAlignment="0" applyProtection="0">
      <alignment horizontal="left"/>
    </xf>
    <xf numFmtId="14" fontId="50" fillId="0" borderId="0" applyNumberFormat="0" applyFill="0" applyBorder="0" applyAlignment="0" applyProtection="0">
      <alignment horizontal="left"/>
    </xf>
    <xf numFmtId="203" fontId="13" fillId="0" borderId="0" applyFont="0" applyFill="0" applyAlignment="0">
      <alignment horizontal="right"/>
    </xf>
    <xf numFmtId="203" fontId="13" fillId="0" borderId="0" applyFont="0" applyFill="0" applyAlignment="0">
      <alignment horizontal="right"/>
    </xf>
    <xf numFmtId="203" fontId="13" fillId="0" borderId="0" applyFont="0" applyFill="0" applyAlignment="0">
      <alignment horizontal="right"/>
    </xf>
    <xf numFmtId="171" fontId="50" fillId="0" borderId="0">
      <alignment horizontal="left" wrapText="1"/>
    </xf>
    <xf numFmtId="171" fontId="50" fillId="0" borderId="0">
      <alignment horizontal="left" wrapText="1"/>
    </xf>
    <xf numFmtId="203" fontId="13" fillId="0" borderId="0" applyFont="0" applyFill="0" applyAlignment="0">
      <alignment horizontal="right"/>
    </xf>
    <xf numFmtId="203" fontId="13" fillId="0" borderId="0" applyFont="0" applyFill="0" applyAlignment="0">
      <alignment horizontal="right"/>
    </xf>
    <xf numFmtId="171" fontId="50" fillId="0" borderId="0">
      <alignment horizontal="left" wrapText="1"/>
    </xf>
    <xf numFmtId="203" fontId="13" fillId="0" borderId="0" applyFont="0" applyFill="0" applyAlignment="0">
      <alignment horizontal="right"/>
    </xf>
    <xf numFmtId="171" fontId="50" fillId="0" borderId="0">
      <alignment horizontal="left" wrapText="1"/>
    </xf>
    <xf numFmtId="203" fontId="13" fillId="0" borderId="0" applyFont="0" applyFill="0" applyAlignment="0">
      <alignment horizontal="right"/>
    </xf>
    <xf numFmtId="171" fontId="50" fillId="0" borderId="0">
      <alignment horizontal="left" wrapText="1"/>
    </xf>
    <xf numFmtId="203" fontId="13" fillId="0" borderId="0" applyFont="0" applyFill="0" applyAlignment="0">
      <alignment horizontal="right"/>
    </xf>
    <xf numFmtId="171" fontId="50" fillId="0" borderId="0">
      <alignment horizontal="left" wrapText="1"/>
    </xf>
    <xf numFmtId="171" fontId="50" fillId="0" borderId="0">
      <alignment horizontal="left" wrapText="1"/>
    </xf>
    <xf numFmtId="203" fontId="13" fillId="0" borderId="0" applyFont="0" applyFill="0" applyAlignment="0">
      <alignment horizontal="right"/>
    </xf>
    <xf numFmtId="203" fontId="13" fillId="0" borderId="0" applyFont="0" applyFill="0" applyAlignment="0">
      <alignment horizontal="right"/>
    </xf>
    <xf numFmtId="4" fontId="112" fillId="76" borderId="45" applyNumberFormat="0" applyProtection="0">
      <alignment vertical="center"/>
    </xf>
    <xf numFmtId="171" fontId="50" fillId="0" borderId="0">
      <alignment horizontal="left" wrapText="1"/>
    </xf>
    <xf numFmtId="4" fontId="112" fillId="76" borderId="45" applyNumberFormat="0" applyProtection="0">
      <alignment vertical="center"/>
    </xf>
    <xf numFmtId="4" fontId="113" fillId="76" borderId="45" applyNumberFormat="0" applyProtection="0">
      <alignment vertical="center"/>
    </xf>
    <xf numFmtId="171" fontId="50" fillId="0" borderId="0">
      <alignment horizontal="left" wrapText="1"/>
    </xf>
    <xf numFmtId="4" fontId="113" fillId="76" borderId="45" applyNumberFormat="0" applyProtection="0">
      <alignment vertical="center"/>
    </xf>
    <xf numFmtId="4" fontId="112" fillId="76" borderId="45" applyNumberFormat="0" applyProtection="0">
      <alignment horizontal="left" vertical="center" indent="1"/>
    </xf>
    <xf numFmtId="171" fontId="50" fillId="0" borderId="0">
      <alignment horizontal="left" wrapTex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171" fontId="50" fillId="0" borderId="0">
      <alignment horizontal="left" wrapText="1"/>
    </xf>
    <xf numFmtId="4" fontId="112" fillId="7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82" borderId="0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83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3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4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5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6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7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8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89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90" borderId="45" applyNumberFormat="0" applyProtection="0">
      <alignment horizontal="right" vertical="center"/>
    </xf>
    <xf numFmtId="4" fontId="112" fillId="91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91" borderId="45" applyNumberFormat="0" applyProtection="0">
      <alignment horizontal="right" vertical="center"/>
    </xf>
    <xf numFmtId="4" fontId="114" fillId="92" borderId="45" applyNumberFormat="0" applyProtection="0">
      <alignment horizontal="left" vertical="center" indent="1"/>
    </xf>
    <xf numFmtId="4" fontId="114" fillId="93" borderId="0" applyNumberFormat="0" applyProtection="0">
      <alignment horizontal="left" vertical="center" indent="1"/>
    </xf>
    <xf numFmtId="4" fontId="114" fillId="93" borderId="0" applyNumberFormat="0" applyProtection="0">
      <alignment horizontal="left" vertical="center" indent="1"/>
    </xf>
    <xf numFmtId="4" fontId="114" fillId="92" borderId="45" applyNumberFormat="0" applyProtection="0">
      <alignment horizontal="left" vertical="center" indent="1"/>
    </xf>
    <xf numFmtId="4" fontId="112" fillId="94" borderId="49" applyNumberFormat="0" applyProtection="0">
      <alignment horizontal="left" vertical="center" indent="1"/>
    </xf>
    <xf numFmtId="4" fontId="112" fillId="94" borderId="0" applyNumberFormat="0" applyProtection="0">
      <alignment horizontal="left" vertical="center" indent="1"/>
    </xf>
    <xf numFmtId="4" fontId="112" fillId="94" borderId="0" applyNumberFormat="0" applyProtection="0">
      <alignment horizontal="left" vertical="center" indent="1"/>
    </xf>
    <xf numFmtId="4" fontId="115" fillId="95" borderId="0" applyNumberFormat="0" applyProtection="0">
      <alignment horizontal="left" vertical="center" indent="1"/>
    </xf>
    <xf numFmtId="4" fontId="115" fillId="95" borderId="0" applyNumberFormat="0" applyProtection="0">
      <alignment horizontal="left" vertical="center" indent="1"/>
    </xf>
    <xf numFmtId="4" fontId="115" fillId="95" borderId="0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6" fillId="0" borderId="0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6" fillId="0" borderId="0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96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96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96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70" borderId="15" applyNumberFormat="0">
      <protection locked="0"/>
    </xf>
    <xf numFmtId="0" fontId="13" fillId="70" borderId="15" applyNumberFormat="0">
      <protection locked="0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91" fillId="65" borderId="50" applyBorder="0"/>
    <xf numFmtId="4" fontId="112" fillId="98" borderId="45" applyNumberFormat="0" applyProtection="0">
      <alignment vertical="center"/>
    </xf>
    <xf numFmtId="171" fontId="50" fillId="0" borderId="0">
      <alignment horizontal="left" wrapText="1"/>
    </xf>
    <xf numFmtId="4" fontId="112" fillId="98" borderId="45" applyNumberFormat="0" applyProtection="0">
      <alignment vertical="center"/>
    </xf>
    <xf numFmtId="4" fontId="113" fillId="98" borderId="45" applyNumberFormat="0" applyProtection="0">
      <alignment vertical="center"/>
    </xf>
    <xf numFmtId="171" fontId="50" fillId="0" borderId="0">
      <alignment horizontal="left" wrapText="1"/>
    </xf>
    <xf numFmtId="4" fontId="113" fillId="98" borderId="45" applyNumberFormat="0" applyProtection="0">
      <alignment vertical="center"/>
    </xf>
    <xf numFmtId="4" fontId="112" fillId="98" borderId="45" applyNumberFormat="0" applyProtection="0">
      <alignment horizontal="left" vertical="center" indent="1"/>
    </xf>
    <xf numFmtId="171" fontId="50" fillId="0" borderId="0">
      <alignment horizontal="left" wrapTex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171" fontId="50" fillId="0" borderId="0">
      <alignment horizontal="left" wrapText="1"/>
    </xf>
    <xf numFmtId="4" fontId="112" fillId="98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171" fontId="50" fillId="0" borderId="0">
      <alignment horizontal="left" wrapText="1"/>
    </xf>
    <xf numFmtId="4" fontId="112" fillId="94" borderId="45" applyNumberFormat="0" applyProtection="0">
      <alignment horizontal="right" vertical="center"/>
    </xf>
    <xf numFmtId="4" fontId="113" fillId="94" borderId="45" applyNumberFormat="0" applyProtection="0">
      <alignment horizontal="right" vertical="center"/>
    </xf>
    <xf numFmtId="171" fontId="50" fillId="0" borderId="0">
      <alignment horizontal="left" wrapText="1"/>
    </xf>
    <xf numFmtId="4" fontId="113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171" fontId="50" fillId="0" borderId="0">
      <alignment horizontal="left" wrapText="1"/>
    </xf>
    <xf numFmtId="171" fontId="50" fillId="0" borderId="0">
      <alignment horizontal="left" wrapTex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17" fillId="0" borderId="0"/>
    <xf numFmtId="0" fontId="117" fillId="0" borderId="0"/>
    <xf numFmtId="0" fontId="118" fillId="0" borderId="0" applyNumberFormat="0" applyProtection="0">
      <alignment horizontal="left" indent="5"/>
    </xf>
    <xf numFmtId="0" fontId="45" fillId="99" borderId="15"/>
    <xf numFmtId="4" fontId="119" fillId="94" borderId="45" applyNumberFormat="0" applyProtection="0">
      <alignment horizontal="right" vertical="center"/>
    </xf>
    <xf numFmtId="171" fontId="50" fillId="0" borderId="0">
      <alignment horizontal="left" wrapText="1"/>
    </xf>
    <xf numFmtId="4" fontId="119" fillId="94" borderId="45" applyNumberFormat="0" applyProtection="0">
      <alignment horizontal="right" vertical="center"/>
    </xf>
    <xf numFmtId="39" fontId="13" fillId="100" borderId="0"/>
    <xf numFmtId="39" fontId="13" fillId="100" borderId="0"/>
    <xf numFmtId="39" fontId="13" fillId="100" borderId="0"/>
    <xf numFmtId="171" fontId="50" fillId="0" borderId="0">
      <alignment horizontal="left" wrapText="1"/>
    </xf>
    <xf numFmtId="171" fontId="50" fillId="0" borderId="0">
      <alignment horizontal="left" wrapText="1"/>
    </xf>
    <xf numFmtId="39" fontId="13" fillId="100" borderId="0"/>
    <xf numFmtId="39" fontId="13" fillId="100" borderId="0"/>
    <xf numFmtId="171" fontId="50" fillId="0" borderId="0">
      <alignment horizontal="left" wrapText="1"/>
    </xf>
    <xf numFmtId="39" fontId="13" fillId="100" borderId="0"/>
    <xf numFmtId="171" fontId="50" fillId="0" borderId="0">
      <alignment horizontal="left" wrapText="1"/>
    </xf>
    <xf numFmtId="39" fontId="13" fillId="100" borderId="0"/>
    <xf numFmtId="171" fontId="50" fillId="0" borderId="0">
      <alignment horizontal="left" wrapText="1"/>
    </xf>
    <xf numFmtId="39" fontId="13" fillId="100" borderId="0"/>
    <xf numFmtId="171" fontId="50" fillId="0" borderId="0">
      <alignment horizontal="left" wrapText="1"/>
    </xf>
    <xf numFmtId="171" fontId="50" fillId="0" borderId="0">
      <alignment horizontal="left" wrapText="1"/>
    </xf>
    <xf numFmtId="39" fontId="13" fillId="100" borderId="0"/>
    <xf numFmtId="39" fontId="13" fillId="100" borderId="0"/>
    <xf numFmtId="39" fontId="13" fillId="100" borderId="0"/>
    <xf numFmtId="0" fontId="120" fillId="0" borderId="0" applyNumberFormat="0" applyFill="0" applyBorder="0" applyAlignment="0" applyProtection="0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38" fontId="45" fillId="0" borderId="51"/>
    <xf numFmtId="171" fontId="50" fillId="0" borderId="0">
      <alignment horizontal="left" wrapText="1"/>
    </xf>
    <xf numFmtId="38" fontId="45" fillId="0" borderId="51"/>
    <xf numFmtId="0" fontId="45" fillId="0" borderId="51"/>
    <xf numFmtId="38" fontId="45" fillId="0" borderId="51"/>
    <xf numFmtId="38" fontId="45" fillId="0" borderId="51"/>
    <xf numFmtId="38" fontId="45" fillId="0" borderId="51"/>
    <xf numFmtId="38" fontId="91" fillId="0" borderId="3"/>
    <xf numFmtId="38" fontId="91" fillId="0" borderId="3"/>
    <xf numFmtId="38" fontId="91" fillId="0" borderId="3"/>
    <xf numFmtId="38" fontId="91" fillId="0" borderId="3"/>
    <xf numFmtId="171" fontId="50" fillId="0" borderId="0">
      <alignment horizontal="left" wrapText="1"/>
    </xf>
    <xf numFmtId="0" fontId="91" fillId="0" borderId="3"/>
    <xf numFmtId="0" fontId="91" fillId="0" borderId="3"/>
    <xf numFmtId="0" fontId="91" fillId="0" borderId="3"/>
    <xf numFmtId="38" fontId="91" fillId="0" borderId="3"/>
    <xf numFmtId="38" fontId="91" fillId="0" borderId="3"/>
    <xf numFmtId="38" fontId="91" fillId="0" borderId="3"/>
    <xf numFmtId="38" fontId="91" fillId="0" borderId="3"/>
    <xf numFmtId="39" fontId="50" fillId="101" borderId="0"/>
    <xf numFmtId="39" fontId="50" fillId="101" borderId="0"/>
    <xf numFmtId="171" fontId="13" fillId="0" borderId="0">
      <alignment horizontal="left" wrapText="1"/>
    </xf>
    <xf numFmtId="175" fontId="13" fillId="0" borderId="0">
      <alignment horizontal="left" wrapText="1"/>
    </xf>
    <xf numFmtId="198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7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202" fontId="13" fillId="0" borderId="0">
      <alignment horizontal="left" wrapText="1"/>
    </xf>
    <xf numFmtId="202" fontId="13" fillId="0" borderId="0">
      <alignment horizontal="left" wrapText="1"/>
    </xf>
    <xf numFmtId="202" fontId="13" fillId="0" borderId="0">
      <alignment horizontal="left" wrapText="1"/>
    </xf>
    <xf numFmtId="172" fontId="13" fillId="0" borderId="0">
      <alignment horizontal="left" wrapText="1"/>
    </xf>
    <xf numFmtId="202" fontId="13" fillId="0" borderId="0">
      <alignment horizontal="left" wrapText="1"/>
    </xf>
    <xf numFmtId="202" fontId="13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1" fontId="50" fillId="0" borderId="0">
      <alignment horizontal="left" wrapText="1"/>
    </xf>
    <xf numFmtId="171" fontId="13" fillId="0" borderId="0">
      <alignment horizontal="left" wrapText="1"/>
    </xf>
    <xf numFmtId="171" fontId="13" fillId="0" borderId="0">
      <alignment horizontal="left" wrapText="1"/>
    </xf>
    <xf numFmtId="176" fontId="13" fillId="0" borderId="0">
      <alignment horizontal="left" wrapText="1"/>
    </xf>
    <xf numFmtId="176" fontId="13" fillId="0" borderId="0">
      <alignment horizontal="left" wrapText="1"/>
    </xf>
    <xf numFmtId="171" fontId="50" fillId="0" borderId="0">
      <alignment horizontal="left" wrapText="1"/>
    </xf>
    <xf numFmtId="171" fontId="50" fillId="0" borderId="0">
      <alignment horizontal="left" wrapText="1"/>
    </xf>
    <xf numFmtId="176" fontId="13" fillId="0" borderId="0">
      <alignment horizontal="left" wrapText="1"/>
    </xf>
    <xf numFmtId="175" fontId="13" fillId="0" borderId="0">
      <alignment horizontal="left" wrapText="1"/>
    </xf>
    <xf numFmtId="175" fontId="13" fillId="0" borderId="0">
      <alignment horizontal="left" wrapText="1"/>
    </xf>
    <xf numFmtId="171" fontId="50" fillId="0" borderId="0">
      <alignment horizontal="left" wrapText="1"/>
    </xf>
    <xf numFmtId="199" fontId="13" fillId="0" borderId="0">
      <alignment horizontal="left" wrapText="1"/>
    </xf>
    <xf numFmtId="199" fontId="13" fillId="0" borderId="0">
      <alignment horizontal="left" wrapText="1"/>
    </xf>
    <xf numFmtId="199" fontId="13" fillId="0" borderId="0">
      <alignment horizontal="left" wrapText="1"/>
    </xf>
    <xf numFmtId="199" fontId="13" fillId="0" borderId="0">
      <alignment horizontal="left" wrapText="1"/>
    </xf>
    <xf numFmtId="199" fontId="13" fillId="0" borderId="0">
      <alignment horizontal="left" wrapText="1"/>
    </xf>
    <xf numFmtId="172" fontId="13" fillId="0" borderId="0">
      <alignment horizontal="left" wrapText="1"/>
    </xf>
    <xf numFmtId="172" fontId="13" fillId="0" borderId="0">
      <alignment horizontal="left" wrapText="1"/>
    </xf>
    <xf numFmtId="199" fontId="13" fillId="0" borderId="0">
      <alignment horizontal="left" wrapText="1"/>
    </xf>
    <xf numFmtId="171" fontId="13" fillId="0" borderId="0">
      <alignment horizontal="left" wrapText="1"/>
    </xf>
    <xf numFmtId="172" fontId="13" fillId="0" borderId="0">
      <alignment horizontal="left" wrapText="1"/>
    </xf>
    <xf numFmtId="171" fontId="13" fillId="0" borderId="0">
      <alignment horizontal="left" wrapText="1"/>
    </xf>
    <xf numFmtId="0" fontId="13" fillId="0" borderId="0">
      <alignment horizontal="left" wrapText="1"/>
    </xf>
    <xf numFmtId="0" fontId="112" fillId="0" borderId="0" applyNumberFormat="0" applyBorder="0" applyAlignment="0"/>
    <xf numFmtId="0" fontId="121" fillId="0" borderId="0" applyNumberFormat="0" applyBorder="0" applyAlignment="0"/>
    <xf numFmtId="0" fontId="114" fillId="0" borderId="0" applyNumberFormat="0" applyBorder="0" applyAlignment="0"/>
    <xf numFmtId="0" fontId="122" fillId="0" borderId="0"/>
    <xf numFmtId="0" fontId="82" fillId="0" borderId="47"/>
    <xf numFmtId="40" fontId="123" fillId="0" borderId="0" applyBorder="0">
      <alignment horizontal="right"/>
    </xf>
    <xf numFmtId="41" fontId="124" fillId="68" borderId="0">
      <alignment horizontal="left"/>
    </xf>
    <xf numFmtId="40" fontId="123" fillId="0" borderId="0" applyBorder="0">
      <alignment horizontal="right"/>
    </xf>
    <xf numFmtId="41" fontId="124" fillId="68" borderId="0">
      <alignment horizontal="left"/>
    </xf>
    <xf numFmtId="40" fontId="123" fillId="0" borderId="0" applyBorder="0">
      <alignment horizontal="right"/>
    </xf>
    <xf numFmtId="41" fontId="124" fillId="68" borderId="0">
      <alignment horizontal="left"/>
    </xf>
    <xf numFmtId="0" fontId="125" fillId="0" borderId="0"/>
    <xf numFmtId="0" fontId="13" fillId="0" borderId="0" applyNumberFormat="0" applyBorder="0" applyAlignment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67" fillId="0" borderId="0"/>
    <xf numFmtId="0" fontId="108" fillId="79" borderId="0"/>
    <xf numFmtId="165" fontId="128" fillId="68" borderId="0">
      <alignment horizontal="left" vertical="center"/>
    </xf>
    <xf numFmtId="165" fontId="129" fillId="0" borderId="0">
      <alignment horizontal="left" vertical="center"/>
    </xf>
    <xf numFmtId="165" fontId="129" fillId="0" borderId="0">
      <alignment horizontal="left" vertical="center"/>
    </xf>
    <xf numFmtId="0" fontId="42" fillId="68" borderId="0">
      <alignment horizontal="left" wrapText="1"/>
    </xf>
    <xf numFmtId="0" fontId="42" fillId="68" borderId="0">
      <alignment horizontal="left" wrapText="1"/>
    </xf>
    <xf numFmtId="0" fontId="42" fillId="68" borderId="0">
      <alignment horizontal="left" wrapText="1"/>
    </xf>
    <xf numFmtId="171" fontId="50" fillId="0" borderId="0">
      <alignment horizontal="left" wrapText="1"/>
    </xf>
    <xf numFmtId="0" fontId="130" fillId="0" borderId="0">
      <alignment horizontal="left" vertical="center"/>
    </xf>
    <xf numFmtId="0" fontId="130" fillId="0" borderId="0">
      <alignment horizontal="left" vertical="center"/>
    </xf>
    <xf numFmtId="0" fontId="70" fillId="0" borderId="52" applyNumberFormat="0" applyFon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14" fillId="0" borderId="27" applyNumberFormat="0" applyFill="0" applyAlignment="0" applyProtection="0"/>
    <xf numFmtId="0" fontId="14" fillId="0" borderId="54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0" fontId="14" fillId="0" borderId="54" applyNumberFormat="0" applyFill="0" applyAlignment="0" applyProtection="0"/>
    <xf numFmtId="0" fontId="14" fillId="0" borderId="27" applyNumberFormat="0" applyFill="0" applyAlignment="0" applyProtection="0"/>
    <xf numFmtId="0" fontId="14" fillId="0" borderId="54" applyNumberFormat="0" applyFill="0" applyAlignment="0" applyProtection="0"/>
    <xf numFmtId="171" fontId="50" fillId="0" borderId="0">
      <alignment horizontal="left" wrapText="1"/>
    </xf>
    <xf numFmtId="171" fontId="50" fillId="0" borderId="0">
      <alignment horizontal="left" wrapText="1"/>
    </xf>
    <xf numFmtId="41" fontId="42" fillId="68" borderId="0">
      <alignment horizontal="left"/>
    </xf>
    <xf numFmtId="171" fontId="50" fillId="0" borderId="0">
      <alignment horizontal="left" wrapText="1"/>
    </xf>
    <xf numFmtId="171" fontId="50" fillId="0" borderId="0">
      <alignment horizontal="left" wrapText="1"/>
    </xf>
    <xf numFmtId="41" fontId="42" fillId="68" borderId="0">
      <alignment horizontal="left"/>
    </xf>
    <xf numFmtId="0" fontId="14" fillId="0" borderId="54" applyNumberFormat="0" applyFill="0" applyAlignment="0" applyProtection="0"/>
    <xf numFmtId="0" fontId="14" fillId="0" borderId="27" applyNumberFormat="0" applyFill="0" applyAlignment="0" applyProtection="0"/>
    <xf numFmtId="0" fontId="68" fillId="0" borderId="55"/>
    <xf numFmtId="0" fontId="69" fillId="0" borderId="55"/>
    <xf numFmtId="0" fontId="69" fillId="0" borderId="55"/>
    <xf numFmtId="0" fontId="68" fillId="0" borderId="55"/>
    <xf numFmtId="0" fontId="69" fillId="0" borderId="55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71" fontId="50" fillId="0" borderId="0">
      <alignment horizontal="left" wrapText="1"/>
    </xf>
    <xf numFmtId="0" fontId="2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42" fillId="68" borderId="9" applyNumberFormat="0">
      <alignment horizontal="center" vertical="center" wrapText="1"/>
    </xf>
    <xf numFmtId="0" fontId="13" fillId="0" borderId="0">
      <alignment readingOrder="1"/>
    </xf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readingOrder="1"/>
    </xf>
    <xf numFmtId="0" fontId="13" fillId="0" borderId="0">
      <alignment readingOrder="1"/>
    </xf>
    <xf numFmtId="43" fontId="13" fillId="0" borderId="0" applyFont="0" applyFill="0" applyBorder="0" applyAlignment="0" applyProtection="0"/>
    <xf numFmtId="3" fontId="12" fillId="0" borderId="0"/>
    <xf numFmtId="9" fontId="13" fillId="0" borderId="0" applyFont="0" applyFill="0" applyBorder="0" applyAlignment="0" applyProtection="0"/>
    <xf numFmtId="0" fontId="13" fillId="89" borderId="0" applyNumberFormat="0" applyFont="0" applyFill="0" applyBorder="0" applyAlignment="0" applyProtection="0"/>
    <xf numFmtId="169" fontId="65" fillId="76" borderId="0" applyFont="0" applyFill="0" applyBorder="0" applyAlignment="0" applyProtection="0">
      <alignment wrapText="1"/>
    </xf>
    <xf numFmtId="3" fontId="12" fillId="0" borderId="0"/>
    <xf numFmtId="0" fontId="13" fillId="0" borderId="0">
      <alignment readingOrder="1"/>
    </xf>
    <xf numFmtId="38" fontId="133" fillId="0" borderId="0" applyNumberFormat="0" applyFont="0" applyFill="0" applyBorder="0">
      <alignment horizontal="left" indent="4"/>
      <protection locked="0"/>
    </xf>
    <xf numFmtId="9" fontId="6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32" fillId="0" borderId="0"/>
    <xf numFmtId="0" fontId="65" fillId="0" borderId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44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1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13" fillId="0" borderId="0" applyFont="0" applyFill="0" applyBorder="0" applyAlignment="0" applyProtection="0"/>
    <xf numFmtId="0" fontId="49" fillId="0" borderId="0"/>
    <xf numFmtId="0" fontId="135" fillId="77" borderId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70" borderId="15" applyNumberFormat="0">
      <protection locked="0"/>
    </xf>
    <xf numFmtId="0" fontId="13" fillId="70" borderId="15" applyNumberFormat="0">
      <protection locked="0"/>
    </xf>
    <xf numFmtId="0" fontId="45" fillId="99" borderId="15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0" fontId="45" fillId="68" borderId="56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14" fillId="92" borderId="45" applyNumberFormat="0" applyProtection="0">
      <alignment horizontal="left" vertical="center" indent="1"/>
    </xf>
    <xf numFmtId="38" fontId="91" fillId="0" borderId="3"/>
    <xf numFmtId="38" fontId="91" fillId="0" borderId="3"/>
    <xf numFmtId="4" fontId="114" fillId="92" borderId="45" applyNumberFormat="0" applyProtection="0">
      <alignment horizontal="left" vertical="center" indent="1"/>
    </xf>
    <xf numFmtId="4" fontId="112" fillId="91" borderId="45" applyNumberFormat="0" applyProtection="0">
      <alignment horizontal="right" vertical="center"/>
    </xf>
    <xf numFmtId="38" fontId="91" fillId="0" borderId="3"/>
    <xf numFmtId="4" fontId="112" fillId="91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38" fontId="91" fillId="0" borderId="3"/>
    <xf numFmtId="4" fontId="112" fillId="90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4" fontId="112" fillId="87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4" fontId="112" fillId="86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4" fontId="112" fillId="85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3" fillId="76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3" fillId="76" borderId="45" applyNumberFormat="0" applyProtection="0">
      <alignment vertical="center"/>
    </xf>
    <xf numFmtId="4" fontId="112" fillId="76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2" fillId="76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3" fillId="94" borderId="45" applyNumberFormat="0" applyProtection="0">
      <alignment horizontal="right" vertical="center"/>
    </xf>
    <xf numFmtId="202" fontId="111" fillId="68" borderId="3">
      <alignment horizontal="left"/>
    </xf>
    <xf numFmtId="4" fontId="119" fillId="94" borderId="45" applyNumberFormat="0" applyProtection="0">
      <alignment horizontal="right" vertical="center"/>
    </xf>
    <xf numFmtId="202" fontId="111" fillId="68" borderId="3">
      <alignment horizontal="left"/>
    </xf>
    <xf numFmtId="42" fontId="13" fillId="68" borderId="3">
      <alignment horizontal="left"/>
    </xf>
    <xf numFmtId="4" fontId="119" fillId="94" borderId="45" applyNumberFormat="0" applyProtection="0">
      <alignment horizontal="right" vertical="center"/>
    </xf>
    <xf numFmtId="42" fontId="13" fillId="68" borderId="3">
      <alignment horizontal="left"/>
    </xf>
    <xf numFmtId="0" fontId="45" fillId="99" borderId="15"/>
    <xf numFmtId="42" fontId="13" fillId="68" borderId="3">
      <alignment horizontal="left"/>
    </xf>
    <xf numFmtId="42" fontId="13" fillId="68" borderId="3">
      <alignment horizontal="left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2" fillId="98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3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3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3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2" fillId="98" borderId="45" applyNumberFormat="0" applyProtection="0">
      <alignment horizontal="left" vertical="center" indent="1"/>
    </xf>
    <xf numFmtId="0" fontId="13" fillId="70" borderId="15" applyNumberFormat="0">
      <protection locked="0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0" fontId="13" fillId="70" borderId="15" applyNumberFormat="0">
      <protection locked="0"/>
    </xf>
    <xf numFmtId="4" fontId="113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3" fillId="98" borderId="45" applyNumberFormat="0" applyProtection="0">
      <alignment vertical="center"/>
    </xf>
    <xf numFmtId="4" fontId="112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vertical="center"/>
    </xf>
    <xf numFmtId="0" fontId="110" fillId="79" borderId="47"/>
    <xf numFmtId="0" fontId="109" fillId="80" borderId="46"/>
    <xf numFmtId="0" fontId="91" fillId="65" borderId="50" applyBorder="0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70" borderId="15" applyNumberFormat="0">
      <protection locked="0"/>
    </xf>
    <xf numFmtId="0" fontId="13" fillId="70" borderId="15" applyNumberFormat="0">
      <protection locked="0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70" borderId="15" applyNumberFormat="0">
      <protection locked="0"/>
    </xf>
    <xf numFmtId="0" fontId="13" fillId="34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70" borderId="15" applyNumberFormat="0">
      <protection locked="0"/>
    </xf>
    <xf numFmtId="0" fontId="13" fillId="81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4" fontId="114" fillId="92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4" fillId="92" borderId="45" applyNumberFormat="0" applyProtection="0">
      <alignment horizontal="left" vertical="center" indent="1"/>
    </xf>
    <xf numFmtId="4" fontId="112" fillId="91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4" fontId="112" fillId="91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4" fontId="112" fillId="90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4" fontId="112" fillId="87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4" fontId="112" fillId="85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4" fontId="112" fillId="83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3" fillId="76" borderId="45" applyNumberFormat="0" applyProtection="0">
      <alignment vertical="center"/>
    </xf>
    <xf numFmtId="38" fontId="91" fillId="0" borderId="3"/>
    <xf numFmtId="4" fontId="113" fillId="76" borderId="45" applyNumberFormat="0" applyProtection="0">
      <alignment vertical="center"/>
    </xf>
    <xf numFmtId="4" fontId="112" fillId="76" borderId="45" applyNumberFormat="0" applyProtection="0">
      <alignment vertical="center"/>
    </xf>
    <xf numFmtId="0" fontId="13" fillId="96" borderId="45" applyNumberFormat="0" applyProtection="0">
      <alignment horizontal="left" vertical="center" indent="1"/>
    </xf>
    <xf numFmtId="4" fontId="112" fillId="76" borderId="45" applyNumberFormat="0" applyProtection="0">
      <alignment vertical="center"/>
    </xf>
    <xf numFmtId="4" fontId="112" fillId="96" borderId="45" applyNumberFormat="0" applyProtection="0">
      <alignment horizontal="left" vertical="center" indent="1"/>
    </xf>
    <xf numFmtId="38" fontId="91" fillId="0" borderId="3"/>
    <xf numFmtId="4" fontId="112" fillId="96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38" fontId="91" fillId="0" borderId="3"/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91" fillId="0" borderId="3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91" fillId="0" borderId="3"/>
    <xf numFmtId="0" fontId="91" fillId="0" borderId="3"/>
    <xf numFmtId="38" fontId="91" fillId="0" borderId="3"/>
    <xf numFmtId="38" fontId="91" fillId="0" borderId="3"/>
    <xf numFmtId="38" fontId="91" fillId="0" borderId="3"/>
    <xf numFmtId="202" fontId="111" fillId="68" borderId="3">
      <alignment horizontal="left"/>
    </xf>
    <xf numFmtId="4" fontId="114" fillId="92" borderId="45" applyNumberFormat="0" applyProtection="0">
      <alignment horizontal="left" vertical="center" indent="1"/>
    </xf>
    <xf numFmtId="38" fontId="91" fillId="0" borderId="3"/>
    <xf numFmtId="42" fontId="13" fillId="68" borderId="3">
      <alignment horizontal="left"/>
    </xf>
    <xf numFmtId="42" fontId="13" fillId="68" borderId="3">
      <alignment horizontal="left"/>
    </xf>
    <xf numFmtId="4" fontId="114" fillId="92" borderId="45" applyNumberFormat="0" applyProtection="0">
      <alignment horizontal="left" vertical="center" indent="1"/>
    </xf>
    <xf numFmtId="42" fontId="13" fillId="68" borderId="3">
      <alignment horizontal="left"/>
    </xf>
    <xf numFmtId="42" fontId="13" fillId="68" borderId="3">
      <alignment horizontal="left"/>
    </xf>
    <xf numFmtId="4" fontId="112" fillId="91" borderId="45" applyNumberFormat="0" applyProtection="0">
      <alignment horizontal="right" vertical="center"/>
    </xf>
    <xf numFmtId="4" fontId="112" fillId="91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3" fillId="76" borderId="45" applyNumberFormat="0" applyProtection="0">
      <alignment vertical="center"/>
    </xf>
    <xf numFmtId="4" fontId="112" fillId="76" borderId="45" applyNumberFormat="0" applyProtection="0">
      <alignment vertical="center"/>
    </xf>
    <xf numFmtId="4" fontId="112" fillId="76" borderId="45" applyNumberFormat="0" applyProtection="0">
      <alignment vertical="center"/>
    </xf>
    <xf numFmtId="0" fontId="110" fillId="79" borderId="47"/>
    <xf numFmtId="0" fontId="109" fillId="80" borderId="46"/>
    <xf numFmtId="4" fontId="119" fillId="94" borderId="45" applyNumberFormat="0" applyProtection="0">
      <alignment horizontal="right" vertical="center"/>
    </xf>
    <xf numFmtId="4" fontId="119" fillId="94" borderId="45" applyNumberFormat="0" applyProtection="0">
      <alignment horizontal="right" vertical="center"/>
    </xf>
    <xf numFmtId="202" fontId="111" fillId="68" borderId="3">
      <alignment horizontal="left"/>
    </xf>
    <xf numFmtId="0" fontId="45" fillId="99" borderId="15"/>
    <xf numFmtId="202" fontId="111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3" fillId="94" borderId="45" applyNumberFormat="0" applyProtection="0">
      <alignment horizontal="right" vertical="center"/>
    </xf>
    <xf numFmtId="4" fontId="113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3" fillId="98" borderId="45" applyNumberFormat="0" applyProtection="0">
      <alignment vertical="center"/>
    </xf>
    <xf numFmtId="4" fontId="113" fillId="98" borderId="45" applyNumberFormat="0" applyProtection="0">
      <alignment vertical="center"/>
    </xf>
    <xf numFmtId="4" fontId="112" fillId="98" borderId="45" applyNumberFormat="0" applyProtection="0">
      <alignment vertical="center"/>
    </xf>
    <xf numFmtId="4" fontId="112" fillId="98" borderId="45" applyNumberFormat="0" applyProtection="0">
      <alignment vertical="center"/>
    </xf>
    <xf numFmtId="0" fontId="13" fillId="70" borderId="15" applyNumberFormat="0">
      <protection locked="0"/>
    </xf>
    <xf numFmtId="0" fontId="13" fillId="70" borderId="15" applyNumberFormat="0">
      <protection locked="0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4" fillId="92" borderId="45" applyNumberFormat="0" applyProtection="0">
      <alignment horizontal="left" vertical="center" indent="1"/>
    </xf>
    <xf numFmtId="4" fontId="112" fillId="91" borderId="45" applyNumberFormat="0" applyProtection="0">
      <alignment horizontal="right" vertical="center"/>
    </xf>
    <xf numFmtId="4" fontId="112" fillId="91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03" fillId="70" borderId="45" applyNumberFormat="0" applyAlignment="0" applyProtection="0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3" fillId="81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4" fontId="112" fillId="76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4" fontId="112" fillId="76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4" fontId="112" fillId="76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4" fontId="113" fillId="76" borderId="45" applyNumberFormat="0" applyProtection="0">
      <alignment vertical="center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4" fontId="113" fillId="76" borderId="45" applyNumberFormat="0" applyProtection="0">
      <alignment vertical="center"/>
    </xf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0" fillId="40" borderId="44" applyNumberFormat="0" applyFont="0" applyAlignment="0" applyProtection="0"/>
    <xf numFmtId="4" fontId="112" fillId="76" borderId="45" applyNumberFormat="0" applyProtection="0">
      <alignment vertical="center"/>
    </xf>
    <xf numFmtId="0" fontId="13" fillId="40" borderId="44" applyNumberFormat="0" applyFont="0" applyAlignment="0" applyProtection="0"/>
    <xf numFmtId="0" fontId="13" fillId="40" borderId="44" applyNumberFormat="0" applyFont="0" applyAlignment="0" applyProtection="0"/>
    <xf numFmtId="0" fontId="13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202" fontId="111" fillId="68" borderId="3">
      <alignment horizontal="left"/>
    </xf>
    <xf numFmtId="202" fontId="111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0" fontId="103" fillId="70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0" fillId="40" borderId="44" applyNumberFormat="0" applyFont="0" applyAlignment="0" applyProtection="0"/>
    <xf numFmtId="0" fontId="13" fillId="40" borderId="44" applyNumberFormat="0" applyFont="0" applyAlignment="0" applyProtection="0"/>
    <xf numFmtId="0" fontId="13" fillId="40" borderId="44" applyNumberFormat="0" applyFont="0" applyAlignment="0" applyProtection="0"/>
    <xf numFmtId="0" fontId="13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03" fillId="70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56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0" fontId="92" fillId="42" borderId="29" applyNumberFormat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0" fontId="92" fillId="42" borderId="29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70" borderId="45" applyNumberFormat="0" applyAlignment="0" applyProtection="0"/>
    <xf numFmtId="0" fontId="55" fillId="40" borderId="44" applyNumberFormat="0" applyFont="0" applyAlignment="0" applyProtection="0"/>
    <xf numFmtId="0" fontId="13" fillId="40" borderId="44" applyNumberFormat="0" applyFont="0" applyAlignment="0" applyProtection="0"/>
    <xf numFmtId="0" fontId="50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9" fontId="7" fillId="0" borderId="0" applyFont="0" applyFill="0" applyBorder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9" fontId="7" fillId="0" borderId="0" applyFont="0" applyFill="0" applyBorder="0" applyAlignment="0" applyProtection="0"/>
    <xf numFmtId="0" fontId="103" fillId="69" borderId="45" applyNumberFormat="0" applyAlignment="0" applyProtection="0"/>
    <xf numFmtId="0" fontId="103" fillId="69" borderId="45" applyNumberFormat="0" applyAlignment="0" applyProtection="0"/>
    <xf numFmtId="0" fontId="103" fillId="70" borderId="4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9" fillId="80" borderId="46"/>
    <xf numFmtId="0" fontId="110" fillId="79" borderId="47"/>
    <xf numFmtId="4" fontId="112" fillId="94" borderId="49" applyNumberFormat="0" applyProtection="0">
      <alignment horizontal="left" vertical="center" indent="1"/>
    </xf>
    <xf numFmtId="4" fontId="112" fillId="94" borderId="49" applyNumberFormat="0" applyProtection="0">
      <alignment horizontal="left" vertical="center" indent="1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202" fontId="111" fillId="68" borderId="3">
      <alignment horizontal="left"/>
    </xf>
    <xf numFmtId="202" fontId="111" fillId="68" borderId="3">
      <alignment horizontal="left"/>
    </xf>
    <xf numFmtId="4" fontId="112" fillId="76" borderId="45" applyNumberFormat="0" applyProtection="0">
      <alignment vertical="center"/>
    </xf>
    <xf numFmtId="4" fontId="112" fillId="76" borderId="45" applyNumberFormat="0" applyProtection="0">
      <alignment vertical="center"/>
    </xf>
    <xf numFmtId="4" fontId="113" fillId="76" borderId="45" applyNumberFormat="0" applyProtection="0">
      <alignment vertical="center"/>
    </xf>
    <xf numFmtId="4" fontId="113" fillId="76" borderId="45" applyNumberFormat="0" applyProtection="0">
      <alignment vertical="center"/>
    </xf>
    <xf numFmtId="4" fontId="112" fillId="76" borderId="45" applyNumberFormat="0" applyProtection="0">
      <alignment horizontal="left" vertical="center" indent="1"/>
    </xf>
    <xf numFmtId="4" fontId="112" fillId="94" borderId="49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91" fillId="65" borderId="50" applyBorder="0"/>
    <xf numFmtId="0" fontId="91" fillId="65" borderId="50" applyBorder="0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83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0" fontId="109" fillId="80" borderId="46"/>
    <xf numFmtId="0" fontId="110" fillId="79" borderId="47"/>
    <xf numFmtId="4" fontId="112" fillId="85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94" borderId="49" applyNumberFormat="0" applyProtection="0">
      <alignment horizontal="left" vertical="center" indent="1"/>
    </xf>
    <xf numFmtId="4" fontId="112" fillId="89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4" fontId="112" fillId="91" borderId="45" applyNumberFormat="0" applyProtection="0">
      <alignment horizontal="right" vertical="center"/>
    </xf>
    <xf numFmtId="4" fontId="114" fillId="92" borderId="45" applyNumberFormat="0" applyProtection="0">
      <alignment horizontal="left" vertical="center" indent="1"/>
    </xf>
    <xf numFmtId="4" fontId="114" fillId="92" borderId="45" applyNumberFormat="0" applyProtection="0">
      <alignment horizontal="left" vertical="center" indent="1"/>
    </xf>
    <xf numFmtId="4" fontId="112" fillId="94" borderId="49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91" fillId="65" borderId="50" applyBorder="0"/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42" fontId="13" fillId="68" borderId="3">
      <alignment horizontal="left"/>
    </xf>
    <xf numFmtId="0" fontId="13" fillId="96" borderId="45" applyNumberFormat="0" applyProtection="0">
      <alignment horizontal="left" vertical="center" indent="1"/>
    </xf>
    <xf numFmtId="202" fontId="111" fillId="68" borderId="3">
      <alignment horizontal="left"/>
    </xf>
    <xf numFmtId="0" fontId="13" fillId="96" borderId="45" applyNumberFormat="0" applyProtection="0">
      <alignment horizontal="left" vertical="center" indent="1"/>
    </xf>
    <xf numFmtId="202" fontId="111" fillId="68" borderId="3">
      <alignment horizontal="left"/>
    </xf>
    <xf numFmtId="0" fontId="13" fillId="96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91" fillId="65" borderId="50" applyBorder="0"/>
    <xf numFmtId="4" fontId="112" fillId="76" borderId="45" applyNumberFormat="0" applyProtection="0">
      <alignment vertical="center"/>
    </xf>
    <xf numFmtId="0" fontId="13" fillId="34" borderId="45" applyNumberFormat="0" applyProtection="0">
      <alignment horizontal="left" vertical="center" indent="1"/>
    </xf>
    <xf numFmtId="4" fontId="112" fillId="76" borderId="45" applyNumberFormat="0" applyProtection="0">
      <alignment vertical="center"/>
    </xf>
    <xf numFmtId="4" fontId="113" fillId="76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3" fillId="76" borderId="45" applyNumberFormat="0" applyProtection="0">
      <alignment vertical="center"/>
    </xf>
    <xf numFmtId="4" fontId="112" fillId="7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70" borderId="15" applyNumberFormat="0">
      <protection locked="0"/>
    </xf>
    <xf numFmtId="0" fontId="13" fillId="70" borderId="15" applyNumberFormat="0">
      <protection locked="0"/>
    </xf>
    <xf numFmtId="4" fontId="112" fillId="7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83" borderId="45" applyNumberFormat="0" applyProtection="0">
      <alignment horizontal="right" vertical="center"/>
    </xf>
    <xf numFmtId="4" fontId="112" fillId="83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4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4" fontId="112" fillId="85" borderId="45" applyNumberFormat="0" applyProtection="0">
      <alignment horizontal="right" vertical="center"/>
    </xf>
    <xf numFmtId="4" fontId="112" fillId="86" borderId="45" applyNumberFormat="0" applyProtection="0">
      <alignment horizontal="right" vertical="center"/>
    </xf>
    <xf numFmtId="0" fontId="91" fillId="65" borderId="50" applyBorder="0"/>
    <xf numFmtId="4" fontId="112" fillId="86" borderId="45" applyNumberFormat="0" applyProtection="0">
      <alignment horizontal="right" vertical="center"/>
    </xf>
    <xf numFmtId="4" fontId="112" fillId="87" borderId="45" applyNumberFormat="0" applyProtection="0">
      <alignment horizontal="right" vertical="center"/>
    </xf>
    <xf numFmtId="4" fontId="112" fillId="98" borderId="45" applyNumberFormat="0" applyProtection="0">
      <alignment vertical="center"/>
    </xf>
    <xf numFmtId="4" fontId="112" fillId="87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8" borderId="45" applyNumberFormat="0" applyProtection="0">
      <alignment horizontal="right" vertical="center"/>
    </xf>
    <xf numFmtId="4" fontId="112" fillId="89" borderId="45" applyNumberFormat="0" applyProtection="0">
      <alignment horizontal="right" vertical="center"/>
    </xf>
    <xf numFmtId="4" fontId="112" fillId="98" borderId="45" applyNumberFormat="0" applyProtection="0">
      <alignment vertical="center"/>
    </xf>
    <xf numFmtId="4" fontId="112" fillId="89" borderId="45" applyNumberFormat="0" applyProtection="0">
      <alignment horizontal="right" vertical="center"/>
    </xf>
    <xf numFmtId="4" fontId="112" fillId="90" borderId="45" applyNumberFormat="0" applyProtection="0">
      <alignment horizontal="right" vertical="center"/>
    </xf>
    <xf numFmtId="4" fontId="113" fillId="98" borderId="45" applyNumberFormat="0" applyProtection="0">
      <alignment vertical="center"/>
    </xf>
    <xf numFmtId="4" fontId="112" fillId="90" borderId="45" applyNumberFormat="0" applyProtection="0">
      <alignment horizontal="right" vertical="center"/>
    </xf>
    <xf numFmtId="4" fontId="112" fillId="91" borderId="45" applyNumberFormat="0" applyProtection="0">
      <alignment horizontal="right" vertical="center"/>
    </xf>
    <xf numFmtId="4" fontId="113" fillId="98" borderId="45" applyNumberFormat="0" applyProtection="0">
      <alignment vertical="center"/>
    </xf>
    <xf numFmtId="4" fontId="112" fillId="91" borderId="45" applyNumberFormat="0" applyProtection="0">
      <alignment horizontal="right" vertical="center"/>
    </xf>
    <xf numFmtId="4" fontId="114" fillId="92" borderId="45" applyNumberFormat="0" applyProtection="0">
      <alignment horizontal="left" vertical="center" indent="1"/>
    </xf>
    <xf numFmtId="4" fontId="114" fillId="92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45" fillId="99" borderId="15"/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3" fillId="94" borderId="45" applyNumberFormat="0" applyProtection="0">
      <alignment horizontal="right" vertical="center"/>
    </xf>
    <xf numFmtId="4" fontId="112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3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14" fillId="0" borderId="54" applyNumberFormat="0" applyFill="0" applyAlignment="0" applyProtection="0"/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4" fillId="0" borderId="54" applyNumberFormat="0" applyFill="0" applyAlignment="0" applyProtection="0"/>
    <xf numFmtId="0" fontId="13" fillId="96" borderId="45" applyNumberFormat="0" applyProtection="0">
      <alignment horizontal="left" vertical="center" indent="1"/>
    </xf>
    <xf numFmtId="0" fontId="14" fillId="0" borderId="54" applyNumberFormat="0" applyFill="0" applyAlignment="0" applyProtection="0"/>
    <xf numFmtId="0" fontId="13" fillId="96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4" fillId="0" borderId="54" applyNumberFormat="0" applyFill="0" applyAlignment="0" applyProtection="0"/>
    <xf numFmtId="0" fontId="13" fillId="97" borderId="45" applyNumberFormat="0" applyProtection="0">
      <alignment horizontal="left" vertical="center" indent="1"/>
    </xf>
    <xf numFmtId="10" fontId="45" fillId="68" borderId="15" applyNumberFormat="0" applyBorder="0" applyAlignment="0" applyProtection="0"/>
    <xf numFmtId="4" fontId="112" fillId="83" borderId="45" applyNumberFormat="0" applyProtection="0">
      <alignment horizontal="right" vertical="center"/>
    </xf>
    <xf numFmtId="0" fontId="55" fillId="40" borderId="44" applyNumberFormat="0" applyFon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81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10" fontId="45" fillId="68" borderId="56" applyNumberFormat="0" applyBorder="0" applyAlignment="0" applyProtection="0"/>
    <xf numFmtId="0" fontId="55" fillId="40" borderId="44" applyNumberFormat="0" applyFont="0" applyAlignment="0" applyProtection="0"/>
    <xf numFmtId="0" fontId="55" fillId="40" borderId="44" applyNumberFormat="0" applyFont="0" applyAlignment="0" applyProtection="0"/>
    <xf numFmtId="0" fontId="13" fillId="81" borderId="45" applyNumberFormat="0" applyProtection="0">
      <alignment horizontal="left" vertical="center" indent="1"/>
    </xf>
    <xf numFmtId="0" fontId="13" fillId="40" borderId="44" applyNumberFormat="0" applyFont="0" applyAlignment="0" applyProtection="0"/>
    <xf numFmtId="0" fontId="59" fillId="69" borderId="29" applyNumberForma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4" fontId="112" fillId="76" borderId="45" applyNumberFormat="0" applyProtection="0">
      <alignment horizontal="left" vertical="center" indent="1"/>
    </xf>
    <xf numFmtId="4" fontId="112" fillId="7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1" fillId="0" borderId="3"/>
    <xf numFmtId="0" fontId="91" fillId="0" borderId="3"/>
    <xf numFmtId="0" fontId="91" fillId="0" borderId="3"/>
    <xf numFmtId="38" fontId="91" fillId="0" borderId="3"/>
    <xf numFmtId="38" fontId="91" fillId="0" borderId="3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38" fontId="91" fillId="0" borderId="3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4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0" fontId="45" fillId="99" borderId="15"/>
    <xf numFmtId="4" fontId="112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9" fillId="94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4" fontId="119" fillId="94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70" borderId="15" applyNumberFormat="0">
      <protection locked="0"/>
    </xf>
    <xf numFmtId="0" fontId="13" fillId="70" borderId="15" applyNumberFormat="0">
      <protection locked="0"/>
    </xf>
    <xf numFmtId="0" fontId="13" fillId="70" borderId="56" applyNumberFormat="0">
      <protection locked="0"/>
    </xf>
    <xf numFmtId="4" fontId="112" fillId="98" borderId="45" applyNumberFormat="0" applyProtection="0">
      <alignment vertical="center"/>
    </xf>
    <xf numFmtId="0" fontId="13" fillId="70" borderId="56" applyNumberFormat="0">
      <protection locked="0"/>
    </xf>
    <xf numFmtId="4" fontId="112" fillId="98" borderId="45" applyNumberFormat="0" applyProtection="0">
      <alignment vertical="center"/>
    </xf>
    <xf numFmtId="4" fontId="113" fillId="98" borderId="45" applyNumberFormat="0" applyProtection="0">
      <alignment vertical="center"/>
    </xf>
    <xf numFmtId="4" fontId="113" fillId="98" borderId="45" applyNumberFormat="0" applyProtection="0">
      <alignment vertical="center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4" fontId="113" fillId="94" borderId="45" applyNumberFormat="0" applyProtection="0">
      <alignment horizontal="right" vertical="center"/>
    </xf>
    <xf numFmtId="4" fontId="113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45" fillId="99" borderId="15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45" fillId="99" borderId="15"/>
    <xf numFmtId="4" fontId="119" fillId="94" borderId="45" applyNumberFormat="0" applyProtection="0">
      <alignment horizontal="right" vertical="center"/>
    </xf>
    <xf numFmtId="38" fontId="91" fillId="0" borderId="3"/>
    <xf numFmtId="4" fontId="119" fillId="94" borderId="45" applyNumberFormat="0" applyProtection="0">
      <alignment horizontal="right" vertical="center"/>
    </xf>
    <xf numFmtId="38" fontId="91" fillId="0" borderId="3"/>
    <xf numFmtId="38" fontId="91" fillId="0" borderId="3"/>
    <xf numFmtId="0" fontId="91" fillId="0" borderId="3"/>
    <xf numFmtId="0" fontId="91" fillId="0" borderId="3"/>
    <xf numFmtId="0" fontId="82" fillId="0" borderId="47"/>
    <xf numFmtId="0" fontId="91" fillId="0" borderId="3"/>
    <xf numFmtId="38" fontId="91" fillId="0" borderId="3"/>
    <xf numFmtId="38" fontId="91" fillId="0" borderId="3"/>
    <xf numFmtId="38" fontId="91" fillId="0" borderId="3"/>
    <xf numFmtId="0" fontId="78" fillId="0" borderId="53" applyNumberFormat="0" applyFill="0" applyAlignment="0" applyProtection="0"/>
    <xf numFmtId="38" fontId="91" fillId="0" borderId="3"/>
    <xf numFmtId="38" fontId="91" fillId="0" borderId="3"/>
    <xf numFmtId="38" fontId="91" fillId="0" borderId="3"/>
    <xf numFmtId="38" fontId="91" fillId="0" borderId="3"/>
    <xf numFmtId="0" fontId="78" fillId="0" borderId="53" applyNumberFormat="0" applyFill="0" applyAlignment="0" applyProtection="0"/>
    <xf numFmtId="0" fontId="91" fillId="0" borderId="3"/>
    <xf numFmtId="0" fontId="91" fillId="0" borderId="3"/>
    <xf numFmtId="0" fontId="91" fillId="0" borderId="3"/>
    <xf numFmtId="38" fontId="91" fillId="0" borderId="3"/>
    <xf numFmtId="38" fontId="91" fillId="0" borderId="3"/>
    <xf numFmtId="38" fontId="91" fillId="0" borderId="3"/>
    <xf numFmtId="0" fontId="78" fillId="0" borderId="53" applyNumberFormat="0" applyFill="0" applyAlignment="0" applyProtection="0"/>
    <xf numFmtId="0" fontId="45" fillId="99" borderId="56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55" fillId="40" borderId="44" applyNumberFormat="0" applyFont="0" applyAlignment="0" applyProtection="0"/>
    <xf numFmtId="4" fontId="114" fillId="92" borderId="45" applyNumberFormat="0" applyProtection="0">
      <alignment horizontal="left" vertical="center" indent="1"/>
    </xf>
    <xf numFmtId="4" fontId="112" fillId="76" borderId="45" applyNumberFormat="0" applyProtection="0">
      <alignment vertical="center"/>
    </xf>
    <xf numFmtId="0" fontId="82" fillId="0" borderId="47"/>
    <xf numFmtId="0" fontId="59" fillId="69" borderId="29" applyNumberFormat="0" applyAlignment="0" applyProtection="0"/>
    <xf numFmtId="0" fontId="59" fillId="69" borderId="29" applyNumberFormat="0" applyAlignment="0" applyProtection="0"/>
    <xf numFmtId="0" fontId="55" fillId="40" borderId="44" applyNumberFormat="0" applyFont="0" applyAlignment="0" applyProtection="0"/>
    <xf numFmtId="0" fontId="103" fillId="69" borderId="45" applyNumberFormat="0" applyAlignment="0" applyProtection="0"/>
    <xf numFmtId="4" fontId="113" fillId="94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202" fontId="111" fillId="68" borderId="3">
      <alignment horizontal="left"/>
    </xf>
    <xf numFmtId="4" fontId="112" fillId="76" borderId="45" applyNumberFormat="0" applyProtection="0">
      <alignment horizontal="left" vertical="center" indent="1"/>
    </xf>
    <xf numFmtId="4" fontId="113" fillId="76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103" fillId="70" borderId="45" applyNumberFormat="0" applyAlignment="0" applyProtection="0"/>
    <xf numFmtId="0" fontId="13" fillId="97" borderId="45" applyNumberFormat="0" applyProtection="0">
      <alignment horizontal="left" vertical="center" indent="1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0" borderId="45" applyNumberFormat="0" applyProtection="0">
      <alignment horizontal="right" vertical="center"/>
    </xf>
    <xf numFmtId="0" fontId="13" fillId="96" borderId="45" applyNumberFormat="0" applyProtection="0">
      <alignment horizontal="left" vertical="center" indent="1"/>
    </xf>
    <xf numFmtId="4" fontId="112" fillId="96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10" fontId="45" fillId="68" borderId="15" applyNumberFormat="0" applyBorder="0" applyAlignment="0" applyProtection="0"/>
    <xf numFmtId="0" fontId="13" fillId="81" borderId="45" applyNumberFormat="0" applyProtection="0">
      <alignment horizontal="left" vertical="center" indent="1"/>
    </xf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42" fontId="13" fillId="68" borderId="3">
      <alignment horizontal="left"/>
    </xf>
    <xf numFmtId="0" fontId="103" fillId="69" borderId="45" applyNumberFormat="0" applyAlignment="0" applyProtection="0"/>
    <xf numFmtId="0" fontId="13" fillId="81" borderId="45" applyNumberFormat="0" applyProtection="0">
      <alignment horizontal="left" vertical="center" indent="1"/>
    </xf>
    <xf numFmtId="0" fontId="103" fillId="69" borderId="45" applyNumberFormat="0" applyAlignment="0" applyProtection="0"/>
    <xf numFmtId="10" fontId="45" fillId="68" borderId="56" applyNumberFormat="0" applyBorder="0" applyAlignment="0" applyProtection="0"/>
    <xf numFmtId="38" fontId="91" fillId="0" borderId="3"/>
    <xf numFmtId="0" fontId="13" fillId="34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97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70" borderId="56" applyNumberFormat="0">
      <protection locked="0"/>
    </xf>
    <xf numFmtId="0" fontId="13" fillId="70" borderId="56" applyNumberFormat="0">
      <protection locked="0"/>
    </xf>
    <xf numFmtId="0" fontId="13" fillId="81" borderId="45" applyNumberFormat="0" applyProtection="0">
      <alignment horizontal="left" vertical="center" indent="1"/>
    </xf>
    <xf numFmtId="0" fontId="91" fillId="65" borderId="50" applyBorder="0"/>
    <xf numFmtId="4" fontId="112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vertical="center"/>
    </xf>
    <xf numFmtId="4" fontId="113" fillId="98" borderId="45" applyNumberFormat="0" applyProtection="0">
      <alignment vertical="center"/>
    </xf>
    <xf numFmtId="0" fontId="13" fillId="81" borderId="45" applyNumberFormat="0" applyProtection="0">
      <alignment horizontal="left" vertical="center" indent="1"/>
    </xf>
    <xf numFmtId="4" fontId="113" fillId="98" borderId="45" applyNumberFormat="0" applyProtection="0">
      <alignment vertical="center"/>
    </xf>
    <xf numFmtId="4" fontId="112" fillId="98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2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4" fontId="113" fillId="94" borderId="45" applyNumberFormat="0" applyProtection="0">
      <alignment horizontal="right" vertical="center"/>
    </xf>
    <xf numFmtId="4" fontId="113" fillId="94" borderId="45" applyNumberFormat="0" applyProtection="0">
      <alignment horizontal="right" vertical="center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13" fillId="81" borderId="45" applyNumberFormat="0" applyProtection="0">
      <alignment horizontal="left" vertical="center" indent="1"/>
    </xf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45" fillId="99" borderId="56"/>
    <xf numFmtId="0" fontId="14" fillId="0" borderId="54" applyNumberFormat="0" applyFill="0" applyAlignment="0" applyProtection="0"/>
    <xf numFmtId="4" fontId="119" fillId="94" borderId="45" applyNumberFormat="0" applyProtection="0">
      <alignment horizontal="right" vertical="center"/>
    </xf>
    <xf numFmtId="4" fontId="119" fillId="94" borderId="45" applyNumberFormat="0" applyProtection="0">
      <alignment horizontal="right" vertical="center"/>
    </xf>
    <xf numFmtId="0" fontId="14" fillId="0" borderId="54" applyNumberFormat="0" applyFill="0" applyAlignment="0" applyProtection="0"/>
    <xf numFmtId="4" fontId="119" fillId="94" borderId="45" applyNumberFormat="0" applyProtection="0">
      <alignment horizontal="right" vertical="center"/>
    </xf>
    <xf numFmtId="0" fontId="14" fillId="0" borderId="54" applyNumberFormat="0" applyFill="0" applyAlignment="0" applyProtection="0"/>
    <xf numFmtId="4" fontId="119" fillId="94" borderId="45" applyNumberFormat="0" applyProtection="0">
      <alignment horizontal="right" vertical="center"/>
    </xf>
    <xf numFmtId="0" fontId="14" fillId="0" borderId="54" applyNumberFormat="0" applyFill="0" applyAlignment="0" applyProtection="0"/>
    <xf numFmtId="0" fontId="103" fillId="69" borderId="45" applyNumberFormat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34" borderId="45" applyNumberFormat="0" applyProtection="0">
      <alignment horizontal="left" vertical="center" indent="1"/>
    </xf>
    <xf numFmtId="0" fontId="13" fillId="34" borderId="45" applyNumberFormat="0" applyProtection="0">
      <alignment horizontal="left" vertical="center" indent="1"/>
    </xf>
    <xf numFmtId="4" fontId="112" fillId="98" borderId="45" applyNumberFormat="0" applyProtection="0">
      <alignment horizontal="left" vertical="center" indent="1"/>
    </xf>
    <xf numFmtId="0" fontId="13" fillId="40" borderId="44" applyNumberFormat="0" applyFon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81" borderId="45" applyNumberFormat="0" applyProtection="0">
      <alignment horizontal="left" vertical="center" indent="1"/>
    </xf>
    <xf numFmtId="4" fontId="113" fillId="94" borderId="45" applyNumberFormat="0" applyProtection="0">
      <alignment horizontal="right" vertical="center"/>
    </xf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38" fontId="91" fillId="0" borderId="3"/>
    <xf numFmtId="38" fontId="91" fillId="0" borderId="3"/>
    <xf numFmtId="38" fontId="91" fillId="0" borderId="3"/>
    <xf numFmtId="38" fontId="91" fillId="0" borderId="3"/>
    <xf numFmtId="0" fontId="91" fillId="0" borderId="3"/>
    <xf numFmtId="0" fontId="91" fillId="0" borderId="3"/>
    <xf numFmtId="0" fontId="91" fillId="0" borderId="3"/>
    <xf numFmtId="38" fontId="91" fillId="0" borderId="3"/>
    <xf numFmtId="38" fontId="91" fillId="0" borderId="3"/>
    <xf numFmtId="38" fontId="91" fillId="0" borderId="3"/>
    <xf numFmtId="0" fontId="14" fillId="0" borderId="54" applyNumberFormat="0" applyFill="0" applyAlignment="0" applyProtection="0"/>
    <xf numFmtId="0" fontId="13" fillId="40" borderId="44" applyNumberFormat="0" applyFont="0" applyAlignment="0" applyProtection="0"/>
    <xf numFmtId="0" fontId="82" fillId="0" borderId="47"/>
    <xf numFmtId="0" fontId="13" fillId="40" borderId="44" applyNumberFormat="0" applyFont="0" applyAlignment="0" applyProtection="0"/>
    <xf numFmtId="0" fontId="13" fillId="40" borderId="44" applyNumberFormat="0" applyFont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4" fillId="0" borderId="54" applyNumberFormat="0" applyFill="0" applyAlignment="0" applyProtection="0"/>
    <xf numFmtId="10" fontId="45" fillId="68" borderId="15" applyNumberFormat="0" applyBorder="0" applyAlignment="0" applyProtection="0"/>
    <xf numFmtId="4" fontId="112" fillId="91" borderId="45" applyNumberFormat="0" applyProtection="0">
      <alignment horizontal="right" vertical="center"/>
    </xf>
    <xf numFmtId="0" fontId="59" fillId="69" borderId="29" applyNumberFormat="0" applyAlignment="0" applyProtection="0"/>
    <xf numFmtId="0" fontId="59" fillId="69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81" borderId="45" applyNumberFormat="0" applyProtection="0">
      <alignment horizontal="left" vertical="center" indent="1"/>
    </xf>
    <xf numFmtId="4" fontId="112" fillId="94" borderId="45" applyNumberFormat="0" applyProtection="0">
      <alignment horizontal="right" vertical="center"/>
    </xf>
    <xf numFmtId="0" fontId="103" fillId="69" borderId="45" applyNumberFormat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4" fontId="112" fillId="98" borderId="45" applyNumberFormat="0" applyProtection="0">
      <alignment horizontal="left" vertical="center" indent="1"/>
    </xf>
    <xf numFmtId="4" fontId="112" fillId="90" borderId="45" applyNumberFormat="0" applyProtection="0">
      <alignment horizontal="right" vertical="center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96" borderId="45" applyNumberFormat="0" applyProtection="0">
      <alignment horizontal="left" vertical="center" indent="1"/>
    </xf>
    <xf numFmtId="0" fontId="55" fillId="40" borderId="44" applyNumberFormat="0" applyFont="0" applyAlignment="0" applyProtection="0"/>
    <xf numFmtId="0" fontId="50" fillId="40" borderId="44" applyNumberFormat="0" applyFont="0" applyAlignment="0" applyProtection="0"/>
    <xf numFmtId="38" fontId="91" fillId="0" borderId="3"/>
    <xf numFmtId="38" fontId="91" fillId="0" borderId="3"/>
    <xf numFmtId="38" fontId="91" fillId="0" borderId="3"/>
    <xf numFmtId="38" fontId="91" fillId="0" borderId="3"/>
    <xf numFmtId="0" fontId="91" fillId="0" borderId="3"/>
    <xf numFmtId="0" fontId="91" fillId="0" borderId="3"/>
    <xf numFmtId="0" fontId="91" fillId="0" borderId="3"/>
    <xf numFmtId="38" fontId="91" fillId="0" borderId="3"/>
    <xf numFmtId="38" fontId="91" fillId="0" borderId="3"/>
    <xf numFmtId="38" fontId="91" fillId="0" borderId="3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13" fillId="96" borderId="45" applyNumberFormat="0" applyProtection="0">
      <alignment horizontal="left" vertical="center" indent="1"/>
    </xf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10" fontId="45" fillId="68" borderId="15" applyNumberFormat="0" applyBorder="0" applyAlignment="0" applyProtection="0"/>
    <xf numFmtId="0" fontId="82" fillId="0" borderId="47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14" fillId="0" borderId="54" applyNumberFormat="0" applyFill="0" applyAlignment="0" applyProtection="0"/>
    <xf numFmtId="0" fontId="59" fillId="69" borderId="29" applyNumberFormat="0" applyAlignment="0" applyProtection="0"/>
    <xf numFmtId="0" fontId="59" fillId="69" borderId="29" applyNumberFormat="0" applyAlignment="0" applyProtection="0"/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83" fillId="0" borderId="14">
      <alignment horizontal="left"/>
    </xf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0" fontId="92" fillId="42" borderId="29" applyNumberFormat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0" fillId="0" borderId="0">
      <alignment readingOrder="1"/>
    </xf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0" fillId="0" borderId="0">
      <alignment readingOrder="1"/>
    </xf>
    <xf numFmtId="0" fontId="40" fillId="0" borderId="0">
      <alignment readingOrder="1"/>
    </xf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36" fillId="0" borderId="0">
      <alignment readingOrder="1"/>
    </xf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3" fillId="0" borderId="57">
      <alignment horizontal="left"/>
    </xf>
    <xf numFmtId="0" fontId="83" fillId="0" borderId="57">
      <alignment horizontal="left"/>
    </xf>
    <xf numFmtId="0" fontId="83" fillId="0" borderId="57">
      <alignment horizontal="left"/>
    </xf>
    <xf numFmtId="0" fontId="83" fillId="0" borderId="57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202">
    <xf numFmtId="0" fontId="0" fillId="0" borderId="0" xfId="0"/>
    <xf numFmtId="0" fontId="11" fillId="0" borderId="0" xfId="0" applyFont="1"/>
    <xf numFmtId="0" fontId="14" fillId="0" borderId="0" xfId="0" applyFont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4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0" xfId="0" applyFont="1" applyFill="1" applyBorder="1"/>
    <xf numFmtId="0" fontId="15" fillId="0" borderId="7" xfId="4" applyFont="1" applyFill="1" applyBorder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5" fillId="0" borderId="8" xfId="0" applyFont="1" applyFill="1" applyBorder="1"/>
    <xf numFmtId="0" fontId="15" fillId="0" borderId="9" xfId="4" applyFont="1" applyFill="1" applyBorder="1" applyAlignment="1">
      <alignment horizontal="center"/>
    </xf>
    <xf numFmtId="0" fontId="15" fillId="0" borderId="10" xfId="4" applyFont="1" applyFill="1" applyBorder="1" applyAlignment="1">
      <alignment horizontal="center"/>
    </xf>
    <xf numFmtId="0" fontId="15" fillId="0" borderId="12" xfId="4" applyFont="1" applyFill="1" applyBorder="1" applyAlignment="1">
      <alignment horizontal="center"/>
    </xf>
    <xf numFmtId="0" fontId="15" fillId="0" borderId="13" xfId="4" applyFont="1" applyFill="1" applyBorder="1" applyAlignment="1">
      <alignment horizontal="center" wrapText="1"/>
    </xf>
    <xf numFmtId="0" fontId="15" fillId="0" borderId="14" xfId="4" applyFont="1" applyFill="1" applyBorder="1" applyAlignment="1">
      <alignment horizontal="center"/>
    </xf>
    <xf numFmtId="0" fontId="15" fillId="0" borderId="15" xfId="4" applyFont="1" applyFill="1" applyBorder="1" applyAlignment="1">
      <alignment horizontal="center"/>
    </xf>
    <xf numFmtId="0" fontId="15" fillId="0" borderId="16" xfId="4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6" fillId="0" borderId="0" xfId="0" applyFont="1" applyFill="1" applyBorder="1"/>
    <xf numFmtId="10" fontId="15" fillId="0" borderId="7" xfId="0" applyNumberFormat="1" applyFont="1" applyFill="1" applyBorder="1"/>
    <xf numFmtId="49" fontId="14" fillId="0" borderId="8" xfId="0" applyNumberFormat="1" applyFont="1" applyBorder="1" applyAlignment="1">
      <alignment horizontal="center"/>
    </xf>
    <xf numFmtId="37" fontId="15" fillId="0" borderId="7" xfId="5" applyNumberFormat="1" applyFont="1" applyFill="1" applyBorder="1"/>
    <xf numFmtId="0" fontId="15" fillId="0" borderId="7" xfId="0" applyFont="1" applyFill="1" applyBorder="1"/>
    <xf numFmtId="37" fontId="15" fillId="0" borderId="7" xfId="6" applyNumberFormat="1" applyFont="1" applyFill="1" applyBorder="1"/>
    <xf numFmtId="0" fontId="15" fillId="0" borderId="0" xfId="0" applyFont="1" applyFill="1"/>
    <xf numFmtId="168" fontId="15" fillId="0" borderId="7" xfId="0" applyNumberFormat="1" applyFont="1" applyFill="1" applyBorder="1"/>
    <xf numFmtId="167" fontId="15" fillId="0" borderId="11" xfId="0" applyNumberFormat="1" applyFont="1" applyFill="1" applyBorder="1"/>
    <xf numFmtId="167" fontId="15" fillId="0" borderId="10" xfId="0" applyNumberFormat="1" applyFont="1" applyFill="1" applyBorder="1"/>
    <xf numFmtId="0" fontId="15" fillId="0" borderId="10" xfId="0" applyFont="1" applyFill="1" applyBorder="1"/>
    <xf numFmtId="0" fontId="15" fillId="0" borderId="0" xfId="0" applyFont="1" applyFill="1" applyBorder="1" applyAlignment="1">
      <alignment horizontal="center"/>
    </xf>
    <xf numFmtId="167" fontId="19" fillId="0" borderId="0" xfId="2" applyNumberFormat="1" applyFont="1"/>
    <xf numFmtId="172" fontId="11" fillId="0" borderId="0" xfId="3" applyNumberFormat="1" applyFont="1"/>
    <xf numFmtId="44" fontId="11" fillId="0" borderId="0" xfId="2" applyFont="1"/>
    <xf numFmtId="49" fontId="14" fillId="0" borderId="0" xfId="0" applyNumberFormat="1" applyFont="1" applyBorder="1" applyAlignment="1">
      <alignment horizontal="center"/>
    </xf>
    <xf numFmtId="37" fontId="11" fillId="0" borderId="0" xfId="0" applyNumberFormat="1" applyFont="1"/>
    <xf numFmtId="44" fontId="11" fillId="0" borderId="0" xfId="0" applyNumberFormat="1" applyFont="1"/>
    <xf numFmtId="0" fontId="17" fillId="0" borderId="0" xfId="0" applyFont="1"/>
    <xf numFmtId="17" fontId="11" fillId="0" borderId="0" xfId="0" applyNumberFormat="1" applyFont="1" applyAlignment="1">
      <alignment horizontal="center"/>
    </xf>
    <xf numFmtId="169" fontId="11" fillId="0" borderId="0" xfId="0" applyNumberFormat="1" applyFont="1" applyFill="1"/>
    <xf numFmtId="169" fontId="11" fillId="0" borderId="3" xfId="0" applyNumberFormat="1" applyFont="1" applyBorder="1"/>
    <xf numFmtId="169" fontId="11" fillId="0" borderId="0" xfId="0" applyNumberFormat="1" applyFont="1"/>
    <xf numFmtId="173" fontId="11" fillId="0" borderId="0" xfId="0" applyNumberFormat="1" applyFont="1"/>
    <xf numFmtId="10" fontId="11" fillId="0" borderId="0" xfId="0" applyNumberFormat="1" applyFont="1"/>
    <xf numFmtId="167" fontId="11" fillId="0" borderId="0" xfId="2" applyNumberFormat="1" applyFont="1"/>
    <xf numFmtId="167" fontId="11" fillId="0" borderId="0" xfId="0" applyNumberFormat="1" applyFont="1"/>
    <xf numFmtId="167" fontId="11" fillId="0" borderId="9" xfId="2" applyNumberFormat="1" applyFont="1" applyBorder="1"/>
    <xf numFmtId="0" fontId="11" fillId="0" borderId="0" xfId="0" applyFont="1" applyFill="1"/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/>
    <xf numFmtId="167" fontId="15" fillId="0" borderId="7" xfId="2" applyNumberFormat="1" applyFont="1" applyFill="1" applyBorder="1"/>
    <xf numFmtId="44" fontId="15" fillId="0" borderId="7" xfId="2" applyFont="1" applyFill="1" applyBorder="1"/>
    <xf numFmtId="0" fontId="10" fillId="0" borderId="0" xfId="0" applyFont="1"/>
    <xf numFmtId="170" fontId="18" fillId="0" borderId="0" xfId="0" applyNumberFormat="1" applyFont="1" applyAlignment="1">
      <alignment readingOrder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 indent="1" readingOrder="1"/>
    </xf>
    <xf numFmtId="0" fontId="15" fillId="0" borderId="0" xfId="0" applyFont="1" applyFill="1" applyAlignment="1">
      <alignment horizontal="left" indent="1" readingOrder="1"/>
    </xf>
    <xf numFmtId="0" fontId="15" fillId="0" borderId="0" xfId="0" applyFont="1" applyBorder="1" applyAlignment="1">
      <alignment horizontal="left" indent="1" readingOrder="1"/>
    </xf>
    <xf numFmtId="0" fontId="15" fillId="0" borderId="0" xfId="0" applyFont="1" applyFill="1" applyBorder="1" applyAlignment="1">
      <alignment horizontal="left" indent="1" readingOrder="1"/>
    </xf>
    <xf numFmtId="0" fontId="15" fillId="0" borderId="0" xfId="0" applyFont="1"/>
    <xf numFmtId="169" fontId="10" fillId="0" borderId="0" xfId="0" applyNumberFormat="1" applyFont="1"/>
    <xf numFmtId="169" fontId="15" fillId="0" borderId="0" xfId="0" applyNumberFormat="1" applyFont="1"/>
    <xf numFmtId="9" fontId="10" fillId="0" borderId="0" xfId="3" applyFont="1"/>
    <xf numFmtId="0" fontId="18" fillId="0" borderId="0" xfId="5" applyFont="1"/>
    <xf numFmtId="171" fontId="15" fillId="0" borderId="0" xfId="5" applyNumberFormat="1" applyFont="1"/>
    <xf numFmtId="0" fontId="15" fillId="0" borderId="0" xfId="5" applyFont="1"/>
    <xf numFmtId="0" fontId="22" fillId="0" borderId="0" xfId="5" applyFont="1"/>
    <xf numFmtId="44" fontId="11" fillId="0" borderId="0" xfId="0" applyNumberFormat="1" applyFont="1" applyFill="1"/>
    <xf numFmtId="44" fontId="15" fillId="0" borderId="0" xfId="2" applyFont="1"/>
    <xf numFmtId="168" fontId="11" fillId="0" borderId="0" xfId="2" applyNumberFormat="1" applyFont="1"/>
    <xf numFmtId="168" fontId="15" fillId="0" borderId="0" xfId="2" applyNumberFormat="1" applyFont="1"/>
    <xf numFmtId="0" fontId="20" fillId="0" borderId="0" xfId="0" applyFont="1"/>
    <xf numFmtId="0" fontId="20" fillId="0" borderId="0" xfId="5" applyFont="1"/>
    <xf numFmtId="0" fontId="24" fillId="0" borderId="0" xfId="0" applyFont="1"/>
    <xf numFmtId="0" fontId="24" fillId="0" borderId="0" xfId="5" applyFont="1"/>
    <xf numFmtId="172" fontId="9" fillId="0" borderId="0" xfId="3" applyNumberFormat="1" applyFont="1"/>
    <xf numFmtId="169" fontId="10" fillId="0" borderId="0" xfId="1" applyNumberFormat="1" applyFont="1"/>
    <xf numFmtId="169" fontId="19" fillId="0" borderId="0" xfId="1" applyNumberFormat="1" applyFont="1" applyFill="1"/>
    <xf numFmtId="2" fontId="10" fillId="0" borderId="0" xfId="0" applyNumberFormat="1" applyFont="1"/>
    <xf numFmtId="3" fontId="19" fillId="0" borderId="0" xfId="4" applyNumberFormat="1" applyFont="1" applyFill="1"/>
    <xf numFmtId="0" fontId="21" fillId="0" borderId="0" xfId="0" applyFont="1" applyFill="1" applyBorder="1" applyAlignment="1">
      <alignment vertical="center" wrapText="1"/>
    </xf>
    <xf numFmtId="168" fontId="18" fillId="0" borderId="15" xfId="2" applyNumberFormat="1" applyFont="1" applyFill="1" applyBorder="1"/>
    <xf numFmtId="168" fontId="19" fillId="0" borderId="7" xfId="0" applyNumberFormat="1" applyFont="1" applyFill="1" applyBorder="1"/>
    <xf numFmtId="0" fontId="11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/>
    <xf numFmtId="44" fontId="25" fillId="0" borderId="0" xfId="2" applyFont="1"/>
    <xf numFmtId="10" fontId="15" fillId="0" borderId="0" xfId="5" applyNumberFormat="1" applyFont="1" applyFill="1"/>
    <xf numFmtId="10" fontId="15" fillId="0" borderId="7" xfId="3" applyNumberFormat="1" applyFont="1" applyFill="1" applyBorder="1"/>
    <xf numFmtId="0" fontId="27" fillId="0" borderId="0" xfId="0" applyFont="1"/>
    <xf numFmtId="0" fontId="27" fillId="0" borderId="0" xfId="0" applyFont="1" applyAlignment="1">
      <alignment wrapText="1"/>
    </xf>
    <xf numFmtId="171" fontId="11" fillId="0" borderId="0" xfId="0" applyNumberFormat="1" applyFont="1" applyFill="1"/>
    <xf numFmtId="171" fontId="23" fillId="0" borderId="18" xfId="5" applyNumberFormat="1" applyFont="1" applyFill="1" applyBorder="1"/>
    <xf numFmtId="171" fontId="18" fillId="0" borderId="0" xfId="5" applyNumberFormat="1" applyFont="1" applyFill="1"/>
    <xf numFmtId="0" fontId="27" fillId="2" borderId="6" xfId="0" quotePrefix="1" applyFont="1" applyFill="1" applyBorder="1" applyAlignment="1">
      <alignment horizontal="center"/>
    </xf>
    <xf numFmtId="0" fontId="27" fillId="2" borderId="0" xfId="0" applyFont="1" applyFill="1" applyBorder="1"/>
    <xf numFmtId="0" fontId="27" fillId="2" borderId="6" xfId="0" applyFont="1" applyFill="1" applyBorder="1" applyAlignment="1">
      <alignment horizontal="center"/>
    </xf>
    <xf numFmtId="0" fontId="28" fillId="2" borderId="13" xfId="0" applyFont="1" applyFill="1" applyBorder="1"/>
    <xf numFmtId="0" fontId="29" fillId="2" borderId="14" xfId="0" applyFont="1" applyFill="1" applyBorder="1"/>
    <xf numFmtId="0" fontId="8" fillId="0" borderId="0" xfId="0" applyFont="1"/>
    <xf numFmtId="171" fontId="11" fillId="0" borderId="0" xfId="0" applyNumberFormat="1" applyFont="1"/>
    <xf numFmtId="44" fontId="11" fillId="0" borderId="0" xfId="2" applyNumberFormat="1" applyFont="1"/>
    <xf numFmtId="3" fontId="10" fillId="0" borderId="0" xfId="0" applyNumberFormat="1" applyFont="1"/>
    <xf numFmtId="0" fontId="6" fillId="0" borderId="0" xfId="0" applyFont="1"/>
    <xf numFmtId="172" fontId="29" fillId="2" borderId="16" xfId="0" applyNumberFormat="1" applyFont="1" applyFill="1" applyBorder="1"/>
    <xf numFmtId="172" fontId="27" fillId="2" borderId="8" xfId="3" applyNumberFormat="1" applyFont="1" applyFill="1" applyBorder="1"/>
    <xf numFmtId="176" fontId="11" fillId="0" borderId="0" xfId="0" applyNumberFormat="1" applyFont="1"/>
    <xf numFmtId="0" fontId="18" fillId="0" borderId="0" xfId="5" applyFont="1" applyFill="1"/>
    <xf numFmtId="14" fontId="18" fillId="0" borderId="0" xfId="5" applyNumberFormat="1" applyFont="1" applyFill="1"/>
    <xf numFmtId="171" fontId="15" fillId="0" borderId="0" xfId="5" applyNumberFormat="1" applyFont="1" applyFill="1"/>
    <xf numFmtId="0" fontId="15" fillId="0" borderId="0" xfId="5" applyFont="1" applyFill="1"/>
    <xf numFmtId="171" fontId="15" fillId="0" borderId="14" xfId="5" applyNumberFormat="1" applyFont="1" applyFill="1" applyBorder="1"/>
    <xf numFmtId="4" fontId="23" fillId="0" borderId="0" xfId="5" applyNumberFormat="1" applyFont="1" applyFill="1" applyAlignment="1">
      <alignment horizontal="left"/>
    </xf>
    <xf numFmtId="167" fontId="19" fillId="0" borderId="0" xfId="2" applyNumberFormat="1" applyFont="1" applyFill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" fontId="15" fillId="0" borderId="0" xfId="0" quotePrefix="1" applyNumberFormat="1" applyFont="1" applyAlignment="1">
      <alignment horizontal="center"/>
    </xf>
    <xf numFmtId="172" fontId="15" fillId="0" borderId="0" xfId="0" applyNumberFormat="1" applyFont="1"/>
    <xf numFmtId="0" fontId="15" fillId="0" borderId="0" xfId="0" quotePrefix="1" applyFont="1" applyAlignment="1">
      <alignment horizontal="center"/>
    </xf>
    <xf numFmtId="0" fontId="18" fillId="0" borderId="0" xfId="0" applyFont="1"/>
    <xf numFmtId="172" fontId="18" fillId="0" borderId="0" xfId="0" applyNumberFormat="1" applyFont="1"/>
    <xf numFmtId="0" fontId="5" fillId="0" borderId="0" xfId="0" applyFont="1" applyFill="1"/>
    <xf numFmtId="0" fontId="10" fillId="0" borderId="0" xfId="0" applyFont="1" applyFill="1"/>
    <xf numFmtId="0" fontId="4" fillId="0" borderId="0" xfId="0" applyFont="1"/>
    <xf numFmtId="0" fontId="3" fillId="0" borderId="0" xfId="0" applyFont="1"/>
    <xf numFmtId="168" fontId="11" fillId="0" borderId="0" xfId="2" applyNumberFormat="1" applyFont="1" applyFill="1"/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28" fillId="2" borderId="0" xfId="0" applyFont="1" applyFill="1" applyBorder="1"/>
    <xf numFmtId="172" fontId="29" fillId="2" borderId="0" xfId="0" applyNumberFormat="1" applyFont="1" applyFill="1" applyBorder="1"/>
    <xf numFmtId="0" fontId="2" fillId="0" borderId="0" xfId="0" applyFont="1"/>
    <xf numFmtId="167" fontId="18" fillId="0" borderId="17" xfId="2" applyNumberFormat="1" applyFont="1" applyFill="1" applyBorder="1"/>
    <xf numFmtId="167" fontId="11" fillId="0" borderId="48" xfId="2" applyNumberFormat="1" applyFont="1" applyBorder="1"/>
    <xf numFmtId="3" fontId="0" fillId="0" borderId="0" xfId="0" applyNumberFormat="1"/>
    <xf numFmtId="3" fontId="138" fillId="0" borderId="0" xfId="0" applyNumberFormat="1" applyFont="1"/>
    <xf numFmtId="169" fontId="15" fillId="0" borderId="0" xfId="0" applyNumberFormat="1" applyFont="1" applyFill="1"/>
    <xf numFmtId="0" fontId="18" fillId="0" borderId="0" xfId="0" applyFont="1" applyFill="1" applyBorder="1"/>
    <xf numFmtId="5" fontId="18" fillId="0" borderId="0" xfId="0" applyNumberFormat="1" applyFont="1" applyFill="1" applyBorder="1"/>
    <xf numFmtId="0" fontId="140" fillId="0" borderId="0" xfId="0" applyFont="1" applyFill="1" applyBorder="1"/>
    <xf numFmtId="166" fontId="15" fillId="0" borderId="0" xfId="1" applyNumberFormat="1" applyFont="1" applyFill="1" applyBorder="1"/>
    <xf numFmtId="0" fontId="11" fillId="0" borderId="0" xfId="0" applyFont="1" applyBorder="1"/>
    <xf numFmtId="164" fontId="139" fillId="0" borderId="0" xfId="0" applyNumberFormat="1" applyFont="1" applyFill="1" applyBorder="1"/>
    <xf numFmtId="166" fontId="15" fillId="0" borderId="0" xfId="0" applyNumberFormat="1" applyFont="1" applyFill="1" applyBorder="1"/>
    <xf numFmtId="43" fontId="15" fillId="0" borderId="0" xfId="1" applyFont="1" applyFill="1" applyBorder="1"/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Border="1"/>
    <xf numFmtId="171" fontId="15" fillId="0" borderId="0" xfId="0" applyNumberFormat="1" applyFont="1" applyFill="1" applyBorder="1"/>
    <xf numFmtId="5" fontId="15" fillId="0" borderId="0" xfId="0" applyNumberFormat="1" applyFont="1" applyFill="1" applyBorder="1"/>
    <xf numFmtId="0" fontId="139" fillId="0" borderId="0" xfId="0" applyFont="1" applyFill="1" applyBorder="1"/>
    <xf numFmtId="44" fontId="15" fillId="0" borderId="0" xfId="2" applyFont="1" applyFill="1" applyBorder="1"/>
    <xf numFmtId="168" fontId="15" fillId="0" borderId="0" xfId="2" applyNumberFormat="1" applyFont="1" applyFill="1" applyBorder="1"/>
    <xf numFmtId="0" fontId="14" fillId="0" borderId="0" xfId="0" applyFont="1" applyBorder="1"/>
    <xf numFmtId="166" fontId="15" fillId="0" borderId="0" xfId="0" applyNumberFormat="1" applyFont="1" applyFill="1" applyBorder="1" applyAlignment="1"/>
    <xf numFmtId="0" fontId="14" fillId="0" borderId="0" xfId="8436" applyFont="1" applyAlignment="1">
      <alignment horizontal="center" wrapText="1"/>
    </xf>
    <xf numFmtId="0" fontId="14" fillId="102" borderId="9" xfId="8436" applyFont="1" applyFill="1" applyBorder="1" applyAlignment="1">
      <alignment horizontal="center" wrapText="1"/>
    </xf>
    <xf numFmtId="17" fontId="14" fillId="0" borderId="0" xfId="8436" applyNumberFormat="1" applyFont="1"/>
    <xf numFmtId="43" fontId="0" fillId="0" borderId="0" xfId="7203" applyFont="1" applyFill="1" applyAlignment="1">
      <alignment readingOrder="1"/>
    </xf>
    <xf numFmtId="10" fontId="0" fillId="0" borderId="0" xfId="8846" applyNumberFormat="1" applyFont="1"/>
    <xf numFmtId="43" fontId="0" fillId="0" borderId="0" xfId="7203" applyFont="1"/>
    <xf numFmtId="43" fontId="13" fillId="0" borderId="0" xfId="8436" applyNumberFormat="1"/>
    <xf numFmtId="43" fontId="0" fillId="0" borderId="0" xfId="0" applyNumberFormat="1"/>
    <xf numFmtId="43" fontId="2" fillId="0" borderId="0" xfId="1" applyFont="1"/>
    <xf numFmtId="0" fontId="13" fillId="0" borderId="0" xfId="8436"/>
    <xf numFmtId="17" fontId="14" fillId="0" borderId="0" xfId="8436" applyNumberFormat="1" applyFont="1" applyAlignment="1">
      <alignment horizontal="right"/>
    </xf>
    <xf numFmtId="43" fontId="0" fillId="0" borderId="48" xfId="7203" applyFont="1" applyBorder="1"/>
    <xf numFmtId="9" fontId="0" fillId="0" borderId="48" xfId="8846" applyFont="1" applyBorder="1"/>
    <xf numFmtId="43" fontId="2" fillId="0" borderId="48" xfId="1" applyFont="1" applyBorder="1"/>
    <xf numFmtId="169" fontId="42" fillId="0" borderId="48" xfId="8436" applyNumberFormat="1" applyFont="1" applyBorder="1"/>
    <xf numFmtId="167" fontId="11" fillId="0" borderId="0" xfId="2" applyNumberFormat="1" applyFont="1" applyBorder="1"/>
    <xf numFmtId="0" fontId="1" fillId="0" borderId="0" xfId="0" applyFont="1"/>
    <xf numFmtId="43" fontId="15" fillId="0" borderId="0" xfId="0" applyNumberFormat="1" applyFont="1" applyFill="1" applyBorder="1"/>
    <xf numFmtId="0" fontId="141" fillId="0" borderId="0" xfId="0" applyFont="1"/>
    <xf numFmtId="0" fontId="141" fillId="0" borderId="9" xfId="0" applyFont="1" applyBorder="1"/>
    <xf numFmtId="0" fontId="141" fillId="0" borderId="0" xfId="0" applyFont="1" applyBorder="1"/>
    <xf numFmtId="0" fontId="141" fillId="0" borderId="0" xfId="0" applyFont="1" applyFill="1" applyBorder="1"/>
    <xf numFmtId="167" fontId="141" fillId="0" borderId="0" xfId="2" applyNumberFormat="1" applyFont="1"/>
    <xf numFmtId="167" fontId="141" fillId="0" borderId="0" xfId="2" applyNumberFormat="1" applyFont="1" applyBorder="1"/>
    <xf numFmtId="167" fontId="141" fillId="0" borderId="0" xfId="0" applyNumberFormat="1" applyFont="1"/>
    <xf numFmtId="167" fontId="141" fillId="0" borderId="0" xfId="2" applyNumberFormat="1" applyFont="1" applyFill="1"/>
    <xf numFmtId="167" fontId="141" fillId="0" borderId="0" xfId="2" applyNumberFormat="1" applyFont="1" applyFill="1" applyBorder="1"/>
    <xf numFmtId="167" fontId="142" fillId="0" borderId="0" xfId="2" applyNumberFormat="1" applyFont="1" applyFill="1"/>
    <xf numFmtId="10" fontId="141" fillId="0" borderId="0" xfId="3" applyNumberFormat="1" applyFont="1"/>
    <xf numFmtId="204" fontId="141" fillId="0" borderId="0" xfId="3" applyNumberFormat="1" applyFont="1"/>
    <xf numFmtId="167" fontId="141" fillId="0" borderId="9" xfId="2" applyNumberFormat="1" applyFont="1" applyFill="1" applyBorder="1"/>
    <xf numFmtId="173" fontId="141" fillId="0" borderId="9" xfId="0" applyNumberFormat="1" applyFont="1" applyBorder="1"/>
    <xf numFmtId="0" fontId="141" fillId="0" borderId="0" xfId="0" applyFont="1" applyAlignment="1">
      <alignment horizontal="center" wrapText="1"/>
    </xf>
    <xf numFmtId="0" fontId="141" fillId="0" borderId="0" xfId="0" applyFont="1" applyAlignment="1">
      <alignment horizontal="center"/>
    </xf>
    <xf numFmtId="167" fontId="141" fillId="0" borderId="0" xfId="2" applyNumberFormat="1" applyFont="1" applyAlignment="1">
      <alignment horizontal="center" wrapText="1"/>
    </xf>
    <xf numFmtId="10" fontId="142" fillId="0" borderId="0" xfId="0" applyNumberFormat="1" applyFont="1" applyAlignment="1">
      <alignment horizontal="center" wrapText="1"/>
    </xf>
    <xf numFmtId="17" fontId="142" fillId="0" borderId="0" xfId="0" applyNumberFormat="1" applyFont="1"/>
    <xf numFmtId="5" fontId="141" fillId="0" borderId="0" xfId="0" applyNumberFormat="1" applyFont="1"/>
    <xf numFmtId="17" fontId="141" fillId="0" borderId="0" xfId="0" applyNumberFormat="1" applyFont="1"/>
    <xf numFmtId="169" fontId="141" fillId="0" borderId="0" xfId="1" applyNumberFormat="1" applyFont="1" applyFill="1" applyBorder="1"/>
    <xf numFmtId="169" fontId="141" fillId="0" borderId="0" xfId="0" applyNumberFormat="1" applyFont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7" fillId="2" borderId="9" xfId="0" applyFont="1" applyFill="1" applyBorder="1" applyAlignment="1">
      <alignment horizontal="center" vertical="center"/>
    </xf>
  </cellXfs>
  <cellStyles count="12490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ID%20DSM/2022.07.29%20ID%20DSM%20Schedule%2091%20(AVU-E-22-09)/For%20Filing/Avista%20Electric%20DSM%20Sch%2091%20Workpapers%20(July202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 Electric - Sched 91"/>
      <sheetName val="Revenue By Month"/>
      <sheetName val="DSM Balance"/>
      <sheetName val="Rev Conv Factor"/>
      <sheetName val="Billing Determinants"/>
      <sheetName val="Base Revenu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62"/>
  <sheetViews>
    <sheetView workbookViewId="0">
      <selection activeCell="D35" sqref="D35"/>
    </sheetView>
  </sheetViews>
  <sheetFormatPr defaultColWidth="9.1328125" defaultRowHeight="14.25"/>
  <cols>
    <col min="1" max="1" width="9.1328125" style="1"/>
    <col min="2" max="2" width="36.3984375" style="1" customWidth="1"/>
    <col min="3" max="3" width="17.86328125" style="1" customWidth="1"/>
    <col min="4" max="6" width="17" style="1" customWidth="1"/>
    <col min="7" max="8" width="15.86328125" style="1" bestFit="1" customWidth="1"/>
    <col min="9" max="10" width="17" style="1" customWidth="1"/>
    <col min="11" max="11" width="4.86328125" style="1" customWidth="1"/>
    <col min="12" max="13" width="9.1328125" style="1"/>
    <col min="14" max="14" width="10.59765625" style="1" customWidth="1"/>
    <col min="15" max="15" width="30" style="1" customWidth="1"/>
    <col min="16" max="16" width="15.59765625" style="1" customWidth="1"/>
    <col min="17" max="17" width="13.1328125" style="1" customWidth="1"/>
    <col min="18" max="16384" width="9.1328125" style="1"/>
  </cols>
  <sheetData>
    <row r="1" spans="1:11">
      <c r="C1" s="2" t="s">
        <v>114</v>
      </c>
      <c r="D1" s="2"/>
    </row>
    <row r="3" spans="1:11">
      <c r="A3" s="3"/>
      <c r="B3" s="4"/>
      <c r="C3" s="5"/>
      <c r="D3" s="5"/>
      <c r="E3" s="5"/>
      <c r="F3" s="5"/>
      <c r="G3" s="5"/>
      <c r="H3" s="5"/>
      <c r="I3" s="5"/>
      <c r="J3" s="5"/>
      <c r="K3" s="6"/>
    </row>
    <row r="4" spans="1:11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133</v>
      </c>
      <c r="I4" s="9" t="s">
        <v>6</v>
      </c>
      <c r="J4" s="9" t="s">
        <v>7</v>
      </c>
      <c r="K4" s="11"/>
    </row>
    <row r="5" spans="1:11">
      <c r="A5" s="7"/>
      <c r="B5" s="12" t="s">
        <v>8</v>
      </c>
      <c r="C5" s="13" t="s">
        <v>9</v>
      </c>
      <c r="D5" s="13" t="s">
        <v>74</v>
      </c>
      <c r="E5" s="13" t="s">
        <v>95</v>
      </c>
      <c r="F5" s="13" t="s">
        <v>94</v>
      </c>
      <c r="G5" s="13" t="s">
        <v>131</v>
      </c>
      <c r="H5" s="13" t="s">
        <v>132</v>
      </c>
      <c r="I5" s="13" t="s">
        <v>10</v>
      </c>
      <c r="J5" s="13" t="s">
        <v>11</v>
      </c>
      <c r="K5" s="14"/>
    </row>
    <row r="6" spans="1:11">
      <c r="A6" s="15" t="s">
        <v>12</v>
      </c>
      <c r="B6" s="16" t="s">
        <v>13</v>
      </c>
      <c r="C6" s="17" t="s">
        <v>14</v>
      </c>
      <c r="D6" s="17" t="s">
        <v>15</v>
      </c>
      <c r="E6" s="17" t="s">
        <v>16</v>
      </c>
      <c r="F6" s="17" t="s">
        <v>17</v>
      </c>
      <c r="G6" s="17" t="s">
        <v>18</v>
      </c>
      <c r="H6" s="17" t="s">
        <v>18</v>
      </c>
      <c r="I6" s="17" t="s">
        <v>19</v>
      </c>
      <c r="J6" s="17" t="s">
        <v>20</v>
      </c>
      <c r="K6" s="18" t="s">
        <v>21</v>
      </c>
    </row>
    <row r="7" spans="1:11">
      <c r="A7" s="19">
        <v>1</v>
      </c>
      <c r="B7" s="20" t="s">
        <v>113</v>
      </c>
      <c r="C7" s="9"/>
      <c r="D7" s="9"/>
      <c r="E7" s="9"/>
      <c r="F7" s="9"/>
      <c r="G7" s="9"/>
      <c r="H7" s="9"/>
      <c r="I7" s="9"/>
      <c r="J7" s="9"/>
      <c r="K7" s="10"/>
    </row>
    <row r="8" spans="1:11" ht="14.65" thickBot="1">
      <c r="A8" s="19">
        <f>A7+1</f>
        <v>2</v>
      </c>
      <c r="B8" s="8" t="s">
        <v>112</v>
      </c>
      <c r="C8" s="21">
        <f>SUM(D8:J8)</f>
        <v>0.99999999999999989</v>
      </c>
      <c r="D8" s="90">
        <f>D29/$C$29</f>
        <v>0.46035243090872102</v>
      </c>
      <c r="E8" s="90">
        <f t="shared" ref="E8:J8" si="0">E29/$C$29</f>
        <v>0.14815574961494871</v>
      </c>
      <c r="F8" s="90">
        <f t="shared" si="0"/>
        <v>0.2382105286100375</v>
      </c>
      <c r="G8" s="90">
        <f t="shared" si="0"/>
        <v>7.4863415768213648E-2</v>
      </c>
      <c r="H8" s="90">
        <f t="shared" ref="H8" si="1">H29/$C$29</f>
        <v>3.9545857429310396E-2</v>
      </c>
      <c r="I8" s="90">
        <f t="shared" si="0"/>
        <v>2.6479541425706896E-2</v>
      </c>
      <c r="J8" s="90">
        <f t="shared" si="0"/>
        <v>1.2392476243061811E-2</v>
      </c>
      <c r="K8" s="22" t="s">
        <v>22</v>
      </c>
    </row>
    <row r="9" spans="1:11" ht="14.65" thickBot="1">
      <c r="A9" s="19">
        <f t="shared" ref="A9:A19" si="2">A8+1</f>
        <v>3</v>
      </c>
      <c r="B9" s="8" t="s">
        <v>90</v>
      </c>
      <c r="C9" s="135">
        <v>5119862.7850053729</v>
      </c>
      <c r="D9" s="51">
        <f>$C$9*D8</f>
        <v>2356941.2789963181</v>
      </c>
      <c r="E9" s="51">
        <f t="shared" ref="E9:J9" si="3">$C$9*E8</f>
        <v>758537.10883815004</v>
      </c>
      <c r="F9" s="51">
        <f t="shared" si="3"/>
        <v>1219605.2204269886</v>
      </c>
      <c r="G9" s="51">
        <f t="shared" si="3"/>
        <v>383290.41635006148</v>
      </c>
      <c r="H9" s="51">
        <f>$C$9*H8</f>
        <v>202469.36375345456</v>
      </c>
      <c r="I9" s="51">
        <f t="shared" si="3"/>
        <v>135571.61870948484</v>
      </c>
      <c r="J9" s="51">
        <f t="shared" si="3"/>
        <v>63447.77793091537</v>
      </c>
      <c r="K9" s="11"/>
    </row>
    <row r="10" spans="1:11">
      <c r="A10" s="19">
        <f t="shared" si="2"/>
        <v>4</v>
      </c>
      <c r="B10" s="8" t="s">
        <v>23</v>
      </c>
      <c r="C10" s="23">
        <f>SUM(D10:J10)</f>
        <v>5686458087.4802418</v>
      </c>
      <c r="D10" s="23">
        <f>'kWh Forecast'!N22</f>
        <v>2491655249.8392444</v>
      </c>
      <c r="E10" s="23">
        <f>'kWh Forecast'!N23</f>
        <v>655641363.02780187</v>
      </c>
      <c r="F10" s="23">
        <f>'kWh Forecast'!N24</f>
        <v>1286937315.9104919</v>
      </c>
      <c r="G10" s="23">
        <f>'kWh Forecast'!N15</f>
        <v>613268259.27050006</v>
      </c>
      <c r="H10" s="23">
        <f>'kWh Forecast'!N19</f>
        <v>476510337</v>
      </c>
      <c r="I10" s="23">
        <f>'kWh Forecast'!N26</f>
        <v>146305718.57259846</v>
      </c>
      <c r="J10" s="23">
        <f>'kWh Forecast'!N27</f>
        <v>16139843.859604783</v>
      </c>
      <c r="K10" s="22" t="s">
        <v>24</v>
      </c>
    </row>
    <row r="11" spans="1:11">
      <c r="A11" s="19">
        <f t="shared" si="2"/>
        <v>5</v>
      </c>
      <c r="B11" s="8" t="s">
        <v>25</v>
      </c>
      <c r="C11" s="24"/>
      <c r="D11" s="82">
        <f t="shared" ref="D11:J11" si="4">D9/D10</f>
        <v>9.459339445729429E-4</v>
      </c>
      <c r="E11" s="82">
        <f t="shared" si="4"/>
        <v>1.1569390700659394E-3</v>
      </c>
      <c r="F11" s="82">
        <f t="shared" si="4"/>
        <v>9.4768036123354872E-4</v>
      </c>
      <c r="G11" s="82">
        <f t="shared" si="4"/>
        <v>6.2499633815387128E-4</v>
      </c>
      <c r="H11" s="82">
        <f t="shared" ref="H11" si="5">H9/H10</f>
        <v>4.2490025510916575E-4</v>
      </c>
      <c r="I11" s="82">
        <f t="shared" si="4"/>
        <v>9.266323970939848E-4</v>
      </c>
      <c r="J11" s="82">
        <f t="shared" si="4"/>
        <v>3.9311271213542595E-3</v>
      </c>
      <c r="K11" s="11"/>
    </row>
    <row r="12" spans="1:11">
      <c r="A12" s="19">
        <f t="shared" si="2"/>
        <v>6</v>
      </c>
      <c r="B12" s="8" t="s">
        <v>26</v>
      </c>
      <c r="C12" s="25">
        <f>SUM(D12:J12)</f>
        <v>3209259.1140831243</v>
      </c>
      <c r="D12" s="25">
        <f>'kWh Forecast'!N52</f>
        <v>2741768</v>
      </c>
      <c r="E12" s="25">
        <f>'kWh Forecast'!N53</f>
        <v>415677.16440951795</v>
      </c>
      <c r="F12" s="25">
        <f>'kWh Forecast'!N54</f>
        <v>21200.700191240448</v>
      </c>
      <c r="G12" s="25">
        <f>'kWh Forecast'!N45</f>
        <v>264</v>
      </c>
      <c r="H12" s="25">
        <f>'kWh Forecast'!N49</f>
        <v>12</v>
      </c>
      <c r="I12" s="25">
        <f>'kWh Forecast'!N56</f>
        <v>30337.249482366205</v>
      </c>
      <c r="J12" s="25"/>
      <c r="K12" s="22"/>
    </row>
    <row r="13" spans="1:11">
      <c r="A13" s="19">
        <f t="shared" si="2"/>
        <v>7</v>
      </c>
      <c r="B13" s="8" t="s">
        <v>129</v>
      </c>
      <c r="C13" s="24"/>
      <c r="D13" s="52">
        <f t="shared" ref="D13:I13" si="6">(D10/D12)*D11</f>
        <v>0.85964285781886651</v>
      </c>
      <c r="E13" s="52">
        <f t="shared" si="6"/>
        <v>1.8248226599497597</v>
      </c>
      <c r="F13" s="52">
        <f t="shared" si="6"/>
        <v>57.526648149616129</v>
      </c>
      <c r="G13" s="52">
        <f t="shared" si="6"/>
        <v>1451.8576376896269</v>
      </c>
      <c r="H13" s="52">
        <f t="shared" si="6"/>
        <v>16872.446979454544</v>
      </c>
      <c r="I13" s="52">
        <f t="shared" si="6"/>
        <v>4.4688170820590392</v>
      </c>
      <c r="J13" s="52"/>
      <c r="K13" s="11"/>
    </row>
    <row r="14" spans="1:11">
      <c r="A14" s="19">
        <f t="shared" si="2"/>
        <v>8</v>
      </c>
      <c r="B14" s="8" t="s">
        <v>130</v>
      </c>
      <c r="C14" s="24"/>
      <c r="D14" s="52">
        <f t="shared" ref="D14:I14" si="7">(D10/(D12/12))*D11</f>
        <v>10.315714293826398</v>
      </c>
      <c r="E14" s="52">
        <f t="shared" si="7"/>
        <v>21.897871919397115</v>
      </c>
      <c r="F14" s="52">
        <f t="shared" si="7"/>
        <v>690.31977779539352</v>
      </c>
      <c r="G14" s="52">
        <f t="shared" si="7"/>
        <v>17422.291652275522</v>
      </c>
      <c r="H14" s="52">
        <f t="shared" si="7"/>
        <v>202469.36375345456</v>
      </c>
      <c r="I14" s="52">
        <f t="shared" si="7"/>
        <v>53.625804984708466</v>
      </c>
      <c r="J14" s="52"/>
      <c r="K14" s="11"/>
    </row>
    <row r="15" spans="1:11">
      <c r="A15" s="19">
        <f t="shared" si="2"/>
        <v>9</v>
      </c>
      <c r="B15" s="26"/>
      <c r="C15" s="7"/>
      <c r="D15" s="24"/>
      <c r="E15" s="24"/>
      <c r="F15" s="24"/>
      <c r="G15" s="24"/>
      <c r="H15" s="24"/>
      <c r="I15" s="24"/>
      <c r="J15" s="24"/>
      <c r="K15" s="24"/>
    </row>
    <row r="16" spans="1:11">
      <c r="A16" s="19">
        <f t="shared" si="2"/>
        <v>10</v>
      </c>
      <c r="B16" s="26" t="s">
        <v>27</v>
      </c>
      <c r="C16" s="7"/>
      <c r="D16" s="27">
        <f>D11</f>
        <v>9.459339445729429E-4</v>
      </c>
      <c r="E16" s="27">
        <f t="shared" ref="E16:J16" si="8">E11</f>
        <v>1.1569390700659394E-3</v>
      </c>
      <c r="F16" s="27">
        <f t="shared" si="8"/>
        <v>9.4768036123354872E-4</v>
      </c>
      <c r="G16" s="27">
        <f t="shared" si="8"/>
        <v>6.2499633815387128E-4</v>
      </c>
      <c r="H16" s="27">
        <f t="shared" ref="H16" si="9">H11</f>
        <v>4.2490025510916575E-4</v>
      </c>
      <c r="I16" s="27">
        <f t="shared" si="8"/>
        <v>9.266323970939848E-4</v>
      </c>
      <c r="J16" s="27">
        <f t="shared" si="8"/>
        <v>3.9311271213542595E-3</v>
      </c>
      <c r="K16" s="24"/>
    </row>
    <row r="17" spans="1:11">
      <c r="A17" s="19">
        <f t="shared" si="2"/>
        <v>11</v>
      </c>
      <c r="B17" s="26" t="s">
        <v>28</v>
      </c>
      <c r="C17" s="7"/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24"/>
    </row>
    <row r="18" spans="1:11">
      <c r="A18" s="19">
        <f t="shared" si="2"/>
        <v>12</v>
      </c>
      <c r="B18" s="26" t="s">
        <v>29</v>
      </c>
      <c r="C18" s="7"/>
      <c r="D18" s="27">
        <f t="shared" ref="D18:J18" si="10">D16-D17</f>
        <v>9.459339445729429E-4</v>
      </c>
      <c r="E18" s="27">
        <f t="shared" si="10"/>
        <v>1.1569390700659394E-3</v>
      </c>
      <c r="F18" s="27">
        <f t="shared" si="10"/>
        <v>9.4768036123354872E-4</v>
      </c>
      <c r="G18" s="27">
        <f t="shared" si="10"/>
        <v>6.2499633815387128E-4</v>
      </c>
      <c r="H18" s="27">
        <f t="shared" ref="H18" si="11">H16-H17</f>
        <v>4.2490025510916575E-4</v>
      </c>
      <c r="I18" s="27">
        <f t="shared" si="10"/>
        <v>9.266323970939848E-4</v>
      </c>
      <c r="J18" s="27">
        <f t="shared" si="10"/>
        <v>3.9311271213542595E-3</v>
      </c>
      <c r="K18" s="24"/>
    </row>
    <row r="19" spans="1:11">
      <c r="A19" s="49">
        <f t="shared" si="2"/>
        <v>13</v>
      </c>
      <c r="B19" s="50" t="s">
        <v>30</v>
      </c>
      <c r="C19" s="28">
        <f>SUM(D19:J19)</f>
        <v>5119862.7850053729</v>
      </c>
      <c r="D19" s="29">
        <f>D18*D10</f>
        <v>2356941.2789963181</v>
      </c>
      <c r="E19" s="29">
        <f t="shared" ref="E19:J19" si="12">E18*E10</f>
        <v>758537.10883815004</v>
      </c>
      <c r="F19" s="29">
        <f t="shared" si="12"/>
        <v>1219605.2204269886</v>
      </c>
      <c r="G19" s="29">
        <f t="shared" si="12"/>
        <v>383290.41635006148</v>
      </c>
      <c r="H19" s="29">
        <f t="shared" ref="H19" si="13">H18*H10</f>
        <v>202469.36375345456</v>
      </c>
      <c r="I19" s="29">
        <f t="shared" si="12"/>
        <v>135571.61870948484</v>
      </c>
      <c r="J19" s="29">
        <f t="shared" si="12"/>
        <v>63447.77793091537</v>
      </c>
      <c r="K19" s="30"/>
    </row>
    <row r="20" spans="1:11">
      <c r="A20" s="19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31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B22" s="8" t="s">
        <v>47</v>
      </c>
      <c r="C22" s="32">
        <f>SUM(D22:J22)</f>
        <v>556948000</v>
      </c>
      <c r="D22" s="115">
        <v>240022000</v>
      </c>
      <c r="E22" s="115">
        <v>87407000</v>
      </c>
      <c r="F22" s="115">
        <v>142809000</v>
      </c>
      <c r="G22" s="115">
        <v>41422000</v>
      </c>
      <c r="H22" s="115">
        <v>22445000</v>
      </c>
      <c r="I22" s="115">
        <v>15745000</v>
      </c>
      <c r="J22" s="115">
        <v>7098000</v>
      </c>
      <c r="K22" s="26"/>
    </row>
    <row r="23" spans="1:11">
      <c r="B23" s="8" t="s">
        <v>48</v>
      </c>
      <c r="C23" s="33">
        <f>C19/C22</f>
        <v>9.1927123986536852E-3</v>
      </c>
      <c r="D23" s="33">
        <f>D19/D22</f>
        <v>9.8196885243699242E-3</v>
      </c>
      <c r="E23" s="33">
        <f t="shared" ref="E23:J23" si="14">E19/E22</f>
        <v>8.6782192368820583E-3</v>
      </c>
      <c r="F23" s="33">
        <f t="shared" si="14"/>
        <v>8.5401145615961772E-3</v>
      </c>
      <c r="G23" s="33">
        <f t="shared" si="14"/>
        <v>9.2533054017203773E-3</v>
      </c>
      <c r="H23" s="33">
        <f t="shared" ref="H23" si="15">H19/H22</f>
        <v>9.0206889620607963E-3</v>
      </c>
      <c r="I23" s="33">
        <f t="shared" si="14"/>
        <v>8.6104553006976711E-3</v>
      </c>
      <c r="J23" s="33">
        <f t="shared" si="14"/>
        <v>8.9388247296302292E-3</v>
      </c>
    </row>
    <row r="25" spans="1:11">
      <c r="B25" s="125" t="s">
        <v>107</v>
      </c>
      <c r="D25" s="103">
        <f>ROUND((ROUND(D16,5)-ROUND(D17,5))*932,2)</f>
        <v>0.89</v>
      </c>
    </row>
    <row r="26" spans="1:11">
      <c r="B26" s="1" t="s">
        <v>49</v>
      </c>
      <c r="D26" s="76">
        <f>D25/C47</f>
        <v>1.0461972493240861E-2</v>
      </c>
    </row>
    <row r="28" spans="1:11">
      <c r="D28" s="108"/>
      <c r="F28" s="37"/>
    </row>
    <row r="29" spans="1:11">
      <c r="A29" s="35" t="s">
        <v>22</v>
      </c>
      <c r="B29" s="8" t="s">
        <v>96</v>
      </c>
      <c r="C29" s="137">
        <f>SUM(D29:J29)</f>
        <v>550576000</v>
      </c>
      <c r="D29" s="138">
        <v>253459000</v>
      </c>
      <c r="E29" s="138">
        <v>81571000</v>
      </c>
      <c r="F29" s="138">
        <v>131153000</v>
      </c>
      <c r="G29" s="138">
        <f>41218000</f>
        <v>41218000</v>
      </c>
      <c r="H29" s="138">
        <f>21773000</f>
        <v>21773000</v>
      </c>
      <c r="I29" s="138">
        <v>14579000</v>
      </c>
      <c r="J29" s="138">
        <v>6823000</v>
      </c>
      <c r="K29" s="138"/>
    </row>
    <row r="30" spans="1:11">
      <c r="A30" s="35"/>
      <c r="B30" s="8" t="s">
        <v>118</v>
      </c>
      <c r="C30" s="48"/>
      <c r="G30" s="74"/>
      <c r="H30" s="74"/>
    </row>
    <row r="31" spans="1:11">
      <c r="A31" s="35" t="s">
        <v>24</v>
      </c>
      <c r="B31" s="8" t="s">
        <v>119</v>
      </c>
      <c r="C31" s="48"/>
      <c r="G31" s="36"/>
      <c r="H31" s="36"/>
    </row>
    <row r="32" spans="1:11">
      <c r="A32" s="35"/>
    </row>
    <row r="34" spans="2:23">
      <c r="B34" s="134" t="s">
        <v>115</v>
      </c>
      <c r="C34" s="45">
        <f ca="1">'Deferral Balance'!G14</f>
        <v>4732193.6686642272</v>
      </c>
      <c r="H34" s="70"/>
    </row>
    <row r="35" spans="2:23">
      <c r="B35" s="173" t="s">
        <v>151</v>
      </c>
      <c r="C35" s="45">
        <f ca="1">'Deferral Schedule'!R7</f>
        <v>162746.13003227735</v>
      </c>
      <c r="D35" s="37"/>
      <c r="H35" s="70"/>
    </row>
    <row r="36" spans="2:23">
      <c r="B36" s="173" t="s">
        <v>152</v>
      </c>
      <c r="C36" s="45">
        <f ca="1">SUM(C34:C35)</f>
        <v>4894939.7986965049</v>
      </c>
      <c r="H36" s="70"/>
    </row>
    <row r="37" spans="2:23">
      <c r="B37" s="134" t="s">
        <v>116</v>
      </c>
      <c r="C37" s="43">
        <f>'CF WA Elec'!E21</f>
        <v>0.95606855188236617</v>
      </c>
      <c r="F37" s="126"/>
    </row>
    <row r="38" spans="2:23" ht="14.65" thickBot="1">
      <c r="B38" s="134" t="s">
        <v>117</v>
      </c>
      <c r="C38" s="136">
        <f ca="1">(C34+C35)/C37</f>
        <v>5119862.7850053729</v>
      </c>
      <c r="D38" s="46"/>
      <c r="E38" s="134" t="s">
        <v>128</v>
      </c>
      <c r="F38" s="126"/>
      <c r="H38" s="34"/>
    </row>
    <row r="39" spans="2:23" ht="14.65" thickTop="1">
      <c r="B39" s="134"/>
      <c r="C39" s="172"/>
      <c r="E39" s="134"/>
      <c r="F39" s="126"/>
      <c r="H39" s="34"/>
    </row>
    <row r="40" spans="2:23">
      <c r="B40" s="134"/>
      <c r="C40" s="172"/>
      <c r="E40" s="134"/>
      <c r="F40" s="126"/>
      <c r="H40" s="34"/>
    </row>
    <row r="41" spans="2:23">
      <c r="B41" s="134"/>
      <c r="C41" s="172"/>
      <c r="E41" s="134"/>
      <c r="F41" s="126"/>
      <c r="H41" s="34"/>
    </row>
    <row r="42" spans="2:23">
      <c r="F42" s="126"/>
    </row>
    <row r="43" spans="2:23">
      <c r="B43" s="72" t="s">
        <v>59</v>
      </c>
      <c r="N43" s="85"/>
      <c r="O43" s="86"/>
      <c r="P43" s="86"/>
      <c r="Q43" s="85"/>
    </row>
    <row r="44" spans="2:23">
      <c r="B44" s="1" t="s">
        <v>60</v>
      </c>
      <c r="C44" s="34">
        <v>9</v>
      </c>
      <c r="N44" s="87"/>
      <c r="O44" s="88"/>
      <c r="P44" s="88"/>
      <c r="Q44" s="88"/>
    </row>
    <row r="45" spans="2:23">
      <c r="B45" s="1" t="s">
        <v>61</v>
      </c>
      <c r="C45" s="127">
        <v>7.9750000000000001E-2</v>
      </c>
      <c r="G45" s="60"/>
      <c r="H45" s="60"/>
      <c r="I45" s="60"/>
      <c r="J45" s="60"/>
      <c r="K45" s="60"/>
      <c r="L45" s="60"/>
      <c r="M45" s="60"/>
      <c r="N45" s="60"/>
      <c r="O45" s="71"/>
      <c r="P45" s="71"/>
      <c r="Q45" s="71"/>
      <c r="R45" s="60"/>
      <c r="S45" s="60"/>
      <c r="T45" s="60"/>
      <c r="U45" s="60"/>
      <c r="V45" s="60"/>
      <c r="W45" s="60"/>
    </row>
    <row r="46" spans="2:23">
      <c r="B46" s="1" t="s">
        <v>62</v>
      </c>
      <c r="C46" s="127">
        <v>9.2990000000000003E-2</v>
      </c>
      <c r="G46" s="60"/>
      <c r="H46" s="60"/>
      <c r="I46" s="60"/>
      <c r="J46" s="60"/>
      <c r="K46" s="60"/>
      <c r="L46" s="60"/>
      <c r="M46" s="60"/>
      <c r="N46" s="60"/>
      <c r="O46" s="71"/>
      <c r="P46" s="71"/>
      <c r="Q46" s="71"/>
      <c r="R46" s="60"/>
      <c r="S46" s="60"/>
      <c r="T46" s="60"/>
      <c r="U46" s="60"/>
      <c r="V46" s="60"/>
      <c r="W46" s="60"/>
    </row>
    <row r="47" spans="2:23">
      <c r="B47" s="125" t="s">
        <v>108</v>
      </c>
      <c r="C47" s="34">
        <f>C44+ROUND((800*C45),2)+ROUND(((932-800)*C46),2)</f>
        <v>85.07</v>
      </c>
      <c r="G47" s="60"/>
      <c r="H47" s="60"/>
      <c r="I47" s="60"/>
      <c r="J47" s="60"/>
      <c r="K47" s="60"/>
      <c r="L47" s="60"/>
      <c r="M47" s="60"/>
      <c r="N47" s="60"/>
      <c r="O47" s="71"/>
      <c r="P47" s="71"/>
      <c r="Q47" s="71"/>
      <c r="R47" s="60"/>
      <c r="S47" s="60"/>
      <c r="T47" s="60"/>
      <c r="U47" s="60"/>
      <c r="V47" s="60"/>
      <c r="W47" s="60"/>
    </row>
    <row r="48" spans="2:23"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2:23">
      <c r="B49" s="105" t="s">
        <v>93</v>
      </c>
      <c r="C49" s="68">
        <f>D25</f>
        <v>0.89</v>
      </c>
      <c r="D49" s="33">
        <f>C49/C47</f>
        <v>1.0461972493240861E-2</v>
      </c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2:23">
      <c r="G50" s="60"/>
      <c r="H50" s="60"/>
      <c r="I50" s="60"/>
      <c r="J50" s="60"/>
      <c r="K50" s="60"/>
      <c r="L50" s="60"/>
      <c r="M50" s="60"/>
      <c r="N50" s="116"/>
      <c r="O50" s="117"/>
      <c r="P50" s="116"/>
      <c r="Q50" s="60"/>
      <c r="R50" s="60"/>
      <c r="S50" s="60"/>
      <c r="T50" s="60"/>
      <c r="U50" s="60"/>
      <c r="V50" s="60"/>
      <c r="W50" s="60"/>
    </row>
    <row r="51" spans="2:23">
      <c r="B51" s="1" t="s">
        <v>73</v>
      </c>
      <c r="C51" s="37">
        <f>SUM(C47:C50)</f>
        <v>85.96</v>
      </c>
      <c r="G51" s="60"/>
      <c r="H51" s="60"/>
      <c r="I51" s="60"/>
      <c r="J51" s="60"/>
      <c r="K51" s="60"/>
      <c r="L51" s="60"/>
      <c r="M51" s="60"/>
      <c r="N51" s="118"/>
      <c r="O51" s="60"/>
      <c r="P51" s="119"/>
      <c r="Q51" s="60"/>
      <c r="R51" s="60"/>
      <c r="S51" s="60"/>
      <c r="T51" s="60"/>
      <c r="U51" s="60"/>
      <c r="V51" s="60"/>
      <c r="W51" s="60"/>
    </row>
    <row r="52" spans="2:23">
      <c r="G52" s="60"/>
      <c r="H52" s="60"/>
      <c r="I52" s="60"/>
      <c r="J52" s="60"/>
      <c r="K52" s="60"/>
      <c r="L52" s="60"/>
      <c r="M52" s="60"/>
      <c r="N52" s="120"/>
      <c r="O52" s="60"/>
      <c r="P52" s="119"/>
      <c r="Q52" s="60"/>
      <c r="R52" s="60"/>
      <c r="S52" s="60"/>
      <c r="T52" s="60"/>
      <c r="U52" s="60"/>
      <c r="V52" s="60"/>
      <c r="W52" s="60"/>
    </row>
    <row r="53" spans="2:23">
      <c r="G53" s="60"/>
      <c r="H53" s="60"/>
      <c r="I53" s="60"/>
      <c r="J53" s="60"/>
      <c r="K53" s="60"/>
      <c r="L53" s="60"/>
      <c r="M53" s="60"/>
      <c r="N53" s="120"/>
      <c r="O53" s="60"/>
      <c r="P53" s="119"/>
      <c r="Q53" s="60"/>
      <c r="R53" s="60"/>
      <c r="S53" s="60"/>
      <c r="T53" s="60"/>
      <c r="U53" s="60"/>
      <c r="V53" s="60"/>
      <c r="W53" s="60"/>
    </row>
    <row r="54" spans="2:23">
      <c r="G54" s="60"/>
      <c r="H54" s="60"/>
      <c r="I54" s="60"/>
      <c r="J54" s="60"/>
      <c r="K54" s="60"/>
      <c r="L54" s="60"/>
      <c r="M54" s="60"/>
      <c r="N54" s="120"/>
      <c r="O54" s="60"/>
      <c r="P54" s="119"/>
      <c r="Q54" s="60"/>
      <c r="R54" s="60"/>
      <c r="S54" s="60"/>
      <c r="T54" s="60"/>
      <c r="U54" s="60"/>
      <c r="V54" s="60"/>
      <c r="W54" s="60"/>
    </row>
    <row r="55" spans="2:23">
      <c r="G55" s="60"/>
      <c r="H55" s="60"/>
      <c r="I55" s="60"/>
      <c r="J55" s="60"/>
      <c r="K55" s="60"/>
      <c r="L55" s="60"/>
      <c r="M55" s="60"/>
      <c r="N55" s="120"/>
      <c r="O55" s="60"/>
      <c r="P55" s="119"/>
      <c r="Q55" s="60"/>
      <c r="R55" s="60"/>
      <c r="S55" s="60"/>
      <c r="T55" s="60"/>
      <c r="U55" s="60"/>
      <c r="V55" s="60"/>
      <c r="W55" s="60"/>
    </row>
    <row r="56" spans="2:23">
      <c r="G56" s="60"/>
      <c r="H56" s="60"/>
      <c r="I56" s="60"/>
      <c r="J56" s="60"/>
      <c r="K56" s="60"/>
      <c r="L56" s="60"/>
      <c r="M56" s="60"/>
      <c r="N56" s="120"/>
      <c r="O56" s="60"/>
      <c r="P56" s="119"/>
      <c r="Q56" s="60"/>
      <c r="R56" s="60"/>
      <c r="S56" s="60"/>
      <c r="T56" s="60"/>
      <c r="U56" s="60"/>
      <c r="V56" s="60"/>
      <c r="W56" s="60"/>
    </row>
    <row r="57" spans="2:23">
      <c r="G57" s="60"/>
      <c r="H57" s="60"/>
      <c r="I57" s="60"/>
      <c r="J57" s="60"/>
      <c r="K57" s="60"/>
      <c r="L57" s="60"/>
      <c r="M57" s="60"/>
      <c r="N57" s="60"/>
      <c r="O57" s="121"/>
      <c r="P57" s="122"/>
      <c r="Q57" s="60"/>
      <c r="R57" s="60"/>
      <c r="S57" s="60"/>
      <c r="T57" s="60"/>
      <c r="U57" s="60"/>
      <c r="V57" s="60"/>
      <c r="W57" s="60"/>
    </row>
    <row r="58" spans="2:23"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</row>
    <row r="59" spans="2:23"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</row>
    <row r="60" spans="2:23"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</row>
    <row r="61" spans="2:23"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</row>
    <row r="62" spans="2:23"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</sheetData>
  <pageMargins left="0.7" right="0.7" top="0.75" bottom="0.75" header="0.3" footer="0.3"/>
  <pageSetup scale="72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31"/>
  <sheetViews>
    <sheetView tabSelected="1" workbookViewId="0">
      <selection activeCell="F22" sqref="F22"/>
    </sheetView>
  </sheetViews>
  <sheetFormatPr defaultColWidth="9.1328125" defaultRowHeight="14.25"/>
  <cols>
    <col min="1" max="1" width="9.1328125" style="144"/>
    <col min="2" max="2" width="17.86328125" style="144" customWidth="1"/>
    <col min="3" max="3" width="10.265625" style="144" customWidth="1"/>
    <col min="4" max="4" width="12.86328125" style="144" bestFit="1" customWidth="1"/>
    <col min="5" max="6" width="14" style="144" bestFit="1" customWidth="1"/>
    <col min="7" max="7" width="12.86328125" style="144" bestFit="1" customWidth="1"/>
    <col min="8" max="8" width="10.86328125" style="144" customWidth="1"/>
    <col min="9" max="9" width="13.73046875" style="144" customWidth="1"/>
    <col min="10" max="17" width="10.86328125" style="144" customWidth="1"/>
    <col min="18" max="16384" width="9.1328125" style="144"/>
  </cols>
  <sheetData>
    <row r="1" spans="1:22" ht="42.75">
      <c r="A1" s="157"/>
      <c r="B1" s="158" t="s">
        <v>126</v>
      </c>
      <c r="C1" s="158" t="s">
        <v>123</v>
      </c>
      <c r="D1" s="158" t="s">
        <v>127</v>
      </c>
      <c r="E1" s="158" t="s">
        <v>124</v>
      </c>
      <c r="F1" s="158" t="s">
        <v>125</v>
      </c>
      <c r="G1" s="158" t="s">
        <v>115</v>
      </c>
      <c r="H1" s="156"/>
      <c r="I1" s="15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159">
        <v>44470</v>
      </c>
      <c r="B2" s="160">
        <v>42996238.936683007</v>
      </c>
      <c r="C2" s="161">
        <f>B2/$B$14</f>
        <v>7.7549982687864311E-2</v>
      </c>
      <c r="D2" s="162">
        <f>C2*$D$14</f>
        <v>237690.69693830411</v>
      </c>
      <c r="E2" s="163">
        <v>192429.28</v>
      </c>
      <c r="F2" s="163">
        <v>-45418.47</v>
      </c>
      <c r="G2" s="164">
        <f t="shared" ref="G2:G6" ca="1" si="0">IF(A2&lt;(TODAY()-15),E2-D2," ")</f>
        <v>-45261.416938304115</v>
      </c>
      <c r="H2" s="8"/>
      <c r="I2" s="174">
        <f>E2-D2</f>
        <v>-45261.416938304115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159">
        <v>44501</v>
      </c>
      <c r="B3" s="160">
        <v>47763131.363777854</v>
      </c>
      <c r="C3" s="161">
        <f t="shared" ref="C3:C13" si="1">B3/$B$14</f>
        <v>8.6147767850899212E-2</v>
      </c>
      <c r="D3" s="162">
        <f t="shared" ref="D3:D13" si="2">C3*$D$14</f>
        <v>264042.90846300608</v>
      </c>
      <c r="E3" s="163">
        <v>169217.78999999998</v>
      </c>
      <c r="F3" s="163">
        <v>-94786.87</v>
      </c>
      <c r="G3" s="164">
        <f t="shared" ca="1" si="0"/>
        <v>-94825.118463006103</v>
      </c>
      <c r="H3" s="8"/>
      <c r="I3" s="174">
        <f t="shared" ref="I3:I11" si="3">E3-D3</f>
        <v>-94825.118463006103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59">
        <v>44531</v>
      </c>
      <c r="B4" s="160">
        <v>55594972.139649197</v>
      </c>
      <c r="C4" s="161">
        <f t="shared" si="1"/>
        <v>0.10027363401043331</v>
      </c>
      <c r="D4" s="162">
        <f t="shared" si="2"/>
        <v>307338.68824197806</v>
      </c>
      <c r="E4" s="163">
        <v>1065483.22</v>
      </c>
      <c r="F4" s="163">
        <v>758263.34</v>
      </c>
      <c r="G4" s="163">
        <f t="shared" ca="1" si="0"/>
        <v>758144.53175802191</v>
      </c>
      <c r="H4" s="145"/>
      <c r="I4" s="174">
        <f t="shared" si="3"/>
        <v>758144.53175802191</v>
      </c>
      <c r="J4" s="145"/>
      <c r="K4" s="145"/>
      <c r="L4" s="145"/>
      <c r="M4" s="145"/>
      <c r="N4" s="145"/>
      <c r="O4" s="145"/>
      <c r="P4" s="145"/>
      <c r="Q4" s="145"/>
      <c r="R4" s="8"/>
      <c r="S4" s="8"/>
      <c r="T4" s="8"/>
      <c r="U4" s="8"/>
      <c r="V4" s="8"/>
    </row>
    <row r="5" spans="1:22">
      <c r="A5" s="159">
        <v>44562</v>
      </c>
      <c r="B5" s="160">
        <v>55671585.418146282</v>
      </c>
      <c r="C5" s="161">
        <f t="shared" si="1"/>
        <v>0.10041181722291985</v>
      </c>
      <c r="D5" s="162">
        <f t="shared" si="2"/>
        <v>307762.21978824935</v>
      </c>
      <c r="E5" s="163">
        <v>357664.61</v>
      </c>
      <c r="F5" s="163">
        <v>49715.59</v>
      </c>
      <c r="G5" s="163">
        <f t="shared" ca="1" si="0"/>
        <v>49902.390211750637</v>
      </c>
      <c r="H5" s="8"/>
      <c r="I5" s="174">
        <f t="shared" si="3"/>
        <v>49902.390211750637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>
      <c r="A6" s="159">
        <v>44593</v>
      </c>
      <c r="B6" s="160">
        <v>49278167.582732916</v>
      </c>
      <c r="C6" s="161">
        <f t="shared" si="1"/>
        <v>8.8880356455322773E-2</v>
      </c>
      <c r="D6" s="162">
        <f t="shared" si="2"/>
        <v>272418.29253556428</v>
      </c>
      <c r="E6" s="163">
        <v>880428.32000000007</v>
      </c>
      <c r="F6" s="163">
        <v>608124.81999999995</v>
      </c>
      <c r="G6" s="163">
        <f t="shared" ca="1" si="0"/>
        <v>608010.02746443579</v>
      </c>
      <c r="H6" s="143"/>
      <c r="I6" s="174">
        <f t="shared" si="3"/>
        <v>608010.02746443579</v>
      </c>
      <c r="J6" s="143"/>
      <c r="K6" s="143"/>
      <c r="L6" s="143"/>
      <c r="M6" s="143"/>
      <c r="N6" s="143"/>
      <c r="O6" s="143"/>
      <c r="P6" s="143"/>
      <c r="Q6" s="143"/>
      <c r="R6" s="8"/>
      <c r="S6" s="8"/>
      <c r="T6" s="8"/>
      <c r="U6" s="8"/>
      <c r="V6" s="8"/>
    </row>
    <row r="7" spans="1:22">
      <c r="A7" s="159">
        <v>44621</v>
      </c>
      <c r="B7" s="160">
        <v>47305565.386084735</v>
      </c>
      <c r="C7" s="161">
        <f t="shared" si="1"/>
        <v>8.5322480929852201E-2</v>
      </c>
      <c r="D7" s="162">
        <f t="shared" si="2"/>
        <v>261513.40404999699</v>
      </c>
      <c r="E7" s="163">
        <v>980924.43</v>
      </c>
      <c r="F7" s="165">
        <v>719481.23</v>
      </c>
      <c r="G7" s="163">
        <f ca="1">IF(A7&lt;(TODAY()-15),E7-D7," ")</f>
        <v>719411.02595000307</v>
      </c>
      <c r="H7" s="143"/>
      <c r="I7" s="174">
        <f t="shared" si="3"/>
        <v>719411.02595000307</v>
      </c>
      <c r="J7" s="143"/>
      <c r="K7" s="143"/>
      <c r="L7" s="143"/>
      <c r="M7" s="143"/>
      <c r="N7" s="143"/>
      <c r="O7" s="143"/>
      <c r="P7" s="143"/>
      <c r="Q7" s="143"/>
      <c r="R7" s="8"/>
      <c r="S7" s="8"/>
      <c r="T7" s="8"/>
      <c r="U7" s="8"/>
      <c r="V7" s="8"/>
    </row>
    <row r="8" spans="1:22">
      <c r="A8" s="159">
        <v>44652</v>
      </c>
      <c r="B8" s="160">
        <v>41263283.333110519</v>
      </c>
      <c r="C8" s="161">
        <f t="shared" si="1"/>
        <v>7.4424344716278248E-2</v>
      </c>
      <c r="D8" s="162">
        <f t="shared" si="2"/>
        <v>228110.61655539283</v>
      </c>
      <c r="E8" s="163">
        <v>960933.17</v>
      </c>
      <c r="F8" s="165">
        <v>732824.35</v>
      </c>
      <c r="G8" s="163">
        <f ca="1">IF(A8&lt;(TODAY()-15),E8-D8," ")</f>
        <v>732822.55344460718</v>
      </c>
      <c r="H8" s="143"/>
      <c r="I8" s="174">
        <f t="shared" si="3"/>
        <v>732822.55344460718</v>
      </c>
      <c r="J8" s="143"/>
      <c r="K8" s="143"/>
      <c r="L8" s="143"/>
      <c r="M8" s="143"/>
      <c r="N8" s="143"/>
      <c r="O8" s="143"/>
      <c r="P8" s="143"/>
      <c r="Q8" s="143"/>
      <c r="R8" s="8"/>
      <c r="S8" s="8"/>
      <c r="T8" s="8"/>
      <c r="U8" s="8"/>
      <c r="V8" s="8"/>
    </row>
    <row r="9" spans="1:22">
      <c r="A9" s="159">
        <v>44682</v>
      </c>
      <c r="B9" s="160">
        <v>39777362.490171306</v>
      </c>
      <c r="C9" s="161">
        <f t="shared" si="1"/>
        <v>7.1744269935431315E-2</v>
      </c>
      <c r="D9" s="162">
        <f t="shared" si="2"/>
        <v>219896.18735209698</v>
      </c>
      <c r="E9" s="163">
        <v>892770.39</v>
      </c>
      <c r="F9" s="165">
        <v>672874.21</v>
      </c>
      <c r="G9" s="163">
        <f t="shared" ref="G9:G10" ca="1" si="4">IF(A9&lt;(TODAY()-15),E9-D9," ")</f>
        <v>672874.202647903</v>
      </c>
      <c r="H9" s="8"/>
      <c r="I9" s="174">
        <f t="shared" si="3"/>
        <v>672874.202647903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>
      <c r="A10" s="159">
        <v>44713</v>
      </c>
      <c r="B10" s="160">
        <v>41031668.178748809</v>
      </c>
      <c r="C10" s="161">
        <f t="shared" si="1"/>
        <v>7.4006593032521703E-2</v>
      </c>
      <c r="D10" s="162">
        <f t="shared" si="2"/>
        <v>226830.20764467903</v>
      </c>
      <c r="E10" s="163">
        <v>897081.37</v>
      </c>
      <c r="F10" s="165">
        <v>670099.88</v>
      </c>
      <c r="G10" s="163">
        <f t="shared" ca="1" si="4"/>
        <v>670251.16235532099</v>
      </c>
      <c r="H10" s="8"/>
      <c r="I10" s="174">
        <f t="shared" si="3"/>
        <v>670251.16235532099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>
      <c r="A11" s="159">
        <v>44743</v>
      </c>
      <c r="B11" s="160">
        <v>45989609.32593248</v>
      </c>
      <c r="C11" s="161">
        <f t="shared" si="1"/>
        <v>8.2948962403427556E-2</v>
      </c>
      <c r="D11" s="162">
        <f t="shared" si="2"/>
        <v>254238.56976650545</v>
      </c>
      <c r="E11" s="163">
        <v>915102.88</v>
      </c>
      <c r="F11" s="166"/>
      <c r="G11" s="163">
        <f ca="1">IF(A11&lt;(TODAY()-15),E11-D11," ")</f>
        <v>660864.3102334945</v>
      </c>
      <c r="H11" s="146"/>
      <c r="I11" s="174">
        <f t="shared" si="3"/>
        <v>660864.3102334945</v>
      </c>
      <c r="J11" s="146"/>
      <c r="K11" s="146"/>
      <c r="L11" s="146"/>
      <c r="M11" s="146"/>
      <c r="N11" s="146"/>
      <c r="O11" s="146"/>
      <c r="P11" s="146"/>
      <c r="Q11" s="146"/>
      <c r="R11" s="8"/>
      <c r="S11" s="8"/>
      <c r="T11" s="8"/>
      <c r="U11" s="8"/>
      <c r="V11" s="8"/>
    </row>
    <row r="12" spans="1:22">
      <c r="A12" s="159">
        <v>44774</v>
      </c>
      <c r="B12" s="160">
        <v>46784832.784823753</v>
      </c>
      <c r="C12" s="161">
        <f t="shared" si="1"/>
        <v>8.4383263798040647E-2</v>
      </c>
      <c r="D12" s="162">
        <f t="shared" si="2"/>
        <v>258634.70354099458</v>
      </c>
      <c r="E12" s="166"/>
      <c r="F12" s="166"/>
      <c r="G12" s="16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>
      <c r="A13" s="159">
        <v>44805</v>
      </c>
      <c r="B13" s="160">
        <v>40976188.28380768</v>
      </c>
      <c r="C13" s="161">
        <f t="shared" si="1"/>
        <v>7.3906526957008806E-2</v>
      </c>
      <c r="D13" s="162">
        <f t="shared" si="2"/>
        <v>226523.505123232</v>
      </c>
      <c r="E13" s="166"/>
      <c r="F13" s="166"/>
      <c r="G13" s="16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4.65" thickBot="1">
      <c r="A14" s="167" t="s">
        <v>0</v>
      </c>
      <c r="B14" s="168">
        <f>SUM(B2:B13)</f>
        <v>554432605.22366858</v>
      </c>
      <c r="C14" s="169">
        <f t="shared" ref="C14" si="5">SUM(C2:C13)</f>
        <v>0.99999999999999989</v>
      </c>
      <c r="D14" s="168">
        <v>3065000</v>
      </c>
      <c r="E14" s="170">
        <f>SUM(E2:E13)</f>
        <v>7312035.46</v>
      </c>
      <c r="F14" s="170">
        <f>SUM(F2:F13)</f>
        <v>4071178.0799999996</v>
      </c>
      <c r="G14" s="171">
        <f ca="1">SUM(G2:G13)</f>
        <v>4732193.6686642272</v>
      </c>
      <c r="H14" s="8"/>
      <c r="I14" s="8"/>
      <c r="J14" s="14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4.65" thickTop="1">
      <c r="A15" s="8"/>
      <c r="B15" s="8"/>
      <c r="C15" s="140"/>
      <c r="D15" s="140"/>
      <c r="E15" s="141"/>
      <c r="F15" s="147"/>
      <c r="G15" s="8"/>
      <c r="H15" s="149"/>
      <c r="I15" s="8"/>
      <c r="J15" s="14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>
      <c r="A16" s="8"/>
      <c r="B16" s="140"/>
      <c r="C16" s="140"/>
      <c r="D16" s="140"/>
      <c r="E16" s="141"/>
      <c r="F16" s="8"/>
      <c r="G16" s="8"/>
      <c r="H16" s="8"/>
      <c r="I16" s="8"/>
      <c r="J16" s="14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>
      <c r="A17" s="8"/>
      <c r="B17" s="140"/>
      <c r="C17" s="140"/>
      <c r="D17" s="140"/>
      <c r="E17" s="141"/>
      <c r="F17" s="147"/>
      <c r="G17" s="8"/>
      <c r="H17" s="8"/>
      <c r="I17" s="8"/>
      <c r="J17" s="14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>
      <c r="A18" s="8"/>
      <c r="B18" s="140"/>
      <c r="C18" s="140"/>
      <c r="D18" s="140"/>
      <c r="E18" s="141"/>
      <c r="F18" s="8"/>
      <c r="G18" s="8"/>
      <c r="H18" s="8"/>
      <c r="I18" s="8"/>
      <c r="J18" s="14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>
      <c r="A19" s="8"/>
      <c r="B19" s="140"/>
      <c r="C19" s="140"/>
      <c r="D19" s="140"/>
      <c r="E19" s="141"/>
      <c r="F19" s="147"/>
      <c r="G19" s="8"/>
      <c r="H19" s="8"/>
      <c r="I19" s="8"/>
      <c r="J19" s="14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>
      <c r="A20" s="8"/>
      <c r="B20" s="140"/>
      <c r="C20" s="140"/>
      <c r="D20" s="140"/>
      <c r="E20" s="14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8"/>
      <c r="B21" s="140"/>
      <c r="C21" s="140"/>
      <c r="D21" s="140"/>
      <c r="E21" s="141"/>
      <c r="F21" s="14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>
      <c r="A22" s="8"/>
      <c r="B22" s="140"/>
      <c r="C22" s="140"/>
      <c r="D22" s="140"/>
      <c r="E22" s="14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>
      <c r="A23" s="8"/>
      <c r="B23" s="8"/>
      <c r="C23" s="8"/>
      <c r="D23" s="81"/>
      <c r="E23" s="15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>
      <c r="A25" s="8"/>
      <c r="B25" s="140"/>
      <c r="C25" s="140"/>
      <c r="D25" s="140"/>
      <c r="E25" s="141"/>
      <c r="F25" s="8"/>
      <c r="G25" s="15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8"/>
      <c r="B26" s="15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>
      <c r="A27" s="8"/>
      <c r="B27" s="8"/>
      <c r="C27" s="153"/>
      <c r="D27" s="8"/>
      <c r="E27" s="15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>
      <c r="A28" s="8"/>
      <c r="B28" s="8"/>
      <c r="C28" s="15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>
      <c r="A29" s="8"/>
      <c r="B29" s="142"/>
      <c r="C29" s="154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H31" s="155"/>
    </row>
  </sheetData>
  <pageMargins left="0.7" right="0.7" top="0.75" bottom="0.75" header="0.3" footer="0.3"/>
  <pageSetup scale="64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C8C-1084-4AD5-984B-39301C4BDA47}">
  <dimension ref="B4:R46"/>
  <sheetViews>
    <sheetView zoomScale="85" zoomScaleNormal="85" workbookViewId="0">
      <selection activeCell="M32" sqref="M32"/>
    </sheetView>
  </sheetViews>
  <sheetFormatPr defaultColWidth="9.1328125" defaultRowHeight="15.4"/>
  <cols>
    <col min="1" max="1" width="9.1328125" style="175"/>
    <col min="2" max="2" width="41.265625" style="175" bestFit="1" customWidth="1"/>
    <col min="3" max="3" width="10.59765625" style="175" bestFit="1" customWidth="1"/>
    <col min="4" max="4" width="14.1328125" style="175" bestFit="1" customWidth="1"/>
    <col min="5" max="5" width="10.3984375" style="175" bestFit="1" customWidth="1"/>
    <col min="6" max="6" width="15.59765625" style="175" bestFit="1" customWidth="1"/>
    <col min="7" max="7" width="15.3984375" style="175" bestFit="1" customWidth="1"/>
    <col min="8" max="8" width="14.1328125" style="175" bestFit="1" customWidth="1"/>
    <col min="9" max="9" width="14.265625" style="175" bestFit="1" customWidth="1"/>
    <col min="10" max="14" width="13.73046875" style="175" bestFit="1" customWidth="1"/>
    <col min="15" max="15" width="12.265625" style="175" bestFit="1" customWidth="1"/>
    <col min="16" max="16" width="12.86328125" style="175" bestFit="1" customWidth="1"/>
    <col min="17" max="17" width="14.1328125" style="175" bestFit="1" customWidth="1"/>
    <col min="18" max="18" width="13.73046875" style="175" bestFit="1" customWidth="1"/>
    <col min="19" max="16384" width="9.1328125" style="175"/>
  </cols>
  <sheetData>
    <row r="4" spans="2:18">
      <c r="D4" s="175">
        <v>2022</v>
      </c>
      <c r="H4" s="175">
        <v>2023</v>
      </c>
    </row>
    <row r="5" spans="2:18">
      <c r="B5" s="176"/>
      <c r="C5" s="176"/>
      <c r="D5" s="176" t="s">
        <v>144</v>
      </c>
      <c r="E5" s="177"/>
      <c r="F5" s="176" t="s">
        <v>148</v>
      </c>
      <c r="G5" s="176" t="s">
        <v>149</v>
      </c>
      <c r="H5" s="176" t="s">
        <v>138</v>
      </c>
      <c r="I5" s="176" t="s">
        <v>139</v>
      </c>
      <c r="J5" s="176" t="s">
        <v>140</v>
      </c>
      <c r="K5" s="176" t="s">
        <v>141</v>
      </c>
      <c r="L5" s="176" t="s">
        <v>142</v>
      </c>
      <c r="M5" s="176" t="s">
        <v>143</v>
      </c>
      <c r="N5" s="176" t="s">
        <v>144</v>
      </c>
      <c r="O5" s="176" t="s">
        <v>145</v>
      </c>
      <c r="P5" s="176" t="s">
        <v>146</v>
      </c>
      <c r="Q5" s="176" t="s">
        <v>147</v>
      </c>
      <c r="R5" s="178" t="s">
        <v>0</v>
      </c>
    </row>
    <row r="6" spans="2:18">
      <c r="B6" s="175" t="s">
        <v>157</v>
      </c>
      <c r="C6" s="179"/>
      <c r="D6" s="179">
        <f>-'[2]Revenue By Month'!H44</f>
        <v>0</v>
      </c>
      <c r="E6" s="180"/>
      <c r="F6" s="179">
        <f>'Forecasted Revenue'!H43</f>
        <v>413348.5635429321</v>
      </c>
      <c r="G6" s="179">
        <f>'Forecasted Revenue'!I43</f>
        <v>482473.73535426403</v>
      </c>
      <c r="H6" s="179">
        <f>'Forecasted Revenue'!J43</f>
        <v>493356.49894867308</v>
      </c>
      <c r="I6" s="179">
        <f>'Forecasted Revenue'!K43</f>
        <v>445072.60107714322</v>
      </c>
      <c r="J6" s="179">
        <f>'Forecasted Revenue'!L43</f>
        <v>414442.07088214823</v>
      </c>
      <c r="K6" s="179">
        <f>'Forecasted Revenue'!M43</f>
        <v>367298.59180237836</v>
      </c>
      <c r="L6" s="179">
        <f>'Forecasted Revenue'!N43</f>
        <v>356800.03962471685</v>
      </c>
      <c r="M6" s="179">
        <f>'Forecasted Revenue'!O43</f>
        <v>366244.57099812408</v>
      </c>
      <c r="N6" s="179">
        <f>'Forecasted Revenue'!P43</f>
        <v>406494.85288603074</v>
      </c>
      <c r="O6" s="179">
        <f>'Forecasted Revenue'!Q43</f>
        <v>416432.01847951527</v>
      </c>
      <c r="P6" s="179">
        <f>'Forecasted Revenue'!R43</f>
        <v>357154.69280295266</v>
      </c>
      <c r="Q6" s="179">
        <f>'Forecasted Revenue'!S43</f>
        <v>375821.56229762651</v>
      </c>
      <c r="R6" s="181">
        <f>SUM(F6:Q6)</f>
        <v>4894939.7986965049</v>
      </c>
    </row>
    <row r="7" spans="2:18">
      <c r="B7" s="175" t="s">
        <v>158</v>
      </c>
      <c r="C7" s="182"/>
      <c r="D7" s="182"/>
      <c r="E7" s="183"/>
      <c r="F7" s="183">
        <f ca="1">(D9-(0.5*F6))*$D$16</f>
        <v>26851.415028897049</v>
      </c>
      <c r="G7" s="183">
        <f ca="1">(F9-(0.5*G6))*$D$16</f>
        <v>24353.127271340156</v>
      </c>
      <c r="H7" s="183">
        <f t="shared" ref="H7:Q7" ca="1" si="0">(G9-(0.5*H6))*$D$16</f>
        <v>21602.659464718061</v>
      </c>
      <c r="I7" s="183">
        <f t="shared" ca="1" si="0"/>
        <v>18946.828914132133</v>
      </c>
      <c r="J7" s="183">
        <f t="shared" ca="1" si="0"/>
        <v>16509.353238876753</v>
      </c>
      <c r="K7" s="183">
        <f t="shared" ca="1" si="0"/>
        <v>14288.144768796657</v>
      </c>
      <c r="L7" s="183">
        <f t="shared" ca="1" si="0"/>
        <v>12224.761821191134</v>
      </c>
      <c r="M7" s="183">
        <f t="shared" ca="1" si="0"/>
        <v>10152.263063149107</v>
      </c>
      <c r="N7" s="183">
        <f t="shared" ca="1" si="0"/>
        <v>7920.0395331341306</v>
      </c>
      <c r="O7" s="183">
        <f t="shared" ca="1" si="0"/>
        <v>5525.6820493129408</v>
      </c>
      <c r="P7" s="183">
        <f t="shared" ca="1" si="0"/>
        <v>3263.4938526675428</v>
      </c>
      <c r="Q7" s="183">
        <f t="shared" ca="1" si="0"/>
        <v>1108.3610260616522</v>
      </c>
      <c r="R7" s="181">
        <f ca="1">SUM(F7:Q7)</f>
        <v>162746.13003227735</v>
      </c>
    </row>
    <row r="8" spans="2:18">
      <c r="B8" s="175" t="s">
        <v>150</v>
      </c>
      <c r="C8" s="182"/>
      <c r="D8" s="182">
        <f>D6+D7</f>
        <v>0</v>
      </c>
      <c r="E8" s="183"/>
      <c r="F8" s="182">
        <f ca="1">F6-F7</f>
        <v>386497.14851403504</v>
      </c>
      <c r="G8" s="182">
        <f t="shared" ref="G8:Q8" ca="1" si="1">G6-G7</f>
        <v>458120.60808292386</v>
      </c>
      <c r="H8" s="182">
        <f t="shared" ca="1" si="1"/>
        <v>471753.839483955</v>
      </c>
      <c r="I8" s="182">
        <f t="shared" ca="1" si="1"/>
        <v>426125.77216301108</v>
      </c>
      <c r="J8" s="182">
        <f t="shared" ca="1" si="1"/>
        <v>397932.71764327149</v>
      </c>
      <c r="K8" s="182">
        <f t="shared" ca="1" si="1"/>
        <v>353010.44703358167</v>
      </c>
      <c r="L8" s="182">
        <f t="shared" ca="1" si="1"/>
        <v>344575.27780352574</v>
      </c>
      <c r="M8" s="182">
        <f t="shared" ca="1" si="1"/>
        <v>356092.30793497496</v>
      </c>
      <c r="N8" s="182">
        <f t="shared" ca="1" si="1"/>
        <v>398574.8133528966</v>
      </c>
      <c r="O8" s="182">
        <f t="shared" ca="1" si="1"/>
        <v>410906.33643020235</v>
      </c>
      <c r="P8" s="182">
        <f t="shared" ca="1" si="1"/>
        <v>353891.19895028509</v>
      </c>
      <c r="Q8" s="182">
        <f t="shared" ca="1" si="1"/>
        <v>374713.20127156487</v>
      </c>
    </row>
    <row r="9" spans="2:18">
      <c r="B9" s="175" t="s">
        <v>153</v>
      </c>
      <c r="C9" s="184"/>
      <c r="D9" s="184">
        <f ca="1">'Deferral Balance'!G14</f>
        <v>4732193.6686642272</v>
      </c>
      <c r="E9" s="180"/>
      <c r="F9" s="179">
        <f ca="1">D9-F8</f>
        <v>4345696.5201501921</v>
      </c>
      <c r="G9" s="179">
        <f t="shared" ref="G9:Q9" ca="1" si="2">F9-G8</f>
        <v>3887575.912067268</v>
      </c>
      <c r="H9" s="179">
        <f t="shared" ca="1" si="2"/>
        <v>3415822.0725833131</v>
      </c>
      <c r="I9" s="179">
        <f t="shared" ca="1" si="2"/>
        <v>2989696.300420302</v>
      </c>
      <c r="J9" s="179">
        <f t="shared" ca="1" si="2"/>
        <v>2591763.5827770303</v>
      </c>
      <c r="K9" s="179">
        <f t="shared" ca="1" si="2"/>
        <v>2238753.1357434485</v>
      </c>
      <c r="L9" s="179">
        <f t="shared" ca="1" si="2"/>
        <v>1894177.8579399227</v>
      </c>
      <c r="M9" s="179">
        <f t="shared" ca="1" si="2"/>
        <v>1538085.5500049477</v>
      </c>
      <c r="N9" s="179">
        <f t="shared" ca="1" si="2"/>
        <v>1139510.7366520511</v>
      </c>
      <c r="O9" s="179">
        <f t="shared" ca="1" si="2"/>
        <v>728604.40022184874</v>
      </c>
      <c r="P9" s="179">
        <f t="shared" ca="1" si="2"/>
        <v>374713.20127156365</v>
      </c>
      <c r="Q9" s="179">
        <f t="shared" ca="1" si="2"/>
        <v>-1.2223608791828156E-9</v>
      </c>
    </row>
    <row r="15" spans="2:18">
      <c r="C15" s="175" t="s">
        <v>154</v>
      </c>
      <c r="D15" s="175" t="s">
        <v>155</v>
      </c>
    </row>
    <row r="16" spans="2:18">
      <c r="B16" s="175" t="s">
        <v>156</v>
      </c>
      <c r="C16" s="185">
        <v>7.1199999999999999E-2</v>
      </c>
      <c r="D16" s="186">
        <f>C16/12</f>
        <v>5.933333333333333E-3</v>
      </c>
      <c r="E16" s="175" t="s">
        <v>98</v>
      </c>
    </row>
    <row r="17" spans="3:10">
      <c r="C17" s="185"/>
      <c r="D17" s="186"/>
    </row>
    <row r="19" spans="3:10">
      <c r="F19" s="175" t="s">
        <v>163</v>
      </c>
      <c r="G19" s="182">
        <f ca="1">D9</f>
        <v>4732193.6686642272</v>
      </c>
    </row>
    <row r="20" spans="3:10">
      <c r="F20" s="175" t="s">
        <v>58</v>
      </c>
      <c r="G20" s="187">
        <f ca="1">SUM(F7:Q7)</f>
        <v>162746.13003227735</v>
      </c>
    </row>
    <row r="21" spans="3:10">
      <c r="F21" s="175" t="s">
        <v>160</v>
      </c>
      <c r="G21" s="182">
        <f ca="1">SUM(G19:G20)</f>
        <v>4894939.7986965049</v>
      </c>
    </row>
    <row r="22" spans="3:10">
      <c r="G22" s="182"/>
    </row>
    <row r="23" spans="3:10">
      <c r="F23" s="175" t="s">
        <v>159</v>
      </c>
      <c r="G23" s="188">
        <f>'CF WA Elec'!E21</f>
        <v>0.95606855188236617</v>
      </c>
    </row>
    <row r="24" spans="3:10">
      <c r="F24" s="175" t="s">
        <v>161</v>
      </c>
      <c r="G24" s="182">
        <f ca="1">G21/G23</f>
        <v>5119862.7850053729</v>
      </c>
    </row>
    <row r="30" spans="3:10" ht="30.75">
      <c r="F30" s="189" t="s">
        <v>12</v>
      </c>
      <c r="G30" s="189" t="s">
        <v>164</v>
      </c>
      <c r="H30" s="189" t="s">
        <v>165</v>
      </c>
      <c r="I30" s="189" t="s">
        <v>166</v>
      </c>
      <c r="J30" s="189" t="s">
        <v>109</v>
      </c>
    </row>
    <row r="31" spans="3:10">
      <c r="F31" s="190">
        <v>1</v>
      </c>
      <c r="G31" s="189"/>
      <c r="H31" s="191"/>
      <c r="I31" s="192">
        <f>C16</f>
        <v>7.1199999999999999E-2</v>
      </c>
      <c r="J31" s="189"/>
    </row>
    <row r="32" spans="3:10">
      <c r="F32" s="190">
        <v>2</v>
      </c>
      <c r="G32" s="193"/>
      <c r="H32" s="194">
        <v>4732194</v>
      </c>
      <c r="I32" s="194"/>
    </row>
    <row r="33" spans="6:10">
      <c r="F33" s="190">
        <v>3</v>
      </c>
      <c r="G33" s="195">
        <v>44866</v>
      </c>
      <c r="H33" s="194">
        <f>H32+I33-J33</f>
        <v>4345696.8534518899</v>
      </c>
      <c r="I33" s="194">
        <f>(H32-(J33*0.5))*($I$31/12)</f>
        <v>26851.416994822634</v>
      </c>
      <c r="J33" s="196">
        <f>'Forecasted Revenue'!H43</f>
        <v>413348.5635429321</v>
      </c>
    </row>
    <row r="34" spans="6:10">
      <c r="F34" s="190">
        <v>4</v>
      </c>
      <c r="G34" s="195">
        <f t="shared" ref="G34:G44" si="3">G33+31</f>
        <v>44897</v>
      </c>
      <c r="H34" s="194">
        <f t="shared" ref="H34:H44" si="4">H33+I34-J34</f>
        <v>3887576.2473465558</v>
      </c>
      <c r="I34" s="194">
        <f t="shared" ref="I34:I44" si="5">(H33-J34*0.5)*($I$31/12)</f>
        <v>24353.129248930229</v>
      </c>
      <c r="J34" s="196">
        <f>'Forecasted Revenue'!I43</f>
        <v>482473.73535426403</v>
      </c>
    </row>
    <row r="35" spans="6:10">
      <c r="F35" s="190">
        <v>5</v>
      </c>
      <c r="G35" s="195">
        <f t="shared" si="3"/>
        <v>44928</v>
      </c>
      <c r="H35" s="194">
        <f t="shared" si="4"/>
        <v>3415822.4098519245</v>
      </c>
      <c r="I35" s="194">
        <f t="shared" si="5"/>
        <v>21602.661454041834</v>
      </c>
      <c r="J35" s="196">
        <f>'Forecasted Revenue'!J43</f>
        <v>493356.49894867308</v>
      </c>
    </row>
    <row r="36" spans="6:10">
      <c r="F36" s="190">
        <v>6</v>
      </c>
      <c r="G36" s="195">
        <f t="shared" si="3"/>
        <v>44959</v>
      </c>
      <c r="H36" s="194">
        <f t="shared" si="4"/>
        <v>2989696.6396900406</v>
      </c>
      <c r="I36" s="194">
        <f t="shared" si="5"/>
        <v>18946.830915259226</v>
      </c>
      <c r="J36" s="196">
        <f>'Forecasted Revenue'!K43</f>
        <v>445072.60107714322</v>
      </c>
    </row>
    <row r="37" spans="6:10">
      <c r="F37" s="190">
        <v>7</v>
      </c>
      <c r="G37" s="195">
        <f t="shared" si="3"/>
        <v>44990</v>
      </c>
      <c r="H37" s="194">
        <f t="shared" si="4"/>
        <v>2591763.9240597696</v>
      </c>
      <c r="I37" s="194">
        <f t="shared" si="5"/>
        <v>16509.355251877201</v>
      </c>
      <c r="J37" s="196">
        <f>'Forecasted Revenue'!L43</f>
        <v>414442.07088214823</v>
      </c>
    </row>
    <row r="38" spans="6:10">
      <c r="F38" s="190">
        <v>8</v>
      </c>
      <c r="G38" s="195">
        <f t="shared" si="3"/>
        <v>45021</v>
      </c>
      <c r="H38" s="194">
        <f t="shared" si="4"/>
        <v>2238753.4790511322</v>
      </c>
      <c r="I38" s="194">
        <f t="shared" si="5"/>
        <v>14288.146793740911</v>
      </c>
      <c r="J38" s="196">
        <f>'Forecasted Revenue'!M43</f>
        <v>367298.59180237836</v>
      </c>
    </row>
    <row r="39" spans="6:10">
      <c r="F39" s="190">
        <v>9</v>
      </c>
      <c r="G39" s="195">
        <f t="shared" si="3"/>
        <v>45052</v>
      </c>
      <c r="H39" s="194">
        <f t="shared" si="4"/>
        <v>1894178.2032845656</v>
      </c>
      <c r="I39" s="194">
        <f t="shared" si="5"/>
        <v>12224.763858150056</v>
      </c>
      <c r="J39" s="196">
        <f>'Forecasted Revenue'!N43</f>
        <v>356800.03962471685</v>
      </c>
    </row>
    <row r="40" spans="6:10">
      <c r="F40" s="190">
        <v>10</v>
      </c>
      <c r="G40" s="195">
        <f t="shared" si="3"/>
        <v>45083</v>
      </c>
      <c r="H40" s="194">
        <f t="shared" si="4"/>
        <v>1538085.8973986355</v>
      </c>
      <c r="I40" s="194">
        <f t="shared" si="5"/>
        <v>10152.265112193987</v>
      </c>
      <c r="J40" s="196">
        <f>'Forecasted Revenue'!O43</f>
        <v>366244.57099812408</v>
      </c>
    </row>
    <row r="41" spans="6:10">
      <c r="F41" s="190">
        <v>11</v>
      </c>
      <c r="G41" s="195">
        <f t="shared" si="3"/>
        <v>45114</v>
      </c>
      <c r="H41" s="194">
        <f t="shared" si="4"/>
        <v>1139511.0861069416</v>
      </c>
      <c r="I41" s="194">
        <f t="shared" si="5"/>
        <v>7920.0415943366788</v>
      </c>
      <c r="J41" s="196">
        <f>'Forecasted Revenue'!P43</f>
        <v>406494.85288603074</v>
      </c>
    </row>
    <row r="42" spans="6:10">
      <c r="F42" s="190">
        <v>12</v>
      </c>
      <c r="G42" s="195">
        <f t="shared" si="3"/>
        <v>45145</v>
      </c>
      <c r="H42" s="194">
        <f t="shared" si="4"/>
        <v>728604.75175017142</v>
      </c>
      <c r="I42" s="194">
        <f t="shared" si="5"/>
        <v>5525.6841227452906</v>
      </c>
      <c r="J42" s="196">
        <f>'Forecasted Revenue'!Q43</f>
        <v>416432.01847951527</v>
      </c>
    </row>
    <row r="43" spans="6:10">
      <c r="F43" s="190">
        <v>13</v>
      </c>
      <c r="G43" s="195">
        <f t="shared" si="3"/>
        <v>45176</v>
      </c>
      <c r="H43" s="194">
        <f t="shared" si="4"/>
        <v>374713.55488562101</v>
      </c>
      <c r="I43" s="194">
        <f t="shared" si="5"/>
        <v>3263.4959384022577</v>
      </c>
      <c r="J43" s="196">
        <f>'Forecasted Revenue'!R43</f>
        <v>357154.69280295266</v>
      </c>
    </row>
    <row r="44" spans="6:10">
      <c r="F44" s="190">
        <v>14</v>
      </c>
      <c r="G44" s="195">
        <f t="shared" si="3"/>
        <v>45207</v>
      </c>
      <c r="H44" s="194">
        <f t="shared" si="4"/>
        <v>0.35571216623065993</v>
      </c>
      <c r="I44" s="194">
        <f t="shared" si="5"/>
        <v>1108.363124171726</v>
      </c>
      <c r="J44" s="196">
        <f>'Forecasted Revenue'!S43</f>
        <v>375821.56229762651</v>
      </c>
    </row>
    <row r="46" spans="6:10">
      <c r="F46" s="190">
        <v>15</v>
      </c>
      <c r="G46" s="175" t="s">
        <v>167</v>
      </c>
      <c r="I46" s="194">
        <f>SUM(I33:I45)</f>
        <v>162746.15440867207</v>
      </c>
      <c r="J46" s="197">
        <f>SUM(J33:J45)</f>
        <v>4894939.7986965049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47"/>
  <sheetViews>
    <sheetView topLeftCell="E1" workbookViewId="0">
      <selection activeCell="H5" sqref="H5"/>
    </sheetView>
  </sheetViews>
  <sheetFormatPr defaultColWidth="9.1328125" defaultRowHeight="14.25"/>
  <cols>
    <col min="1" max="1" width="8.265625" style="1" customWidth="1"/>
    <col min="2" max="2" width="28" style="1" customWidth="1"/>
    <col min="3" max="3" width="8.59765625" style="1" bestFit="1" customWidth="1"/>
    <col min="4" max="7" width="13.3984375" style="1" bestFit="1" customWidth="1"/>
    <col min="8" max="8" width="14.265625" style="1" bestFit="1" customWidth="1"/>
    <col min="9" max="19" width="13.3984375" style="1" bestFit="1" customWidth="1"/>
    <col min="20" max="20" width="14.265625" style="1" bestFit="1" customWidth="1"/>
    <col min="21" max="21" width="12.59765625" style="1" bestFit="1" customWidth="1"/>
    <col min="22" max="16384" width="9.1328125" style="1"/>
  </cols>
  <sheetData>
    <row r="1" spans="1:20">
      <c r="A1" s="38" t="s">
        <v>65</v>
      </c>
      <c r="B1" s="38"/>
    </row>
    <row r="4" spans="1:20">
      <c r="A4" s="1" t="s">
        <v>50</v>
      </c>
      <c r="D4" s="39">
        <v>44743</v>
      </c>
      <c r="E4" s="39">
        <v>44774</v>
      </c>
      <c r="F4" s="39">
        <v>44805</v>
      </c>
      <c r="G4" s="39">
        <v>44835</v>
      </c>
      <c r="H4" s="39">
        <v>44866</v>
      </c>
      <c r="I4" s="39">
        <v>44896</v>
      </c>
      <c r="J4" s="39">
        <v>44927</v>
      </c>
      <c r="K4" s="39">
        <v>44958</v>
      </c>
      <c r="L4" s="39">
        <v>44986</v>
      </c>
      <c r="M4" s="39">
        <v>45017</v>
      </c>
      <c r="N4" s="39">
        <v>45047</v>
      </c>
      <c r="O4" s="39">
        <v>45078</v>
      </c>
      <c r="P4" s="39">
        <v>45108</v>
      </c>
      <c r="Q4" s="39">
        <v>45139</v>
      </c>
      <c r="R4" s="39">
        <v>45170</v>
      </c>
      <c r="S4" s="39">
        <v>45200</v>
      </c>
    </row>
    <row r="5" spans="1:20">
      <c r="B5" s="1" t="s">
        <v>76</v>
      </c>
      <c r="D5" s="40"/>
      <c r="E5" s="40"/>
      <c r="F5" s="40"/>
      <c r="G5" s="40"/>
      <c r="H5" s="40">
        <f>'kWh Forecast'!B22</f>
        <v>217463786.67155209</v>
      </c>
      <c r="I5" s="40">
        <f>'kWh Forecast'!C22</f>
        <v>287921503.13631356</v>
      </c>
      <c r="J5" s="40">
        <f>'kWh Forecast'!D22</f>
        <v>300304233.73021126</v>
      </c>
      <c r="K5" s="40">
        <f>'kWh Forecast'!E22</f>
        <v>255194351.70349714</v>
      </c>
      <c r="L5" s="40">
        <f>'kWh Forecast'!F22</f>
        <v>227414109.65478867</v>
      </c>
      <c r="M5" s="40">
        <f>'kWh Forecast'!G22</f>
        <v>186016360.46884647</v>
      </c>
      <c r="N5" s="40">
        <f>'kWh Forecast'!H22</f>
        <v>164511215.57915097</v>
      </c>
      <c r="O5" s="40">
        <f>'kWh Forecast'!I22</f>
        <v>157446230.1485391</v>
      </c>
      <c r="P5" s="40">
        <f>'kWh Forecast'!J22</f>
        <v>179835876.84807548</v>
      </c>
      <c r="Q5" s="40">
        <f>'kWh Forecast'!K22</f>
        <v>192980697.52485031</v>
      </c>
      <c r="R5" s="40">
        <f>'kWh Forecast'!L22</f>
        <v>155161183.79721302</v>
      </c>
      <c r="S5" s="40">
        <f>'kWh Forecast'!M22</f>
        <v>167405700.57620633</v>
      </c>
      <c r="T5" s="42">
        <f>SUM(D5:S5)</f>
        <v>2491655249.8392444</v>
      </c>
    </row>
    <row r="6" spans="1:20">
      <c r="B6" s="1" t="s">
        <v>52</v>
      </c>
      <c r="D6" s="40"/>
      <c r="E6" s="40"/>
      <c r="F6" s="40"/>
      <c r="G6" s="40"/>
      <c r="H6" s="40">
        <f>'kWh Forecast'!B23</f>
        <v>57020951.9230083</v>
      </c>
      <c r="I6" s="40">
        <f>'kWh Forecast'!C23</f>
        <v>62917654.71788419</v>
      </c>
      <c r="J6" s="40">
        <f>'kWh Forecast'!D23</f>
        <v>62203756.374390587</v>
      </c>
      <c r="K6" s="40">
        <f>'kWh Forecast'!E23</f>
        <v>59095509.831088856</v>
      </c>
      <c r="L6" s="40">
        <f>'kWh Forecast'!F23</f>
        <v>56104940.150711745</v>
      </c>
      <c r="M6" s="40">
        <f>'kWh Forecast'!G23</f>
        <v>48843088.482745692</v>
      </c>
      <c r="N6" s="40">
        <f>'kWh Forecast'!H23</f>
        <v>47541266.181251757</v>
      </c>
      <c r="O6" s="40">
        <f>'kWh Forecast'!I23</f>
        <v>48805562.904173225</v>
      </c>
      <c r="P6" s="40">
        <f>'kWh Forecast'!J23</f>
        <v>56748832.645954207</v>
      </c>
      <c r="Q6" s="40">
        <f>'kWh Forecast'!K23</f>
        <v>55566861.983451463</v>
      </c>
      <c r="R6" s="40">
        <f>'kWh Forecast'!L23</f>
        <v>49077245.148773901</v>
      </c>
      <c r="S6" s="40">
        <f>'kWh Forecast'!M23</f>
        <v>51715692.684368037</v>
      </c>
      <c r="T6" s="42">
        <f t="shared" ref="T6:T11" si="0">SUM(D6:S6)</f>
        <v>655641363.02780187</v>
      </c>
    </row>
    <row r="7" spans="1:20">
      <c r="B7" s="1" t="s">
        <v>53</v>
      </c>
      <c r="D7" s="40"/>
      <c r="E7" s="40"/>
      <c r="F7" s="40"/>
      <c r="G7" s="40"/>
      <c r="H7" s="40">
        <f>'kWh Forecast'!B24</f>
        <v>112088470.75342761</v>
      </c>
      <c r="I7" s="40">
        <f>'kWh Forecast'!C24</f>
        <v>107983744.3925029</v>
      </c>
      <c r="J7" s="40">
        <f>'kWh Forecast'!D24</f>
        <v>105709014.70776288</v>
      </c>
      <c r="K7" s="40">
        <f>'kWh Forecast'!E24</f>
        <v>106439051.20812815</v>
      </c>
      <c r="L7" s="40">
        <f>'kWh Forecast'!F24</f>
        <v>101796684.5563792</v>
      </c>
      <c r="M7" s="40">
        <f>'kWh Forecast'!G24</f>
        <v>97756671.619540364</v>
      </c>
      <c r="N7" s="40">
        <f>'kWh Forecast'!H24</f>
        <v>102694475.30866499</v>
      </c>
      <c r="O7" s="40">
        <f>'kWh Forecast'!I24</f>
        <v>109091419.10123043</v>
      </c>
      <c r="P7" s="40">
        <f>'kWh Forecast'!J24</f>
        <v>117970583.75301084</v>
      </c>
      <c r="Q7" s="40">
        <f>'kWh Forecast'!K24</f>
        <v>110179621.79351042</v>
      </c>
      <c r="R7" s="40">
        <f>'kWh Forecast'!L24</f>
        <v>100144039.74634148</v>
      </c>
      <c r="S7" s="40">
        <f>'kWh Forecast'!M24</f>
        <v>115083538.96999258</v>
      </c>
      <c r="T7" s="42">
        <f t="shared" si="0"/>
        <v>1286937315.9104919</v>
      </c>
    </row>
    <row r="8" spans="1:20">
      <c r="B8" s="1" t="s">
        <v>54</v>
      </c>
      <c r="D8" s="40"/>
      <c r="E8" s="40"/>
      <c r="F8" s="40"/>
      <c r="G8" s="40"/>
      <c r="H8" s="40">
        <f>'kWh Forecast'!B15</f>
        <v>47277779.530400008</v>
      </c>
      <c r="I8" s="40">
        <f>'kWh Forecast'!C15</f>
        <v>51489575.968199998</v>
      </c>
      <c r="J8" s="40">
        <f>'kWh Forecast'!D15</f>
        <v>53148223.699700013</v>
      </c>
      <c r="K8" s="40">
        <f>'kWh Forecast'!E15</f>
        <v>48906828.509000003</v>
      </c>
      <c r="L8" s="40">
        <f>'kWh Forecast'!F15</f>
        <v>51503533.545699999</v>
      </c>
      <c r="M8" s="40">
        <f>'kWh Forecast'!G15</f>
        <v>48641124.690499991</v>
      </c>
      <c r="N8" s="40">
        <f>'kWh Forecast'!H15</f>
        <v>50976839.8759</v>
      </c>
      <c r="O8" s="40">
        <f>'kWh Forecast'!I15</f>
        <v>52312126.080500014</v>
      </c>
      <c r="P8" s="40">
        <f>'kWh Forecast'!J15</f>
        <v>50985566.764699996</v>
      </c>
      <c r="Q8" s="40">
        <f>'kWh Forecast'!K15</f>
        <v>56132715.200800002</v>
      </c>
      <c r="R8" s="40">
        <f>'kWh Forecast'!L15</f>
        <v>51619603.601199999</v>
      </c>
      <c r="S8" s="40">
        <f>'kWh Forecast'!M15</f>
        <v>50274341.803900018</v>
      </c>
      <c r="T8" s="42">
        <f t="shared" si="0"/>
        <v>613268259.27050006</v>
      </c>
    </row>
    <row r="9" spans="1:20">
      <c r="B9" s="173" t="s">
        <v>162</v>
      </c>
      <c r="D9" s="40"/>
      <c r="E9" s="40"/>
      <c r="F9" s="40"/>
      <c r="G9" s="40"/>
      <c r="H9" s="40">
        <f>'kWh Forecast'!B19</f>
        <v>40211210</v>
      </c>
      <c r="I9" s="40">
        <f>'kWh Forecast'!C19</f>
        <v>39052300</v>
      </c>
      <c r="J9" s="40">
        <f>'kWh Forecast'!D19</f>
        <v>41221630</v>
      </c>
      <c r="K9" s="40">
        <f>'kWh Forecast'!E19</f>
        <v>35973165</v>
      </c>
      <c r="L9" s="40">
        <f>'kWh Forecast'!F19</f>
        <v>36961258</v>
      </c>
      <c r="M9" s="40">
        <f>'kWh Forecast'!G19</f>
        <v>43044229</v>
      </c>
      <c r="N9" s="40">
        <f>'kWh Forecast'!H19</f>
        <v>38710099</v>
      </c>
      <c r="O9" s="40">
        <f>'kWh Forecast'!I19</f>
        <v>40252308</v>
      </c>
      <c r="P9" s="40">
        <f>'kWh Forecast'!J19</f>
        <v>39301046</v>
      </c>
      <c r="Q9" s="40">
        <f>'kWh Forecast'!K19</f>
        <v>42179866</v>
      </c>
      <c r="R9" s="40">
        <f>'kWh Forecast'!L19</f>
        <v>38993334</v>
      </c>
      <c r="S9" s="40">
        <f>'kWh Forecast'!M19</f>
        <v>40609892</v>
      </c>
      <c r="T9" s="42">
        <f t="shared" si="0"/>
        <v>476510337</v>
      </c>
    </row>
    <row r="10" spans="1:20">
      <c r="B10" s="1" t="s">
        <v>55</v>
      </c>
      <c r="D10" s="40"/>
      <c r="E10" s="40"/>
      <c r="F10" s="40"/>
      <c r="G10" s="40"/>
      <c r="H10" s="40">
        <f>'kWh Forecast'!B26</f>
        <v>2681729.1008061757</v>
      </c>
      <c r="I10" s="40">
        <f>'kWh Forecast'!C26</f>
        <v>3164948.0724813836</v>
      </c>
      <c r="J10" s="40">
        <f>'kWh Forecast'!D26</f>
        <v>4059538.0436295695</v>
      </c>
      <c r="K10" s="40">
        <f>'kWh Forecast'!E26</f>
        <v>4227667.3685336048</v>
      </c>
      <c r="L10" s="40">
        <f>'kWh Forecast'!F26</f>
        <v>4031201.5768928379</v>
      </c>
      <c r="M10" s="40">
        <f>'kWh Forecast'!G26</f>
        <v>5576404.2848237315</v>
      </c>
      <c r="N10" s="40">
        <f>'kWh Forecast'!H26</f>
        <v>12636302.004623083</v>
      </c>
      <c r="O10" s="40">
        <f>'kWh Forecast'!I26</f>
        <v>20770070.762279786</v>
      </c>
      <c r="P10" s="40">
        <f>'kWh Forecast'!J26</f>
        <v>25586915.626846272</v>
      </c>
      <c r="Q10" s="40">
        <f>'kWh Forecast'!K26</f>
        <v>28074202.195257422</v>
      </c>
      <c r="R10" s="40">
        <f>'kWh Forecast'!L26</f>
        <v>22613235.939242315</v>
      </c>
      <c r="S10" s="40">
        <f>'kWh Forecast'!M26</f>
        <v>12883503.59718227</v>
      </c>
      <c r="T10" s="42">
        <f t="shared" si="0"/>
        <v>146305718.57259846</v>
      </c>
    </row>
    <row r="11" spans="1:20">
      <c r="B11" s="1" t="s">
        <v>56</v>
      </c>
      <c r="D11" s="40"/>
      <c r="E11" s="40"/>
      <c r="F11" s="40"/>
      <c r="G11" s="40"/>
      <c r="H11" s="40">
        <f>'kWh Forecast'!B27</f>
        <v>1353966.8657090797</v>
      </c>
      <c r="I11" s="40">
        <f>'kWh Forecast'!C27</f>
        <v>1387869.3700815029</v>
      </c>
      <c r="J11" s="40">
        <f>'kWh Forecast'!D27</f>
        <v>1353243.7689603779</v>
      </c>
      <c r="K11" s="40">
        <f>'kWh Forecast'!E27</f>
        <v>1301799.9532029093</v>
      </c>
      <c r="L11" s="40">
        <f>'kWh Forecast'!F27</f>
        <v>1362579.9289348186</v>
      </c>
      <c r="M11" s="40">
        <f>'kWh Forecast'!G27</f>
        <v>1325052.3887890396</v>
      </c>
      <c r="N11" s="40">
        <f>'kWh Forecast'!H27</f>
        <v>1332170.9229202326</v>
      </c>
      <c r="O11" s="40">
        <f>'kWh Forecast'!I27</f>
        <v>1334637.9482702252</v>
      </c>
      <c r="P11" s="40">
        <f>'kWh Forecast'!J27</f>
        <v>1356517.7438841905</v>
      </c>
      <c r="Q11" s="40">
        <f>'kWh Forecast'!K27</f>
        <v>1347740.7167172872</v>
      </c>
      <c r="R11" s="40">
        <f>'kWh Forecast'!L27</f>
        <v>1354659.0749586485</v>
      </c>
      <c r="S11" s="40">
        <f>'kWh Forecast'!M27</f>
        <v>1329605.1771764709</v>
      </c>
      <c r="T11" s="42">
        <f t="shared" si="0"/>
        <v>16139843.859604783</v>
      </c>
    </row>
    <row r="12" spans="1:20">
      <c r="A12" s="1" t="s">
        <v>57</v>
      </c>
      <c r="D12" s="41">
        <f>SUM(D5:D11)</f>
        <v>0</v>
      </c>
      <c r="E12" s="41">
        <f>SUM(E5:E11)</f>
        <v>0</v>
      </c>
      <c r="F12" s="41">
        <f>SUM(F5:F11)</f>
        <v>0</v>
      </c>
      <c r="G12" s="41">
        <f t="shared" ref="G12:S12" si="1">SUM(G5:G11)</f>
        <v>0</v>
      </c>
      <c r="H12" s="41">
        <f t="shared" si="1"/>
        <v>478097894.84490329</v>
      </c>
      <c r="I12" s="41">
        <f t="shared" si="1"/>
        <v>553917595.65746355</v>
      </c>
      <c r="J12" s="41">
        <f t="shared" si="1"/>
        <v>567999640.32465458</v>
      </c>
      <c r="K12" s="41">
        <f t="shared" si="1"/>
        <v>511138373.57345068</v>
      </c>
      <c r="L12" s="41">
        <f t="shared" si="1"/>
        <v>479174307.41340727</v>
      </c>
      <c r="M12" s="41">
        <f t="shared" si="1"/>
        <v>431202930.93524534</v>
      </c>
      <c r="N12" s="41">
        <f t="shared" si="1"/>
        <v>418402368.87251103</v>
      </c>
      <c r="O12" s="41">
        <f t="shared" si="1"/>
        <v>430012354.94499278</v>
      </c>
      <c r="P12" s="41">
        <f t="shared" si="1"/>
        <v>471785339.38247097</v>
      </c>
      <c r="Q12" s="41">
        <f t="shared" si="1"/>
        <v>486461705.4145869</v>
      </c>
      <c r="R12" s="41">
        <f t="shared" si="1"/>
        <v>418963301.3077293</v>
      </c>
      <c r="S12" s="41">
        <f t="shared" si="1"/>
        <v>439302274.80882573</v>
      </c>
      <c r="T12" s="42">
        <f>SUM(T5:T11)</f>
        <v>5686458087.4802418</v>
      </c>
    </row>
    <row r="13" spans="1:20">
      <c r="D13" s="42"/>
      <c r="E13" s="42"/>
      <c r="F13" s="42"/>
      <c r="G13" s="42"/>
      <c r="H13" s="42">
        <f>H12-'kWh Forecast'!B28</f>
        <v>0</v>
      </c>
      <c r="I13" s="42">
        <f>I12-'kWh Forecast'!C28</f>
        <v>0</v>
      </c>
      <c r="J13" s="42">
        <f>J12-'kWh Forecast'!D28</f>
        <v>0</v>
      </c>
      <c r="K13" s="42">
        <f>K12-'kWh Forecast'!E28</f>
        <v>0</v>
      </c>
      <c r="L13" s="42">
        <f>L12-'kWh Forecast'!F28</f>
        <v>0</v>
      </c>
      <c r="M13" s="42">
        <f>M12-'kWh Forecast'!G28</f>
        <v>0</v>
      </c>
      <c r="N13" s="42">
        <f>N12-'kWh Forecast'!H28</f>
        <v>0</v>
      </c>
      <c r="O13" s="42">
        <f>O12-'kWh Forecast'!I28</f>
        <v>0</v>
      </c>
      <c r="P13" s="42">
        <f>P12-'kWh Forecast'!J28</f>
        <v>0</v>
      </c>
      <c r="Q13" s="42">
        <f>Q12-'kWh Forecast'!K28</f>
        <v>0</v>
      </c>
      <c r="R13" s="42">
        <f>R12-'kWh Forecast'!L28</f>
        <v>0</v>
      </c>
      <c r="S13" s="42">
        <f>S12-'kWh Forecast'!M28</f>
        <v>0</v>
      </c>
    </row>
    <row r="15" spans="1:20">
      <c r="A15" s="134" t="s">
        <v>120</v>
      </c>
      <c r="D15" s="198" t="s">
        <v>88</v>
      </c>
      <c r="E15" s="199"/>
      <c r="F15" s="199"/>
      <c r="G15" s="200"/>
      <c r="H15" s="198" t="s">
        <v>89</v>
      </c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200"/>
    </row>
    <row r="16" spans="1:20">
      <c r="B16" s="1" t="s">
        <v>76</v>
      </c>
      <c r="D16" s="43">
        <f>'Rate Design'!$D$17</f>
        <v>0</v>
      </c>
      <c r="E16" s="43">
        <f>'Rate Design'!$D$17</f>
        <v>0</v>
      </c>
      <c r="F16" s="43">
        <f>'Rate Design'!$D$17</f>
        <v>0</v>
      </c>
      <c r="G16" s="43">
        <f>'Rate Design'!$D$17</f>
        <v>0</v>
      </c>
      <c r="H16" s="43">
        <f>'Rate Design'!$D$16</f>
        <v>9.459339445729429E-4</v>
      </c>
      <c r="I16" s="43">
        <f>'Rate Design'!$D$16</f>
        <v>9.459339445729429E-4</v>
      </c>
      <c r="J16" s="43">
        <f>'Rate Design'!$D$16</f>
        <v>9.459339445729429E-4</v>
      </c>
      <c r="K16" s="43">
        <f>'Rate Design'!$D$16</f>
        <v>9.459339445729429E-4</v>
      </c>
      <c r="L16" s="43">
        <f>'Rate Design'!$D$16</f>
        <v>9.459339445729429E-4</v>
      </c>
      <c r="M16" s="43">
        <f>'Rate Design'!$D$16</f>
        <v>9.459339445729429E-4</v>
      </c>
      <c r="N16" s="43">
        <f>'Rate Design'!$D$16</f>
        <v>9.459339445729429E-4</v>
      </c>
      <c r="O16" s="43">
        <f>'Rate Design'!$D$16</f>
        <v>9.459339445729429E-4</v>
      </c>
      <c r="P16" s="43">
        <f>'Rate Design'!$D$16</f>
        <v>9.459339445729429E-4</v>
      </c>
      <c r="Q16" s="43">
        <f>'Rate Design'!$D$16</f>
        <v>9.459339445729429E-4</v>
      </c>
      <c r="R16" s="43">
        <f>'Rate Design'!$D$16</f>
        <v>9.459339445729429E-4</v>
      </c>
      <c r="S16" s="43">
        <f>'Rate Design'!$D$16</f>
        <v>9.459339445729429E-4</v>
      </c>
    </row>
    <row r="17" spans="1:19">
      <c r="B17" s="1" t="s">
        <v>52</v>
      </c>
      <c r="D17" s="43">
        <f>'Rate Design'!$E$17</f>
        <v>0</v>
      </c>
      <c r="E17" s="43">
        <f>'Rate Design'!$E$17</f>
        <v>0</v>
      </c>
      <c r="F17" s="43">
        <f>'Rate Design'!$E$17</f>
        <v>0</v>
      </c>
      <c r="G17" s="43">
        <f>'Rate Design'!$E$17</f>
        <v>0</v>
      </c>
      <c r="H17" s="43">
        <f>'Rate Design'!$E$16</f>
        <v>1.1569390700659394E-3</v>
      </c>
      <c r="I17" s="43">
        <f>'Rate Design'!$E$16</f>
        <v>1.1569390700659394E-3</v>
      </c>
      <c r="J17" s="43">
        <f>'Rate Design'!$E$16</f>
        <v>1.1569390700659394E-3</v>
      </c>
      <c r="K17" s="43">
        <f>'Rate Design'!$E$16</f>
        <v>1.1569390700659394E-3</v>
      </c>
      <c r="L17" s="43">
        <f>'Rate Design'!$E$16</f>
        <v>1.1569390700659394E-3</v>
      </c>
      <c r="M17" s="43">
        <f>'Rate Design'!$E$16</f>
        <v>1.1569390700659394E-3</v>
      </c>
      <c r="N17" s="43">
        <f>'Rate Design'!$E$16</f>
        <v>1.1569390700659394E-3</v>
      </c>
      <c r="O17" s="43">
        <f>'Rate Design'!$E$16</f>
        <v>1.1569390700659394E-3</v>
      </c>
      <c r="P17" s="43">
        <f>'Rate Design'!$E$16</f>
        <v>1.1569390700659394E-3</v>
      </c>
      <c r="Q17" s="43">
        <f>'Rate Design'!$E$16</f>
        <v>1.1569390700659394E-3</v>
      </c>
      <c r="R17" s="43">
        <f>'Rate Design'!$E$16</f>
        <v>1.1569390700659394E-3</v>
      </c>
      <c r="S17" s="43">
        <f>'Rate Design'!$E$16</f>
        <v>1.1569390700659394E-3</v>
      </c>
    </row>
    <row r="18" spans="1:19">
      <c r="B18" s="1" t="s">
        <v>53</v>
      </c>
      <c r="D18" s="43">
        <f>'Rate Design'!$F$17</f>
        <v>0</v>
      </c>
      <c r="E18" s="43">
        <f>'Rate Design'!$F$17</f>
        <v>0</v>
      </c>
      <c r="F18" s="43">
        <f>'Rate Design'!$F$17</f>
        <v>0</v>
      </c>
      <c r="G18" s="43">
        <f>'Rate Design'!$F$17</f>
        <v>0</v>
      </c>
      <c r="H18" s="43">
        <f>'Rate Design'!$F$16</f>
        <v>9.4768036123354872E-4</v>
      </c>
      <c r="I18" s="43">
        <f>'Rate Design'!$F$16</f>
        <v>9.4768036123354872E-4</v>
      </c>
      <c r="J18" s="43">
        <f>'Rate Design'!$F$16</f>
        <v>9.4768036123354872E-4</v>
      </c>
      <c r="K18" s="43">
        <f>'Rate Design'!$F$16</f>
        <v>9.4768036123354872E-4</v>
      </c>
      <c r="L18" s="43">
        <f>'Rate Design'!$F$16</f>
        <v>9.4768036123354872E-4</v>
      </c>
      <c r="M18" s="43">
        <f>'Rate Design'!$F$16</f>
        <v>9.4768036123354872E-4</v>
      </c>
      <c r="N18" s="43">
        <f>'Rate Design'!$F$16</f>
        <v>9.4768036123354872E-4</v>
      </c>
      <c r="O18" s="43">
        <f>'Rate Design'!$F$16</f>
        <v>9.4768036123354872E-4</v>
      </c>
      <c r="P18" s="43">
        <f>'Rate Design'!$F$16</f>
        <v>9.4768036123354872E-4</v>
      </c>
      <c r="Q18" s="43">
        <f>'Rate Design'!$F$16</f>
        <v>9.4768036123354872E-4</v>
      </c>
      <c r="R18" s="43">
        <f>'Rate Design'!$F$16</f>
        <v>9.4768036123354872E-4</v>
      </c>
      <c r="S18" s="43">
        <f>'Rate Design'!$F$16</f>
        <v>9.4768036123354872E-4</v>
      </c>
    </row>
    <row r="19" spans="1:19">
      <c r="B19" s="1" t="s">
        <v>54</v>
      </c>
      <c r="D19" s="43">
        <f>'Rate Design'!$G$17</f>
        <v>0</v>
      </c>
      <c r="E19" s="43">
        <f>'Rate Design'!$G$17</f>
        <v>0</v>
      </c>
      <c r="F19" s="43">
        <f>'Rate Design'!$G$17</f>
        <v>0</v>
      </c>
      <c r="G19" s="43">
        <f>'Rate Design'!$G$17</f>
        <v>0</v>
      </c>
      <c r="H19" s="43">
        <f>'Rate Design'!$G$16</f>
        <v>6.2499633815387128E-4</v>
      </c>
      <c r="I19" s="43">
        <f>'Rate Design'!$G$16</f>
        <v>6.2499633815387128E-4</v>
      </c>
      <c r="J19" s="43">
        <f>'Rate Design'!$G$16</f>
        <v>6.2499633815387128E-4</v>
      </c>
      <c r="K19" s="43">
        <f>'Rate Design'!$G$16</f>
        <v>6.2499633815387128E-4</v>
      </c>
      <c r="L19" s="43">
        <f>'Rate Design'!$G$16</f>
        <v>6.2499633815387128E-4</v>
      </c>
      <c r="M19" s="43">
        <f>'Rate Design'!$G$16</f>
        <v>6.2499633815387128E-4</v>
      </c>
      <c r="N19" s="43">
        <f>'Rate Design'!$G$16</f>
        <v>6.2499633815387128E-4</v>
      </c>
      <c r="O19" s="43">
        <f>'Rate Design'!$G$16</f>
        <v>6.2499633815387128E-4</v>
      </c>
      <c r="P19" s="43">
        <f>'Rate Design'!$G$16</f>
        <v>6.2499633815387128E-4</v>
      </c>
      <c r="Q19" s="43">
        <f>'Rate Design'!$G$16</f>
        <v>6.2499633815387128E-4</v>
      </c>
      <c r="R19" s="43">
        <f>'Rate Design'!$G$16</f>
        <v>6.2499633815387128E-4</v>
      </c>
      <c r="S19" s="43">
        <f>'Rate Design'!$G$16</f>
        <v>6.2499633815387128E-4</v>
      </c>
    </row>
    <row r="20" spans="1:19">
      <c r="B20" s="173" t="s">
        <v>162</v>
      </c>
      <c r="D20" s="43">
        <f>'Rate Design'!$G$17</f>
        <v>0</v>
      </c>
      <c r="E20" s="43">
        <f>'Rate Design'!$G$17</f>
        <v>0</v>
      </c>
      <c r="F20" s="43">
        <f>'Rate Design'!$G$17</f>
        <v>0</v>
      </c>
      <c r="G20" s="43">
        <f>'Rate Design'!$G$17</f>
        <v>0</v>
      </c>
      <c r="H20" s="43">
        <f>'Rate Design'!$H$11</f>
        <v>4.2490025510916575E-4</v>
      </c>
      <c r="I20" s="43">
        <f>'Rate Design'!$H$11</f>
        <v>4.2490025510916575E-4</v>
      </c>
      <c r="J20" s="43">
        <f>'Rate Design'!$H$11</f>
        <v>4.2490025510916575E-4</v>
      </c>
      <c r="K20" s="43">
        <f>'Rate Design'!$H$11</f>
        <v>4.2490025510916575E-4</v>
      </c>
      <c r="L20" s="43">
        <f>'Rate Design'!$H$11</f>
        <v>4.2490025510916575E-4</v>
      </c>
      <c r="M20" s="43">
        <f>'Rate Design'!$H$11</f>
        <v>4.2490025510916575E-4</v>
      </c>
      <c r="N20" s="43">
        <f>'Rate Design'!$H$11</f>
        <v>4.2490025510916575E-4</v>
      </c>
      <c r="O20" s="43">
        <f>'Rate Design'!$H$11</f>
        <v>4.2490025510916575E-4</v>
      </c>
      <c r="P20" s="43">
        <f>'Rate Design'!$H$11</f>
        <v>4.2490025510916575E-4</v>
      </c>
      <c r="Q20" s="43">
        <f>'Rate Design'!$H$11</f>
        <v>4.2490025510916575E-4</v>
      </c>
      <c r="R20" s="43">
        <f>'Rate Design'!$H$11</f>
        <v>4.2490025510916575E-4</v>
      </c>
      <c r="S20" s="43">
        <f>'Rate Design'!$H$11</f>
        <v>4.2490025510916575E-4</v>
      </c>
    </row>
    <row r="21" spans="1:19">
      <c r="B21" s="1" t="s">
        <v>55</v>
      </c>
      <c r="D21" s="43">
        <f>'Rate Design'!$I$17</f>
        <v>0</v>
      </c>
      <c r="E21" s="43">
        <f>'Rate Design'!$I$17</f>
        <v>0</v>
      </c>
      <c r="F21" s="43">
        <f>'Rate Design'!$I$17</f>
        <v>0</v>
      </c>
      <c r="G21" s="43">
        <f>'Rate Design'!$I$17</f>
        <v>0</v>
      </c>
      <c r="H21" s="43">
        <f>'Rate Design'!$I$16</f>
        <v>9.266323970939848E-4</v>
      </c>
      <c r="I21" s="43">
        <f>'Rate Design'!$I$16</f>
        <v>9.266323970939848E-4</v>
      </c>
      <c r="J21" s="43">
        <f>'Rate Design'!$I$16</f>
        <v>9.266323970939848E-4</v>
      </c>
      <c r="K21" s="43">
        <f>'Rate Design'!$I$16</f>
        <v>9.266323970939848E-4</v>
      </c>
      <c r="L21" s="43">
        <f>'Rate Design'!$I$16</f>
        <v>9.266323970939848E-4</v>
      </c>
      <c r="M21" s="43">
        <f>'Rate Design'!$I$16</f>
        <v>9.266323970939848E-4</v>
      </c>
      <c r="N21" s="43">
        <f>'Rate Design'!$I$16</f>
        <v>9.266323970939848E-4</v>
      </c>
      <c r="O21" s="43">
        <f>'Rate Design'!$I$16</f>
        <v>9.266323970939848E-4</v>
      </c>
      <c r="P21" s="43">
        <f>'Rate Design'!$I$16</f>
        <v>9.266323970939848E-4</v>
      </c>
      <c r="Q21" s="43">
        <f>'Rate Design'!$I$16</f>
        <v>9.266323970939848E-4</v>
      </c>
      <c r="R21" s="43">
        <f>'Rate Design'!$I$16</f>
        <v>9.266323970939848E-4</v>
      </c>
      <c r="S21" s="43">
        <f>'Rate Design'!$I$16</f>
        <v>9.266323970939848E-4</v>
      </c>
    </row>
    <row r="22" spans="1:19">
      <c r="B22" s="1" t="s">
        <v>56</v>
      </c>
      <c r="D22" s="43">
        <f>'Rate Design'!$J$17</f>
        <v>0</v>
      </c>
      <c r="E22" s="43">
        <f>'Rate Design'!$J$17</f>
        <v>0</v>
      </c>
      <c r="F22" s="43">
        <f>'Rate Design'!$J$17</f>
        <v>0</v>
      </c>
      <c r="G22" s="43">
        <f>'Rate Design'!$J$17</f>
        <v>0</v>
      </c>
      <c r="H22" s="43">
        <f>'Rate Design'!$J$16</f>
        <v>3.9311271213542595E-3</v>
      </c>
      <c r="I22" s="43">
        <f>'Rate Design'!$J$16</f>
        <v>3.9311271213542595E-3</v>
      </c>
      <c r="J22" s="43">
        <f>'Rate Design'!$J$16</f>
        <v>3.9311271213542595E-3</v>
      </c>
      <c r="K22" s="43">
        <f>'Rate Design'!$J$16</f>
        <v>3.9311271213542595E-3</v>
      </c>
      <c r="L22" s="43">
        <f>'Rate Design'!$J$16</f>
        <v>3.9311271213542595E-3</v>
      </c>
      <c r="M22" s="43">
        <f>'Rate Design'!$J$16</f>
        <v>3.9311271213542595E-3</v>
      </c>
      <c r="N22" s="43">
        <f>'Rate Design'!$J$16</f>
        <v>3.9311271213542595E-3</v>
      </c>
      <c r="O22" s="43">
        <f>'Rate Design'!$J$16</f>
        <v>3.9311271213542595E-3</v>
      </c>
      <c r="P22" s="43">
        <f>'Rate Design'!$J$16</f>
        <v>3.9311271213542595E-3</v>
      </c>
      <c r="Q22" s="43">
        <f>'Rate Design'!$J$16</f>
        <v>3.9311271213542595E-3</v>
      </c>
      <c r="R22" s="43">
        <f>'Rate Design'!$J$16</f>
        <v>3.9311271213542595E-3</v>
      </c>
      <c r="S22" s="43">
        <f>'Rate Design'!$J$16</f>
        <v>3.9311271213542595E-3</v>
      </c>
    </row>
    <row r="23" spans="1:19"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5" spans="1:19">
      <c r="A25" s="134" t="s">
        <v>121</v>
      </c>
      <c r="D25" s="39">
        <f>D4</f>
        <v>44743</v>
      </c>
      <c r="E25" s="39">
        <f t="shared" ref="E25:S25" si="2">E4</f>
        <v>44774</v>
      </c>
      <c r="F25" s="39">
        <f t="shared" si="2"/>
        <v>44805</v>
      </c>
      <c r="G25" s="39">
        <f t="shared" si="2"/>
        <v>44835</v>
      </c>
      <c r="H25" s="39">
        <f t="shared" si="2"/>
        <v>44866</v>
      </c>
      <c r="I25" s="39">
        <f t="shared" si="2"/>
        <v>44896</v>
      </c>
      <c r="J25" s="39">
        <f t="shared" si="2"/>
        <v>44927</v>
      </c>
      <c r="K25" s="39">
        <f t="shared" si="2"/>
        <v>44958</v>
      </c>
      <c r="L25" s="39">
        <f t="shared" si="2"/>
        <v>44986</v>
      </c>
      <c r="M25" s="39">
        <f t="shared" si="2"/>
        <v>45017</v>
      </c>
      <c r="N25" s="39">
        <f t="shared" si="2"/>
        <v>45047</v>
      </c>
      <c r="O25" s="39">
        <f t="shared" si="2"/>
        <v>45078</v>
      </c>
      <c r="P25" s="39">
        <f t="shared" si="2"/>
        <v>45108</v>
      </c>
      <c r="Q25" s="39">
        <f t="shared" si="2"/>
        <v>45139</v>
      </c>
      <c r="R25" s="39">
        <f t="shared" si="2"/>
        <v>45170</v>
      </c>
      <c r="S25" s="39">
        <f t="shared" si="2"/>
        <v>45200</v>
      </c>
    </row>
    <row r="26" spans="1:19">
      <c r="B26" s="1" t="s">
        <v>51</v>
      </c>
      <c r="D26" s="45">
        <f t="shared" ref="D26:S26" si="3">D5*D16</f>
        <v>0</v>
      </c>
      <c r="E26" s="45">
        <f t="shared" si="3"/>
        <v>0</v>
      </c>
      <c r="F26" s="45">
        <f t="shared" si="3"/>
        <v>0</v>
      </c>
      <c r="G26" s="45">
        <f t="shared" si="3"/>
        <v>0</v>
      </c>
      <c r="H26" s="45">
        <f t="shared" si="3"/>
        <v>205706.37752799023</v>
      </c>
      <c r="I26" s="45">
        <f t="shared" si="3"/>
        <v>272354.72318910406</v>
      </c>
      <c r="J26" s="45">
        <f t="shared" si="3"/>
        <v>284067.96838437376</v>
      </c>
      <c r="K26" s="45">
        <f t="shared" si="3"/>
        <v>241396.99973962395</v>
      </c>
      <c r="L26" s="45">
        <f t="shared" si="3"/>
        <v>215118.72579729802</v>
      </c>
      <c r="M26" s="45">
        <f t="shared" si="3"/>
        <v>175959.1896133984</v>
      </c>
      <c r="N26" s="45">
        <f t="shared" si="3"/>
        <v>155616.74307927606</v>
      </c>
      <c r="O26" s="45">
        <f t="shared" si="3"/>
        <v>148933.73354254698</v>
      </c>
      <c r="P26" s="45">
        <f t="shared" si="3"/>
        <v>170112.860362634</v>
      </c>
      <c r="Q26" s="45">
        <f t="shared" si="3"/>
        <v>182546.99243611962</v>
      </c>
      <c r="R26" s="45">
        <f t="shared" si="3"/>
        <v>146772.2306339051</v>
      </c>
      <c r="S26" s="45">
        <f t="shared" si="3"/>
        <v>158354.73469004783</v>
      </c>
    </row>
    <row r="27" spans="1:19">
      <c r="B27" s="1" t="s">
        <v>52</v>
      </c>
      <c r="D27" s="45">
        <f t="shared" ref="D27:S27" si="4">D6*D17</f>
        <v>0</v>
      </c>
      <c r="E27" s="45">
        <f t="shared" si="4"/>
        <v>0</v>
      </c>
      <c r="F27" s="45">
        <f t="shared" si="4"/>
        <v>0</v>
      </c>
      <c r="G27" s="45">
        <f t="shared" si="4"/>
        <v>0</v>
      </c>
      <c r="H27" s="45">
        <f t="shared" si="4"/>
        <v>65969.76709207987</v>
      </c>
      <c r="I27" s="45">
        <f t="shared" si="4"/>
        <v>72791.892940038801</v>
      </c>
      <c r="J27" s="45">
        <f t="shared" si="4"/>
        <v>71965.956054395705</v>
      </c>
      <c r="K27" s="45">
        <f t="shared" si="4"/>
        <v>68369.904189052526</v>
      </c>
      <c r="L27" s="45">
        <f t="shared" si="4"/>
        <v>64909.997284069635</v>
      </c>
      <c r="M27" s="45">
        <f t="shared" si="4"/>
        <v>56508.477368376196</v>
      </c>
      <c r="N27" s="45">
        <f t="shared" si="4"/>
        <v>55002.3482854947</v>
      </c>
      <c r="O27" s="45">
        <f t="shared" si="4"/>
        <v>56465.062560398881</v>
      </c>
      <c r="P27" s="45">
        <f t="shared" si="4"/>
        <v>65654.941668737883</v>
      </c>
      <c r="Q27" s="45">
        <f t="shared" si="4"/>
        <v>64287.473629616739</v>
      </c>
      <c r="R27" s="45">
        <f t="shared" si="4"/>
        <v>56779.382363820616</v>
      </c>
      <c r="S27" s="45">
        <f t="shared" si="4"/>
        <v>59831.90540206866</v>
      </c>
    </row>
    <row r="28" spans="1:19">
      <c r="B28" s="1" t="s">
        <v>53</v>
      </c>
      <c r="D28" s="45">
        <f t="shared" ref="D28:S28" si="5">D7*D18</f>
        <v>0</v>
      </c>
      <c r="E28" s="45">
        <f t="shared" si="5"/>
        <v>0</v>
      </c>
      <c r="F28" s="45">
        <f t="shared" si="5"/>
        <v>0</v>
      </c>
      <c r="G28" s="45">
        <f t="shared" si="5"/>
        <v>0</v>
      </c>
      <c r="H28" s="45">
        <f t="shared" si="5"/>
        <v>106224.04245372434</v>
      </c>
      <c r="I28" s="45">
        <f t="shared" si="5"/>
        <v>102334.07389323834</v>
      </c>
      <c r="J28" s="45">
        <f t="shared" si="5"/>
        <v>100178.35724389524</v>
      </c>
      <c r="K28" s="45">
        <f t="shared" si="5"/>
        <v>100870.19849827507</v>
      </c>
      <c r="L28" s="45">
        <f t="shared" si="5"/>
        <v>96470.718792767046</v>
      </c>
      <c r="M28" s="45">
        <f t="shared" si="5"/>
        <v>92642.077873395407</v>
      </c>
      <c r="N28" s="45">
        <f t="shared" si="5"/>
        <v>97321.537457205384</v>
      </c>
      <c r="O28" s="45">
        <f t="shared" si="5"/>
        <v>103383.79546133451</v>
      </c>
      <c r="P28" s="45">
        <f t="shared" si="5"/>
        <v>111798.40542598593</v>
      </c>
      <c r="Q28" s="45">
        <f t="shared" si="5"/>
        <v>104415.06378184973</v>
      </c>
      <c r="R28" s="45">
        <f t="shared" si="5"/>
        <v>94904.539762199754</v>
      </c>
      <c r="S28" s="45">
        <f t="shared" si="5"/>
        <v>109062.40978311775</v>
      </c>
    </row>
    <row r="29" spans="1:19">
      <c r="B29" s="1" t="s">
        <v>54</v>
      </c>
      <c r="D29" s="45">
        <f t="shared" ref="D29:S29" si="6">D8*D19</f>
        <v>0</v>
      </c>
      <c r="E29" s="45">
        <f t="shared" si="6"/>
        <v>0</v>
      </c>
      <c r="F29" s="45">
        <f t="shared" si="6"/>
        <v>0</v>
      </c>
      <c r="G29" s="45">
        <f t="shared" si="6"/>
        <v>0</v>
      </c>
      <c r="H29" s="45">
        <f t="shared" si="6"/>
        <v>29548.439082546058</v>
      </c>
      <c r="I29" s="45">
        <f t="shared" si="6"/>
        <v>32180.79643322057</v>
      </c>
      <c r="J29" s="45">
        <f t="shared" si="6"/>
        <v>33217.445191695304</v>
      </c>
      <c r="K29" s="45">
        <f t="shared" si="6"/>
        <v>30566.588728844359</v>
      </c>
      <c r="L29" s="45">
        <f t="shared" si="6"/>
        <v>32189.51986804757</v>
      </c>
      <c r="M29" s="45">
        <f t="shared" si="6"/>
        <v>30400.524815248351</v>
      </c>
      <c r="N29" s="45">
        <f t="shared" si="6"/>
        <v>31860.338253093745</v>
      </c>
      <c r="O29" s="45">
        <f t="shared" si="6"/>
        <v>32694.887241356137</v>
      </c>
      <c r="P29" s="45">
        <f t="shared" si="6"/>
        <v>31865.792526637219</v>
      </c>
      <c r="Q29" s="45">
        <f t="shared" si="6"/>
        <v>35082.741451134149</v>
      </c>
      <c r="R29" s="45">
        <f t="shared" si="6"/>
        <v>32262.063227704388</v>
      </c>
      <c r="S29" s="45">
        <f t="shared" si="6"/>
        <v>31421.279530533604</v>
      </c>
    </row>
    <row r="30" spans="1:19">
      <c r="B30" s="173" t="s">
        <v>162</v>
      </c>
      <c r="D30" s="45"/>
      <c r="E30" s="45"/>
      <c r="F30" s="45"/>
      <c r="G30" s="45"/>
      <c r="H30" s="45">
        <f>H9*H20</f>
        <v>17085.753387248238</v>
      </c>
      <c r="I30" s="45">
        <f t="shared" ref="I30:S30" si="7">I9*I20</f>
        <v>16593.332232599674</v>
      </c>
      <c r="J30" s="45">
        <f t="shared" si="7"/>
        <v>17515.08110301564</v>
      </c>
      <c r="K30" s="45">
        <f t="shared" si="7"/>
        <v>15285.006985584112</v>
      </c>
      <c r="L30" s="45">
        <f t="shared" si="7"/>
        <v>15704.847953355693</v>
      </c>
      <c r="M30" s="45">
        <f t="shared" si="7"/>
        <v>18289.503883077352</v>
      </c>
      <c r="N30" s="45">
        <f t="shared" si="7"/>
        <v>16447.930940401064</v>
      </c>
      <c r="O30" s="45">
        <f t="shared" si="7"/>
        <v>17103.215937932713</v>
      </c>
      <c r="P30" s="45">
        <f t="shared" si="7"/>
        <v>16699.024471457058</v>
      </c>
      <c r="Q30" s="45">
        <f t="shared" si="7"/>
        <v>17922.235823870426</v>
      </c>
      <c r="R30" s="45">
        <f t="shared" si="7"/>
        <v>16568.277564156906</v>
      </c>
      <c r="S30" s="45">
        <f t="shared" si="7"/>
        <v>17255.153470755671</v>
      </c>
    </row>
    <row r="31" spans="1:19">
      <c r="B31" s="1" t="s">
        <v>55</v>
      </c>
      <c r="D31" s="45">
        <f>D10*D21</f>
        <v>0</v>
      </c>
      <c r="E31" s="45">
        <f>E10*E21</f>
        <v>0</v>
      </c>
      <c r="F31" s="45">
        <f>F10*F21</f>
        <v>0</v>
      </c>
      <c r="G31" s="45">
        <f>G10*G21</f>
        <v>0</v>
      </c>
      <c r="H31" s="45">
        <f>H10*H21</f>
        <v>2484.9770650367232</v>
      </c>
      <c r="I31" s="45">
        <f t="shared" ref="I31:S31" si="8">I10*I21</f>
        <v>2932.743419081411</v>
      </c>
      <c r="J31" s="45">
        <f t="shared" si="8"/>
        <v>3761.6994684626934</v>
      </c>
      <c r="K31" s="45">
        <f t="shared" si="8"/>
        <v>3917.4935478203129</v>
      </c>
      <c r="L31" s="45">
        <f t="shared" si="8"/>
        <v>3735.4419803652618</v>
      </c>
      <c r="M31" s="45">
        <f t="shared" si="8"/>
        <v>5167.2768696113826</v>
      </c>
      <c r="N31" s="45">
        <f t="shared" si="8"/>
        <v>11709.206816947413</v>
      </c>
      <c r="O31" s="45">
        <f t="shared" si="8"/>
        <v>19246.220458263007</v>
      </c>
      <c r="P31" s="45">
        <f t="shared" si="8"/>
        <v>23709.664961546099</v>
      </c>
      <c r="Q31" s="45">
        <f t="shared" si="8"/>
        <v>26014.465276692594</v>
      </c>
      <c r="R31" s="45">
        <f t="shared" si="8"/>
        <v>20954.157024431952</v>
      </c>
      <c r="S31" s="45">
        <f t="shared" si="8"/>
        <v>11938.271821225982</v>
      </c>
    </row>
    <row r="32" spans="1:19">
      <c r="B32" s="1" t="s">
        <v>56</v>
      </c>
      <c r="D32" s="45">
        <f>D11*D22</f>
        <v>0</v>
      </c>
      <c r="E32" s="45">
        <f t="shared" ref="E32:S32" si="9">E11*E22</f>
        <v>0</v>
      </c>
      <c r="F32" s="45">
        <f t="shared" si="9"/>
        <v>0</v>
      </c>
      <c r="G32" s="45">
        <f t="shared" si="9"/>
        <v>0</v>
      </c>
      <c r="H32" s="45">
        <f t="shared" si="9"/>
        <v>5322.6158672039837</v>
      </c>
      <c r="I32" s="45">
        <f t="shared" si="9"/>
        <v>5455.8909216242482</v>
      </c>
      <c r="J32" s="45">
        <f t="shared" si="9"/>
        <v>5319.7732819637986</v>
      </c>
      <c r="K32" s="45">
        <f t="shared" si="9"/>
        <v>5117.5411026136626</v>
      </c>
      <c r="L32" s="45">
        <f t="shared" si="9"/>
        <v>5356.4749136486253</v>
      </c>
      <c r="M32" s="45">
        <f t="shared" si="9"/>
        <v>5208.9493827838423</v>
      </c>
      <c r="N32" s="45">
        <f t="shared" si="9"/>
        <v>5236.9332453712614</v>
      </c>
      <c r="O32" s="45">
        <f t="shared" si="9"/>
        <v>5246.6314356336852</v>
      </c>
      <c r="P32" s="45">
        <f t="shared" si="9"/>
        <v>5332.6436935814327</v>
      </c>
      <c r="Q32" s="45">
        <f t="shared" si="9"/>
        <v>5298.1400840407559</v>
      </c>
      <c r="R32" s="45">
        <f t="shared" si="9"/>
        <v>5325.3370297586162</v>
      </c>
      <c r="S32" s="45">
        <f t="shared" si="9"/>
        <v>5226.84697269146</v>
      </c>
    </row>
    <row r="33" spans="1:21">
      <c r="B33" s="1" t="s">
        <v>0</v>
      </c>
      <c r="D33" s="45">
        <f t="shared" ref="D33:S33" si="10">SUM(D26:D32)</f>
        <v>0</v>
      </c>
      <c r="E33" s="45">
        <f t="shared" si="10"/>
        <v>0</v>
      </c>
      <c r="F33" s="45">
        <f t="shared" si="10"/>
        <v>0</v>
      </c>
      <c r="G33" s="45">
        <f t="shared" si="10"/>
        <v>0</v>
      </c>
      <c r="H33" s="45">
        <f>SUM(H26:H32)</f>
        <v>432341.97247582942</v>
      </c>
      <c r="I33" s="45">
        <f t="shared" si="10"/>
        <v>504643.45302890713</v>
      </c>
      <c r="J33" s="45">
        <f t="shared" si="10"/>
        <v>516026.28072780208</v>
      </c>
      <c r="K33" s="45">
        <f t="shared" si="10"/>
        <v>465523.73279181402</v>
      </c>
      <c r="L33" s="45">
        <f t="shared" si="10"/>
        <v>433485.72658955184</v>
      </c>
      <c r="M33" s="45">
        <f t="shared" si="10"/>
        <v>384175.99980589096</v>
      </c>
      <c r="N33" s="45">
        <f t="shared" si="10"/>
        <v>373195.03807778965</v>
      </c>
      <c r="O33" s="45">
        <f t="shared" si="10"/>
        <v>383073.54663746594</v>
      </c>
      <c r="P33" s="45">
        <f t="shared" si="10"/>
        <v>425173.33311057958</v>
      </c>
      <c r="Q33" s="45">
        <f t="shared" si="10"/>
        <v>435567.11248332402</v>
      </c>
      <c r="R33" s="45">
        <f t="shared" si="10"/>
        <v>373565.98760597734</v>
      </c>
      <c r="S33" s="45">
        <f t="shared" si="10"/>
        <v>393090.60167044098</v>
      </c>
      <c r="U33" s="46">
        <f>SUM(H33:S33)</f>
        <v>5119862.7850053729</v>
      </c>
    </row>
    <row r="34" spans="1:21">
      <c r="B34" s="101"/>
      <c r="C34" s="102"/>
      <c r="D34" s="101"/>
    </row>
    <row r="35" spans="1:21" ht="36" customHeight="1">
      <c r="A35" s="134" t="s">
        <v>122</v>
      </c>
      <c r="B35" s="84"/>
      <c r="C35" s="93">
        <f>'CF WA Elec'!E21</f>
        <v>0.95606855188236617</v>
      </c>
      <c r="D35" s="39">
        <f>D4</f>
        <v>44743</v>
      </c>
      <c r="E35" s="39">
        <f t="shared" ref="E35:R35" si="11">E4</f>
        <v>44774</v>
      </c>
      <c r="F35" s="39">
        <f t="shared" si="11"/>
        <v>44805</v>
      </c>
      <c r="G35" s="39">
        <f t="shared" si="11"/>
        <v>44835</v>
      </c>
      <c r="H35" s="39">
        <f t="shared" si="11"/>
        <v>44866</v>
      </c>
      <c r="I35" s="39">
        <f t="shared" si="11"/>
        <v>44896</v>
      </c>
      <c r="J35" s="39">
        <f t="shared" si="11"/>
        <v>44927</v>
      </c>
      <c r="K35" s="39">
        <f t="shared" si="11"/>
        <v>44958</v>
      </c>
      <c r="L35" s="39">
        <f t="shared" si="11"/>
        <v>44986</v>
      </c>
      <c r="M35" s="39">
        <f t="shared" si="11"/>
        <v>45017</v>
      </c>
      <c r="N35" s="39">
        <f t="shared" si="11"/>
        <v>45047</v>
      </c>
      <c r="O35" s="39">
        <f t="shared" si="11"/>
        <v>45078</v>
      </c>
      <c r="P35" s="39">
        <f t="shared" si="11"/>
        <v>45108</v>
      </c>
      <c r="Q35" s="39">
        <f t="shared" si="11"/>
        <v>45139</v>
      </c>
      <c r="R35" s="39">
        <f t="shared" si="11"/>
        <v>45170</v>
      </c>
      <c r="S35" s="39">
        <f>S4</f>
        <v>45200</v>
      </c>
    </row>
    <row r="36" spans="1:21">
      <c r="B36" s="1" t="s">
        <v>51</v>
      </c>
      <c r="D36" s="45">
        <f t="shared" ref="D36:S36" si="12">D26*$C$35</f>
        <v>0</v>
      </c>
      <c r="E36" s="45">
        <f t="shared" si="12"/>
        <v>0</v>
      </c>
      <c r="F36" s="45">
        <f t="shared" si="12"/>
        <v>0</v>
      </c>
      <c r="G36" s="45">
        <f t="shared" si="12"/>
        <v>0</v>
      </c>
      <c r="H36" s="45">
        <f t="shared" si="12"/>
        <v>196669.39847615294</v>
      </c>
      <c r="I36" s="45">
        <f t="shared" si="12"/>
        <v>260389.78579772942</v>
      </c>
      <c r="J36" s="45">
        <f t="shared" si="12"/>
        <v>271588.45116941398</v>
      </c>
      <c r="K36" s="45">
        <f t="shared" si="12"/>
        <v>230792.07996981021</v>
      </c>
      <c r="L36" s="45">
        <f t="shared" si="12"/>
        <v>205668.24865580251</v>
      </c>
      <c r="M36" s="45">
        <f t="shared" si="12"/>
        <v>168229.04760407651</v>
      </c>
      <c r="N36" s="45">
        <f t="shared" si="12"/>
        <v>148780.27420445369</v>
      </c>
      <c r="O36" s="45">
        <f t="shared" si="12"/>
        <v>142390.85895445707</v>
      </c>
      <c r="P36" s="45">
        <f t="shared" si="12"/>
        <v>162639.55606347066</v>
      </c>
      <c r="Q36" s="45">
        <f t="shared" si="12"/>
        <v>174527.43870888214</v>
      </c>
      <c r="R36" s="45">
        <f t="shared" si="12"/>
        <v>140324.3139987023</v>
      </c>
      <c r="S36" s="45">
        <f t="shared" si="12"/>
        <v>151397.98187883032</v>
      </c>
    </row>
    <row r="37" spans="1:21">
      <c r="B37" s="1" t="s">
        <v>52</v>
      </c>
      <c r="D37" s="45">
        <f t="shared" ref="D37" si="13">D27*$C$35</f>
        <v>0</v>
      </c>
      <c r="E37" s="45">
        <f t="shared" ref="E37:S37" si="14">E27*$C$35</f>
        <v>0</v>
      </c>
      <c r="F37" s="45">
        <f t="shared" si="14"/>
        <v>0</v>
      </c>
      <c r="G37" s="45">
        <f t="shared" si="14"/>
        <v>0</v>
      </c>
      <c r="H37" s="45">
        <f t="shared" si="14"/>
        <v>63071.619691741776</v>
      </c>
      <c r="I37" s="45">
        <f t="shared" si="14"/>
        <v>69594.039671959123</v>
      </c>
      <c r="J37" s="45">
        <f t="shared" si="14"/>
        <v>68804.387389756099</v>
      </c>
      <c r="K37" s="45">
        <f t="shared" si="14"/>
        <v>65366.315290363571</v>
      </c>
      <c r="L37" s="45">
        <f t="shared" si="14"/>
        <v>62058.407106068778</v>
      </c>
      <c r="M37" s="45">
        <f t="shared" si="14"/>
        <v>54025.978126660892</v>
      </c>
      <c r="N37" s="45">
        <f t="shared" si="14"/>
        <v>52586.015475442466</v>
      </c>
      <c r="O37" s="45">
        <f t="shared" si="14"/>
        <v>53984.470594067767</v>
      </c>
      <c r="P37" s="45">
        <f t="shared" si="14"/>
        <v>62770.625005151451</v>
      </c>
      <c r="Q37" s="45">
        <f t="shared" si="14"/>
        <v>61463.231817243475</v>
      </c>
      <c r="R37" s="45">
        <f t="shared" si="14"/>
        <v>54284.981873353136</v>
      </c>
      <c r="S37" s="45">
        <f t="shared" si="14"/>
        <v>57203.403154118503</v>
      </c>
    </row>
    <row r="38" spans="1:21">
      <c r="B38" s="1" t="s">
        <v>53</v>
      </c>
      <c r="D38" s="45">
        <f t="shared" ref="D38" si="15">D28*$C$35</f>
        <v>0</v>
      </c>
      <c r="E38" s="45">
        <f t="shared" ref="E38:S38" si="16">E28*$C$35</f>
        <v>0</v>
      </c>
      <c r="F38" s="45">
        <f t="shared" si="16"/>
        <v>0</v>
      </c>
      <c r="G38" s="45">
        <f t="shared" si="16"/>
        <v>0</v>
      </c>
      <c r="H38" s="45">
        <f t="shared" si="16"/>
        <v>101557.46644382321</v>
      </c>
      <c r="I38" s="45">
        <f t="shared" si="16"/>
        <v>97838.389835331429</v>
      </c>
      <c r="J38" s="45">
        <f t="shared" si="16"/>
        <v>95777.376940125265</v>
      </c>
      <c r="K38" s="45">
        <f t="shared" si="16"/>
        <v>96438.824606332681</v>
      </c>
      <c r="L38" s="45">
        <f t="shared" si="16"/>
        <v>92232.62041525176</v>
      </c>
      <c r="M38" s="45">
        <f t="shared" si="16"/>
        <v>88572.177235790543</v>
      </c>
      <c r="N38" s="45">
        <f t="shared" si="16"/>
        <v>93046.061383675813</v>
      </c>
      <c r="O38" s="45">
        <f t="shared" si="16"/>
        <v>98841.995614820815</v>
      </c>
      <c r="P38" s="45">
        <f t="shared" si="16"/>
        <v>106886.93957838003</v>
      </c>
      <c r="Q38" s="45">
        <f t="shared" si="16"/>
        <v>99827.958824617977</v>
      </c>
      <c r="R38" s="45">
        <f t="shared" si="16"/>
        <v>90735.245897508765</v>
      </c>
      <c r="S38" s="45">
        <f t="shared" si="16"/>
        <v>104271.14018614659</v>
      </c>
    </row>
    <row r="39" spans="1:21">
      <c r="B39" s="1" t="s">
        <v>54</v>
      </c>
      <c r="D39" s="45">
        <f t="shared" ref="D39" si="17">D29*$C$35</f>
        <v>0</v>
      </c>
      <c r="E39" s="45">
        <f t="shared" ref="E39:S39" si="18">E29*$C$35</f>
        <v>0</v>
      </c>
      <c r="F39" s="45">
        <f t="shared" si="18"/>
        <v>0</v>
      </c>
      <c r="G39" s="45">
        <f t="shared" si="18"/>
        <v>0</v>
      </c>
      <c r="H39" s="45">
        <f t="shared" si="18"/>
        <v>28250.333364034122</v>
      </c>
      <c r="I39" s="45">
        <f t="shared" si="18"/>
        <v>30767.047444330405</v>
      </c>
      <c r="J39" s="45">
        <f t="shared" si="18"/>
        <v>31758.154721655996</v>
      </c>
      <c r="K39" s="45">
        <f t="shared" si="18"/>
        <v>29223.754221970081</v>
      </c>
      <c r="L39" s="45">
        <f t="shared" si="18"/>
        <v>30775.387646032894</v>
      </c>
      <c r="M39" s="45">
        <f t="shared" si="18"/>
        <v>29064.985736578426</v>
      </c>
      <c r="N39" s="45">
        <f t="shared" si="18"/>
        <v>30460.667456117691</v>
      </c>
      <c r="O39" s="45">
        <f t="shared" si="18"/>
        <v>31258.553498800611</v>
      </c>
      <c r="P39" s="45">
        <f t="shared" si="18"/>
        <v>30465.882115525972</v>
      </c>
      <c r="Q39" s="45">
        <f t="shared" si="18"/>
        <v>33541.505815249286</v>
      </c>
      <c r="R39" s="45">
        <f t="shared" si="18"/>
        <v>30844.744070848672</v>
      </c>
      <c r="S39" s="45">
        <f t="shared" si="18"/>
        <v>30040.897219048296</v>
      </c>
    </row>
    <row r="40" spans="1:21">
      <c r="B40" s="173" t="s">
        <v>162</v>
      </c>
      <c r="D40" s="45"/>
      <c r="E40" s="45"/>
      <c r="F40" s="45"/>
      <c r="G40" s="45"/>
      <c r="H40" s="45">
        <f>H30*$C$35</f>
        <v>16335.151498765656</v>
      </c>
      <c r="I40" s="45">
        <f t="shared" ref="I40:S40" si="19">I30*$C$35</f>
        <v>15864.363118524561</v>
      </c>
      <c r="J40" s="45">
        <f t="shared" si="19"/>
        <v>16745.618226262359</v>
      </c>
      <c r="K40" s="45">
        <f t="shared" si="19"/>
        <v>14613.514494219253</v>
      </c>
      <c r="L40" s="45">
        <f t="shared" si="19"/>
        <v>15014.911240297519</v>
      </c>
      <c r="M40" s="45">
        <f t="shared" si="19"/>
        <v>17486.019492140676</v>
      </c>
      <c r="N40" s="45">
        <f t="shared" si="19"/>
        <v>15725.34951565041</v>
      </c>
      <c r="O40" s="45">
        <f t="shared" si="19"/>
        <v>16351.846894310735</v>
      </c>
      <c r="P40" s="45">
        <f t="shared" si="19"/>
        <v>15965.412144274145</v>
      </c>
      <c r="Q40" s="45">
        <f t="shared" si="19"/>
        <v>17134.886050622063</v>
      </c>
      <c r="R40" s="45">
        <f t="shared" si="19"/>
        <v>15840.409137948591</v>
      </c>
      <c r="S40" s="45">
        <f t="shared" si="19"/>
        <v>16497.10959129336</v>
      </c>
    </row>
    <row r="41" spans="1:21">
      <c r="B41" s="1" t="s">
        <v>55</v>
      </c>
      <c r="D41" s="45">
        <f t="shared" ref="D41" si="20">D31*$C$35</f>
        <v>0</v>
      </c>
      <c r="E41" s="45">
        <f t="shared" ref="E41:G42" si="21">E31*$C$35</f>
        <v>0</v>
      </c>
      <c r="F41" s="45">
        <f t="shared" si="21"/>
        <v>0</v>
      </c>
      <c r="G41" s="45">
        <f t="shared" si="21"/>
        <v>0</v>
      </c>
      <c r="H41" s="45">
        <f>H31*$C$35</f>
        <v>2375.8084240305525</v>
      </c>
      <c r="I41" s="45">
        <f t="shared" ref="I41:S41" si="22">I31*$C$35</f>
        <v>2803.9037537237041</v>
      </c>
      <c r="J41" s="45">
        <f t="shared" si="22"/>
        <v>3596.4425634297936</v>
      </c>
      <c r="K41" s="45">
        <f t="shared" si="22"/>
        <v>3745.3923832730793</v>
      </c>
      <c r="L41" s="45">
        <f t="shared" si="22"/>
        <v>3571.3386048084139</v>
      </c>
      <c r="M41" s="45">
        <f t="shared" si="22"/>
        <v>4940.270913904601</v>
      </c>
      <c r="N41" s="45">
        <f t="shared" si="22"/>
        <v>11194.804405170044</v>
      </c>
      <c r="O41" s="45">
        <f t="shared" si="22"/>
        <v>18400.706122740285</v>
      </c>
      <c r="P41" s="45">
        <f t="shared" si="22"/>
        <v>22668.065045401458</v>
      </c>
      <c r="Q41" s="45">
        <f t="shared" si="22"/>
        <v>24871.612145081584</v>
      </c>
      <c r="R41" s="45">
        <f t="shared" si="22"/>
        <v>20033.610562264366</v>
      </c>
      <c r="S41" s="45">
        <f t="shared" si="22"/>
        <v>11413.806252097584</v>
      </c>
    </row>
    <row r="42" spans="1:21">
      <c r="B42" s="72" t="s">
        <v>56</v>
      </c>
      <c r="D42" s="47">
        <f t="shared" ref="D42" si="23">D32*$C$35</f>
        <v>0</v>
      </c>
      <c r="E42" s="47">
        <f t="shared" si="21"/>
        <v>0</v>
      </c>
      <c r="F42" s="47">
        <f t="shared" si="21"/>
        <v>0</v>
      </c>
      <c r="G42" s="47">
        <f t="shared" si="21"/>
        <v>0</v>
      </c>
      <c r="H42" s="47">
        <f>H32*$C$35</f>
        <v>5088.7856443838173</v>
      </c>
      <c r="I42" s="47">
        <f t="shared" ref="I42:S42" si="24">I32*$C$35</f>
        <v>5216.2057326654431</v>
      </c>
      <c r="J42" s="47">
        <f t="shared" si="24"/>
        <v>5086.0679380296315</v>
      </c>
      <c r="K42" s="47">
        <f t="shared" si="24"/>
        <v>4892.7201111743316</v>
      </c>
      <c r="L42" s="47">
        <f t="shared" si="24"/>
        <v>5121.1572138862639</v>
      </c>
      <c r="M42" s="47">
        <f t="shared" si="24"/>
        <v>4980.1126932266934</v>
      </c>
      <c r="N42" s="47">
        <f t="shared" si="24"/>
        <v>5006.8671842067224</v>
      </c>
      <c r="O42" s="47">
        <f t="shared" si="24"/>
        <v>5016.1393189267974</v>
      </c>
      <c r="P42" s="47">
        <f t="shared" si="24"/>
        <v>5098.3729338270323</v>
      </c>
      <c r="Q42" s="47">
        <f t="shared" si="24"/>
        <v>5065.3851178187633</v>
      </c>
      <c r="R42" s="47">
        <f t="shared" si="24"/>
        <v>5091.3872623268617</v>
      </c>
      <c r="S42" s="47">
        <f t="shared" si="24"/>
        <v>4997.2240160918536</v>
      </c>
    </row>
    <row r="43" spans="1:21">
      <c r="B43" s="1" t="s">
        <v>0</v>
      </c>
      <c r="C43" s="34"/>
      <c r="D43" s="46">
        <f>SUM(D36:D42)</f>
        <v>0</v>
      </c>
      <c r="E43" s="46">
        <f>SUM(E36:E42)</f>
        <v>0</v>
      </c>
      <c r="F43" s="46">
        <f>SUM(F36:F42)</f>
        <v>0</v>
      </c>
      <c r="G43" s="46">
        <f t="shared" ref="G43:S43" si="25">SUM(G36:G42)</f>
        <v>0</v>
      </c>
      <c r="H43" s="46">
        <f t="shared" si="25"/>
        <v>413348.5635429321</v>
      </c>
      <c r="I43" s="46">
        <f t="shared" si="25"/>
        <v>482473.73535426403</v>
      </c>
      <c r="J43" s="46">
        <f t="shared" si="25"/>
        <v>493356.49894867308</v>
      </c>
      <c r="K43" s="46">
        <f t="shared" si="25"/>
        <v>445072.60107714322</v>
      </c>
      <c r="L43" s="46">
        <f t="shared" si="25"/>
        <v>414442.07088214823</v>
      </c>
      <c r="M43" s="46">
        <f t="shared" si="25"/>
        <v>367298.59180237836</v>
      </c>
      <c r="N43" s="46">
        <f t="shared" si="25"/>
        <v>356800.03962471685</v>
      </c>
      <c r="O43" s="46">
        <f t="shared" si="25"/>
        <v>366244.57099812408</v>
      </c>
      <c r="P43" s="46">
        <f t="shared" si="25"/>
        <v>406494.85288603074</v>
      </c>
      <c r="Q43" s="46">
        <f t="shared" si="25"/>
        <v>416432.01847951527</v>
      </c>
      <c r="R43" s="46">
        <f t="shared" si="25"/>
        <v>357154.69280295266</v>
      </c>
      <c r="S43" s="46">
        <f t="shared" si="25"/>
        <v>375821.56229762651</v>
      </c>
      <c r="U43" s="46">
        <f>SUM(H43:S43)</f>
        <v>4894939.7986965049</v>
      </c>
    </row>
    <row r="44" spans="1:21">
      <c r="C44" s="70"/>
    </row>
    <row r="45" spans="1:21">
      <c r="C45" s="70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U45" s="46">
        <f>U33-U43</f>
        <v>224922.98630886804</v>
      </c>
    </row>
    <row r="47" spans="1:21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</row>
  </sheetData>
  <mergeCells count="2">
    <mergeCell ref="D15:G15"/>
    <mergeCell ref="H15:S15"/>
  </mergeCells>
  <phoneticPr fontId="45" type="noConversion"/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106"/>
  <sheetViews>
    <sheetView workbookViewId="0">
      <selection activeCell="K33" sqref="K33"/>
    </sheetView>
  </sheetViews>
  <sheetFormatPr defaultColWidth="9.1328125" defaultRowHeight="14.25"/>
  <cols>
    <col min="1" max="1" width="16.59765625" style="53" customWidth="1"/>
    <col min="2" max="2" width="19" style="53" bestFit="1" customWidth="1"/>
    <col min="3" max="4" width="15.1328125" style="53" bestFit="1" customWidth="1"/>
    <col min="5" max="5" width="15" style="53" customWidth="1"/>
    <col min="6" max="9" width="12.59765625" style="53" bestFit="1" customWidth="1"/>
    <col min="10" max="12" width="14.265625" style="53" customWidth="1"/>
    <col min="13" max="13" width="12.59765625" style="53" bestFit="1" customWidth="1"/>
    <col min="14" max="14" width="15.59765625" style="53" customWidth="1"/>
    <col min="15" max="15" width="9.265625" style="53" bestFit="1" customWidth="1"/>
    <col min="16" max="16" width="14.59765625" style="53" customWidth="1"/>
    <col min="17" max="16384" width="9.1328125" style="53"/>
  </cols>
  <sheetData>
    <row r="1" spans="1:16">
      <c r="A1" s="123" t="s">
        <v>106</v>
      </c>
      <c r="B1" s="124"/>
    </row>
    <row r="3" spans="1:16">
      <c r="A3" s="2" t="s">
        <v>41</v>
      </c>
    </row>
    <row r="4" spans="1:16">
      <c r="A4" s="53" t="s">
        <v>63</v>
      </c>
    </row>
    <row r="6" spans="1:16">
      <c r="B6" s="54">
        <v>44866</v>
      </c>
      <c r="C6" s="54">
        <v>44896</v>
      </c>
      <c r="D6" s="54">
        <v>44927</v>
      </c>
      <c r="E6" s="54">
        <v>44958</v>
      </c>
      <c r="F6" s="54">
        <v>44986</v>
      </c>
      <c r="G6" s="54">
        <v>45017</v>
      </c>
      <c r="H6" s="54">
        <v>45047</v>
      </c>
      <c r="I6" s="54">
        <v>45078</v>
      </c>
      <c r="J6" s="54">
        <v>45108</v>
      </c>
      <c r="K6" s="54">
        <v>45139</v>
      </c>
      <c r="L6" s="54">
        <v>45170</v>
      </c>
      <c r="M6" s="54">
        <v>45200</v>
      </c>
      <c r="N6" s="55" t="s">
        <v>0</v>
      </c>
    </row>
    <row r="7" spans="1:16">
      <c r="A7" s="56" t="s">
        <v>31</v>
      </c>
      <c r="B7" s="80">
        <v>216567113.52341771</v>
      </c>
      <c r="C7" s="80">
        <v>286708456.98212832</v>
      </c>
      <c r="D7" s="80">
        <v>299010450.1324392</v>
      </c>
      <c r="E7" s="80">
        <v>254093356.36022097</v>
      </c>
      <c r="F7" s="80">
        <v>226428814.84164748</v>
      </c>
      <c r="G7" s="80">
        <v>185239896.32761896</v>
      </c>
      <c r="H7" s="80">
        <v>163889897.53447032</v>
      </c>
      <c r="I7" s="80">
        <v>156914502.72454315</v>
      </c>
      <c r="J7" s="80">
        <v>179253808.89218888</v>
      </c>
      <c r="K7" s="80">
        <v>192369257.287844</v>
      </c>
      <c r="L7" s="80">
        <v>154642164.91947299</v>
      </c>
      <c r="M7" s="80">
        <v>166736712.80603051</v>
      </c>
      <c r="N7" s="139">
        <f>SUM(B7:M7)</f>
        <v>2481854432.3320227</v>
      </c>
      <c r="P7" s="77"/>
    </row>
    <row r="8" spans="1:16">
      <c r="A8" s="56" t="s">
        <v>99</v>
      </c>
      <c r="B8" s="80">
        <v>896673.14813438896</v>
      </c>
      <c r="C8" s="80">
        <v>1213046.1541852204</v>
      </c>
      <c r="D8" s="80">
        <v>1293783.597772066</v>
      </c>
      <c r="E8" s="80">
        <v>1100995.3432761827</v>
      </c>
      <c r="F8" s="80">
        <v>985294.81314120814</v>
      </c>
      <c r="G8" s="80">
        <v>776464.14122751309</v>
      </c>
      <c r="H8" s="80">
        <v>621318.04468064569</v>
      </c>
      <c r="I8" s="80">
        <v>531727.42399593629</v>
      </c>
      <c r="J8" s="80">
        <v>582067.95588661591</v>
      </c>
      <c r="K8" s="80">
        <v>611440.23700631573</v>
      </c>
      <c r="L8" s="80">
        <v>519018.87774003221</v>
      </c>
      <c r="M8" s="80">
        <v>668987.77017580473</v>
      </c>
      <c r="N8" s="139">
        <f t="shared" ref="N8:N19" si="0">SUM(B8:M8)</f>
        <v>9800817.5072219316</v>
      </c>
      <c r="P8" s="77"/>
    </row>
    <row r="9" spans="1:16">
      <c r="A9" s="56" t="s">
        <v>32</v>
      </c>
      <c r="B9" s="80">
        <v>51329572.717824452</v>
      </c>
      <c r="C9" s="80">
        <v>55665637.580714099</v>
      </c>
      <c r="D9" s="80">
        <v>54859337.172243193</v>
      </c>
      <c r="E9" s="80">
        <v>52027397.947545961</v>
      </c>
      <c r="F9" s="80">
        <v>49743805.750632517</v>
      </c>
      <c r="G9" s="80">
        <v>43825115.027792588</v>
      </c>
      <c r="H9" s="80">
        <v>43140096.687550172</v>
      </c>
      <c r="I9" s="80">
        <v>44411582.137921073</v>
      </c>
      <c r="J9" s="80">
        <v>52200255.26338923</v>
      </c>
      <c r="K9" s="80">
        <v>51345746.340237975</v>
      </c>
      <c r="L9" s="80">
        <v>44965896.088146172</v>
      </c>
      <c r="M9" s="80">
        <v>46807166.782318629</v>
      </c>
      <c r="N9" s="139">
        <f t="shared" si="0"/>
        <v>590321609.49631608</v>
      </c>
      <c r="P9" s="77"/>
    </row>
    <row r="10" spans="1:16">
      <c r="A10" s="56" t="s">
        <v>33</v>
      </c>
      <c r="B10" s="80">
        <v>5682102.9739726707</v>
      </c>
      <c r="C10" s="80">
        <v>7242789.280820556</v>
      </c>
      <c r="D10" s="80">
        <v>7335107.6689099642</v>
      </c>
      <c r="E10" s="80">
        <v>7058764.1407481264</v>
      </c>
      <c r="F10" s="80">
        <v>6351782.092313936</v>
      </c>
      <c r="G10" s="80">
        <v>5008642.6200040197</v>
      </c>
      <c r="H10" s="80">
        <v>4391871.350357485</v>
      </c>
      <c r="I10" s="80">
        <v>4384682.5516623417</v>
      </c>
      <c r="J10" s="80">
        <v>4539276.3541032895</v>
      </c>
      <c r="K10" s="80">
        <v>4211811.5746768694</v>
      </c>
      <c r="L10" s="80">
        <v>4102039.927887714</v>
      </c>
      <c r="M10" s="80">
        <v>4899209.4149420541</v>
      </c>
      <c r="N10" s="139">
        <f t="shared" si="0"/>
        <v>65208079.950399034</v>
      </c>
      <c r="P10" s="77"/>
    </row>
    <row r="11" spans="1:16">
      <c r="A11" s="56" t="s">
        <v>102</v>
      </c>
      <c r="B11" s="80">
        <v>9276.2312111777246</v>
      </c>
      <c r="C11" s="80">
        <v>9227.8563495361523</v>
      </c>
      <c r="D11" s="80">
        <v>9311.5332374271875</v>
      </c>
      <c r="E11" s="80">
        <v>9347.7427947660653</v>
      </c>
      <c r="F11" s="80">
        <v>9352.3077652885422</v>
      </c>
      <c r="G11" s="80">
        <v>9330.8349490865785</v>
      </c>
      <c r="H11" s="80">
        <v>9298.1433440952496</v>
      </c>
      <c r="I11" s="80">
        <v>9298.2145898128019</v>
      </c>
      <c r="J11" s="80">
        <v>9301.028461687185</v>
      </c>
      <c r="K11" s="80">
        <v>9304.0685366174439</v>
      </c>
      <c r="L11" s="80">
        <v>9309.1327400102637</v>
      </c>
      <c r="M11" s="80">
        <v>9316.4871073515169</v>
      </c>
      <c r="N11" s="139">
        <f t="shared" si="0"/>
        <v>111673.58108685672</v>
      </c>
      <c r="P11" s="77"/>
    </row>
    <row r="12" spans="1:16">
      <c r="A12" s="56" t="s">
        <v>34</v>
      </c>
      <c r="B12" s="80">
        <v>109506017.92211826</v>
      </c>
      <c r="C12" s="80">
        <v>104901958.85822362</v>
      </c>
      <c r="D12" s="80">
        <v>102479845.63271108</v>
      </c>
      <c r="E12" s="80">
        <v>103228482.28314789</v>
      </c>
      <c r="F12" s="80">
        <v>98992734.904409751</v>
      </c>
      <c r="G12" s="80">
        <v>95511525.126098812</v>
      </c>
      <c r="H12" s="80">
        <v>100613112.57113162</v>
      </c>
      <c r="I12" s="80">
        <v>106948778.06288268</v>
      </c>
      <c r="J12" s="80">
        <v>115576804.71008979</v>
      </c>
      <c r="K12" s="80">
        <v>107821613.29281491</v>
      </c>
      <c r="L12" s="80">
        <v>98047844.012632042</v>
      </c>
      <c r="M12" s="80">
        <v>112689553.95996824</v>
      </c>
      <c r="N12" s="139">
        <f t="shared" si="0"/>
        <v>1256318271.3362288</v>
      </c>
      <c r="P12" s="77"/>
    </row>
    <row r="13" spans="1:16">
      <c r="A13" s="56" t="s">
        <v>35</v>
      </c>
      <c r="B13" s="80">
        <v>2573915.1288471231</v>
      </c>
      <c r="C13" s="80">
        <v>3073515.8843075065</v>
      </c>
      <c r="D13" s="80">
        <v>3220126.8942742357</v>
      </c>
      <c r="E13" s="80">
        <v>3201505.2986666416</v>
      </c>
      <c r="F13" s="80">
        <v>2794846.1849622987</v>
      </c>
      <c r="G13" s="80">
        <v>2236058.8761072569</v>
      </c>
      <c r="H13" s="80">
        <v>2072295.578758921</v>
      </c>
      <c r="I13" s="80">
        <v>2133538.7665766948</v>
      </c>
      <c r="J13" s="80">
        <v>2384658.115143897</v>
      </c>
      <c r="K13" s="80">
        <v>2348932.7218739134</v>
      </c>
      <c r="L13" s="80">
        <v>2087259.8064498352</v>
      </c>
      <c r="M13" s="80">
        <v>2384997.2377162278</v>
      </c>
      <c r="N13" s="139">
        <f t="shared" si="0"/>
        <v>30511650.493684553</v>
      </c>
      <c r="P13" s="77"/>
    </row>
    <row r="14" spans="1:16">
      <c r="A14" s="56" t="s">
        <v>101</v>
      </c>
      <c r="B14" s="80">
        <v>8537.7024622204808</v>
      </c>
      <c r="C14" s="80">
        <v>8269.6499717778606</v>
      </c>
      <c r="D14" s="80">
        <v>9042.1807775716588</v>
      </c>
      <c r="E14" s="80">
        <v>9063.626313626115</v>
      </c>
      <c r="F14" s="80">
        <v>9103.4670071431265</v>
      </c>
      <c r="G14" s="80">
        <v>9087.6173342898455</v>
      </c>
      <c r="H14" s="80">
        <v>9067.1587744464305</v>
      </c>
      <c r="I14" s="80">
        <v>9102.2717710635025</v>
      </c>
      <c r="J14" s="80">
        <v>9120.9277771625621</v>
      </c>
      <c r="K14" s="80">
        <v>9075.7788216002918</v>
      </c>
      <c r="L14" s="80">
        <v>8935.9272596074625</v>
      </c>
      <c r="M14" s="80">
        <v>8987.7723081121967</v>
      </c>
      <c r="N14" s="139">
        <f t="shared" si="0"/>
        <v>107394.08057862154</v>
      </c>
      <c r="P14" s="77"/>
    </row>
    <row r="15" spans="1:16">
      <c r="A15" s="57" t="s">
        <v>36</v>
      </c>
      <c r="B15" s="80">
        <v>47277779.530400008</v>
      </c>
      <c r="C15" s="80">
        <v>51489575.968199998</v>
      </c>
      <c r="D15" s="80">
        <v>53148223.699700013</v>
      </c>
      <c r="E15" s="80">
        <v>48906828.509000003</v>
      </c>
      <c r="F15" s="80">
        <v>51503533.545699999</v>
      </c>
      <c r="G15" s="80">
        <v>48641124.690499991</v>
      </c>
      <c r="H15" s="80">
        <v>50976839.8759</v>
      </c>
      <c r="I15" s="80">
        <v>52312126.080500014</v>
      </c>
      <c r="J15" s="80">
        <v>50985566.764699996</v>
      </c>
      <c r="K15" s="80">
        <v>56132715.200800002</v>
      </c>
      <c r="L15" s="80">
        <v>51619603.601199999</v>
      </c>
      <c r="M15" s="80">
        <v>50274341.803900018</v>
      </c>
      <c r="N15" s="139">
        <f t="shared" si="0"/>
        <v>613268259.27050006</v>
      </c>
      <c r="P15" s="77"/>
    </row>
    <row r="16" spans="1:16">
      <c r="A16" s="56" t="s">
        <v>37</v>
      </c>
      <c r="B16" s="78">
        <v>2441178.2246225094</v>
      </c>
      <c r="C16" s="78">
        <v>2877452.2684795642</v>
      </c>
      <c r="D16" s="78">
        <v>3716934.4990751026</v>
      </c>
      <c r="E16" s="78">
        <v>3929773.7636232069</v>
      </c>
      <c r="F16" s="78">
        <v>3746642.0601357054</v>
      </c>
      <c r="G16" s="78">
        <v>5211132.1822066605</v>
      </c>
      <c r="H16" s="78">
        <v>11910950.328383069</v>
      </c>
      <c r="I16" s="78">
        <v>19701275.852479272</v>
      </c>
      <c r="J16" s="78">
        <v>23659671.392010901</v>
      </c>
      <c r="K16" s="78">
        <v>26310703.07455606</v>
      </c>
      <c r="L16" s="78">
        <v>21478950.936136365</v>
      </c>
      <c r="M16" s="78">
        <v>12351701.436956752</v>
      </c>
      <c r="N16" s="139">
        <f t="shared" si="0"/>
        <v>137336366.01866519</v>
      </c>
      <c r="P16" s="77"/>
    </row>
    <row r="17" spans="1:16">
      <c r="A17" s="56" t="s">
        <v>38</v>
      </c>
      <c r="B17" s="78">
        <v>240550.87618366629</v>
      </c>
      <c r="C17" s="78">
        <v>287495.80400181917</v>
      </c>
      <c r="D17" s="78">
        <v>342603.54455446667</v>
      </c>
      <c r="E17" s="78">
        <v>297893.60491039779</v>
      </c>
      <c r="F17" s="78">
        <v>284559.51675713249</v>
      </c>
      <c r="G17" s="78">
        <v>365272.1026170713</v>
      </c>
      <c r="H17" s="78">
        <v>725351.67624001461</v>
      </c>
      <c r="I17" s="78">
        <v>1068794.9098005155</v>
      </c>
      <c r="J17" s="78">
        <v>1927244.2348353723</v>
      </c>
      <c r="K17" s="78">
        <v>1763499.1207013626</v>
      </c>
      <c r="L17" s="78">
        <v>1134285.0031059498</v>
      </c>
      <c r="M17" s="78">
        <v>531802.1602255184</v>
      </c>
      <c r="N17" s="139">
        <f t="shared" si="0"/>
        <v>8969352.553933287</v>
      </c>
      <c r="P17" s="77"/>
    </row>
    <row r="18" spans="1:16">
      <c r="A18" s="58" t="s">
        <v>39</v>
      </c>
      <c r="B18" s="78">
        <v>1353966.8657090797</v>
      </c>
      <c r="C18" s="78">
        <v>1387869.3700815029</v>
      </c>
      <c r="D18" s="78">
        <v>1353243.7689603779</v>
      </c>
      <c r="E18" s="78">
        <v>1301799.9532029093</v>
      </c>
      <c r="F18" s="78">
        <v>1362579.9289348186</v>
      </c>
      <c r="G18" s="78">
        <v>1325052.3887890396</v>
      </c>
      <c r="H18" s="78">
        <v>1332170.9229202326</v>
      </c>
      <c r="I18" s="78">
        <v>1334637.9482702252</v>
      </c>
      <c r="J18" s="78">
        <v>1356517.7438841905</v>
      </c>
      <c r="K18" s="78">
        <v>1347740.7167172872</v>
      </c>
      <c r="L18" s="78">
        <v>1354659.0749586485</v>
      </c>
      <c r="M18" s="78">
        <v>1329605.1771764709</v>
      </c>
      <c r="N18" s="139">
        <f t="shared" si="0"/>
        <v>16139843.859604783</v>
      </c>
      <c r="P18" s="77"/>
    </row>
    <row r="19" spans="1:16">
      <c r="A19" s="58" t="s">
        <v>100</v>
      </c>
      <c r="B19" s="78">
        <v>40211210</v>
      </c>
      <c r="C19" s="78">
        <v>39052300</v>
      </c>
      <c r="D19" s="78">
        <v>41221630</v>
      </c>
      <c r="E19" s="78">
        <v>35973165</v>
      </c>
      <c r="F19" s="78">
        <v>36961258</v>
      </c>
      <c r="G19" s="78">
        <v>43044229</v>
      </c>
      <c r="H19" s="78">
        <v>38710099</v>
      </c>
      <c r="I19" s="78">
        <v>40252308</v>
      </c>
      <c r="J19" s="78">
        <v>39301046</v>
      </c>
      <c r="K19" s="78">
        <v>42179866</v>
      </c>
      <c r="L19" s="78">
        <v>38993334</v>
      </c>
      <c r="M19" s="78">
        <v>40609892</v>
      </c>
      <c r="N19" s="139">
        <f t="shared" si="0"/>
        <v>476510337</v>
      </c>
      <c r="P19" s="77"/>
    </row>
    <row r="20" spans="1:16">
      <c r="A20" s="59" t="s">
        <v>0</v>
      </c>
      <c r="B20" s="62">
        <f t="shared" ref="B20:M20" si="1">SUM(B7:B19)</f>
        <v>478097894.84490317</v>
      </c>
      <c r="C20" s="62">
        <f t="shared" si="1"/>
        <v>553917595.65746355</v>
      </c>
      <c r="D20" s="62">
        <f t="shared" si="1"/>
        <v>567999640.32465458</v>
      </c>
      <c r="E20" s="62">
        <f t="shared" si="1"/>
        <v>511138373.57345062</v>
      </c>
      <c r="F20" s="62">
        <f t="shared" si="1"/>
        <v>479174307.41340733</v>
      </c>
      <c r="G20" s="62">
        <f t="shared" si="1"/>
        <v>431202930.93524534</v>
      </c>
      <c r="H20" s="62">
        <f t="shared" si="1"/>
        <v>418402368.87251109</v>
      </c>
      <c r="I20" s="62">
        <f t="shared" si="1"/>
        <v>430012354.94499278</v>
      </c>
      <c r="J20" s="62">
        <f t="shared" si="1"/>
        <v>471785339.38247108</v>
      </c>
      <c r="K20" s="62">
        <f t="shared" si="1"/>
        <v>486461705.41458696</v>
      </c>
      <c r="L20" s="62">
        <f t="shared" si="1"/>
        <v>418963301.30772936</v>
      </c>
      <c r="M20" s="62">
        <f t="shared" si="1"/>
        <v>439302274.80882573</v>
      </c>
      <c r="N20" s="62">
        <f>SUM(N7:N19)</f>
        <v>5686458087.4802418</v>
      </c>
    </row>
    <row r="21" spans="1:16">
      <c r="A21" s="60"/>
      <c r="B21" s="60"/>
      <c r="F21" s="60"/>
      <c r="N21" s="61"/>
    </row>
    <row r="22" spans="1:16">
      <c r="A22" s="59" t="s">
        <v>75</v>
      </c>
      <c r="B22" s="62">
        <f>B7+B8</f>
        <v>217463786.67155209</v>
      </c>
      <c r="C22" s="62">
        <f t="shared" ref="C22:M22" si="2">C7+C8</f>
        <v>287921503.13631356</v>
      </c>
      <c r="D22" s="62">
        <f t="shared" si="2"/>
        <v>300304233.73021126</v>
      </c>
      <c r="E22" s="62">
        <f t="shared" si="2"/>
        <v>255194351.70349714</v>
      </c>
      <c r="F22" s="62">
        <f t="shared" si="2"/>
        <v>227414109.65478867</v>
      </c>
      <c r="G22" s="62">
        <f t="shared" si="2"/>
        <v>186016360.46884647</v>
      </c>
      <c r="H22" s="62">
        <f t="shared" si="2"/>
        <v>164511215.57915097</v>
      </c>
      <c r="I22" s="62">
        <f t="shared" si="2"/>
        <v>157446230.1485391</v>
      </c>
      <c r="J22" s="62">
        <f t="shared" si="2"/>
        <v>179835876.84807548</v>
      </c>
      <c r="K22" s="62">
        <f t="shared" si="2"/>
        <v>192980697.52485031</v>
      </c>
      <c r="L22" s="62">
        <f t="shared" si="2"/>
        <v>155161183.79721302</v>
      </c>
      <c r="M22" s="62">
        <f t="shared" si="2"/>
        <v>167405700.57620633</v>
      </c>
      <c r="N22" s="61">
        <f>SUM(B22:M22)</f>
        <v>2491655249.8392444</v>
      </c>
      <c r="O22" s="63"/>
    </row>
    <row r="23" spans="1:16">
      <c r="A23" s="59" t="s">
        <v>103</v>
      </c>
      <c r="B23" s="62">
        <f>B9+B10+B11</f>
        <v>57020951.9230083</v>
      </c>
      <c r="C23" s="62">
        <f t="shared" ref="C23:M23" si="3">C9+C10+C11</f>
        <v>62917654.71788419</v>
      </c>
      <c r="D23" s="62">
        <f t="shared" si="3"/>
        <v>62203756.374390587</v>
      </c>
      <c r="E23" s="62">
        <f t="shared" si="3"/>
        <v>59095509.831088856</v>
      </c>
      <c r="F23" s="62">
        <f t="shared" si="3"/>
        <v>56104940.150711745</v>
      </c>
      <c r="G23" s="62">
        <f t="shared" si="3"/>
        <v>48843088.482745692</v>
      </c>
      <c r="H23" s="62">
        <f t="shared" si="3"/>
        <v>47541266.181251757</v>
      </c>
      <c r="I23" s="62">
        <f t="shared" si="3"/>
        <v>48805562.904173225</v>
      </c>
      <c r="J23" s="62">
        <f t="shared" si="3"/>
        <v>56748832.645954207</v>
      </c>
      <c r="K23" s="62">
        <f t="shared" si="3"/>
        <v>55566861.983451463</v>
      </c>
      <c r="L23" s="62">
        <f t="shared" si="3"/>
        <v>49077245.148773901</v>
      </c>
      <c r="M23" s="62">
        <f t="shared" si="3"/>
        <v>51715692.684368037</v>
      </c>
      <c r="N23" s="61">
        <f t="shared" ref="N23:N27" si="4">SUM(B23:M23)</f>
        <v>655641363.02780187</v>
      </c>
    </row>
    <row r="24" spans="1:16">
      <c r="A24" s="59" t="s">
        <v>105</v>
      </c>
      <c r="B24" s="62">
        <f>B12+B13+B14</f>
        <v>112088470.75342761</v>
      </c>
      <c r="C24" s="62">
        <f t="shared" ref="C24:M24" si="5">C12+C13+C14</f>
        <v>107983744.3925029</v>
      </c>
      <c r="D24" s="62">
        <f t="shared" si="5"/>
        <v>105709014.70776288</v>
      </c>
      <c r="E24" s="62">
        <f t="shared" si="5"/>
        <v>106439051.20812815</v>
      </c>
      <c r="F24" s="62">
        <f t="shared" si="5"/>
        <v>101796684.5563792</v>
      </c>
      <c r="G24" s="62">
        <f t="shared" si="5"/>
        <v>97756671.619540364</v>
      </c>
      <c r="H24" s="62">
        <f t="shared" si="5"/>
        <v>102694475.30866499</v>
      </c>
      <c r="I24" s="62">
        <f t="shared" si="5"/>
        <v>109091419.10123043</v>
      </c>
      <c r="J24" s="62">
        <f t="shared" si="5"/>
        <v>117970583.75301084</v>
      </c>
      <c r="K24" s="62">
        <f t="shared" si="5"/>
        <v>110179621.79351042</v>
      </c>
      <c r="L24" s="62">
        <f t="shared" si="5"/>
        <v>100144039.74634148</v>
      </c>
      <c r="M24" s="62">
        <f t="shared" si="5"/>
        <v>115083538.96999258</v>
      </c>
      <c r="N24" s="61">
        <f t="shared" si="4"/>
        <v>1286937315.9104919</v>
      </c>
    </row>
    <row r="25" spans="1:16">
      <c r="A25" s="59" t="s">
        <v>104</v>
      </c>
      <c r="B25" s="62">
        <f>B15+B19</f>
        <v>87488989.530400008</v>
      </c>
      <c r="C25" s="62">
        <f t="shared" ref="C25:M25" si="6">C15+C19</f>
        <v>90541875.968199998</v>
      </c>
      <c r="D25" s="62">
        <f t="shared" si="6"/>
        <v>94369853.699700013</v>
      </c>
      <c r="E25" s="62">
        <f t="shared" si="6"/>
        <v>84879993.509000003</v>
      </c>
      <c r="F25" s="62">
        <f t="shared" si="6"/>
        <v>88464791.545699999</v>
      </c>
      <c r="G25" s="62">
        <f t="shared" si="6"/>
        <v>91685353.690499991</v>
      </c>
      <c r="H25" s="62">
        <f t="shared" si="6"/>
        <v>89686938.8759</v>
      </c>
      <c r="I25" s="62">
        <f t="shared" si="6"/>
        <v>92564434.080500007</v>
      </c>
      <c r="J25" s="62">
        <f t="shared" si="6"/>
        <v>90286612.764699996</v>
      </c>
      <c r="K25" s="62">
        <f t="shared" si="6"/>
        <v>98312581.200800002</v>
      </c>
      <c r="L25" s="62">
        <f t="shared" si="6"/>
        <v>90612937.601199999</v>
      </c>
      <c r="M25" s="62">
        <f t="shared" si="6"/>
        <v>90884233.803900018</v>
      </c>
      <c r="N25" s="61">
        <f t="shared" si="4"/>
        <v>1089778596.2705002</v>
      </c>
    </row>
    <row r="26" spans="1:16">
      <c r="A26" s="59" t="s">
        <v>40</v>
      </c>
      <c r="B26" s="62">
        <f>B16+B17</f>
        <v>2681729.1008061757</v>
      </c>
      <c r="C26" s="62">
        <f t="shared" ref="C26:M26" si="7">C16+C17</f>
        <v>3164948.0724813836</v>
      </c>
      <c r="D26" s="62">
        <f t="shared" si="7"/>
        <v>4059538.0436295695</v>
      </c>
      <c r="E26" s="62">
        <f t="shared" si="7"/>
        <v>4227667.3685336048</v>
      </c>
      <c r="F26" s="62">
        <f t="shared" si="7"/>
        <v>4031201.5768928379</v>
      </c>
      <c r="G26" s="62">
        <f t="shared" si="7"/>
        <v>5576404.2848237315</v>
      </c>
      <c r="H26" s="62">
        <f t="shared" si="7"/>
        <v>12636302.004623083</v>
      </c>
      <c r="I26" s="62">
        <f t="shared" si="7"/>
        <v>20770070.762279786</v>
      </c>
      <c r="J26" s="62">
        <f t="shared" si="7"/>
        <v>25586915.626846272</v>
      </c>
      <c r="K26" s="62">
        <f t="shared" si="7"/>
        <v>28074202.195257422</v>
      </c>
      <c r="L26" s="62">
        <f t="shared" si="7"/>
        <v>22613235.939242315</v>
      </c>
      <c r="M26" s="62">
        <f t="shared" si="7"/>
        <v>12883503.59718227</v>
      </c>
      <c r="N26" s="61">
        <f t="shared" si="4"/>
        <v>146305718.57259846</v>
      </c>
    </row>
    <row r="27" spans="1:16">
      <c r="A27" s="59" t="s">
        <v>39</v>
      </c>
      <c r="B27" s="62">
        <f>B18</f>
        <v>1353966.8657090797</v>
      </c>
      <c r="C27" s="62">
        <f t="shared" ref="C27:M27" si="8">C18</f>
        <v>1387869.3700815029</v>
      </c>
      <c r="D27" s="62">
        <f t="shared" si="8"/>
        <v>1353243.7689603779</v>
      </c>
      <c r="E27" s="62">
        <f t="shared" si="8"/>
        <v>1301799.9532029093</v>
      </c>
      <c r="F27" s="62">
        <f t="shared" si="8"/>
        <v>1362579.9289348186</v>
      </c>
      <c r="G27" s="62">
        <f t="shared" si="8"/>
        <v>1325052.3887890396</v>
      </c>
      <c r="H27" s="62">
        <f t="shared" si="8"/>
        <v>1332170.9229202326</v>
      </c>
      <c r="I27" s="62">
        <f t="shared" si="8"/>
        <v>1334637.9482702252</v>
      </c>
      <c r="J27" s="62">
        <f t="shared" si="8"/>
        <v>1356517.7438841905</v>
      </c>
      <c r="K27" s="62">
        <f t="shared" si="8"/>
        <v>1347740.7167172872</v>
      </c>
      <c r="L27" s="62">
        <f t="shared" si="8"/>
        <v>1354659.0749586485</v>
      </c>
      <c r="M27" s="62">
        <f t="shared" si="8"/>
        <v>1329605.1771764709</v>
      </c>
      <c r="N27" s="61">
        <f t="shared" si="4"/>
        <v>16139843.859604783</v>
      </c>
    </row>
    <row r="28" spans="1:16">
      <c r="A28" s="59" t="s">
        <v>0</v>
      </c>
      <c r="B28" s="62">
        <f>SUM(B22:B27)</f>
        <v>478097894.84490329</v>
      </c>
      <c r="C28" s="61">
        <f>SUM(C22:C27)</f>
        <v>553917595.65746355</v>
      </c>
      <c r="D28" s="61">
        <f>SUM(D22:D27)</f>
        <v>567999640.3246547</v>
      </c>
      <c r="E28" s="61">
        <f>SUM(E22:E27)</f>
        <v>511138373.57345068</v>
      </c>
      <c r="F28" s="62">
        <f>SUM(F22:F27)</f>
        <v>479174307.41340727</v>
      </c>
      <c r="G28" s="61">
        <f t="shared" ref="G28:N28" si="9">SUM(G22:G27)</f>
        <v>431202930.93524534</v>
      </c>
      <c r="H28" s="61">
        <f t="shared" si="9"/>
        <v>418402368.87251103</v>
      </c>
      <c r="I28" s="61">
        <f t="shared" si="9"/>
        <v>430012354.94499278</v>
      </c>
      <c r="J28" s="61">
        <f t="shared" si="9"/>
        <v>471785339.38247097</v>
      </c>
      <c r="K28" s="61">
        <f t="shared" si="9"/>
        <v>486461705.4145869</v>
      </c>
      <c r="L28" s="61">
        <f t="shared" si="9"/>
        <v>418963301.3077293</v>
      </c>
      <c r="M28" s="61">
        <f t="shared" si="9"/>
        <v>439302274.80882573</v>
      </c>
      <c r="N28" s="61">
        <f t="shared" si="9"/>
        <v>5686458087.4802418</v>
      </c>
    </row>
    <row r="29" spans="1:16">
      <c r="A29" s="60"/>
      <c r="B29" s="60"/>
      <c r="F29" s="60"/>
      <c r="N29" s="61">
        <f>SUM(B29:M29)</f>
        <v>0</v>
      </c>
    </row>
    <row r="30" spans="1:16">
      <c r="A30" s="59" t="s">
        <v>72</v>
      </c>
      <c r="B30" s="61">
        <f>SUM(B7:B19)-SUM(B22:B27)</f>
        <v>0</v>
      </c>
      <c r="C30" s="61">
        <f>SUM(C7:C19)-SUM(C22:C27)</f>
        <v>0</v>
      </c>
      <c r="D30" s="61">
        <f t="shared" ref="D30:M30" si="10">SUM(D7:D19)-SUM(D22:D27)</f>
        <v>0</v>
      </c>
      <c r="E30" s="61">
        <f t="shared" si="10"/>
        <v>0</v>
      </c>
      <c r="F30" s="61">
        <f t="shared" si="10"/>
        <v>0</v>
      </c>
      <c r="G30" s="61">
        <f t="shared" si="10"/>
        <v>0</v>
      </c>
      <c r="H30" s="61">
        <f t="shared" si="10"/>
        <v>0</v>
      </c>
      <c r="I30" s="61">
        <f t="shared" si="10"/>
        <v>0</v>
      </c>
      <c r="J30" s="61">
        <f t="shared" si="10"/>
        <v>0</v>
      </c>
      <c r="K30" s="61">
        <f t="shared" si="10"/>
        <v>0</v>
      </c>
      <c r="L30" s="61">
        <f t="shared" si="10"/>
        <v>0</v>
      </c>
      <c r="M30" s="61">
        <f t="shared" si="10"/>
        <v>0</v>
      </c>
      <c r="N30" s="61">
        <f>SUM(N7:N19)-SUM(N22:N27)</f>
        <v>0</v>
      </c>
    </row>
    <row r="33" spans="1:17">
      <c r="A33" s="2" t="s">
        <v>42</v>
      </c>
    </row>
    <row r="34" spans="1:17">
      <c r="A34" s="53" t="s">
        <v>64</v>
      </c>
      <c r="F34" s="74"/>
    </row>
    <row r="36" spans="1:17">
      <c r="B36" s="54">
        <f t="shared" ref="B36:M36" si="11">B6</f>
        <v>44866</v>
      </c>
      <c r="C36" s="54">
        <f t="shared" si="11"/>
        <v>44896</v>
      </c>
      <c r="D36" s="54">
        <f t="shared" si="11"/>
        <v>44927</v>
      </c>
      <c r="E36" s="54">
        <f t="shared" si="11"/>
        <v>44958</v>
      </c>
      <c r="F36" s="54">
        <f t="shared" si="11"/>
        <v>44986</v>
      </c>
      <c r="G36" s="54">
        <f t="shared" si="11"/>
        <v>45017</v>
      </c>
      <c r="H36" s="54">
        <f t="shared" si="11"/>
        <v>45047</v>
      </c>
      <c r="I36" s="54">
        <f t="shared" si="11"/>
        <v>45078</v>
      </c>
      <c r="J36" s="54">
        <f t="shared" si="11"/>
        <v>45108</v>
      </c>
      <c r="K36" s="54">
        <f t="shared" si="11"/>
        <v>45139</v>
      </c>
      <c r="L36" s="54">
        <f t="shared" si="11"/>
        <v>45170</v>
      </c>
      <c r="M36" s="54">
        <f t="shared" si="11"/>
        <v>45200</v>
      </c>
      <c r="N36" s="55" t="s">
        <v>0</v>
      </c>
    </row>
    <row r="37" spans="1:17">
      <c r="A37" s="56" t="s">
        <v>31</v>
      </c>
      <c r="B37" s="80">
        <v>227056</v>
      </c>
      <c r="C37" s="80">
        <v>227511</v>
      </c>
      <c r="D37" s="80">
        <v>227805</v>
      </c>
      <c r="E37" s="80">
        <v>227797</v>
      </c>
      <c r="F37" s="80">
        <v>227745</v>
      </c>
      <c r="G37" s="80">
        <v>227726</v>
      </c>
      <c r="H37" s="80">
        <v>227438</v>
      </c>
      <c r="I37" s="80">
        <v>227108</v>
      </c>
      <c r="J37" s="80">
        <v>227478</v>
      </c>
      <c r="K37" s="80">
        <v>227639</v>
      </c>
      <c r="L37" s="80">
        <v>228290</v>
      </c>
      <c r="M37" s="80">
        <v>228851</v>
      </c>
      <c r="N37" s="139">
        <f>SUM(B37:M37)</f>
        <v>2732444</v>
      </c>
      <c r="P37" s="77"/>
      <c r="Q37" s="79"/>
    </row>
    <row r="38" spans="1:17">
      <c r="A38" s="56" t="s">
        <v>99</v>
      </c>
      <c r="B38" s="80">
        <v>733</v>
      </c>
      <c r="C38" s="80">
        <v>741</v>
      </c>
      <c r="D38" s="80">
        <v>749</v>
      </c>
      <c r="E38" s="80">
        <v>757</v>
      </c>
      <c r="F38" s="80">
        <v>765</v>
      </c>
      <c r="G38" s="80">
        <v>773</v>
      </c>
      <c r="H38" s="80">
        <v>781</v>
      </c>
      <c r="I38" s="80">
        <v>789</v>
      </c>
      <c r="J38" s="80">
        <v>797</v>
      </c>
      <c r="K38" s="80">
        <v>805</v>
      </c>
      <c r="L38" s="80">
        <v>813</v>
      </c>
      <c r="M38" s="80">
        <v>821</v>
      </c>
      <c r="N38" s="139">
        <f t="shared" ref="N38:N49" si="12">SUM(B38:M38)</f>
        <v>9324</v>
      </c>
      <c r="P38" s="77"/>
      <c r="Q38" s="79"/>
    </row>
    <row r="39" spans="1:17">
      <c r="A39" s="56" t="s">
        <v>32</v>
      </c>
      <c r="B39" s="80">
        <v>23914.796846273195</v>
      </c>
      <c r="C39" s="80">
        <v>23966.819700281692</v>
      </c>
      <c r="D39" s="80">
        <v>24011.772482118762</v>
      </c>
      <c r="E39" s="80">
        <v>24023.770088449255</v>
      </c>
      <c r="F39" s="80">
        <v>24028.787105719948</v>
      </c>
      <c r="G39" s="80">
        <v>24042.788404068393</v>
      </c>
      <c r="H39" s="80">
        <v>24032.789104485208</v>
      </c>
      <c r="I39" s="80">
        <v>24087.78781418721</v>
      </c>
      <c r="J39" s="80">
        <v>24071.782499838129</v>
      </c>
      <c r="K39" s="80">
        <v>24108.784169458024</v>
      </c>
      <c r="L39" s="80">
        <v>24116.786516292821</v>
      </c>
      <c r="M39" s="80">
        <v>24175.786418054966</v>
      </c>
      <c r="N39" s="139">
        <f t="shared" si="12"/>
        <v>288582.45114922756</v>
      </c>
      <c r="P39" s="77"/>
      <c r="Q39" s="79"/>
    </row>
    <row r="40" spans="1:17">
      <c r="A40" s="56" t="s">
        <v>33</v>
      </c>
      <c r="B40" s="80">
        <v>10471</v>
      </c>
      <c r="C40" s="80">
        <v>10543</v>
      </c>
      <c r="D40" s="80">
        <v>10524</v>
      </c>
      <c r="E40" s="80">
        <v>10546</v>
      </c>
      <c r="F40" s="80">
        <v>10577</v>
      </c>
      <c r="G40" s="80">
        <v>10560</v>
      </c>
      <c r="H40" s="80">
        <v>10591</v>
      </c>
      <c r="I40" s="80">
        <v>10602</v>
      </c>
      <c r="J40" s="80">
        <v>10647</v>
      </c>
      <c r="K40" s="80">
        <v>10639</v>
      </c>
      <c r="L40" s="80">
        <v>10642</v>
      </c>
      <c r="M40" s="80">
        <v>10717</v>
      </c>
      <c r="N40" s="139">
        <f t="shared" si="12"/>
        <v>127059</v>
      </c>
      <c r="P40" s="77"/>
      <c r="Q40" s="79"/>
    </row>
    <row r="41" spans="1:17">
      <c r="A41" s="56" t="s">
        <v>102</v>
      </c>
      <c r="B41" s="80">
        <v>2.9608977830803362</v>
      </c>
      <c r="C41" s="80">
        <v>2.9565530923114851</v>
      </c>
      <c r="D41" s="80">
        <v>2.9764170161485644</v>
      </c>
      <c r="E41" s="80">
        <v>2.9888858478468263</v>
      </c>
      <c r="F41" s="80">
        <v>2.9920709999700299</v>
      </c>
      <c r="G41" s="80">
        <v>2.9837554964187989</v>
      </c>
      <c r="H41" s="80">
        <v>2.9736899920787754</v>
      </c>
      <c r="I41" s="80">
        <v>2.9739339374357989</v>
      </c>
      <c r="J41" s="80">
        <v>2.974556907784768</v>
      </c>
      <c r="K41" s="80">
        <v>2.9756401192305981</v>
      </c>
      <c r="L41" s="80">
        <v>2.9772781565806272</v>
      </c>
      <c r="M41" s="80">
        <v>2.9795809414994205</v>
      </c>
      <c r="N41" s="139">
        <f t="shared" si="12"/>
        <v>35.713260290386025</v>
      </c>
      <c r="P41" s="77"/>
      <c r="Q41" s="79"/>
    </row>
    <row r="42" spans="1:17">
      <c r="A42" s="56" t="s">
        <v>34</v>
      </c>
      <c r="B42" s="80">
        <v>1712.077705909632</v>
      </c>
      <c r="C42" s="80">
        <v>1718.1021314021013</v>
      </c>
      <c r="D42" s="80">
        <v>1721.3352590189436</v>
      </c>
      <c r="E42" s="80">
        <v>1726.1067528260774</v>
      </c>
      <c r="F42" s="80">
        <v>1723.6583544504726</v>
      </c>
      <c r="G42" s="80">
        <v>1720.854271025049</v>
      </c>
      <c r="H42" s="80">
        <v>1719.3747392894822</v>
      </c>
      <c r="I42" s="80">
        <v>1719.6521712158692</v>
      </c>
      <c r="J42" s="80">
        <v>1719.017732496033</v>
      </c>
      <c r="K42" s="80">
        <v>1718.5828666894461</v>
      </c>
      <c r="L42" s="80">
        <v>1717.4839924672067</v>
      </c>
      <c r="M42" s="80">
        <v>1721.5536824948053</v>
      </c>
      <c r="N42" s="139">
        <f t="shared" si="12"/>
        <v>20637.79965928512</v>
      </c>
      <c r="P42" s="77"/>
      <c r="Q42" s="79"/>
    </row>
    <row r="43" spans="1:17">
      <c r="A43" s="56" t="s">
        <v>35</v>
      </c>
      <c r="B43" s="80">
        <v>44.260886805380814</v>
      </c>
      <c r="C43" s="80">
        <v>44.365960705829224</v>
      </c>
      <c r="D43" s="80">
        <v>44.396457431314992</v>
      </c>
      <c r="E43" s="80">
        <v>44.387828883924577</v>
      </c>
      <c r="F43" s="80">
        <v>44.336814624251623</v>
      </c>
      <c r="G43" s="80">
        <v>44.278076954050363</v>
      </c>
      <c r="H43" s="80">
        <v>44.248877348369383</v>
      </c>
      <c r="I43" s="80">
        <v>44.254546718449554</v>
      </c>
      <c r="J43" s="80">
        <v>44.259432668623845</v>
      </c>
      <c r="K43" s="80">
        <v>44.270309702726841</v>
      </c>
      <c r="L43" s="80">
        <v>44.281197960092669</v>
      </c>
      <c r="M43" s="80">
        <v>44.292023776306088</v>
      </c>
      <c r="N43" s="139">
        <f t="shared" si="12"/>
        <v>531.63241357931997</v>
      </c>
      <c r="P43" s="77"/>
      <c r="Q43" s="79"/>
    </row>
    <row r="44" spans="1:17">
      <c r="A44" s="56" t="s">
        <v>101</v>
      </c>
      <c r="B44" s="80">
        <v>2.457177186</v>
      </c>
      <c r="C44" s="80">
        <v>2.4028949046000001</v>
      </c>
      <c r="D44" s="80">
        <v>2.64318439506</v>
      </c>
      <c r="E44" s="80">
        <v>2.6475028345660001</v>
      </c>
      <c r="F44" s="80">
        <v>2.6462531180226003</v>
      </c>
      <c r="G44" s="80">
        <v>2.6482784298248601</v>
      </c>
      <c r="H44" s="80">
        <v>2.6442462728073464</v>
      </c>
      <c r="I44" s="80">
        <v>2.6529249000880806</v>
      </c>
      <c r="J44" s="80">
        <v>2.6568967900968889</v>
      </c>
      <c r="K44" s="80">
        <v>2.6451338091065777</v>
      </c>
      <c r="L44" s="80">
        <v>2.6044492640172354</v>
      </c>
      <c r="M44" s="80">
        <v>2.6191764718189594</v>
      </c>
      <c r="N44" s="139">
        <f t="shared" si="12"/>
        <v>31.268118376008552</v>
      </c>
      <c r="P44" s="77"/>
      <c r="Q44" s="79"/>
    </row>
    <row r="45" spans="1:17">
      <c r="A45" s="57" t="s">
        <v>36</v>
      </c>
      <c r="B45" s="80">
        <v>22</v>
      </c>
      <c r="C45" s="80">
        <v>22</v>
      </c>
      <c r="D45" s="80">
        <v>22</v>
      </c>
      <c r="E45" s="80">
        <v>22</v>
      </c>
      <c r="F45" s="80">
        <v>22</v>
      </c>
      <c r="G45" s="80">
        <v>22</v>
      </c>
      <c r="H45" s="80">
        <v>22</v>
      </c>
      <c r="I45" s="80">
        <v>22</v>
      </c>
      <c r="J45" s="80">
        <v>22</v>
      </c>
      <c r="K45" s="80">
        <v>22</v>
      </c>
      <c r="L45" s="80">
        <v>22</v>
      </c>
      <c r="M45" s="80">
        <v>22</v>
      </c>
      <c r="N45" s="139">
        <f t="shared" si="12"/>
        <v>264</v>
      </c>
      <c r="P45" s="77"/>
      <c r="Q45" s="79"/>
    </row>
    <row r="46" spans="1:17">
      <c r="A46" s="56" t="s">
        <v>37</v>
      </c>
      <c r="B46" s="78">
        <v>1268.6551144234782</v>
      </c>
      <c r="C46" s="78">
        <v>1274.5796072921012</v>
      </c>
      <c r="D46" s="78">
        <v>1279.5420412331098</v>
      </c>
      <c r="E46" s="78">
        <v>1269.5416446692025</v>
      </c>
      <c r="F46" s="78">
        <v>1283.4089150583025</v>
      </c>
      <c r="G46" s="78">
        <v>1274.3187079798276</v>
      </c>
      <c r="H46" s="78">
        <v>1272.4211003114801</v>
      </c>
      <c r="I46" s="78">
        <v>1284.6253107541033</v>
      </c>
      <c r="J46" s="78">
        <v>1276.5518659905563</v>
      </c>
      <c r="K46" s="78">
        <v>1285.9206761917371</v>
      </c>
      <c r="L46" s="78">
        <v>1278.7386695792911</v>
      </c>
      <c r="M46" s="78">
        <v>1283.7154530023281</v>
      </c>
      <c r="N46" s="139">
        <f t="shared" si="12"/>
        <v>15332.019106485517</v>
      </c>
      <c r="P46" s="77"/>
      <c r="Q46" s="79"/>
    </row>
    <row r="47" spans="1:17">
      <c r="A47" s="56" t="s">
        <v>38</v>
      </c>
      <c r="B47" s="78">
        <v>1250.6368617521466</v>
      </c>
      <c r="C47" s="78">
        <v>1250.5232668981589</v>
      </c>
      <c r="D47" s="78">
        <v>1250.4002058063388</v>
      </c>
      <c r="E47" s="78">
        <v>1250.4057785124228</v>
      </c>
      <c r="F47" s="78">
        <v>1250.8284822773467</v>
      </c>
      <c r="G47" s="78">
        <v>1250.3165039486071</v>
      </c>
      <c r="H47" s="78">
        <v>1250.3801092159292</v>
      </c>
      <c r="I47" s="78">
        <v>1250.4173951948287</v>
      </c>
      <c r="J47" s="78">
        <v>1250.2915891895452</v>
      </c>
      <c r="K47" s="78">
        <v>1250.2738613834172</v>
      </c>
      <c r="L47" s="78">
        <v>1250.3205984624515</v>
      </c>
      <c r="M47" s="78">
        <v>1250.4357232394955</v>
      </c>
      <c r="N47" s="139">
        <f t="shared" si="12"/>
        <v>15005.230375880687</v>
      </c>
      <c r="P47" s="77"/>
      <c r="Q47" s="79"/>
    </row>
    <row r="48" spans="1:17">
      <c r="A48" s="58" t="s">
        <v>39</v>
      </c>
      <c r="B48" s="78">
        <v>499.32333333333344</v>
      </c>
      <c r="C48" s="78">
        <v>500.43333333333345</v>
      </c>
      <c r="D48" s="78">
        <v>501.54333333333346</v>
      </c>
      <c r="E48" s="78">
        <v>502.65333333333348</v>
      </c>
      <c r="F48" s="78">
        <v>503.76333333333349</v>
      </c>
      <c r="G48" s="78">
        <v>504.87333333333351</v>
      </c>
      <c r="H48" s="78">
        <v>505.98333333333352</v>
      </c>
      <c r="I48" s="78">
        <v>507.09333333333353</v>
      </c>
      <c r="J48" s="78">
        <v>508.20333333333355</v>
      </c>
      <c r="K48" s="78">
        <v>509.31333333333356</v>
      </c>
      <c r="L48" s="78">
        <v>510.42333333333357</v>
      </c>
      <c r="M48" s="78">
        <v>511.53333333333359</v>
      </c>
      <c r="N48" s="139">
        <f t="shared" si="12"/>
        <v>6065.1400000000021</v>
      </c>
      <c r="P48" s="77"/>
      <c r="Q48" s="79"/>
    </row>
    <row r="49" spans="1:17">
      <c r="A49" s="58" t="s">
        <v>100</v>
      </c>
      <c r="B49" s="78">
        <v>1</v>
      </c>
      <c r="C49" s="78">
        <v>1</v>
      </c>
      <c r="D49" s="78">
        <v>1</v>
      </c>
      <c r="E49" s="78">
        <v>1</v>
      </c>
      <c r="F49" s="78">
        <v>1</v>
      </c>
      <c r="G49" s="78">
        <v>1</v>
      </c>
      <c r="H49" s="78">
        <v>1</v>
      </c>
      <c r="I49" s="78">
        <v>1</v>
      </c>
      <c r="J49" s="78">
        <v>1</v>
      </c>
      <c r="K49" s="78">
        <v>1</v>
      </c>
      <c r="L49" s="78">
        <v>1</v>
      </c>
      <c r="M49" s="78">
        <v>1</v>
      </c>
      <c r="N49" s="139">
        <f t="shared" si="12"/>
        <v>12</v>
      </c>
      <c r="P49" s="77"/>
      <c r="Q49" s="79"/>
    </row>
    <row r="50" spans="1:17">
      <c r="A50" s="59" t="s">
        <v>0</v>
      </c>
      <c r="B50" s="62">
        <f>SUM(B37:B49)</f>
        <v>266978.16882346617</v>
      </c>
      <c r="C50" s="62">
        <f t="shared" ref="C50:M50" si="13">SUM(C37:C49)</f>
        <v>267578.18344791018</v>
      </c>
      <c r="D50" s="62">
        <f t="shared" si="13"/>
        <v>267915.60938035301</v>
      </c>
      <c r="E50" s="62">
        <f t="shared" si="13"/>
        <v>267945.50181535661</v>
      </c>
      <c r="F50" s="62">
        <f t="shared" si="13"/>
        <v>267950.42132958159</v>
      </c>
      <c r="G50" s="62">
        <f t="shared" si="13"/>
        <v>267925.06133123551</v>
      </c>
      <c r="H50" s="62">
        <f t="shared" si="13"/>
        <v>267663.81520024867</v>
      </c>
      <c r="I50" s="62">
        <f t="shared" si="13"/>
        <v>267421.45743024128</v>
      </c>
      <c r="J50" s="62">
        <f t="shared" si="13"/>
        <v>267820.73790721409</v>
      </c>
      <c r="K50" s="62">
        <f t="shared" si="13"/>
        <v>268028.76599068707</v>
      </c>
      <c r="L50" s="62">
        <f t="shared" si="13"/>
        <v>268691.61603551579</v>
      </c>
      <c r="M50" s="62">
        <f t="shared" si="13"/>
        <v>269404.91539131454</v>
      </c>
      <c r="N50" s="62">
        <f>SUM(N37:N49)</f>
        <v>3215324.2540831245</v>
      </c>
    </row>
    <row r="51" spans="1:17">
      <c r="A51" s="60"/>
      <c r="N51" s="61"/>
    </row>
    <row r="52" spans="1:17">
      <c r="A52" s="59" t="s">
        <v>75</v>
      </c>
      <c r="B52" s="62">
        <f>B37+B38</f>
        <v>227789</v>
      </c>
      <c r="C52" s="62">
        <f t="shared" ref="C52:M52" si="14">C37+C38</f>
        <v>228252</v>
      </c>
      <c r="D52" s="62">
        <f t="shared" si="14"/>
        <v>228554</v>
      </c>
      <c r="E52" s="62">
        <f t="shared" si="14"/>
        <v>228554</v>
      </c>
      <c r="F52" s="62">
        <f t="shared" si="14"/>
        <v>228510</v>
      </c>
      <c r="G52" s="62">
        <f t="shared" si="14"/>
        <v>228499</v>
      </c>
      <c r="H52" s="62">
        <f t="shared" si="14"/>
        <v>228219</v>
      </c>
      <c r="I52" s="62">
        <f t="shared" si="14"/>
        <v>227897</v>
      </c>
      <c r="J52" s="62">
        <f t="shared" si="14"/>
        <v>228275</v>
      </c>
      <c r="K52" s="62">
        <f t="shared" si="14"/>
        <v>228444</v>
      </c>
      <c r="L52" s="62">
        <f t="shared" si="14"/>
        <v>229103</v>
      </c>
      <c r="M52" s="62">
        <f t="shared" si="14"/>
        <v>229672</v>
      </c>
      <c r="N52" s="61">
        <f>SUM(B52:M52)</f>
        <v>2741768</v>
      </c>
    </row>
    <row r="53" spans="1:17">
      <c r="A53" s="59" t="s">
        <v>103</v>
      </c>
      <c r="B53" s="62">
        <f>B39+B40+B41</f>
        <v>34388.757744056275</v>
      </c>
      <c r="C53" s="62">
        <f t="shared" ref="C53:M53" si="15">C39+C40+C41</f>
        <v>34512.776253374002</v>
      </c>
      <c r="D53" s="62">
        <f t="shared" si="15"/>
        <v>34538.748899134909</v>
      </c>
      <c r="E53" s="62">
        <f t="shared" si="15"/>
        <v>34572.758974297096</v>
      </c>
      <c r="F53" s="62">
        <f t="shared" si="15"/>
        <v>34608.779176719923</v>
      </c>
      <c r="G53" s="62">
        <f t="shared" si="15"/>
        <v>34605.772159564811</v>
      </c>
      <c r="H53" s="62">
        <f t="shared" si="15"/>
        <v>34626.762794477283</v>
      </c>
      <c r="I53" s="62">
        <f t="shared" si="15"/>
        <v>34692.761748124642</v>
      </c>
      <c r="J53" s="62">
        <f t="shared" si="15"/>
        <v>34721.757056745912</v>
      </c>
      <c r="K53" s="62">
        <f t="shared" si="15"/>
        <v>34750.759809577256</v>
      </c>
      <c r="L53" s="62">
        <f t="shared" si="15"/>
        <v>34761.763794449398</v>
      </c>
      <c r="M53" s="62">
        <f t="shared" si="15"/>
        <v>34895.765998996467</v>
      </c>
      <c r="N53" s="61">
        <f t="shared" ref="N53:N57" si="16">SUM(B53:M53)</f>
        <v>415677.16440951795</v>
      </c>
    </row>
    <row r="54" spans="1:17">
      <c r="A54" s="59" t="s">
        <v>105</v>
      </c>
      <c r="B54" s="62">
        <f>B42+B43+B44</f>
        <v>1758.7957699010128</v>
      </c>
      <c r="C54" s="62">
        <f t="shared" ref="C54:M54" si="17">C42+C43+C44</f>
        <v>1764.8709870125306</v>
      </c>
      <c r="D54" s="62">
        <f t="shared" si="17"/>
        <v>1768.3749008453185</v>
      </c>
      <c r="E54" s="62">
        <f t="shared" si="17"/>
        <v>1773.142084544568</v>
      </c>
      <c r="F54" s="62">
        <f t="shared" si="17"/>
        <v>1770.6414221927469</v>
      </c>
      <c r="G54" s="62">
        <f t="shared" si="17"/>
        <v>1767.7806264089243</v>
      </c>
      <c r="H54" s="62">
        <f t="shared" si="17"/>
        <v>1766.267862910659</v>
      </c>
      <c r="I54" s="62">
        <f t="shared" si="17"/>
        <v>1766.5596428344068</v>
      </c>
      <c r="J54" s="62">
        <f t="shared" si="17"/>
        <v>1765.9340619547536</v>
      </c>
      <c r="K54" s="62">
        <f t="shared" si="17"/>
        <v>1765.4983102012793</v>
      </c>
      <c r="L54" s="62">
        <f t="shared" si="17"/>
        <v>1764.3696396913165</v>
      </c>
      <c r="M54" s="62">
        <f t="shared" si="17"/>
        <v>1768.4648827429303</v>
      </c>
      <c r="N54" s="61">
        <f t="shared" si="16"/>
        <v>21200.700191240448</v>
      </c>
    </row>
    <row r="55" spans="1:17">
      <c r="A55" s="59" t="s">
        <v>104</v>
      </c>
      <c r="B55" s="62">
        <f>B45+B49</f>
        <v>23</v>
      </c>
      <c r="C55" s="62">
        <f t="shared" ref="C55:M55" si="18">C45+C49</f>
        <v>23</v>
      </c>
      <c r="D55" s="62">
        <f t="shared" si="18"/>
        <v>23</v>
      </c>
      <c r="E55" s="62">
        <f t="shared" si="18"/>
        <v>23</v>
      </c>
      <c r="F55" s="62">
        <f t="shared" si="18"/>
        <v>23</v>
      </c>
      <c r="G55" s="62">
        <f t="shared" si="18"/>
        <v>23</v>
      </c>
      <c r="H55" s="62">
        <f t="shared" si="18"/>
        <v>23</v>
      </c>
      <c r="I55" s="62">
        <f t="shared" si="18"/>
        <v>23</v>
      </c>
      <c r="J55" s="62">
        <f t="shared" si="18"/>
        <v>23</v>
      </c>
      <c r="K55" s="62">
        <f t="shared" si="18"/>
        <v>23</v>
      </c>
      <c r="L55" s="62">
        <f t="shared" si="18"/>
        <v>23</v>
      </c>
      <c r="M55" s="62">
        <f t="shared" si="18"/>
        <v>23</v>
      </c>
      <c r="N55" s="61">
        <f t="shared" si="16"/>
        <v>276</v>
      </c>
    </row>
    <row r="56" spans="1:17">
      <c r="A56" s="59" t="s">
        <v>40</v>
      </c>
      <c r="B56" s="62">
        <f>B46+B47</f>
        <v>2519.2919761756248</v>
      </c>
      <c r="C56" s="62">
        <f t="shared" ref="C56:M56" si="19">C46+C47</f>
        <v>2525.1028741902601</v>
      </c>
      <c r="D56" s="62">
        <f t="shared" si="19"/>
        <v>2529.9422470394484</v>
      </c>
      <c r="E56" s="62">
        <f t="shared" si="19"/>
        <v>2519.9474231816253</v>
      </c>
      <c r="F56" s="62">
        <f t="shared" si="19"/>
        <v>2534.2373973356489</v>
      </c>
      <c r="G56" s="62">
        <f t="shared" si="19"/>
        <v>2524.6352119284347</v>
      </c>
      <c r="H56" s="62">
        <f t="shared" si="19"/>
        <v>2522.8012095274094</v>
      </c>
      <c r="I56" s="62">
        <f t="shared" si="19"/>
        <v>2535.0427059489321</v>
      </c>
      <c r="J56" s="62">
        <f t="shared" si="19"/>
        <v>2526.8434551801015</v>
      </c>
      <c r="K56" s="62">
        <f t="shared" si="19"/>
        <v>2536.1945375751543</v>
      </c>
      <c r="L56" s="62">
        <f t="shared" si="19"/>
        <v>2529.0592680417426</v>
      </c>
      <c r="M56" s="62">
        <f t="shared" si="19"/>
        <v>2534.1511762418236</v>
      </c>
      <c r="N56" s="61">
        <f t="shared" si="16"/>
        <v>30337.249482366205</v>
      </c>
    </row>
    <row r="57" spans="1:17">
      <c r="A57" s="59" t="s">
        <v>39</v>
      </c>
      <c r="B57" s="62">
        <f>B48</f>
        <v>499.32333333333344</v>
      </c>
      <c r="C57" s="62">
        <f t="shared" ref="C57:M57" si="20">C48</f>
        <v>500.43333333333345</v>
      </c>
      <c r="D57" s="62">
        <f t="shared" si="20"/>
        <v>501.54333333333346</v>
      </c>
      <c r="E57" s="62">
        <f t="shared" si="20"/>
        <v>502.65333333333348</v>
      </c>
      <c r="F57" s="62">
        <f t="shared" si="20"/>
        <v>503.76333333333349</v>
      </c>
      <c r="G57" s="62">
        <f t="shared" si="20"/>
        <v>504.87333333333351</v>
      </c>
      <c r="H57" s="62">
        <f t="shared" si="20"/>
        <v>505.98333333333352</v>
      </c>
      <c r="I57" s="62">
        <f t="shared" si="20"/>
        <v>507.09333333333353</v>
      </c>
      <c r="J57" s="62">
        <f t="shared" si="20"/>
        <v>508.20333333333355</v>
      </c>
      <c r="K57" s="62">
        <f t="shared" si="20"/>
        <v>509.31333333333356</v>
      </c>
      <c r="L57" s="62">
        <f t="shared" si="20"/>
        <v>510.42333333333357</v>
      </c>
      <c r="M57" s="62">
        <f t="shared" si="20"/>
        <v>511.53333333333359</v>
      </c>
      <c r="N57" s="61">
        <f t="shared" si="16"/>
        <v>6065.1400000000021</v>
      </c>
    </row>
    <row r="58" spans="1:17">
      <c r="A58" s="59" t="s">
        <v>0</v>
      </c>
      <c r="B58" s="61">
        <f>SUM(B52:B57)</f>
        <v>266978.16882346623</v>
      </c>
      <c r="C58" s="61">
        <f>SUM(C52:C57)</f>
        <v>267578.18344791012</v>
      </c>
      <c r="D58" s="61">
        <f>SUM(D52:D57)</f>
        <v>267915.60938035307</v>
      </c>
      <c r="E58" s="61">
        <f>SUM(E52:E57)</f>
        <v>267945.50181535661</v>
      </c>
      <c r="F58" s="61">
        <f t="shared" ref="F58:N58" si="21">SUM(F52:F57)</f>
        <v>267950.42132958164</v>
      </c>
      <c r="G58" s="61">
        <f t="shared" si="21"/>
        <v>267925.06133123557</v>
      </c>
      <c r="H58" s="61">
        <f t="shared" si="21"/>
        <v>267663.81520024867</v>
      </c>
      <c r="I58" s="61">
        <f t="shared" si="21"/>
        <v>267421.45743024128</v>
      </c>
      <c r="J58" s="61">
        <f t="shared" si="21"/>
        <v>267820.73790721409</v>
      </c>
      <c r="K58" s="61">
        <f t="shared" si="21"/>
        <v>268028.76599068707</v>
      </c>
      <c r="L58" s="61">
        <f t="shared" si="21"/>
        <v>268691.61603551579</v>
      </c>
      <c r="M58" s="61">
        <f t="shared" si="21"/>
        <v>269404.91539131448</v>
      </c>
      <c r="N58" s="61">
        <f t="shared" si="21"/>
        <v>3215324.2540831245</v>
      </c>
    </row>
    <row r="59" spans="1:17">
      <c r="N59" s="61">
        <f>SUM(B59:M59)</f>
        <v>0</v>
      </c>
    </row>
    <row r="60" spans="1:17">
      <c r="A60" s="59" t="s">
        <v>72</v>
      </c>
      <c r="B60" s="61">
        <f>SUM(B37:B49)-SUM(B52:B57)</f>
        <v>0</v>
      </c>
      <c r="C60" s="61">
        <f t="shared" ref="C60:M60" si="22">SUM(C37:C49)-SUM(C52:C57)</f>
        <v>0</v>
      </c>
      <c r="D60" s="61">
        <f t="shared" si="22"/>
        <v>0</v>
      </c>
      <c r="E60" s="61">
        <f t="shared" si="22"/>
        <v>0</v>
      </c>
      <c r="F60" s="61">
        <f t="shared" si="22"/>
        <v>0</v>
      </c>
      <c r="G60" s="61">
        <f t="shared" si="22"/>
        <v>0</v>
      </c>
      <c r="H60" s="61">
        <f t="shared" si="22"/>
        <v>0</v>
      </c>
      <c r="I60" s="61">
        <f t="shared" si="22"/>
        <v>0</v>
      </c>
      <c r="J60" s="61">
        <f t="shared" si="22"/>
        <v>0</v>
      </c>
      <c r="K60" s="61">
        <f t="shared" si="22"/>
        <v>0</v>
      </c>
      <c r="L60" s="61">
        <f t="shared" si="22"/>
        <v>0</v>
      </c>
      <c r="M60" s="61">
        <f t="shared" si="22"/>
        <v>0</v>
      </c>
      <c r="N60" s="61">
        <f>SUM(B60:M60)</f>
        <v>0</v>
      </c>
    </row>
    <row r="62" spans="1:17"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</row>
    <row r="63" spans="1:17"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</row>
    <row r="64" spans="1:17"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</row>
    <row r="65" spans="2:13"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</row>
    <row r="66" spans="2:13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</row>
    <row r="67" spans="2:13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</row>
    <row r="68" spans="2:13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</row>
    <row r="69" spans="2:13"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2:13"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</row>
    <row r="71" spans="2:13"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</row>
    <row r="72" spans="2:13"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</row>
    <row r="73" spans="2:13"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2:13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</row>
    <row r="75" spans="2:13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</row>
    <row r="76" spans="2:13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</row>
    <row r="77" spans="2:13"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</row>
    <row r="78" spans="2:13"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</row>
    <row r="79" spans="2:13"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</row>
    <row r="80" spans="2:13"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</row>
    <row r="81" spans="2:13"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</row>
    <row r="82" spans="2:13"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2:13"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</row>
    <row r="84" spans="2:13"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2:13"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</row>
    <row r="86" spans="2:13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</row>
    <row r="87" spans="2:13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</row>
    <row r="88" spans="2:13"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</row>
    <row r="89" spans="2:13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0" spans="2:13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</row>
    <row r="91" spans="2:13"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</row>
    <row r="92" spans="2:13"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</row>
    <row r="93" spans="2:13"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</row>
    <row r="94" spans="2:13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</row>
    <row r="95" spans="2:13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2:13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  <row r="98" spans="2:13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2:13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2:13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</row>
    <row r="101" spans="2:13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</row>
    <row r="102" spans="2:13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</row>
    <row r="103" spans="2:13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</row>
    <row r="104" spans="2:13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</row>
    <row r="105" spans="2:13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</row>
    <row r="106" spans="2:13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>
      <selection activeCell="C9" sqref="C9"/>
    </sheetView>
  </sheetViews>
  <sheetFormatPr defaultRowHeight="14.25"/>
  <cols>
    <col min="1" max="1" width="30.86328125" style="66" customWidth="1"/>
    <col min="2" max="2" width="9.1328125" style="66" customWidth="1"/>
    <col min="3" max="3" width="9.73046875" style="66" customWidth="1"/>
    <col min="4" max="4" width="15.1328125" style="66" customWidth="1"/>
    <col min="5" max="5" width="11.86328125" style="66" bestFit="1" customWidth="1"/>
    <col min="6" max="8" width="9.1328125" style="66"/>
    <col min="9" max="9" width="9.3984375" style="66" customWidth="1"/>
    <col min="10" max="255" width="9.1328125" style="66"/>
    <col min="256" max="256" width="30.86328125" style="66" customWidth="1"/>
    <col min="257" max="257" width="9.1328125" style="66" customWidth="1"/>
    <col min="258" max="258" width="9.73046875" style="66" customWidth="1"/>
    <col min="259" max="259" width="15.1328125" style="66" customWidth="1"/>
    <col min="260" max="260" width="12" style="66" customWidth="1"/>
    <col min="261" max="264" width="9.1328125" style="66"/>
    <col min="265" max="265" width="9.3984375" style="66" customWidth="1"/>
    <col min="266" max="511" width="9.1328125" style="66"/>
    <col min="512" max="512" width="30.86328125" style="66" customWidth="1"/>
    <col min="513" max="513" width="9.1328125" style="66" customWidth="1"/>
    <col min="514" max="514" width="9.73046875" style="66" customWidth="1"/>
    <col min="515" max="515" width="15.1328125" style="66" customWidth="1"/>
    <col min="516" max="516" width="12" style="66" customWidth="1"/>
    <col min="517" max="520" width="9.1328125" style="66"/>
    <col min="521" max="521" width="9.3984375" style="66" customWidth="1"/>
    <col min="522" max="767" width="9.1328125" style="66"/>
    <col min="768" max="768" width="30.86328125" style="66" customWidth="1"/>
    <col min="769" max="769" width="9.1328125" style="66" customWidth="1"/>
    <col min="770" max="770" width="9.73046875" style="66" customWidth="1"/>
    <col min="771" max="771" width="15.1328125" style="66" customWidth="1"/>
    <col min="772" max="772" width="12" style="66" customWidth="1"/>
    <col min="773" max="776" width="9.1328125" style="66"/>
    <col min="777" max="777" width="9.3984375" style="66" customWidth="1"/>
    <col min="778" max="1023" width="9.1328125" style="66"/>
    <col min="1024" max="1024" width="30.86328125" style="66" customWidth="1"/>
    <col min="1025" max="1025" width="9.1328125" style="66" customWidth="1"/>
    <col min="1026" max="1026" width="9.73046875" style="66" customWidth="1"/>
    <col min="1027" max="1027" width="15.1328125" style="66" customWidth="1"/>
    <col min="1028" max="1028" width="12" style="66" customWidth="1"/>
    <col min="1029" max="1032" width="9.1328125" style="66"/>
    <col min="1033" max="1033" width="9.3984375" style="66" customWidth="1"/>
    <col min="1034" max="1279" width="9.1328125" style="66"/>
    <col min="1280" max="1280" width="30.86328125" style="66" customWidth="1"/>
    <col min="1281" max="1281" width="9.1328125" style="66" customWidth="1"/>
    <col min="1282" max="1282" width="9.73046875" style="66" customWidth="1"/>
    <col min="1283" max="1283" width="15.1328125" style="66" customWidth="1"/>
    <col min="1284" max="1284" width="12" style="66" customWidth="1"/>
    <col min="1285" max="1288" width="9.1328125" style="66"/>
    <col min="1289" max="1289" width="9.3984375" style="66" customWidth="1"/>
    <col min="1290" max="1535" width="9.1328125" style="66"/>
    <col min="1536" max="1536" width="30.86328125" style="66" customWidth="1"/>
    <col min="1537" max="1537" width="9.1328125" style="66" customWidth="1"/>
    <col min="1538" max="1538" width="9.73046875" style="66" customWidth="1"/>
    <col min="1539" max="1539" width="15.1328125" style="66" customWidth="1"/>
    <col min="1540" max="1540" width="12" style="66" customWidth="1"/>
    <col min="1541" max="1544" width="9.1328125" style="66"/>
    <col min="1545" max="1545" width="9.3984375" style="66" customWidth="1"/>
    <col min="1546" max="1791" width="9.1328125" style="66"/>
    <col min="1792" max="1792" width="30.86328125" style="66" customWidth="1"/>
    <col min="1793" max="1793" width="9.1328125" style="66" customWidth="1"/>
    <col min="1794" max="1794" width="9.73046875" style="66" customWidth="1"/>
    <col min="1795" max="1795" width="15.1328125" style="66" customWidth="1"/>
    <col min="1796" max="1796" width="12" style="66" customWidth="1"/>
    <col min="1797" max="1800" width="9.1328125" style="66"/>
    <col min="1801" max="1801" width="9.3984375" style="66" customWidth="1"/>
    <col min="1802" max="2047" width="9.1328125" style="66"/>
    <col min="2048" max="2048" width="30.86328125" style="66" customWidth="1"/>
    <col min="2049" max="2049" width="9.1328125" style="66" customWidth="1"/>
    <col min="2050" max="2050" width="9.73046875" style="66" customWidth="1"/>
    <col min="2051" max="2051" width="15.1328125" style="66" customWidth="1"/>
    <col min="2052" max="2052" width="12" style="66" customWidth="1"/>
    <col min="2053" max="2056" width="9.1328125" style="66"/>
    <col min="2057" max="2057" width="9.3984375" style="66" customWidth="1"/>
    <col min="2058" max="2303" width="9.1328125" style="66"/>
    <col min="2304" max="2304" width="30.86328125" style="66" customWidth="1"/>
    <col min="2305" max="2305" width="9.1328125" style="66" customWidth="1"/>
    <col min="2306" max="2306" width="9.73046875" style="66" customWidth="1"/>
    <col min="2307" max="2307" width="15.1328125" style="66" customWidth="1"/>
    <col min="2308" max="2308" width="12" style="66" customWidth="1"/>
    <col min="2309" max="2312" width="9.1328125" style="66"/>
    <col min="2313" max="2313" width="9.3984375" style="66" customWidth="1"/>
    <col min="2314" max="2559" width="9.1328125" style="66"/>
    <col min="2560" max="2560" width="30.86328125" style="66" customWidth="1"/>
    <col min="2561" max="2561" width="9.1328125" style="66" customWidth="1"/>
    <col min="2562" max="2562" width="9.73046875" style="66" customWidth="1"/>
    <col min="2563" max="2563" width="15.1328125" style="66" customWidth="1"/>
    <col min="2564" max="2564" width="12" style="66" customWidth="1"/>
    <col min="2565" max="2568" width="9.1328125" style="66"/>
    <col min="2569" max="2569" width="9.3984375" style="66" customWidth="1"/>
    <col min="2570" max="2815" width="9.1328125" style="66"/>
    <col min="2816" max="2816" width="30.86328125" style="66" customWidth="1"/>
    <col min="2817" max="2817" width="9.1328125" style="66" customWidth="1"/>
    <col min="2818" max="2818" width="9.73046875" style="66" customWidth="1"/>
    <col min="2819" max="2819" width="15.1328125" style="66" customWidth="1"/>
    <col min="2820" max="2820" width="12" style="66" customWidth="1"/>
    <col min="2821" max="2824" width="9.1328125" style="66"/>
    <col min="2825" max="2825" width="9.3984375" style="66" customWidth="1"/>
    <col min="2826" max="3071" width="9.1328125" style="66"/>
    <col min="3072" max="3072" width="30.86328125" style="66" customWidth="1"/>
    <col min="3073" max="3073" width="9.1328125" style="66" customWidth="1"/>
    <col min="3074" max="3074" width="9.73046875" style="66" customWidth="1"/>
    <col min="3075" max="3075" width="15.1328125" style="66" customWidth="1"/>
    <col min="3076" max="3076" width="12" style="66" customWidth="1"/>
    <col min="3077" max="3080" width="9.1328125" style="66"/>
    <col min="3081" max="3081" width="9.3984375" style="66" customWidth="1"/>
    <col min="3082" max="3327" width="9.1328125" style="66"/>
    <col min="3328" max="3328" width="30.86328125" style="66" customWidth="1"/>
    <col min="3329" max="3329" width="9.1328125" style="66" customWidth="1"/>
    <col min="3330" max="3330" width="9.73046875" style="66" customWidth="1"/>
    <col min="3331" max="3331" width="15.1328125" style="66" customWidth="1"/>
    <col min="3332" max="3332" width="12" style="66" customWidth="1"/>
    <col min="3333" max="3336" width="9.1328125" style="66"/>
    <col min="3337" max="3337" width="9.3984375" style="66" customWidth="1"/>
    <col min="3338" max="3583" width="9.1328125" style="66"/>
    <col min="3584" max="3584" width="30.86328125" style="66" customWidth="1"/>
    <col min="3585" max="3585" width="9.1328125" style="66" customWidth="1"/>
    <col min="3586" max="3586" width="9.73046875" style="66" customWidth="1"/>
    <col min="3587" max="3587" width="15.1328125" style="66" customWidth="1"/>
    <col min="3588" max="3588" width="12" style="66" customWidth="1"/>
    <col min="3589" max="3592" width="9.1328125" style="66"/>
    <col min="3593" max="3593" width="9.3984375" style="66" customWidth="1"/>
    <col min="3594" max="3839" width="9.1328125" style="66"/>
    <col min="3840" max="3840" width="30.86328125" style="66" customWidth="1"/>
    <col min="3841" max="3841" width="9.1328125" style="66" customWidth="1"/>
    <col min="3842" max="3842" width="9.73046875" style="66" customWidth="1"/>
    <col min="3843" max="3843" width="15.1328125" style="66" customWidth="1"/>
    <col min="3844" max="3844" width="12" style="66" customWidth="1"/>
    <col min="3845" max="3848" width="9.1328125" style="66"/>
    <col min="3849" max="3849" width="9.3984375" style="66" customWidth="1"/>
    <col min="3850" max="4095" width="9.1328125" style="66"/>
    <col min="4096" max="4096" width="30.86328125" style="66" customWidth="1"/>
    <col min="4097" max="4097" width="9.1328125" style="66" customWidth="1"/>
    <col min="4098" max="4098" width="9.73046875" style="66" customWidth="1"/>
    <col min="4099" max="4099" width="15.1328125" style="66" customWidth="1"/>
    <col min="4100" max="4100" width="12" style="66" customWidth="1"/>
    <col min="4101" max="4104" width="9.1328125" style="66"/>
    <col min="4105" max="4105" width="9.3984375" style="66" customWidth="1"/>
    <col min="4106" max="4351" width="9.1328125" style="66"/>
    <col min="4352" max="4352" width="30.86328125" style="66" customWidth="1"/>
    <col min="4353" max="4353" width="9.1328125" style="66" customWidth="1"/>
    <col min="4354" max="4354" width="9.73046875" style="66" customWidth="1"/>
    <col min="4355" max="4355" width="15.1328125" style="66" customWidth="1"/>
    <col min="4356" max="4356" width="12" style="66" customWidth="1"/>
    <col min="4357" max="4360" width="9.1328125" style="66"/>
    <col min="4361" max="4361" width="9.3984375" style="66" customWidth="1"/>
    <col min="4362" max="4607" width="9.1328125" style="66"/>
    <col min="4608" max="4608" width="30.86328125" style="66" customWidth="1"/>
    <col min="4609" max="4609" width="9.1328125" style="66" customWidth="1"/>
    <col min="4610" max="4610" width="9.73046875" style="66" customWidth="1"/>
    <col min="4611" max="4611" width="15.1328125" style="66" customWidth="1"/>
    <col min="4612" max="4612" width="12" style="66" customWidth="1"/>
    <col min="4613" max="4616" width="9.1328125" style="66"/>
    <col min="4617" max="4617" width="9.3984375" style="66" customWidth="1"/>
    <col min="4618" max="4863" width="9.1328125" style="66"/>
    <col min="4864" max="4864" width="30.86328125" style="66" customWidth="1"/>
    <col min="4865" max="4865" width="9.1328125" style="66" customWidth="1"/>
    <col min="4866" max="4866" width="9.73046875" style="66" customWidth="1"/>
    <col min="4867" max="4867" width="15.1328125" style="66" customWidth="1"/>
    <col min="4868" max="4868" width="12" style="66" customWidth="1"/>
    <col min="4869" max="4872" width="9.1328125" style="66"/>
    <col min="4873" max="4873" width="9.3984375" style="66" customWidth="1"/>
    <col min="4874" max="5119" width="9.1328125" style="66"/>
    <col min="5120" max="5120" width="30.86328125" style="66" customWidth="1"/>
    <col min="5121" max="5121" width="9.1328125" style="66" customWidth="1"/>
    <col min="5122" max="5122" width="9.73046875" style="66" customWidth="1"/>
    <col min="5123" max="5123" width="15.1328125" style="66" customWidth="1"/>
    <col min="5124" max="5124" width="12" style="66" customWidth="1"/>
    <col min="5125" max="5128" width="9.1328125" style="66"/>
    <col min="5129" max="5129" width="9.3984375" style="66" customWidth="1"/>
    <col min="5130" max="5375" width="9.1328125" style="66"/>
    <col min="5376" max="5376" width="30.86328125" style="66" customWidth="1"/>
    <col min="5377" max="5377" width="9.1328125" style="66" customWidth="1"/>
    <col min="5378" max="5378" width="9.73046875" style="66" customWidth="1"/>
    <col min="5379" max="5379" width="15.1328125" style="66" customWidth="1"/>
    <col min="5380" max="5380" width="12" style="66" customWidth="1"/>
    <col min="5381" max="5384" width="9.1328125" style="66"/>
    <col min="5385" max="5385" width="9.3984375" style="66" customWidth="1"/>
    <col min="5386" max="5631" width="9.1328125" style="66"/>
    <col min="5632" max="5632" width="30.86328125" style="66" customWidth="1"/>
    <col min="5633" max="5633" width="9.1328125" style="66" customWidth="1"/>
    <col min="5634" max="5634" width="9.73046875" style="66" customWidth="1"/>
    <col min="5635" max="5635" width="15.1328125" style="66" customWidth="1"/>
    <col min="5636" max="5636" width="12" style="66" customWidth="1"/>
    <col min="5637" max="5640" width="9.1328125" style="66"/>
    <col min="5641" max="5641" width="9.3984375" style="66" customWidth="1"/>
    <col min="5642" max="5887" width="9.1328125" style="66"/>
    <col min="5888" max="5888" width="30.86328125" style="66" customWidth="1"/>
    <col min="5889" max="5889" width="9.1328125" style="66" customWidth="1"/>
    <col min="5890" max="5890" width="9.73046875" style="66" customWidth="1"/>
    <col min="5891" max="5891" width="15.1328125" style="66" customWidth="1"/>
    <col min="5892" max="5892" width="12" style="66" customWidth="1"/>
    <col min="5893" max="5896" width="9.1328125" style="66"/>
    <col min="5897" max="5897" width="9.3984375" style="66" customWidth="1"/>
    <col min="5898" max="6143" width="9.1328125" style="66"/>
    <col min="6144" max="6144" width="30.86328125" style="66" customWidth="1"/>
    <col min="6145" max="6145" width="9.1328125" style="66" customWidth="1"/>
    <col min="6146" max="6146" width="9.73046875" style="66" customWidth="1"/>
    <col min="6147" max="6147" width="15.1328125" style="66" customWidth="1"/>
    <col min="6148" max="6148" width="12" style="66" customWidth="1"/>
    <col min="6149" max="6152" width="9.1328125" style="66"/>
    <col min="6153" max="6153" width="9.3984375" style="66" customWidth="1"/>
    <col min="6154" max="6399" width="9.1328125" style="66"/>
    <col min="6400" max="6400" width="30.86328125" style="66" customWidth="1"/>
    <col min="6401" max="6401" width="9.1328125" style="66" customWidth="1"/>
    <col min="6402" max="6402" width="9.73046875" style="66" customWidth="1"/>
    <col min="6403" max="6403" width="15.1328125" style="66" customWidth="1"/>
    <col min="6404" max="6404" width="12" style="66" customWidth="1"/>
    <col min="6405" max="6408" width="9.1328125" style="66"/>
    <col min="6409" max="6409" width="9.3984375" style="66" customWidth="1"/>
    <col min="6410" max="6655" width="9.1328125" style="66"/>
    <col min="6656" max="6656" width="30.86328125" style="66" customWidth="1"/>
    <col min="6657" max="6657" width="9.1328125" style="66" customWidth="1"/>
    <col min="6658" max="6658" width="9.73046875" style="66" customWidth="1"/>
    <col min="6659" max="6659" width="15.1328125" style="66" customWidth="1"/>
    <col min="6660" max="6660" width="12" style="66" customWidth="1"/>
    <col min="6661" max="6664" width="9.1328125" style="66"/>
    <col min="6665" max="6665" width="9.3984375" style="66" customWidth="1"/>
    <col min="6666" max="6911" width="9.1328125" style="66"/>
    <col min="6912" max="6912" width="30.86328125" style="66" customWidth="1"/>
    <col min="6913" max="6913" width="9.1328125" style="66" customWidth="1"/>
    <col min="6914" max="6914" width="9.73046875" style="66" customWidth="1"/>
    <col min="6915" max="6915" width="15.1328125" style="66" customWidth="1"/>
    <col min="6916" max="6916" width="12" style="66" customWidth="1"/>
    <col min="6917" max="6920" width="9.1328125" style="66"/>
    <col min="6921" max="6921" width="9.3984375" style="66" customWidth="1"/>
    <col min="6922" max="7167" width="9.1328125" style="66"/>
    <col min="7168" max="7168" width="30.86328125" style="66" customWidth="1"/>
    <col min="7169" max="7169" width="9.1328125" style="66" customWidth="1"/>
    <col min="7170" max="7170" width="9.73046875" style="66" customWidth="1"/>
    <col min="7171" max="7171" width="15.1328125" style="66" customWidth="1"/>
    <col min="7172" max="7172" width="12" style="66" customWidth="1"/>
    <col min="7173" max="7176" width="9.1328125" style="66"/>
    <col min="7177" max="7177" width="9.3984375" style="66" customWidth="1"/>
    <col min="7178" max="7423" width="9.1328125" style="66"/>
    <col min="7424" max="7424" width="30.86328125" style="66" customWidth="1"/>
    <col min="7425" max="7425" width="9.1328125" style="66" customWidth="1"/>
    <col min="7426" max="7426" width="9.73046875" style="66" customWidth="1"/>
    <col min="7427" max="7427" width="15.1328125" style="66" customWidth="1"/>
    <col min="7428" max="7428" width="12" style="66" customWidth="1"/>
    <col min="7429" max="7432" width="9.1328125" style="66"/>
    <col min="7433" max="7433" width="9.3984375" style="66" customWidth="1"/>
    <col min="7434" max="7679" width="9.1328125" style="66"/>
    <col min="7680" max="7680" width="30.86328125" style="66" customWidth="1"/>
    <col min="7681" max="7681" width="9.1328125" style="66" customWidth="1"/>
    <col min="7682" max="7682" width="9.73046875" style="66" customWidth="1"/>
    <col min="7683" max="7683" width="15.1328125" style="66" customWidth="1"/>
    <col min="7684" max="7684" width="12" style="66" customWidth="1"/>
    <col min="7685" max="7688" width="9.1328125" style="66"/>
    <col min="7689" max="7689" width="9.3984375" style="66" customWidth="1"/>
    <col min="7690" max="7935" width="9.1328125" style="66"/>
    <col min="7936" max="7936" width="30.86328125" style="66" customWidth="1"/>
    <col min="7937" max="7937" width="9.1328125" style="66" customWidth="1"/>
    <col min="7938" max="7938" width="9.73046875" style="66" customWidth="1"/>
    <col min="7939" max="7939" width="15.1328125" style="66" customWidth="1"/>
    <col min="7940" max="7940" width="12" style="66" customWidth="1"/>
    <col min="7941" max="7944" width="9.1328125" style="66"/>
    <col min="7945" max="7945" width="9.3984375" style="66" customWidth="1"/>
    <col min="7946" max="8191" width="9.1328125" style="66"/>
    <col min="8192" max="8192" width="30.86328125" style="66" customWidth="1"/>
    <col min="8193" max="8193" width="9.1328125" style="66" customWidth="1"/>
    <col min="8194" max="8194" width="9.73046875" style="66" customWidth="1"/>
    <col min="8195" max="8195" width="15.1328125" style="66" customWidth="1"/>
    <col min="8196" max="8196" width="12" style="66" customWidth="1"/>
    <col min="8197" max="8200" width="9.1328125" style="66"/>
    <col min="8201" max="8201" width="9.3984375" style="66" customWidth="1"/>
    <col min="8202" max="8447" width="9.1328125" style="66"/>
    <col min="8448" max="8448" width="30.86328125" style="66" customWidth="1"/>
    <col min="8449" max="8449" width="9.1328125" style="66" customWidth="1"/>
    <col min="8450" max="8450" width="9.73046875" style="66" customWidth="1"/>
    <col min="8451" max="8451" width="15.1328125" style="66" customWidth="1"/>
    <col min="8452" max="8452" width="12" style="66" customWidth="1"/>
    <col min="8453" max="8456" width="9.1328125" style="66"/>
    <col min="8457" max="8457" width="9.3984375" style="66" customWidth="1"/>
    <col min="8458" max="8703" width="9.1328125" style="66"/>
    <col min="8704" max="8704" width="30.86328125" style="66" customWidth="1"/>
    <col min="8705" max="8705" width="9.1328125" style="66" customWidth="1"/>
    <col min="8706" max="8706" width="9.73046875" style="66" customWidth="1"/>
    <col min="8707" max="8707" width="15.1328125" style="66" customWidth="1"/>
    <col min="8708" max="8708" width="12" style="66" customWidth="1"/>
    <col min="8709" max="8712" width="9.1328125" style="66"/>
    <col min="8713" max="8713" width="9.3984375" style="66" customWidth="1"/>
    <col min="8714" max="8959" width="9.1328125" style="66"/>
    <col min="8960" max="8960" width="30.86328125" style="66" customWidth="1"/>
    <col min="8961" max="8961" width="9.1328125" style="66" customWidth="1"/>
    <col min="8962" max="8962" width="9.73046875" style="66" customWidth="1"/>
    <col min="8963" max="8963" width="15.1328125" style="66" customWidth="1"/>
    <col min="8964" max="8964" width="12" style="66" customWidth="1"/>
    <col min="8965" max="8968" width="9.1328125" style="66"/>
    <col min="8969" max="8969" width="9.3984375" style="66" customWidth="1"/>
    <col min="8970" max="9215" width="9.1328125" style="66"/>
    <col min="9216" max="9216" width="30.86328125" style="66" customWidth="1"/>
    <col min="9217" max="9217" width="9.1328125" style="66" customWidth="1"/>
    <col min="9218" max="9218" width="9.73046875" style="66" customWidth="1"/>
    <col min="9219" max="9219" width="15.1328125" style="66" customWidth="1"/>
    <col min="9220" max="9220" width="12" style="66" customWidth="1"/>
    <col min="9221" max="9224" width="9.1328125" style="66"/>
    <col min="9225" max="9225" width="9.3984375" style="66" customWidth="1"/>
    <col min="9226" max="9471" width="9.1328125" style="66"/>
    <col min="9472" max="9472" width="30.86328125" style="66" customWidth="1"/>
    <col min="9473" max="9473" width="9.1328125" style="66" customWidth="1"/>
    <col min="9474" max="9474" width="9.73046875" style="66" customWidth="1"/>
    <col min="9475" max="9475" width="15.1328125" style="66" customWidth="1"/>
    <col min="9476" max="9476" width="12" style="66" customWidth="1"/>
    <col min="9477" max="9480" width="9.1328125" style="66"/>
    <col min="9481" max="9481" width="9.3984375" style="66" customWidth="1"/>
    <col min="9482" max="9727" width="9.1328125" style="66"/>
    <col min="9728" max="9728" width="30.86328125" style="66" customWidth="1"/>
    <col min="9729" max="9729" width="9.1328125" style="66" customWidth="1"/>
    <col min="9730" max="9730" width="9.73046875" style="66" customWidth="1"/>
    <col min="9731" max="9731" width="15.1328125" style="66" customWidth="1"/>
    <col min="9732" max="9732" width="12" style="66" customWidth="1"/>
    <col min="9733" max="9736" width="9.1328125" style="66"/>
    <col min="9737" max="9737" width="9.3984375" style="66" customWidth="1"/>
    <col min="9738" max="9983" width="9.1328125" style="66"/>
    <col min="9984" max="9984" width="30.86328125" style="66" customWidth="1"/>
    <col min="9985" max="9985" width="9.1328125" style="66" customWidth="1"/>
    <col min="9986" max="9986" width="9.73046875" style="66" customWidth="1"/>
    <col min="9987" max="9987" width="15.1328125" style="66" customWidth="1"/>
    <col min="9988" max="9988" width="12" style="66" customWidth="1"/>
    <col min="9989" max="9992" width="9.1328125" style="66"/>
    <col min="9993" max="9993" width="9.3984375" style="66" customWidth="1"/>
    <col min="9994" max="10239" width="9.1328125" style="66"/>
    <col min="10240" max="10240" width="30.86328125" style="66" customWidth="1"/>
    <col min="10241" max="10241" width="9.1328125" style="66" customWidth="1"/>
    <col min="10242" max="10242" width="9.73046875" style="66" customWidth="1"/>
    <col min="10243" max="10243" width="15.1328125" style="66" customWidth="1"/>
    <col min="10244" max="10244" width="12" style="66" customWidth="1"/>
    <col min="10245" max="10248" width="9.1328125" style="66"/>
    <col min="10249" max="10249" width="9.3984375" style="66" customWidth="1"/>
    <col min="10250" max="10495" width="9.1328125" style="66"/>
    <col min="10496" max="10496" width="30.86328125" style="66" customWidth="1"/>
    <col min="10497" max="10497" width="9.1328125" style="66" customWidth="1"/>
    <col min="10498" max="10498" width="9.73046875" style="66" customWidth="1"/>
    <col min="10499" max="10499" width="15.1328125" style="66" customWidth="1"/>
    <col min="10500" max="10500" width="12" style="66" customWidth="1"/>
    <col min="10501" max="10504" width="9.1328125" style="66"/>
    <col min="10505" max="10505" width="9.3984375" style="66" customWidth="1"/>
    <col min="10506" max="10751" width="9.1328125" style="66"/>
    <col min="10752" max="10752" width="30.86328125" style="66" customWidth="1"/>
    <col min="10753" max="10753" width="9.1328125" style="66" customWidth="1"/>
    <col min="10754" max="10754" width="9.73046875" style="66" customWidth="1"/>
    <col min="10755" max="10755" width="15.1328125" style="66" customWidth="1"/>
    <col min="10756" max="10756" width="12" style="66" customWidth="1"/>
    <col min="10757" max="10760" width="9.1328125" style="66"/>
    <col min="10761" max="10761" width="9.3984375" style="66" customWidth="1"/>
    <col min="10762" max="11007" width="9.1328125" style="66"/>
    <col min="11008" max="11008" width="30.86328125" style="66" customWidth="1"/>
    <col min="11009" max="11009" width="9.1328125" style="66" customWidth="1"/>
    <col min="11010" max="11010" width="9.73046875" style="66" customWidth="1"/>
    <col min="11011" max="11011" width="15.1328125" style="66" customWidth="1"/>
    <col min="11012" max="11012" width="12" style="66" customWidth="1"/>
    <col min="11013" max="11016" width="9.1328125" style="66"/>
    <col min="11017" max="11017" width="9.3984375" style="66" customWidth="1"/>
    <col min="11018" max="11263" width="9.1328125" style="66"/>
    <col min="11264" max="11264" width="30.86328125" style="66" customWidth="1"/>
    <col min="11265" max="11265" width="9.1328125" style="66" customWidth="1"/>
    <col min="11266" max="11266" width="9.73046875" style="66" customWidth="1"/>
    <col min="11267" max="11267" width="15.1328125" style="66" customWidth="1"/>
    <col min="11268" max="11268" width="12" style="66" customWidth="1"/>
    <col min="11269" max="11272" width="9.1328125" style="66"/>
    <col min="11273" max="11273" width="9.3984375" style="66" customWidth="1"/>
    <col min="11274" max="11519" width="9.1328125" style="66"/>
    <col min="11520" max="11520" width="30.86328125" style="66" customWidth="1"/>
    <col min="11521" max="11521" width="9.1328125" style="66" customWidth="1"/>
    <col min="11522" max="11522" width="9.73046875" style="66" customWidth="1"/>
    <col min="11523" max="11523" width="15.1328125" style="66" customWidth="1"/>
    <col min="11524" max="11524" width="12" style="66" customWidth="1"/>
    <col min="11525" max="11528" width="9.1328125" style="66"/>
    <col min="11529" max="11529" width="9.3984375" style="66" customWidth="1"/>
    <col min="11530" max="11775" width="9.1328125" style="66"/>
    <col min="11776" max="11776" width="30.86328125" style="66" customWidth="1"/>
    <col min="11777" max="11777" width="9.1328125" style="66" customWidth="1"/>
    <col min="11778" max="11778" width="9.73046875" style="66" customWidth="1"/>
    <col min="11779" max="11779" width="15.1328125" style="66" customWidth="1"/>
    <col min="11780" max="11780" width="12" style="66" customWidth="1"/>
    <col min="11781" max="11784" width="9.1328125" style="66"/>
    <col min="11785" max="11785" width="9.3984375" style="66" customWidth="1"/>
    <col min="11786" max="12031" width="9.1328125" style="66"/>
    <col min="12032" max="12032" width="30.86328125" style="66" customWidth="1"/>
    <col min="12033" max="12033" width="9.1328125" style="66" customWidth="1"/>
    <col min="12034" max="12034" width="9.73046875" style="66" customWidth="1"/>
    <col min="12035" max="12035" width="15.1328125" style="66" customWidth="1"/>
    <col min="12036" max="12036" width="12" style="66" customWidth="1"/>
    <col min="12037" max="12040" width="9.1328125" style="66"/>
    <col min="12041" max="12041" width="9.3984375" style="66" customWidth="1"/>
    <col min="12042" max="12287" width="9.1328125" style="66"/>
    <col min="12288" max="12288" width="30.86328125" style="66" customWidth="1"/>
    <col min="12289" max="12289" width="9.1328125" style="66" customWidth="1"/>
    <col min="12290" max="12290" width="9.73046875" style="66" customWidth="1"/>
    <col min="12291" max="12291" width="15.1328125" style="66" customWidth="1"/>
    <col min="12292" max="12292" width="12" style="66" customWidth="1"/>
    <col min="12293" max="12296" width="9.1328125" style="66"/>
    <col min="12297" max="12297" width="9.3984375" style="66" customWidth="1"/>
    <col min="12298" max="12543" width="9.1328125" style="66"/>
    <col min="12544" max="12544" width="30.86328125" style="66" customWidth="1"/>
    <col min="12545" max="12545" width="9.1328125" style="66" customWidth="1"/>
    <col min="12546" max="12546" width="9.73046875" style="66" customWidth="1"/>
    <col min="12547" max="12547" width="15.1328125" style="66" customWidth="1"/>
    <col min="12548" max="12548" width="12" style="66" customWidth="1"/>
    <col min="12549" max="12552" width="9.1328125" style="66"/>
    <col min="12553" max="12553" width="9.3984375" style="66" customWidth="1"/>
    <col min="12554" max="12799" width="9.1328125" style="66"/>
    <col min="12800" max="12800" width="30.86328125" style="66" customWidth="1"/>
    <col min="12801" max="12801" width="9.1328125" style="66" customWidth="1"/>
    <col min="12802" max="12802" width="9.73046875" style="66" customWidth="1"/>
    <col min="12803" max="12803" width="15.1328125" style="66" customWidth="1"/>
    <col min="12804" max="12804" width="12" style="66" customWidth="1"/>
    <col min="12805" max="12808" width="9.1328125" style="66"/>
    <col min="12809" max="12809" width="9.3984375" style="66" customWidth="1"/>
    <col min="12810" max="13055" width="9.1328125" style="66"/>
    <col min="13056" max="13056" width="30.86328125" style="66" customWidth="1"/>
    <col min="13057" max="13057" width="9.1328125" style="66" customWidth="1"/>
    <col min="13058" max="13058" width="9.73046875" style="66" customWidth="1"/>
    <col min="13059" max="13059" width="15.1328125" style="66" customWidth="1"/>
    <col min="13060" max="13060" width="12" style="66" customWidth="1"/>
    <col min="13061" max="13064" width="9.1328125" style="66"/>
    <col min="13065" max="13065" width="9.3984375" style="66" customWidth="1"/>
    <col min="13066" max="13311" width="9.1328125" style="66"/>
    <col min="13312" max="13312" width="30.86328125" style="66" customWidth="1"/>
    <col min="13313" max="13313" width="9.1328125" style="66" customWidth="1"/>
    <col min="13314" max="13314" width="9.73046875" style="66" customWidth="1"/>
    <col min="13315" max="13315" width="15.1328125" style="66" customWidth="1"/>
    <col min="13316" max="13316" width="12" style="66" customWidth="1"/>
    <col min="13317" max="13320" width="9.1328125" style="66"/>
    <col min="13321" max="13321" width="9.3984375" style="66" customWidth="1"/>
    <col min="13322" max="13567" width="9.1328125" style="66"/>
    <col min="13568" max="13568" width="30.86328125" style="66" customWidth="1"/>
    <col min="13569" max="13569" width="9.1328125" style="66" customWidth="1"/>
    <col min="13570" max="13570" width="9.73046875" style="66" customWidth="1"/>
    <col min="13571" max="13571" width="15.1328125" style="66" customWidth="1"/>
    <col min="13572" max="13572" width="12" style="66" customWidth="1"/>
    <col min="13573" max="13576" width="9.1328125" style="66"/>
    <col min="13577" max="13577" width="9.3984375" style="66" customWidth="1"/>
    <col min="13578" max="13823" width="9.1328125" style="66"/>
    <col min="13824" max="13824" width="30.86328125" style="66" customWidth="1"/>
    <col min="13825" max="13825" width="9.1328125" style="66" customWidth="1"/>
    <col min="13826" max="13826" width="9.73046875" style="66" customWidth="1"/>
    <col min="13827" max="13827" width="15.1328125" style="66" customWidth="1"/>
    <col min="13828" max="13828" width="12" style="66" customWidth="1"/>
    <col min="13829" max="13832" width="9.1328125" style="66"/>
    <col min="13833" max="13833" width="9.3984375" style="66" customWidth="1"/>
    <col min="13834" max="14079" width="9.1328125" style="66"/>
    <col min="14080" max="14080" width="30.86328125" style="66" customWidth="1"/>
    <col min="14081" max="14081" width="9.1328125" style="66" customWidth="1"/>
    <col min="14082" max="14082" width="9.73046875" style="66" customWidth="1"/>
    <col min="14083" max="14083" width="15.1328125" style="66" customWidth="1"/>
    <col min="14084" max="14084" width="12" style="66" customWidth="1"/>
    <col min="14085" max="14088" width="9.1328125" style="66"/>
    <col min="14089" max="14089" width="9.3984375" style="66" customWidth="1"/>
    <col min="14090" max="14335" width="9.1328125" style="66"/>
    <col min="14336" max="14336" width="30.86328125" style="66" customWidth="1"/>
    <col min="14337" max="14337" width="9.1328125" style="66" customWidth="1"/>
    <col min="14338" max="14338" width="9.73046875" style="66" customWidth="1"/>
    <col min="14339" max="14339" width="15.1328125" style="66" customWidth="1"/>
    <col min="14340" max="14340" width="12" style="66" customWidth="1"/>
    <col min="14341" max="14344" width="9.1328125" style="66"/>
    <col min="14345" max="14345" width="9.3984375" style="66" customWidth="1"/>
    <col min="14346" max="14591" width="9.1328125" style="66"/>
    <col min="14592" max="14592" width="30.86328125" style="66" customWidth="1"/>
    <col min="14593" max="14593" width="9.1328125" style="66" customWidth="1"/>
    <col min="14594" max="14594" width="9.73046875" style="66" customWidth="1"/>
    <col min="14595" max="14595" width="15.1328125" style="66" customWidth="1"/>
    <col min="14596" max="14596" width="12" style="66" customWidth="1"/>
    <col min="14597" max="14600" width="9.1328125" style="66"/>
    <col min="14601" max="14601" width="9.3984375" style="66" customWidth="1"/>
    <col min="14602" max="14847" width="9.1328125" style="66"/>
    <col min="14848" max="14848" width="30.86328125" style="66" customWidth="1"/>
    <col min="14849" max="14849" width="9.1328125" style="66" customWidth="1"/>
    <col min="14850" max="14850" width="9.73046875" style="66" customWidth="1"/>
    <col min="14851" max="14851" width="15.1328125" style="66" customWidth="1"/>
    <col min="14852" max="14852" width="12" style="66" customWidth="1"/>
    <col min="14853" max="14856" width="9.1328125" style="66"/>
    <col min="14857" max="14857" width="9.3984375" style="66" customWidth="1"/>
    <col min="14858" max="15103" width="9.1328125" style="66"/>
    <col min="15104" max="15104" width="30.86328125" style="66" customWidth="1"/>
    <col min="15105" max="15105" width="9.1328125" style="66" customWidth="1"/>
    <col min="15106" max="15106" width="9.73046875" style="66" customWidth="1"/>
    <col min="15107" max="15107" width="15.1328125" style="66" customWidth="1"/>
    <col min="15108" max="15108" width="12" style="66" customWidth="1"/>
    <col min="15109" max="15112" width="9.1328125" style="66"/>
    <col min="15113" max="15113" width="9.3984375" style="66" customWidth="1"/>
    <col min="15114" max="15359" width="9.1328125" style="66"/>
    <col min="15360" max="15360" width="30.86328125" style="66" customWidth="1"/>
    <col min="15361" max="15361" width="9.1328125" style="66" customWidth="1"/>
    <col min="15362" max="15362" width="9.73046875" style="66" customWidth="1"/>
    <col min="15363" max="15363" width="15.1328125" style="66" customWidth="1"/>
    <col min="15364" max="15364" width="12" style="66" customWidth="1"/>
    <col min="15365" max="15368" width="9.1328125" style="66"/>
    <col min="15369" max="15369" width="9.3984375" style="66" customWidth="1"/>
    <col min="15370" max="15615" width="9.1328125" style="66"/>
    <col min="15616" max="15616" width="30.86328125" style="66" customWidth="1"/>
    <col min="15617" max="15617" width="9.1328125" style="66" customWidth="1"/>
    <col min="15618" max="15618" width="9.73046875" style="66" customWidth="1"/>
    <col min="15619" max="15619" width="15.1328125" style="66" customWidth="1"/>
    <col min="15620" max="15620" width="12" style="66" customWidth="1"/>
    <col min="15621" max="15624" width="9.1328125" style="66"/>
    <col min="15625" max="15625" width="9.3984375" style="66" customWidth="1"/>
    <col min="15626" max="15871" width="9.1328125" style="66"/>
    <col min="15872" max="15872" width="30.86328125" style="66" customWidth="1"/>
    <col min="15873" max="15873" width="9.1328125" style="66" customWidth="1"/>
    <col min="15874" max="15874" width="9.73046875" style="66" customWidth="1"/>
    <col min="15875" max="15875" width="15.1328125" style="66" customWidth="1"/>
    <col min="15876" max="15876" width="12" style="66" customWidth="1"/>
    <col min="15877" max="15880" width="9.1328125" style="66"/>
    <col min="15881" max="15881" width="9.3984375" style="66" customWidth="1"/>
    <col min="15882" max="16127" width="9.1328125" style="66"/>
    <col min="16128" max="16128" width="30.86328125" style="66" customWidth="1"/>
    <col min="16129" max="16129" width="9.1328125" style="66" customWidth="1"/>
    <col min="16130" max="16130" width="9.73046875" style="66" customWidth="1"/>
    <col min="16131" max="16131" width="15.1328125" style="66" customWidth="1"/>
    <col min="16132" max="16132" width="12" style="66" customWidth="1"/>
    <col min="16133" max="16136" width="9.1328125" style="66"/>
    <col min="16137" max="16137" width="9.3984375" style="66" customWidth="1"/>
    <col min="16138" max="16384" width="9.1328125" style="66"/>
  </cols>
  <sheetData>
    <row r="1" spans="1:5" s="64" customFormat="1">
      <c r="A1" s="95" t="str">
        <f>[3]SharedInputs!B4</f>
        <v>AVISTA UTILITIES</v>
      </c>
      <c r="B1" s="95"/>
      <c r="C1" s="95"/>
      <c r="D1" s="95"/>
      <c r="E1" s="95"/>
    </row>
    <row r="2" spans="1:5" s="64" customFormat="1">
      <c r="A2" s="95" t="s">
        <v>66</v>
      </c>
      <c r="B2" s="95"/>
      <c r="C2" s="95"/>
      <c r="D2" s="95"/>
      <c r="E2" s="109"/>
    </row>
    <row r="3" spans="1:5" s="64" customFormat="1">
      <c r="A3" s="95" t="s">
        <v>97</v>
      </c>
      <c r="B3" s="95"/>
      <c r="C3" s="95"/>
      <c r="D3" s="95"/>
      <c r="E3" s="110"/>
    </row>
    <row r="4" spans="1:5" s="64" customFormat="1">
      <c r="A4" s="95"/>
      <c r="B4" s="95"/>
      <c r="C4" s="95"/>
      <c r="D4" s="95"/>
      <c r="E4" s="110"/>
    </row>
    <row r="5" spans="1:5" s="64" customFormat="1">
      <c r="A5" s="95"/>
      <c r="B5" s="95"/>
      <c r="C5" s="95"/>
      <c r="D5" s="95"/>
      <c r="E5" s="95" t="s">
        <v>91</v>
      </c>
    </row>
    <row r="6" spans="1:5">
      <c r="A6" s="95"/>
      <c r="B6" s="111"/>
      <c r="C6" s="111"/>
      <c r="D6" s="112"/>
      <c r="E6" s="95" t="s">
        <v>98</v>
      </c>
    </row>
    <row r="7" spans="1:5">
      <c r="A7" s="111"/>
      <c r="B7" s="111"/>
      <c r="C7" s="111"/>
      <c r="D7" s="112"/>
      <c r="E7" s="111"/>
    </row>
    <row r="8" spans="1:5">
      <c r="A8" s="111" t="s">
        <v>67</v>
      </c>
      <c r="B8" s="111"/>
      <c r="C8" s="111"/>
      <c r="D8" s="112"/>
      <c r="E8" s="111">
        <v>1</v>
      </c>
    </row>
    <row r="9" spans="1:5">
      <c r="A9" s="111"/>
      <c r="B9" s="111"/>
      <c r="C9" s="111"/>
      <c r="D9" s="112"/>
      <c r="E9" s="111"/>
    </row>
    <row r="10" spans="1:5">
      <c r="A10" s="111" t="s">
        <v>44</v>
      </c>
      <c r="B10" s="111"/>
      <c r="C10" s="111"/>
      <c r="D10" s="112"/>
      <c r="E10" s="111"/>
    </row>
    <row r="11" spans="1:5">
      <c r="A11" s="111"/>
      <c r="B11" s="111"/>
      <c r="C11" s="111"/>
      <c r="D11" s="112"/>
      <c r="E11" s="111"/>
    </row>
    <row r="12" spans="1:5">
      <c r="A12" s="111" t="s">
        <v>68</v>
      </c>
      <c r="B12" s="111"/>
      <c r="C12" s="111"/>
      <c r="D12" s="112"/>
      <c r="E12" s="111">
        <v>3.3262885794710221E-3</v>
      </c>
    </row>
    <row r="13" spans="1:5">
      <c r="A13" s="111"/>
      <c r="B13" s="111"/>
      <c r="C13" s="111"/>
      <c r="D13" s="112"/>
      <c r="E13" s="111"/>
    </row>
    <row r="14" spans="1:5">
      <c r="A14" s="111" t="s">
        <v>69</v>
      </c>
      <c r="B14" s="111"/>
      <c r="C14" s="111"/>
      <c r="D14" s="112"/>
      <c r="E14" s="111">
        <v>2E-3</v>
      </c>
    </row>
    <row r="15" spans="1:5">
      <c r="A15" s="111"/>
      <c r="B15" s="111"/>
      <c r="C15" s="111"/>
      <c r="D15" s="112"/>
      <c r="E15" s="111"/>
    </row>
    <row r="16" spans="1:5">
      <c r="A16" s="111" t="s">
        <v>70</v>
      </c>
      <c r="B16" s="111"/>
      <c r="C16" s="111"/>
      <c r="D16" s="112"/>
      <c r="E16" s="111">
        <v>3.8605159538162764E-2</v>
      </c>
    </row>
    <row r="17" spans="1:10">
      <c r="A17" s="111"/>
      <c r="B17" s="111"/>
      <c r="C17" s="111"/>
      <c r="D17" s="112"/>
      <c r="E17" s="111"/>
    </row>
    <row r="18" spans="1:10">
      <c r="A18" s="111"/>
      <c r="B18" s="111"/>
      <c r="C18" s="111"/>
      <c r="D18" s="112"/>
      <c r="E18" s="112"/>
    </row>
    <row r="19" spans="1:10">
      <c r="A19" s="111" t="s">
        <v>45</v>
      </c>
      <c r="B19" s="111"/>
      <c r="C19" s="111"/>
      <c r="D19" s="112"/>
      <c r="E19" s="113">
        <f>SUM(E11:E17)</f>
        <v>4.393144811763379E-2</v>
      </c>
      <c r="J19" s="67"/>
    </row>
    <row r="20" spans="1:10" ht="14.65" thickBot="1">
      <c r="A20" s="111"/>
      <c r="B20" s="111"/>
      <c r="C20" s="111"/>
      <c r="D20" s="112"/>
      <c r="E20" s="112"/>
    </row>
    <row r="21" spans="1:10" ht="15" thickTop="1" thickBot="1">
      <c r="A21" s="111" t="s">
        <v>46</v>
      </c>
      <c r="B21" s="111"/>
      <c r="C21" s="111"/>
      <c r="D21" s="112"/>
      <c r="E21" s="94">
        <f>E8-E19</f>
        <v>0.95606855188236617</v>
      </c>
    </row>
    <row r="22" spans="1:10" ht="14.65" thickTop="1">
      <c r="A22" s="111"/>
      <c r="B22" s="111"/>
      <c r="C22" s="111"/>
      <c r="D22" s="112"/>
      <c r="E22" s="111"/>
    </row>
    <row r="23" spans="1:10">
      <c r="A23" s="111" t="s">
        <v>71</v>
      </c>
      <c r="B23" s="89">
        <v>0.21</v>
      </c>
      <c r="C23" s="114"/>
      <c r="D23" s="112"/>
      <c r="E23" s="111">
        <v>0.20077439589529689</v>
      </c>
    </row>
    <row r="24" spans="1:10">
      <c r="A24" s="111"/>
      <c r="B24" s="111"/>
      <c r="C24" s="111"/>
      <c r="D24" s="112"/>
      <c r="E24" s="111"/>
    </row>
    <row r="25" spans="1:10">
      <c r="A25" s="111" t="s">
        <v>43</v>
      </c>
      <c r="B25" s="111"/>
      <c r="C25" s="111"/>
      <c r="D25" s="112"/>
      <c r="E25" s="113">
        <f>E21-E23</f>
        <v>0.75529415598706928</v>
      </c>
    </row>
    <row r="26" spans="1:10">
      <c r="A26" s="65"/>
      <c r="B26" s="65"/>
      <c r="C26" s="65"/>
      <c r="E26" s="65"/>
    </row>
    <row r="27" spans="1:10">
      <c r="A27" s="65"/>
      <c r="B27" s="65"/>
      <c r="C27" s="65"/>
      <c r="E27" s="65"/>
    </row>
    <row r="28" spans="1:10">
      <c r="A28" s="65"/>
      <c r="B28" s="65"/>
      <c r="C28" s="65"/>
      <c r="D28" s="65"/>
      <c r="E28" s="65"/>
    </row>
    <row r="33" spans="2:6">
      <c r="F33" s="75"/>
    </row>
    <row r="41" spans="2:6">
      <c r="B41" s="73"/>
    </row>
    <row r="42" spans="2:6">
      <c r="C42" s="69"/>
    </row>
    <row r="43" spans="2:6">
      <c r="C43" s="71"/>
    </row>
    <row r="44" spans="2:6">
      <c r="C44" s="71"/>
    </row>
    <row r="49" spans="2:2">
      <c r="B49" s="66" t="s">
        <v>73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2:E27"/>
  <sheetViews>
    <sheetView workbookViewId="0">
      <selection activeCell="J20" sqref="J20"/>
    </sheetView>
  </sheetViews>
  <sheetFormatPr defaultColWidth="9.1328125" defaultRowHeight="13.15"/>
  <cols>
    <col min="1" max="1" width="9.1328125" style="91"/>
    <col min="2" max="2" width="11.1328125" style="91" bestFit="1" customWidth="1"/>
    <col min="3" max="3" width="26.265625" style="91" bestFit="1" customWidth="1"/>
    <col min="4" max="4" width="20.86328125" style="91" bestFit="1" customWidth="1"/>
    <col min="5" max="5" width="12.3984375" style="91" customWidth="1"/>
    <col min="6" max="16384" width="9.1328125" style="91"/>
  </cols>
  <sheetData>
    <row r="12" spans="5:5">
      <c r="E12" s="92"/>
    </row>
    <row r="17" spans="2:4">
      <c r="B17" s="201" t="s">
        <v>134</v>
      </c>
      <c r="C17" s="201"/>
      <c r="D17" s="201"/>
    </row>
    <row r="18" spans="2:4">
      <c r="B18" s="130" t="s">
        <v>77</v>
      </c>
      <c r="C18" s="128" t="s">
        <v>80</v>
      </c>
      <c r="D18" s="129" t="s">
        <v>92</v>
      </c>
    </row>
    <row r="19" spans="2:4">
      <c r="B19" s="96" t="s">
        <v>78</v>
      </c>
      <c r="C19" s="97" t="s">
        <v>81</v>
      </c>
      <c r="D19" s="107">
        <f>'Rate Design'!D23</f>
        <v>9.8196885243699242E-3</v>
      </c>
    </row>
    <row r="20" spans="2:4">
      <c r="B20" s="96" t="s">
        <v>110</v>
      </c>
      <c r="C20" s="97" t="s">
        <v>82</v>
      </c>
      <c r="D20" s="107">
        <f>'Rate Design'!E23</f>
        <v>8.6782192368820583E-3</v>
      </c>
    </row>
    <row r="21" spans="2:4">
      <c r="B21" s="96" t="s">
        <v>111</v>
      </c>
      <c r="C21" s="97" t="s">
        <v>83</v>
      </c>
      <c r="D21" s="107">
        <f>'Rate Design'!F23</f>
        <v>8.5401145615961772E-3</v>
      </c>
    </row>
    <row r="22" spans="2:4">
      <c r="B22" s="96" t="s">
        <v>137</v>
      </c>
      <c r="C22" s="97" t="s">
        <v>85</v>
      </c>
      <c r="D22" s="107">
        <f>'Rate Design'!G23</f>
        <v>9.2533054017203773E-3</v>
      </c>
    </row>
    <row r="23" spans="2:4">
      <c r="B23" s="96" t="s">
        <v>135</v>
      </c>
      <c r="C23" s="97" t="s">
        <v>136</v>
      </c>
      <c r="D23" s="107">
        <f>'Rate Design'!H23</f>
        <v>9.0206889620607963E-3</v>
      </c>
    </row>
    <row r="24" spans="2:4">
      <c r="B24" s="96" t="s">
        <v>79</v>
      </c>
      <c r="C24" s="97" t="s">
        <v>84</v>
      </c>
      <c r="D24" s="107">
        <f>'Rate Design'!I23</f>
        <v>8.6104553006976711E-3</v>
      </c>
    </row>
    <row r="25" spans="2:4">
      <c r="B25" s="98" t="s">
        <v>86</v>
      </c>
      <c r="C25" s="97" t="s">
        <v>56</v>
      </c>
      <c r="D25" s="107">
        <f>'Rate Design'!J23</f>
        <v>8.9388247296302292E-3</v>
      </c>
    </row>
    <row r="26" spans="2:4">
      <c r="B26" s="99"/>
      <c r="C26" s="100" t="s">
        <v>87</v>
      </c>
      <c r="D26" s="106">
        <f>'Rate Design'!C23</f>
        <v>9.1927123986536852E-3</v>
      </c>
    </row>
    <row r="27" spans="2:4">
      <c r="B27" s="132"/>
      <c r="C27" s="131"/>
      <c r="D27" s="133"/>
    </row>
  </sheetData>
  <mergeCells count="1">
    <mergeCell ref="B17:D17"/>
  </mergeCells>
  <pageMargins left="0.7" right="0.7" top="0.75" bottom="0.75" header="0.3" footer="0.3"/>
  <pageSetup orientation="portrait" r:id="rId1"/>
  <customProperties>
    <customPr name="xxe4aPID" r:id="rId2"/>
  </customProperties>
  <ignoredErrors>
    <ignoredError sqref="B20" twoDigitTextYear="1"/>
    <ignoredError sqref="B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4DA3106E9E3849887F4269213DA098" ma:contentTypeVersion="28" ma:contentTypeDescription="" ma:contentTypeScope="" ma:versionID="adf9c376bb5798aa8a89909752da5f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DD05603F-869E-44C1-8029-2A459D1F8B6D}"/>
</file>

<file path=customXml/itemProps3.xml><?xml version="1.0" encoding="utf-8"?>
<ds:datastoreItem xmlns:ds="http://schemas.openxmlformats.org/officeDocument/2006/customXml" ds:itemID="{1535BFD0-ECC5-4B3C-AAE9-454B23A79CBC}"/>
</file>

<file path=customXml/itemProps4.xml><?xml version="1.0" encoding="utf-8"?>
<ds:datastoreItem xmlns:ds="http://schemas.openxmlformats.org/officeDocument/2006/customXml" ds:itemID="{70A1D6D8-C3B0-4B35-86E6-D316FFBF2CF6}"/>
</file>

<file path=customXml/itemProps5.xml><?xml version="1.0" encoding="utf-8"?>
<ds:datastoreItem xmlns:ds="http://schemas.openxmlformats.org/officeDocument/2006/customXml" ds:itemID="{8035275C-87AB-4EDA-ABAA-AC1284414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Rate Design</vt:lpstr>
      <vt:lpstr>Deferral Balance</vt:lpstr>
      <vt:lpstr>Deferral Schedule</vt:lpstr>
      <vt:lpstr>Forecasted Revenue</vt:lpstr>
      <vt:lpstr>kWh Forecast</vt:lpstr>
      <vt:lpstr>CF WA Elec</vt:lpstr>
      <vt:lpstr>Tables for Cust Notice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2022-03-30T23:12:01Z</cp:lastPrinted>
  <dcterms:created xsi:type="dcterms:W3CDTF">2016-02-09T19:01:57Z</dcterms:created>
  <dcterms:modified xsi:type="dcterms:W3CDTF">2022-09-01T13:56:57Z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0x0101006E56B4D1795A2E4DB2F0B01679ED314A00B64DA3106E9E3849887F4269213DA098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