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4.xml" ContentType="application/vnd.openxmlformats-officedocument.spreadsheetml.worksheet+xml"/>
  <Override PartName="/xl/styles.xml" ContentType="application/vnd.openxmlformats-officedocument.spreadsheetml.styles+xml"/>
  <Override PartName="/xl/customProperty5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7.xml" ContentType="application/vnd.openxmlformats-officedocument.spreadsheetml.externalLink+xml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customProperty6.bin" ContentType="application/vnd.openxmlformats-officedocument.spreadsheetml.customProperty"/>
  <Override PartName="/xl/comments1.xml" ContentType="application/vnd.openxmlformats-officedocument.spreadsheetml.comments+xml"/>
  <Override PartName="/xl/customProperty9.bin" ContentType="application/vnd.openxmlformats-officedocument.spreadsheetml.customProperty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ates\Public\Gas Low Income\2022\2022 Sch 129 Filing (eff. Oct 1, 2022)\FILED 8-31-22\"/>
    </mc:Choice>
  </mc:AlternateContent>
  <bookViews>
    <workbookView xWindow="-60" yWindow="20" windowWidth="14970" windowHeight="14430" tabRatio="837"/>
  </bookViews>
  <sheets>
    <sheet name="Rates" sheetId="7" r:id="rId1"/>
    <sheet name="Rate Impacts--&gt;" sheetId="16" r:id="rId2"/>
    <sheet name="Rate Impacts Sch 129" sheetId="69" r:id="rId3"/>
    <sheet name="Typical Res Bill Sch 129" sheetId="70" r:id="rId4"/>
    <sheet name="Avg Per Therm" sheetId="71" r:id="rId5"/>
    <sheet name="Sch. 129" sheetId="72" r:id="rId6"/>
    <sheet name="Work Papers--&gt;" sheetId="25" r:id="rId7"/>
    <sheet name="Sch 85 87 Rate Calc" sheetId="9" r:id="rId8"/>
    <sheet name="Margin Revenue" sheetId="8" r:id="rId9"/>
    <sheet name="Revenue Req 2022-2023" sheetId="73" r:id="rId10"/>
    <sheet name="Data from 2019 GRC PLR Update-&gt;" sheetId="42" r:id="rId11"/>
    <sheet name="Rate Design Res (PLR)" sheetId="57" r:id="rId12"/>
    <sheet name="Rate Design C&amp;I (PLR)" sheetId="58" r:id="rId13"/>
    <sheet name="Rate Design Int &amp; Trans (PLR)" sheetId="59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_______six6" localSheetId="9" hidden="1">{#N/A,#N/A,FALSE,"CRPT";#N/A,#N/A,FALSE,"TREND";#N/A,#N/A,FALSE,"%Curve"}</definedName>
    <definedName name="_____________________six6" hidden="1">{#N/A,#N/A,FALSE,"CRPT";#N/A,#N/A,FALSE,"TREND";#N/A,#N/A,FALSE,"%Curve"}</definedName>
    <definedName name="____________________six6" localSheetId="9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localSheetId="9" hidden="1">{#N/A,#N/A,FALSE,"schA"}</definedName>
    <definedName name="____________________www1" hidden="1">{#N/A,#N/A,FALSE,"schA"}</definedName>
    <definedName name="__________________six6" localSheetId="9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9" hidden="1">{#N/A,#N/A,FALSE,"schA"}</definedName>
    <definedName name="__________________www1" hidden="1">{#N/A,#N/A,FALSE,"schA"}</definedName>
    <definedName name="_________________six6" localSheetId="9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9" hidden="1">{#N/A,#N/A,FALSE,"schA"}</definedName>
    <definedName name="_________________www1" hidden="1">{#N/A,#N/A,FALSE,"schA"}</definedName>
    <definedName name="________________six6" localSheetId="9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9" hidden="1">{#N/A,#N/A,FALSE,"schA"}</definedName>
    <definedName name="________________www1" hidden="1">{#N/A,#N/A,FALSE,"schA"}</definedName>
    <definedName name="_______________six6" localSheetId="9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9" hidden="1">{#N/A,#N/A,FALSE,"schA"}</definedName>
    <definedName name="_______________www1" hidden="1">{#N/A,#N/A,FALSE,"schA"}</definedName>
    <definedName name="______________six6" localSheetId="9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9" hidden="1">{#N/A,#N/A,FALSE,"schA"}</definedName>
    <definedName name="______________www1" hidden="1">{#N/A,#N/A,FALSE,"schA"}</definedName>
    <definedName name="_____________six6" localSheetId="9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9" hidden="1">{#N/A,#N/A,FALSE,"schA"}</definedName>
    <definedName name="_____________www1" hidden="1">{#N/A,#N/A,FALSE,"schA"}</definedName>
    <definedName name="____________six6" localSheetId="9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9" hidden="1">{#N/A,#N/A,FALSE,"schA"}</definedName>
    <definedName name="____________www1" hidden="1">{#N/A,#N/A,FALSE,"schA"}</definedName>
    <definedName name="___________six6" localSheetId="9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9" hidden="1">{#N/A,#N/A,FALSE,"schA"}</definedName>
    <definedName name="___________www1" hidden="1">{#N/A,#N/A,FALSE,"schA"}</definedName>
    <definedName name="__________six6" localSheetId="9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9" hidden="1">{#N/A,#N/A,FALSE,"schA"}</definedName>
    <definedName name="__________www1" hidden="1">{#N/A,#N/A,FALSE,"schA"}</definedName>
    <definedName name="_________six6" localSheetId="9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9" hidden="1">{#N/A,#N/A,FALSE,"schA"}</definedName>
    <definedName name="_________www1" hidden="1">{#N/A,#N/A,FALSE,"schA"}</definedName>
    <definedName name="________six6" localSheetId="9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9" hidden="1">{#N/A,#N/A,FALSE,"schA"}</definedName>
    <definedName name="________www1" hidden="1">{#N/A,#N/A,FALSE,"schA"}</definedName>
    <definedName name="_______ex1" localSheetId="9" hidden="1">{#N/A,#N/A,FALSE,"Summ";#N/A,#N/A,FALSE,"General"}</definedName>
    <definedName name="_______ex1" hidden="1">{#N/A,#N/A,FALSE,"Summ";#N/A,#N/A,FALSE,"General"}</definedName>
    <definedName name="_______new1" localSheetId="9" hidden="1">{#N/A,#N/A,FALSE,"Summ";#N/A,#N/A,FALSE,"General"}</definedName>
    <definedName name="_______new1" hidden="1">{#N/A,#N/A,FALSE,"Summ";#N/A,#N/A,FALSE,"General"}</definedName>
    <definedName name="_______six6" localSheetId="9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9" hidden="1">{#N/A,#N/A,FALSE,"schA"}</definedName>
    <definedName name="_______www1" hidden="1">{#N/A,#N/A,FALSE,"schA"}</definedName>
    <definedName name="______ex1" localSheetId="9" hidden="1">{#N/A,#N/A,FALSE,"Summ";#N/A,#N/A,FALSE,"General"}</definedName>
    <definedName name="______ex1" hidden="1">{#N/A,#N/A,FALSE,"Summ";#N/A,#N/A,FALSE,"General"}</definedName>
    <definedName name="______new1" localSheetId="9" hidden="1">{#N/A,#N/A,FALSE,"Summ";#N/A,#N/A,FALSE,"General"}</definedName>
    <definedName name="______new1" hidden="1">{#N/A,#N/A,FALSE,"Summ";#N/A,#N/A,FALSE,"General"}</definedName>
    <definedName name="______six6" localSheetId="9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9" hidden="1">{#N/A,#N/A,FALSE,"schA"}</definedName>
    <definedName name="______www1" hidden="1">{#N/A,#N/A,FALSE,"schA"}</definedName>
    <definedName name="_____ex1" localSheetId="9" hidden="1">{#N/A,#N/A,FALSE,"Summ";#N/A,#N/A,FALSE,"General"}</definedName>
    <definedName name="_____ex1" hidden="1">{#N/A,#N/A,FALSE,"Summ";#N/A,#N/A,FALSE,"General"}</definedName>
    <definedName name="_____new1" localSheetId="9" hidden="1">{#N/A,#N/A,FALSE,"Summ";#N/A,#N/A,FALSE,"General"}</definedName>
    <definedName name="_____new1" hidden="1">{#N/A,#N/A,FALSE,"Summ";#N/A,#N/A,FALSE,"General"}</definedName>
    <definedName name="_____six6" localSheetId="9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9" hidden="1">{#N/A,#N/A,FALSE,"schA"}</definedName>
    <definedName name="_____www1" hidden="1">{#N/A,#N/A,FALSE,"schA"}</definedName>
    <definedName name="____ex1" localSheetId="9" hidden="1">{#N/A,#N/A,FALSE,"Summ";#N/A,#N/A,FALSE,"General"}</definedName>
    <definedName name="____ex1" hidden="1">{#N/A,#N/A,FALSE,"Summ";#N/A,#N/A,FALSE,"General"}</definedName>
    <definedName name="____new1" localSheetId="9" hidden="1">{#N/A,#N/A,FALSE,"Summ";#N/A,#N/A,FALSE,"General"}</definedName>
    <definedName name="____new1" hidden="1">{#N/A,#N/A,FALSE,"Summ";#N/A,#N/A,FALSE,"General"}</definedName>
    <definedName name="____six6" localSheetId="9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9" hidden="1">{#N/A,#N/A,FALSE,"schA"}</definedName>
    <definedName name="____www1" hidden="1">{#N/A,#N/A,FALSE,"schA"}</definedName>
    <definedName name="___ex1" localSheetId="9" hidden="1">{#N/A,#N/A,FALSE,"Summ";#N/A,#N/A,FALSE,"General"}</definedName>
    <definedName name="___ex1" hidden="1">{#N/A,#N/A,FALSE,"Summ";#N/A,#N/A,FALSE,"General"}</definedName>
    <definedName name="___new1" localSheetId="9" hidden="1">{#N/A,#N/A,FALSE,"Summ";#N/A,#N/A,FALSE,"General"}</definedName>
    <definedName name="___new1" hidden="1">{#N/A,#N/A,FALSE,"Summ";#N/A,#N/A,FALSE,"General"}</definedName>
    <definedName name="___six6" localSheetId="9" hidden="1">{#N/A,#N/A,FALSE,"CRPT";#N/A,#N/A,FALSE,"TREND";#N/A,#N/A,FALSE,"%Curve"}</definedName>
    <definedName name="___six6" hidden="1">{#N/A,#N/A,FALSE,"CRPT";#N/A,#N/A,FALSE,"TREND";#N/A,#N/A,FALSE,"%Curve"}</definedName>
    <definedName name="___www1" localSheetId="9" hidden="1">{#N/A,#N/A,FALSE,"schA"}</definedName>
    <definedName name="___www1" hidden="1">{#N/A,#N/A,FALSE,"schA"}</definedName>
    <definedName name="__123Graph_D" localSheetId="9" hidden="1">#REF!</definedName>
    <definedName name="__123Graph_D" hidden="1">#REF!</definedName>
    <definedName name="__123Graph_ECURRENT" localSheetId="9" hidden="1">[1]ConsolidatingPL!#REF!</definedName>
    <definedName name="__123Graph_ECURRENT" hidden="1">[1]ConsolidatingPL!#REF!</definedName>
    <definedName name="__ex1" localSheetId="9" hidden="1">{#N/A,#N/A,FALSE,"Summ";#N/A,#N/A,FALSE,"General"}</definedName>
    <definedName name="__ex1" hidden="1">{#N/A,#N/A,FALSE,"Summ";#N/A,#N/A,FALSE,"General"}</definedName>
    <definedName name="__new1" localSheetId="9" hidden="1">{#N/A,#N/A,FALSE,"Summ";#N/A,#N/A,FALSE,"General"}</definedName>
    <definedName name="__new1" hidden="1">{#N/A,#N/A,FALSE,"Summ";#N/A,#N/A,FALSE,"General"}</definedName>
    <definedName name="__six6" localSheetId="9" hidden="1">{#N/A,#N/A,FALSE,"CRPT";#N/A,#N/A,FALSE,"TREND";#N/A,#N/A,FALSE,"%Curve"}</definedName>
    <definedName name="__six6" hidden="1">{#N/A,#N/A,FALSE,"CRPT";#N/A,#N/A,FALSE,"TREND";#N/A,#N/A,FALSE,"%Curve"}</definedName>
    <definedName name="__www1" localSheetId="9" hidden="1">{#N/A,#N/A,FALSE,"schA"}</definedName>
    <definedName name="__www1" hidden="1">{#N/A,#N/A,FALSE,"schA"}</definedName>
    <definedName name="_2__123Graph_ABUDG6_Dtons_inv" hidden="1">[2]Quant!#REF!</definedName>
    <definedName name="_3__123Graph_ABUDG6_Dtons_inv" hidden="1">[3]Quant!#REF!</definedName>
    <definedName name="_4__123Graph_ABUDG6_Dtons_inv" hidden="1">'[4]Area D 2011'!#REF!</definedName>
    <definedName name="_6__123Graph_CBUDG6_D_ESCRPR" hidden="1">'[5]2012 Area AB BudgetSummary'!#REF!</definedName>
    <definedName name="_7__123Graph_CBUDG6_D_ESCRPR" hidden="1">'[4]Area D 2011'!#REF!</definedName>
    <definedName name="_7__123Graph_DBUDG6_D_ESCRPR" hidden="1">'[5]2012 Area AB BudgetSummary'!#REF!</definedName>
    <definedName name="_8__123Graph_DBUDG6_D_ESCRPR" hidden="1">'[4]Area D 2011'!#REF!</definedName>
    <definedName name="_ex1" localSheetId="9" hidden="1">{#N/A,#N/A,FALSE,"Summ";#N/A,#N/A,FALSE,"General"}</definedName>
    <definedName name="_ex1" hidden="1">{#N/A,#N/A,FALSE,"Summ";#N/A,#N/A,FALSE,"General"}</definedName>
    <definedName name="_Key1" localSheetId="9" hidden="1">#REF!</definedName>
    <definedName name="_Key1" hidden="1">#REF!</definedName>
    <definedName name="_Key2" localSheetId="9" hidden="1">#REF!</definedName>
    <definedName name="_Key2" hidden="1">#REF!</definedName>
    <definedName name="_new1" localSheetId="9" hidden="1">{#N/A,#N/A,FALSE,"Summ";#N/A,#N/A,FALSE,"General"}</definedName>
    <definedName name="_new1" hidden="1">{#N/A,#N/A,FALSE,"Summ";#N/A,#N/A,FALSE,"General"}</definedName>
    <definedName name="_Parse_In" localSheetId="9" hidden="1">#REF!</definedName>
    <definedName name="_Parse_In" hidden="1">#REF!</definedName>
    <definedName name="_six6" localSheetId="9" hidden="1">{#N/A,#N/A,FALSE,"CRPT";#N/A,#N/A,FALSE,"TREND";#N/A,#N/A,FALSE,"%Curve"}</definedName>
    <definedName name="_six6" hidden="1">{#N/A,#N/A,FALSE,"CRPT";#N/A,#N/A,FALSE,"TREND";#N/A,#N/A,FALSE,"%Curve"}</definedName>
    <definedName name="_Sort" localSheetId="9" hidden="1">#REF!</definedName>
    <definedName name="_Sort" hidden="1">#REF!</definedName>
    <definedName name="_www1" localSheetId="9" hidden="1">{#N/A,#N/A,FALSE,"schA"}</definedName>
    <definedName name="_www1" hidden="1">{#N/A,#N/A,FALSE,"schA"}</definedName>
    <definedName name="aaa" localSheetId="9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localSheetId="9" hidden="1">{#N/A,#N/A,FALSE,"Coversheet";#N/A,#N/A,FALSE,"QA"}</definedName>
    <definedName name="AAAAAAAAAAAAAA" hidden="1">{#N/A,#N/A,FALSE,"Coversheet";#N/A,#N/A,FALSE,"QA"}</definedName>
    <definedName name="b" localSheetId="9" hidden="1">{#N/A,#N/A,FALSE,"Coversheet";#N/A,#N/A,FALSE,"QA"}</definedName>
    <definedName name="b" hidden="1">{#N/A,#N/A,FALSE,"Coversheet";#N/A,#N/A,FALSE,"QA"}</definedName>
    <definedName name="BEm" localSheetId="9" hidden="1">#REF!</definedName>
    <definedName name="BEm" hidden="1">#REF!</definedName>
    <definedName name="BEx0017DGUEDPCFJUPUZOOLJCS2B" localSheetId="9" hidden="1">#REF!</definedName>
    <definedName name="BEx0017DGUEDPCFJUPUZOOLJCS2B" hidden="1">#REF!</definedName>
    <definedName name="BEx001CNWHJ5RULCSFM36ZCGJ1UH" localSheetId="9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[6]ZZCOOM_M03_Q004!#REF!</definedName>
    <definedName name="BEx3OJZSCGFRW7SVGBFI0X9DNVMM" localSheetId="9" hidden="1">#REF!</definedName>
    <definedName name="BEx3OJZSCGFRW7SVGBFI0X9DNVMM" hidden="1">#REF!</definedName>
    <definedName name="BEx3ORSBUXAF21MKEY90YJV9AY9A" localSheetId="9" hidden="1">#REF!</definedName>
    <definedName name="BEx3ORSBUXAF21MKEY90YJV9AY9A" hidden="1">#REF!</definedName>
    <definedName name="BEx3OUS0N576NJN078Y1BWUWQK6B" localSheetId="9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[6]ZZCOOM_M03_Q004!#REF!</definedName>
    <definedName name="BEx5MMCJMU7FOOWUCW9EA13B7V5F" localSheetId="9" hidden="1">#REF!</definedName>
    <definedName name="BEx5MMCJMU7FOOWUCW9EA13B7V5F" hidden="1">#REF!</definedName>
    <definedName name="BEx5MVXTKNBXHNWTL43C670E4KXC" localSheetId="9" hidden="1">#REF!</definedName>
    <definedName name="BEx5MVXTKNBXHNWTL43C670E4KXC" hidden="1">#REF!</definedName>
    <definedName name="BEx5MWZGZ3VRB5418C2RNF9H17BQ" localSheetId="9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[6]ZZCOOM_M03_Q004!#REF!</definedName>
    <definedName name="BExERXE1QW042A2T25RI4DVUU59O" localSheetId="9" hidden="1">#REF!</definedName>
    <definedName name="BExERXE1QW042A2T25RI4DVUU59O" hidden="1">#REF!</definedName>
    <definedName name="BExES44RHHDL3V7FLV6M20834WF1" localSheetId="9" hidden="1">#REF!</definedName>
    <definedName name="BExES44RHHDL3V7FLV6M20834WF1" hidden="1">#REF!</definedName>
    <definedName name="BExES4A7VE2X3RYYTVRLKZD4I7WU" localSheetId="9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[6]ZZCOOM_M03_Q004!#REF!</definedName>
    <definedName name="BExMC7PESEESXVMDCGGIP5LPMUGY" localSheetId="9" hidden="1">#REF!</definedName>
    <definedName name="BExMC7PESEESXVMDCGGIP5LPMUGY" hidden="1">#REF!</definedName>
    <definedName name="BExMC8AZUTX8LG89K2JJR7ZG62XX" localSheetId="9" hidden="1">#REF!</definedName>
    <definedName name="BExMC8AZUTX8LG89K2JJR7ZG62XX" hidden="1">#REF!</definedName>
    <definedName name="BExMCA96YR10V72G2R0SCIKPZLIZ" localSheetId="9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[6]ZZCOOM_M03_Q004!#REF!</definedName>
    <definedName name="BExQ9ZWQ19KSRZNZNPY6ZNWEST1J" localSheetId="9" hidden="1">#REF!</definedName>
    <definedName name="BExQ9ZWQ19KSRZNZNPY6ZNWEST1J" hidden="1">#REF!</definedName>
    <definedName name="BExQA324HSCK40ENJUT9CS9EC71B" localSheetId="9" hidden="1">#REF!</definedName>
    <definedName name="BExQA324HSCK40ENJUT9CS9EC71B" hidden="1">#REF!</definedName>
    <definedName name="BExQA55GY0STSNBWQCWN8E31ZXCS" localSheetId="9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[6]ZZCOOM_M03_Q004!#REF!</definedName>
    <definedName name="BExTV67VIM8PV6KO253M4DUBJQLC" localSheetId="9" hidden="1">#REF!</definedName>
    <definedName name="BExTV67VIM8PV6KO253M4DUBJQLC" hidden="1">#REF!</definedName>
    <definedName name="BExTVELZCF2YA5L6F23BYZZR6WHF" localSheetId="9" hidden="1">#REF!</definedName>
    <definedName name="BExTVELZCF2YA5L6F23BYZZR6WHF" hidden="1">#REF!</definedName>
    <definedName name="BExTVGPIQZ99YFXUC8OONUX5BD42" localSheetId="9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L" localSheetId="9" hidden="1">{#N/A,#N/A,FALSE,"Cover Sheet";"Use of Equipment",#N/A,FALSE,"Area C";"Equipment Hours",#N/A,FALSE,"All";"Summary",#N/A,FALSE,"All"}</definedName>
    <definedName name="BL" hidden="1">{#N/A,#N/A,FALSE,"Cover Sheet";"Use of Equipment",#N/A,FALSE,"Area C";"Equipment Hours",#N/A,FALSE,"All";"Summary",#N/A,FALSE,"All"}</definedName>
    <definedName name="blet" localSheetId="9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localSheetId="9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Bum" localSheetId="9" hidden="1">#REF!</definedName>
    <definedName name="Bum" hidden="1">#REF!</definedName>
    <definedName name="DELETE01" localSheetId="9" hidden="1">{#N/A,#N/A,FALSE,"Coversheet";#N/A,#N/A,FALSE,"QA"}</definedName>
    <definedName name="DELETE01" hidden="1">{#N/A,#N/A,FALSE,"Coversheet";#N/A,#N/A,FALSE,"QA"}</definedName>
    <definedName name="DELETE02" localSheetId="9" hidden="1">{#N/A,#N/A,FALSE,"Schedule F";#N/A,#N/A,FALSE,"Schedule G"}</definedName>
    <definedName name="DELETE02" hidden="1">{#N/A,#N/A,FALSE,"Schedule F";#N/A,#N/A,FALSE,"Schedule G"}</definedName>
    <definedName name="Delete06" localSheetId="9" hidden="1">{#N/A,#N/A,FALSE,"Coversheet";#N/A,#N/A,FALSE,"QA"}</definedName>
    <definedName name="Delete06" hidden="1">{#N/A,#N/A,FALSE,"Coversheet";#N/A,#N/A,FALSE,"QA"}</definedName>
    <definedName name="Delete09" localSheetId="9" hidden="1">{#N/A,#N/A,FALSE,"Coversheet";#N/A,#N/A,FALSE,"QA"}</definedName>
    <definedName name="Delete09" hidden="1">{#N/A,#N/A,FALSE,"Coversheet";#N/A,#N/A,FALSE,"QA"}</definedName>
    <definedName name="Delete1" localSheetId="9" hidden="1">{#N/A,#N/A,FALSE,"Coversheet";#N/A,#N/A,FALSE,"QA"}</definedName>
    <definedName name="Delete1" hidden="1">{#N/A,#N/A,FALSE,"Coversheet";#N/A,#N/A,FALSE,"QA"}</definedName>
    <definedName name="Delete10" localSheetId="9" hidden="1">{#N/A,#N/A,FALSE,"Schedule F";#N/A,#N/A,FALSE,"Schedule G"}</definedName>
    <definedName name="Delete10" hidden="1">{#N/A,#N/A,FALSE,"Schedule F";#N/A,#N/A,FALSE,"Schedule G"}</definedName>
    <definedName name="Delete21" localSheetId="9" hidden="1">{#N/A,#N/A,FALSE,"Coversheet";#N/A,#N/A,FALSE,"QA"}</definedName>
    <definedName name="Delete21" hidden="1">{#N/A,#N/A,FALSE,"Coversheet";#N/A,#N/A,FALSE,"QA"}</definedName>
    <definedName name="df" localSheetId="9" hidden="1">{#N/A,#N/A,FALSE,"CESTSUM";#N/A,#N/A,FALSE,"est sum A";#N/A,#N/A,FALSE,"est detail A"}</definedName>
    <definedName name="df" hidden="1">{#N/A,#N/A,FALSE,"CESTSUM";#N/A,#N/A,FALSE,"est sum A";#N/A,#N/A,FALSE,"est detail A"}</definedName>
    <definedName name="DFIT" localSheetId="9" hidden="1">{#N/A,#N/A,FALSE,"Coversheet";#N/A,#N/A,FALSE,"QA"}</definedName>
    <definedName name="DFIT" hidden="1">{#N/A,#N/A,FALSE,"Coversheet";#N/A,#N/A,FALSE,"QA"}</definedName>
    <definedName name="DUDE" hidden="1">#REF!</definedName>
    <definedName name="ee" localSheetId="9" hidden="1">{#N/A,#N/A,FALSE,"Month ";#N/A,#N/A,FALSE,"YTD";#N/A,#N/A,FALSE,"12 mo ended"}</definedName>
    <definedName name="ee" localSheetId="3" hidden="1">{#N/A,#N/A,FALSE,"Month ";#N/A,#N/A,FALSE,"YTD";#N/A,#N/A,FALSE,"12 mo ended"}</definedName>
    <definedName name="ee" hidden="1">{#N/A,#N/A,FALSE,"Month ";#N/A,#N/A,FALSE,"YTD";#N/A,#N/A,FALSE,"12 mo ended"}</definedName>
    <definedName name="error" localSheetId="9" hidden="1">{#N/A,#N/A,FALSE,"Coversheet";#N/A,#N/A,FALSE,"QA"}</definedName>
    <definedName name="error" hidden="1">{#N/A,#N/A,FALSE,"Coversheet";#N/A,#N/A,FALSE,"QA"}</definedName>
    <definedName name="Estimate" localSheetId="9" hidden="1">{#N/A,#N/A,FALSE,"Summ";#N/A,#N/A,FALSE,"General"}</definedName>
    <definedName name="Estimate" hidden="1">{#N/A,#N/A,FALSE,"Summ";#N/A,#N/A,FALSE,"General"}</definedName>
    <definedName name="ex" localSheetId="9" hidden="1">{#N/A,#N/A,FALSE,"Summ";#N/A,#N/A,FALSE,"General"}</definedName>
    <definedName name="ex" hidden="1">{#N/A,#N/A,FALSE,"Summ";#N/A,#N/A,FALSE,"General"}</definedName>
    <definedName name="F" hidden="1">#REF!</definedName>
    <definedName name="fdasfdas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9" hidden="1">{#N/A,#N/A,FALSE,"Month ";#N/A,#N/A,FALSE,"YTD";#N/A,#N/A,FALSE,"12 mo ended"}</definedName>
    <definedName name="fdsafdasfdsa" localSheetId="3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9" hidden="1">{#N/A,#N/A,FALSE,"Coversheet";#N/A,#N/A,FALSE,"QA"}</definedName>
    <definedName name="ffff" hidden="1">{#N/A,#N/A,FALSE,"Coversheet";#N/A,#N/A,FALSE,"QA"}</definedName>
    <definedName name="fffgf" localSheetId="9" hidden="1">{#N/A,#N/A,FALSE,"Coversheet";#N/A,#N/A,FALSE,"QA"}</definedName>
    <definedName name="fffgf" hidden="1">{#N/A,#N/A,FALSE,"Coversheet";#N/A,#N/A,FALSE,"QA"}</definedName>
    <definedName name="gary" localSheetId="9" hidden="1">{#N/A,#N/A,FALSE,"Cover Sheet";"Use of Equipment",#N/A,FALSE,"Area C";"Equipment Hours",#N/A,FALSE,"All";"Summary",#N/A,FALSE,"All"}</definedName>
    <definedName name="gary" hidden="1">{#N/A,#N/A,FALSE,"Cover Sheet";"Use of Equipment",#N/A,FALSE,"Area C";"Equipment Hours",#N/A,FALSE,"All";"Summary",#N/A,FALSE,"All"}</definedName>
    <definedName name="helllo" localSheetId="9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9" hidden="1">{#N/A,#N/A,FALSE,"Coversheet";#N/A,#N/A,FALSE,"QA"}</definedName>
    <definedName name="HELP" hidden="1">{#N/A,#N/A,FALSE,"Coversheet";#N/A,#N/A,FALSE,"QA"}</definedName>
    <definedName name="income_satement_ytd" localSheetId="9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9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9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9" hidden="1">{#N/A,#N/A,FALSE,"Summ";#N/A,#N/A,FALSE,"General"}</definedName>
    <definedName name="jfkljsdkljiejgr" hidden="1">{#N/A,#N/A,FALSE,"Summ";#N/A,#N/A,FALSE,"General"}</definedName>
    <definedName name="k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9" hidden="1">{#N/A,#N/A,FALSE,"Coversheet";#N/A,#N/A,FALSE,"QA"}</definedName>
    <definedName name="lookup" hidden="1">{#N/A,#N/A,FALSE,"Coversheet";#N/A,#N/A,FALSE,"QA"}</definedName>
    <definedName name="Miller" localSheetId="9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9" hidden="1">{#N/A,#N/A,FALSE,"Summ";#N/A,#N/A,FALSE,"General"}</definedName>
    <definedName name="new" hidden="1">{#N/A,#N/A,FALSE,"Summ";#N/A,#N/A,FALSE,"General"}</definedName>
    <definedName name="NOYT" localSheetId="9" hidden="1">{#N/A,#N/A,FALSE,"Cover Sheet";"Use of Equipment",#N/A,FALSE,"Area C";"Equipment Hours",#N/A,FALSE,"All";"Summary",#N/A,FALSE,"All"}</definedName>
    <definedName name="NOYT" hidden="1">{#N/A,#N/A,FALSE,"Cover Sheet";"Use of Equipment",#N/A,FALSE,"Area C";"Equipment Hours",#N/A,FALSE,"All";"Summary",#N/A,FALSE,"All"}</definedName>
    <definedName name="p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4">'Avg Per Therm'!$B$1:$L$37</definedName>
    <definedName name="_xlnm.Print_Area" localSheetId="8">'Margin Revenue'!$B$1:$N$38</definedName>
    <definedName name="_xlnm.Print_Area" localSheetId="12">'Rate Design C&amp;I (PLR)'!$B$2:$Q$126</definedName>
    <definedName name="_xlnm.Print_Area" localSheetId="13">'Rate Design Int &amp; Trans (PLR)'!$B$2:$Q$221</definedName>
    <definedName name="_xlnm.Print_Area" localSheetId="11">'Rate Design Res (PLR)'!$B$2:$Q$50</definedName>
    <definedName name="_xlnm.Print_Area" localSheetId="2">'Rate Impacts Sch 129'!$B$1:$T$37</definedName>
    <definedName name="_xlnm.Print_Area" localSheetId="0">Rates!$B$1:$K$52</definedName>
    <definedName name="_xlnm.Print_Area" localSheetId="7">'Sch 85 87 Rate Calc'!$B$1:$N$53</definedName>
    <definedName name="_xlnm.Print_Area" localSheetId="5">'Sch. 129'!$A$1:$I$50</definedName>
    <definedName name="_xlnm.Print_Area" localSheetId="3">'Typical Res Bill Sch 129'!$B$1:$H$38</definedName>
    <definedName name="_xlnm.Print_Titles" localSheetId="12">'Rate Design C&amp;I (PLR)'!$1:$8</definedName>
    <definedName name="_xlnm.Print_Titles" localSheetId="13">'Rate Design Int &amp; Trans (PLR)'!$1:$8</definedName>
    <definedName name="_xlnm.Print_Titles" localSheetId="11">'Rate Design Res (PLR)'!$2:$8</definedName>
    <definedName name="q" localSheetId="9" hidden="1">{#N/A,#N/A,FALSE,"Coversheet";#N/A,#N/A,FALSE,"QA"}</definedName>
    <definedName name="q" hidden="1">{#N/A,#N/A,FALSE,"Coversheet";#N/A,#N/A,FALSE,"QA"}</definedName>
    <definedName name="qqq" localSheetId="9" hidden="1">{#N/A,#N/A,FALSE,"schA"}</definedName>
    <definedName name="qqq" hidden="1">{#N/A,#N/A,FALSE,"schA"}</definedName>
    <definedName name="rec_weco_gl_contract_aug99" localSheetId="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tail_CC" localSheetId="9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9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dlfhsdlhfkl" localSheetId="9" hidden="1">{#N/A,#N/A,FALSE,"Summ";#N/A,#N/A,FALSE,"General"}</definedName>
    <definedName name="sdlfhsdlhfkl" hidden="1">{#N/A,#N/A,FALSE,"Summ";#N/A,#N/A,FALSE,"General"}</definedName>
    <definedName name="seven" localSheetId="9" hidden="1">{#N/A,#N/A,FALSE,"CRPT";#N/A,#N/A,FALSE,"TREND";#N/A,#N/A,FALSE,"%Curve"}</definedName>
    <definedName name="seven" hidden="1">{#N/A,#N/A,FALSE,"CRPT";#N/A,#N/A,FALSE,"TREND";#N/A,#N/A,FALSE,"%Curve"}</definedName>
    <definedName name="six" localSheetId="9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ue" localSheetId="9" hidden="1">{#N/A,#N/A,FALSE,"Cover Sheet";"Use of Equipment",#N/A,FALSE,"Area C";"Equipment Hours",#N/A,FALSE,"All";"Summary",#N/A,FALSE,"All"}</definedName>
    <definedName name="sue" hidden="1">{#N/A,#N/A,FALSE,"Cover Sheet";"Use of Equipment",#N/A,FALSE,"Area C";"Equipment Hours",#N/A,FALSE,"All";"Summary",#N/A,FALSE,"All"}</definedName>
    <definedName name="susan" localSheetId="9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" localSheetId="9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9" hidden="1">{#N/A,#N/A,FALSE,"Summ";#N/A,#N/A,FALSE,"General"}</definedName>
    <definedName name="tem" hidden="1">{#N/A,#N/A,FALSE,"Summ";#N/A,#N/A,FALSE,"General"}</definedName>
    <definedName name="temp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1" localSheetId="9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9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9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9" hidden="1">#REF!</definedName>
    <definedName name="Transfer" hidden="1">#REF!</definedName>
    <definedName name="Transfers" localSheetId="9" hidden="1">#REF!</definedName>
    <definedName name="Transfers" hidden="1">#REF!</definedName>
    <definedName name="u" localSheetId="9" hidden="1">{#N/A,#N/A,FALSE,"Summ";#N/A,#N/A,FALSE,"General"}</definedName>
    <definedName name="u" hidden="1">{#N/A,#N/A,FALSE,"Summ";#N/A,#N/A,FALSE,"General"}</definedName>
    <definedName name="v" localSheetId="9" hidden="1">{#N/A,#N/A,FALSE,"Coversheet";#N/A,#N/A,FALSE,"QA"}</definedName>
    <definedName name="v" hidden="1">{#N/A,#N/A,FALSE,"Coversheet";#N/A,#N/A,FALSE,"QA"}</definedName>
    <definedName name="Value" localSheetId="9" hidden="1">{#N/A,#N/A,FALSE,"Summ";#N/A,#N/A,FALSE,"General"}</definedName>
    <definedName name="Value" hidden="1">{#N/A,#N/A,FALSE,"Summ";#N/A,#N/A,FALSE,"General"}</definedName>
    <definedName name="w" localSheetId="9" hidden="1">{#N/A,#N/A,FALSE,"Schedule F";#N/A,#N/A,FALSE,"Schedule G"}</definedName>
    <definedName name="w" hidden="1">{#N/A,#N/A,FALSE,"Schedule F";#N/A,#N/A,FALSE,"Schedule G"}</definedName>
    <definedName name="we" localSheetId="9" hidden="1">{#N/A,#N/A,FALSE,"Pg 6b CustCount_Gas";#N/A,#N/A,FALSE,"QA";#N/A,#N/A,FALSE,"Report";#N/A,#N/A,FALSE,"forecast"}</definedName>
    <definedName name="we" localSheetId="3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9" hidden="1">{#N/A,#N/A,FALSE,"Coversheet";#N/A,#N/A,FALSE,"QA"}</definedName>
    <definedName name="WH" hidden="1">{#N/A,#N/A,FALSE,"Coversheet";#N/A,#N/A,FALSE,"QA"}</definedName>
    <definedName name="wrn.1._.Bi._.Monthly._.CR." localSheetId="9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9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9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9" hidden="1">{#N/A,#N/A,FALSE,"CRPT";#N/A,#N/A,FALSE,"TREND";#N/A,#N/A,FALSE,"% CURVE"}</definedName>
    <definedName name="wrn.AAI._.Report." hidden="1">{#N/A,#N/A,FALSE,"CRPT";#N/A,#N/A,FALSE,"TREND";#N/A,#N/A,FALSE,"% CURVE"}</definedName>
    <definedName name="wrn.Annual._.Cost._.Adjustment." localSheetId="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localSheetId="9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localSheetId="9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localSheetId="9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localSheetId="9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9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localSheetId="9" hidden="1">{#N/A,#N/A,FALSE,"Cost Adjustment "}</definedName>
    <definedName name="wrn.Cost._.Adjustment." hidden="1">{#N/A,#N/A,FALSE,"Cost Adjustment "}</definedName>
    <definedName name="wrn.Customer._.Counts._.Electric.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9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epreciation." localSheetId="9" hidden="1">{#N/A,#N/A,TRUE,"Depreciation Summary";#N/A,#N/A,TRUE,"18, 21 &amp; 22 Depreciation";#N/A,#N/A,TRUE,"11 &amp; 12 Depreciation"}</definedName>
    <definedName name="wrn.Depreciation." hidden="1">{#N/A,#N/A,TRUE,"Depreciation Summary";#N/A,#N/A,TRUE,"18, 21 &amp; 22 Depreciation";#N/A,#N/A,TRUE,"11 &amp; 12 Depreciation"}</definedName>
    <definedName name="wrn.ECR." localSheetId="9" hidden="1">{#N/A,#N/A,FALSE,"schA"}</definedName>
    <definedName name="wrn.ECR." hidden="1">{#N/A,#N/A,FALSE,"schA"}</definedName>
    <definedName name="wrn.ESTIMATE." localSheetId="9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orecast." localSheetId="9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localSheetId="9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9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9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9" hidden="1">{#N/A,#N/A,FALSE,"Coversheet";#N/A,#N/A,FALSE,"QA"}</definedName>
    <definedName name="wrn.Incentive._.Overhead." localSheetId="3" hidden="1">{#N/A,#N/A,FALSE,"Coversheet";#N/A,#N/A,FALSE,"QA"}</definedName>
    <definedName name="wrn.Incentive._.Overhead." hidden="1">{#N/A,#N/A,FALSE,"Coversheet";#N/A,#N/A,FALSE,"QA"}</definedName>
    <definedName name="wrn.limit_reports." localSheetId="9" hidden="1">{#N/A,#N/A,FALSE,"Schedule F";#N/A,#N/A,FALSE,"Schedule G"}</definedName>
    <definedName name="wrn.limit_reports." hidden="1">{#N/A,#N/A,FALSE,"Schedule F";#N/A,#N/A,FALSE,"Schedule G"}</definedName>
    <definedName name="wrn.MARGIN_WO_QTR." localSheetId="9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ining._.Flexibility." localSheetId="9" hidden="1">{#N/A,#N/A,FALSE,"Cover Sheet";"Use of Equipment",#N/A,FALSE,"Area C";"Equipment Hours",#N/A,FALSE,"All";"Summary",#N/A,FALSE,"All"}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localSheetId="9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R._.Carrying._.Charge._.JV." localSheetId="9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9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roductivity." localSheetId="9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localSheetId="9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localSheetId="9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9" hidden="1">{#N/A,#N/A,FALSE,"7617 Fab";#N/A,#N/A,FALSE,"7617 NSK"}</definedName>
    <definedName name="wrn.SCHEDULE." hidden="1">{#N/A,#N/A,FALSE,"7617 Fab";#N/A,#N/A,FALSE,"7617 NSK"}</definedName>
    <definedName name="wrn.Semi._.Annual._.Cost._.Adj." localSheetId="9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localSheetId="9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localSheetId="9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9" hidden="1">{#N/A,#N/A,FALSE,"2002 Small Tool OH";#N/A,#N/A,FALSE,"QA"}</definedName>
    <definedName name="wrn.Small._.Tools._.Overhead." hidden="1">{#N/A,#N/A,FALSE,"2002 Small Tool OH";#N/A,#N/A,FALSE,"QA"}</definedName>
    <definedName name="wrn.Summary." localSheetId="9" hidden="1">{#N/A,#N/A,FALSE,"Summ";#N/A,#N/A,FALSE,"General"}</definedName>
    <definedName name="wrn.Summary." hidden="1">{#N/A,#N/A,FALSE,"Summ";#N/A,#N/A,FALSE,"General"}</definedName>
    <definedName name="wrn.test." localSheetId="9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localSheetId="9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localSheetId="9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9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9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9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9" hidden="1">{#N/A,#N/A,FALSE,"schA"}</definedName>
    <definedName name="www" hidden="1">{#N/A,#N/A,FALSE,"schA"}</definedName>
    <definedName name="x" localSheetId="9" hidden="1">{#N/A,#N/A,FALSE,"Coversheet";#N/A,#N/A,FALSE,"QA"}</definedName>
    <definedName name="x" hidden="1">{#N/A,#N/A,FALSE,"Coversheet";#N/A,#N/A,FALSE,"QA"}</definedName>
    <definedName name="xx" localSheetId="9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9" hidden="1">{#N/A,#N/A,FALSE,"Summ";#N/A,#N/A,FALSE,"General"}</definedName>
    <definedName name="yuf" hidden="1">{#N/A,#N/A,FALSE,"Summ";#N/A,#N/A,FALSE,"General"}</definedName>
    <definedName name="z" localSheetId="9" hidden="1">{#N/A,#N/A,FALSE,"Coversheet";#N/A,#N/A,FALSE,"QA"}</definedName>
    <definedName name="z" hidden="1">{#N/A,#N/A,FALSE,"Coversheet";#N/A,#N/A,FALSE,"QA"}</definedName>
    <definedName name="zzz" localSheetId="9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9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62913"/>
</workbook>
</file>

<file path=xl/calcChain.xml><?xml version="1.0" encoding="utf-8"?>
<calcChain xmlns="http://schemas.openxmlformats.org/spreadsheetml/2006/main">
  <c r="I49" i="7" l="1"/>
  <c r="H42" i="73"/>
  <c r="H41" i="73"/>
  <c r="H40" i="73"/>
  <c r="G44" i="73"/>
  <c r="H29" i="73"/>
  <c r="G25" i="73"/>
  <c r="F25" i="73"/>
  <c r="H17" i="73"/>
  <c r="G16" i="73"/>
  <c r="F16" i="73"/>
  <c r="H15" i="73"/>
  <c r="H14" i="73"/>
  <c r="H13" i="73"/>
  <c r="A11" i="73"/>
  <c r="A12" i="73" s="1"/>
  <c r="A13" i="73" s="1"/>
  <c r="A14" i="73" s="1"/>
  <c r="A15" i="73" s="1"/>
  <c r="A16" i="73" s="1"/>
  <c r="A17" i="73" s="1"/>
  <c r="A18" i="73" s="1"/>
  <c r="A19" i="73" s="1"/>
  <c r="A20" i="73" s="1"/>
  <c r="A21" i="73" s="1"/>
  <c r="A22" i="73" s="1"/>
  <c r="A23" i="73" s="1"/>
  <c r="A24" i="73" s="1"/>
  <c r="A25" i="73" s="1"/>
  <c r="A26" i="73" s="1"/>
  <c r="A27" i="73" s="1"/>
  <c r="A28" i="73" s="1"/>
  <c r="A29" i="73" s="1"/>
  <c r="A30" i="73" s="1"/>
  <c r="A31" i="73" s="1"/>
  <c r="G10" i="73"/>
  <c r="F10" i="73"/>
  <c r="H10" i="73" s="1"/>
  <c r="A10" i="73"/>
  <c r="A9" i="73"/>
  <c r="F11" i="73" l="1"/>
  <c r="F18" i="73" s="1"/>
  <c r="F27" i="73" s="1"/>
  <c r="G11" i="73"/>
  <c r="G18" i="73" s="1"/>
  <c r="G27" i="73" s="1"/>
  <c r="G31" i="73" s="1"/>
  <c r="H39" i="73"/>
  <c r="H44" i="73" s="1"/>
  <c r="H9" i="73"/>
  <c r="H11" i="73" s="1"/>
  <c r="H18" i="73" s="1"/>
  <c r="F44" i="73"/>
  <c r="F31" i="73" l="1"/>
  <c r="H27" i="73"/>
  <c r="H31" i="73" s="1"/>
  <c r="G19" i="70" l="1"/>
  <c r="D18" i="70"/>
  <c r="G18" i="70" s="1"/>
  <c r="G46" i="72"/>
  <c r="G45" i="72"/>
  <c r="G44" i="72"/>
  <c r="D48" i="72"/>
  <c r="G42" i="72"/>
  <c r="D39" i="72"/>
  <c r="G38" i="72"/>
  <c r="G37" i="72"/>
  <c r="G36" i="72"/>
  <c r="G39" i="72" s="1"/>
  <c r="L20" i="69" s="1"/>
  <c r="G31" i="72"/>
  <c r="G30" i="72"/>
  <c r="G29" i="72"/>
  <c r="D33" i="72"/>
  <c r="G27" i="72"/>
  <c r="G24" i="72"/>
  <c r="G23" i="72"/>
  <c r="G21" i="72"/>
  <c r="D21" i="72"/>
  <c r="G20" i="72"/>
  <c r="G19" i="72"/>
  <c r="G18" i="72"/>
  <c r="G15" i="72"/>
  <c r="G14" i="72"/>
  <c r="G12" i="72"/>
  <c r="G11" i="72"/>
  <c r="G9" i="72"/>
  <c r="D8" i="72"/>
  <c r="H22" i="71"/>
  <c r="D22" i="71"/>
  <c r="H21" i="71"/>
  <c r="D21" i="71"/>
  <c r="D19" i="71"/>
  <c r="H18" i="71"/>
  <c r="D18" i="71"/>
  <c r="H17" i="71"/>
  <c r="H33" i="71" s="1"/>
  <c r="D17" i="71"/>
  <c r="D33" i="71" s="1"/>
  <c r="H16" i="71"/>
  <c r="H32" i="71" s="1"/>
  <c r="D16" i="71"/>
  <c r="D32" i="71" s="1"/>
  <c r="H15" i="71"/>
  <c r="D15" i="71"/>
  <c r="D14" i="71"/>
  <c r="D30" i="71" s="1"/>
  <c r="H13" i="71"/>
  <c r="H29" i="71" s="1"/>
  <c r="D13" i="71"/>
  <c r="D29" i="71" s="1"/>
  <c r="H12" i="71"/>
  <c r="D12" i="71"/>
  <c r="D11" i="71"/>
  <c r="D28" i="71" s="1"/>
  <c r="I9" i="71"/>
  <c r="H9" i="71"/>
  <c r="E9" i="71"/>
  <c r="B4" i="71"/>
  <c r="B2" i="71"/>
  <c r="H29" i="70"/>
  <c r="G29" i="70"/>
  <c r="D29" i="70"/>
  <c r="E29" i="70" s="1"/>
  <c r="G28" i="70"/>
  <c r="G27" i="70"/>
  <c r="H25" i="70"/>
  <c r="G25" i="70"/>
  <c r="E25" i="70"/>
  <c r="G22" i="70"/>
  <c r="G21" i="70"/>
  <c r="G20" i="70"/>
  <c r="D17" i="70"/>
  <c r="G16" i="70"/>
  <c r="G13" i="70"/>
  <c r="E13" i="70"/>
  <c r="D13" i="70"/>
  <c r="H12" i="70"/>
  <c r="H13" i="70" s="1"/>
  <c r="G12" i="70"/>
  <c r="E12" i="70"/>
  <c r="B4" i="70"/>
  <c r="B2" i="70"/>
  <c r="S33" i="69"/>
  <c r="Q33" i="69"/>
  <c r="P33" i="69"/>
  <c r="O33" i="69"/>
  <c r="N33" i="69"/>
  <c r="M33" i="69"/>
  <c r="L33" i="69"/>
  <c r="K33" i="69"/>
  <c r="J33" i="69"/>
  <c r="I33" i="69"/>
  <c r="E33" i="69"/>
  <c r="F33" i="69" s="1"/>
  <c r="D33" i="69"/>
  <c r="Q32" i="69"/>
  <c r="P32" i="69"/>
  <c r="N32" i="69"/>
  <c r="J32" i="69"/>
  <c r="I32" i="69"/>
  <c r="G32" i="69"/>
  <c r="Q31" i="69"/>
  <c r="P31" i="69"/>
  <c r="O31" i="69"/>
  <c r="K31" i="69"/>
  <c r="J31" i="69"/>
  <c r="I31" i="69"/>
  <c r="G31" i="69"/>
  <c r="E31" i="69"/>
  <c r="Q30" i="69"/>
  <c r="P30" i="69"/>
  <c r="O30" i="69"/>
  <c r="M30" i="69"/>
  <c r="K30" i="69"/>
  <c r="J30" i="69"/>
  <c r="I30" i="69"/>
  <c r="E30" i="69"/>
  <c r="Q29" i="69"/>
  <c r="N29" i="69"/>
  <c r="K29" i="69"/>
  <c r="J29" i="69"/>
  <c r="I29" i="69"/>
  <c r="D29" i="69"/>
  <c r="Q28" i="69"/>
  <c r="O28" i="69"/>
  <c r="M28" i="69"/>
  <c r="K28" i="69"/>
  <c r="J28" i="69"/>
  <c r="I28" i="69"/>
  <c r="G28" i="69"/>
  <c r="D28" i="69"/>
  <c r="Q27" i="69"/>
  <c r="Q34" i="69" s="1"/>
  <c r="P27" i="69"/>
  <c r="N27" i="69"/>
  <c r="L27" i="69"/>
  <c r="K27" i="69"/>
  <c r="J27" i="69"/>
  <c r="J34" i="69" s="1"/>
  <c r="I27" i="69"/>
  <c r="I34" i="69" s="1"/>
  <c r="Q24" i="69"/>
  <c r="J24" i="69"/>
  <c r="I24" i="69"/>
  <c r="D23" i="71"/>
  <c r="D34" i="71" s="1"/>
  <c r="F23" i="69"/>
  <c r="O32" i="69"/>
  <c r="D32" i="69"/>
  <c r="M31" i="69"/>
  <c r="L21" i="69"/>
  <c r="F21" i="69"/>
  <c r="H21" i="69" s="1"/>
  <c r="R21" i="69" s="1"/>
  <c r="G30" i="69"/>
  <c r="F20" i="69"/>
  <c r="P29" i="69"/>
  <c r="L19" i="69"/>
  <c r="H19" i="71"/>
  <c r="F19" i="69"/>
  <c r="H19" i="69" s="1"/>
  <c r="R19" i="69" s="1"/>
  <c r="L18" i="69"/>
  <c r="L28" i="69" s="1"/>
  <c r="E28" i="69"/>
  <c r="F28" i="69" s="1"/>
  <c r="M32" i="69"/>
  <c r="K24" i="69"/>
  <c r="E32" i="69"/>
  <c r="F32" i="69" s="1"/>
  <c r="N31" i="69"/>
  <c r="L16" i="69"/>
  <c r="L31" i="69" s="1"/>
  <c r="D31" i="69"/>
  <c r="N30" i="69"/>
  <c r="L15" i="69"/>
  <c r="L30" i="69" s="1"/>
  <c r="F15" i="69"/>
  <c r="H15" i="69" s="1"/>
  <c r="O29" i="69"/>
  <c r="M29" i="69"/>
  <c r="L14" i="69"/>
  <c r="L29" i="69" s="1"/>
  <c r="G29" i="69"/>
  <c r="F14" i="69"/>
  <c r="H14" i="69" s="1"/>
  <c r="P28" i="69"/>
  <c r="P34" i="69" s="1"/>
  <c r="N28" i="69"/>
  <c r="L13" i="69"/>
  <c r="F13" i="69"/>
  <c r="H13" i="69" s="1"/>
  <c r="D24" i="69"/>
  <c r="O27" i="69"/>
  <c r="O34" i="69" s="1"/>
  <c r="M24" i="69"/>
  <c r="L11" i="69"/>
  <c r="G27" i="69"/>
  <c r="E24" i="69"/>
  <c r="F24" i="69" s="1"/>
  <c r="D23" i="70" l="1"/>
  <c r="D36" i="70" s="1"/>
  <c r="H30" i="69"/>
  <c r="R15" i="69"/>
  <c r="H28" i="69"/>
  <c r="R13" i="69"/>
  <c r="N34" i="69"/>
  <c r="D50" i="72"/>
  <c r="E19" i="71"/>
  <c r="F19" i="71" s="1"/>
  <c r="E21" i="71"/>
  <c r="F21" i="71" s="1"/>
  <c r="F31" i="69"/>
  <c r="G48" i="72"/>
  <c r="L22" i="69" s="1"/>
  <c r="H29" i="69"/>
  <c r="R14" i="69"/>
  <c r="F11" i="69"/>
  <c r="H11" i="69" s="1"/>
  <c r="D27" i="69"/>
  <c r="D30" i="70"/>
  <c r="F16" i="69"/>
  <c r="H16" i="69" s="1"/>
  <c r="F22" i="69"/>
  <c r="H22" i="69" s="1"/>
  <c r="N24" i="69"/>
  <c r="E27" i="69"/>
  <c r="M27" i="69"/>
  <c r="M34" i="69" s="1"/>
  <c r="G33" i="69"/>
  <c r="G34" i="69" s="1"/>
  <c r="E23" i="70"/>
  <c r="E30" i="70" s="1"/>
  <c r="E32" i="70" s="1"/>
  <c r="G28" i="72"/>
  <c r="G33" i="72" s="1"/>
  <c r="G32" i="72"/>
  <c r="G43" i="72"/>
  <c r="G47" i="72"/>
  <c r="F12" i="69"/>
  <c r="H12" i="69" s="1"/>
  <c r="R12" i="69" s="1"/>
  <c r="F17" i="69"/>
  <c r="H17" i="69" s="1"/>
  <c r="F18" i="69"/>
  <c r="H18" i="69" s="1"/>
  <c r="R18" i="69" s="1"/>
  <c r="G24" i="69"/>
  <c r="O24" i="69"/>
  <c r="H11" i="71"/>
  <c r="H14" i="71"/>
  <c r="H30" i="71" s="1"/>
  <c r="H20" i="71"/>
  <c r="H31" i="71" s="1"/>
  <c r="H23" i="71"/>
  <c r="H34" i="71" s="1"/>
  <c r="H23" i="69"/>
  <c r="P24" i="69"/>
  <c r="E29" i="69"/>
  <c r="F29" i="69" s="1"/>
  <c r="D30" i="69"/>
  <c r="F30" i="69" s="1"/>
  <c r="D20" i="71"/>
  <c r="D31" i="71" s="1"/>
  <c r="D35" i="71" s="1"/>
  <c r="H20" i="69"/>
  <c r="R20" i="69" s="1"/>
  <c r="K32" i="69"/>
  <c r="K34" i="69" s="1"/>
  <c r="L17" i="69" l="1"/>
  <c r="G50" i="72"/>
  <c r="E13" i="71"/>
  <c r="R28" i="69"/>
  <c r="E34" i="69"/>
  <c r="F27" i="69"/>
  <c r="R30" i="69"/>
  <c r="E15" i="71"/>
  <c r="H27" i="69"/>
  <c r="R11" i="69"/>
  <c r="H24" i="69"/>
  <c r="T12" i="69"/>
  <c r="I12" i="71"/>
  <c r="E12" i="71"/>
  <c r="F12" i="71" s="1"/>
  <c r="H28" i="71"/>
  <c r="H35" i="71" s="1"/>
  <c r="H24" i="71"/>
  <c r="R23" i="69"/>
  <c r="H33" i="69"/>
  <c r="R22" i="69"/>
  <c r="D24" i="71"/>
  <c r="H31" i="69"/>
  <c r="R16" i="69"/>
  <c r="E14" i="71"/>
  <c r="R29" i="69"/>
  <c r="E18" i="71"/>
  <c r="F18" i="71" s="1"/>
  <c r="E20" i="71"/>
  <c r="F20" i="71" s="1"/>
  <c r="R17" i="69"/>
  <c r="H32" i="69"/>
  <c r="D34" i="69"/>
  <c r="E30" i="71" l="1"/>
  <c r="F30" i="71" s="1"/>
  <c r="F14" i="71"/>
  <c r="R27" i="69"/>
  <c r="R34" i="69" s="1"/>
  <c r="R24" i="69"/>
  <c r="E11" i="71"/>
  <c r="L12" i="71"/>
  <c r="N12" i="71" s="1"/>
  <c r="J12" i="71"/>
  <c r="T23" i="69"/>
  <c r="E23" i="71"/>
  <c r="R33" i="69"/>
  <c r="T33" i="69" s="1"/>
  <c r="I23" i="71"/>
  <c r="E17" i="71"/>
  <c r="R32" i="69"/>
  <c r="E16" i="71"/>
  <c r="R31" i="69"/>
  <c r="H34" i="69"/>
  <c r="E29" i="71"/>
  <c r="F29" i="71" s="1"/>
  <c r="F13" i="71"/>
  <c r="E22" i="71"/>
  <c r="F22" i="71" s="1"/>
  <c r="E31" i="71"/>
  <c r="F31" i="71" s="1"/>
  <c r="F15" i="71"/>
  <c r="F34" i="69"/>
  <c r="L32" i="69"/>
  <c r="L34" i="69" s="1"/>
  <c r="L24" i="69"/>
  <c r="L23" i="71" l="1"/>
  <c r="N23" i="71" s="1"/>
  <c r="J23" i="71"/>
  <c r="I34" i="71"/>
  <c r="E33" i="71"/>
  <c r="F33" i="71" s="1"/>
  <c r="F17" i="71"/>
  <c r="F16" i="71"/>
  <c r="E32" i="71"/>
  <c r="F32" i="71" s="1"/>
  <c r="E34" i="71"/>
  <c r="F34" i="71" s="1"/>
  <c r="F23" i="71"/>
  <c r="E28" i="71"/>
  <c r="E24" i="71"/>
  <c r="F24" i="71" s="1"/>
  <c r="F11" i="71"/>
  <c r="L34" i="71" l="1"/>
  <c r="N34" i="71" s="1"/>
  <c r="J34" i="71"/>
  <c r="E35" i="71"/>
  <c r="F35" i="71" s="1"/>
  <c r="F28" i="71"/>
  <c r="J26" i="8"/>
  <c r="J25" i="8"/>
  <c r="K26" i="8"/>
  <c r="K25" i="8"/>
  <c r="I26" i="8" l="1"/>
  <c r="I25" i="8"/>
  <c r="H26" i="8"/>
  <c r="H25" i="8"/>
  <c r="E10" i="8" l="1"/>
  <c r="D183" i="59" l="1"/>
  <c r="D182" i="59"/>
  <c r="D181" i="59"/>
  <c r="D180" i="59"/>
  <c r="D179" i="59"/>
  <c r="D178" i="59"/>
  <c r="D184" i="59" s="1"/>
  <c r="D212" i="59" s="1"/>
  <c r="I175" i="59"/>
  <c r="K175" i="59" s="1"/>
  <c r="F175" i="59"/>
  <c r="I173" i="59"/>
  <c r="F173" i="59"/>
  <c r="D173" i="59"/>
  <c r="D172" i="59"/>
  <c r="D166" i="59"/>
  <c r="I166" i="59" s="1"/>
  <c r="D164" i="59"/>
  <c r="E26" i="8" s="1"/>
  <c r="H163" i="59"/>
  <c r="Q15" i="9" s="1"/>
  <c r="F163" i="59"/>
  <c r="F183" i="59" s="1"/>
  <c r="Q162" i="59"/>
  <c r="F162" i="59"/>
  <c r="F161" i="59"/>
  <c r="F160" i="59"/>
  <c r="F180" i="59" s="1"/>
  <c r="F159" i="59"/>
  <c r="F179" i="59" s="1"/>
  <c r="H158" i="59"/>
  <c r="F158" i="59"/>
  <c r="F178" i="59" s="1"/>
  <c r="I155" i="59"/>
  <c r="I154" i="59"/>
  <c r="K154" i="59" s="1"/>
  <c r="H154" i="59"/>
  <c r="Q154" i="59" s="1"/>
  <c r="F154" i="59"/>
  <c r="Q153" i="59"/>
  <c r="I153" i="59"/>
  <c r="F153" i="59"/>
  <c r="H145" i="59"/>
  <c r="D145" i="59"/>
  <c r="H144" i="59"/>
  <c r="D141" i="59"/>
  <c r="Q140" i="59"/>
  <c r="K140" i="59"/>
  <c r="I140" i="59"/>
  <c r="H140" i="59"/>
  <c r="F140" i="59"/>
  <c r="Q139" i="59"/>
  <c r="I139" i="59"/>
  <c r="K139" i="59" s="1"/>
  <c r="H139" i="59"/>
  <c r="H162" i="59" s="1"/>
  <c r="F139" i="59"/>
  <c r="H138" i="59"/>
  <c r="F138" i="59"/>
  <c r="Q137" i="59"/>
  <c r="I137" i="59"/>
  <c r="K137" i="59" s="1"/>
  <c r="H137" i="59"/>
  <c r="H160" i="59" s="1"/>
  <c r="F137" i="59"/>
  <c r="H136" i="59"/>
  <c r="F136" i="59"/>
  <c r="Q135" i="59"/>
  <c r="H135" i="59"/>
  <c r="I135" i="59" s="1"/>
  <c r="K135" i="59" s="1"/>
  <c r="F135" i="59"/>
  <c r="I132" i="59"/>
  <c r="K132" i="59" s="1"/>
  <c r="Q131" i="59"/>
  <c r="D131" i="59"/>
  <c r="Q130" i="59"/>
  <c r="K130" i="59"/>
  <c r="I130" i="59"/>
  <c r="F130" i="59"/>
  <c r="Q129" i="59"/>
  <c r="I129" i="59"/>
  <c r="F129" i="59"/>
  <c r="D119" i="59"/>
  <c r="D114" i="59"/>
  <c r="D113" i="59"/>
  <c r="D115" i="59" s="1"/>
  <c r="F110" i="59"/>
  <c r="F108" i="59"/>
  <c r="D108" i="59"/>
  <c r="F107" i="59"/>
  <c r="D107" i="59"/>
  <c r="D99" i="59"/>
  <c r="D101" i="59" s="1"/>
  <c r="H98" i="59"/>
  <c r="F98" i="59"/>
  <c r="F97" i="59"/>
  <c r="I94" i="59"/>
  <c r="K94" i="59" s="1"/>
  <c r="H93" i="59"/>
  <c r="I93" i="59" s="1"/>
  <c r="F93" i="59"/>
  <c r="Q92" i="59"/>
  <c r="I92" i="59"/>
  <c r="K92" i="59" s="1"/>
  <c r="F92" i="59"/>
  <c r="F99" i="59" s="1"/>
  <c r="H84" i="59"/>
  <c r="D84" i="59"/>
  <c r="I84" i="59" s="1"/>
  <c r="I119" i="59" s="1"/>
  <c r="H83" i="59"/>
  <c r="D80" i="59"/>
  <c r="D83" i="59" s="1"/>
  <c r="I83" i="59" s="1"/>
  <c r="H79" i="59"/>
  <c r="I79" i="59" s="1"/>
  <c r="K79" i="59" s="1"/>
  <c r="F79" i="59"/>
  <c r="F114" i="59" s="1"/>
  <c r="H78" i="59"/>
  <c r="F78" i="59"/>
  <c r="F113" i="59" s="1"/>
  <c r="I75" i="59"/>
  <c r="K75" i="59" s="1"/>
  <c r="Q74" i="59"/>
  <c r="Q73" i="59"/>
  <c r="K73" i="59"/>
  <c r="I73" i="59"/>
  <c r="F73" i="59"/>
  <c r="Q72" i="59"/>
  <c r="K72" i="59"/>
  <c r="I72" i="59"/>
  <c r="F72" i="59"/>
  <c r="F63" i="59"/>
  <c r="D58" i="59"/>
  <c r="D57" i="59"/>
  <c r="D56" i="59"/>
  <c r="D59" i="59" s="1"/>
  <c r="D210" i="59" s="1"/>
  <c r="K53" i="59"/>
  <c r="I53" i="59"/>
  <c r="F53" i="59"/>
  <c r="D51" i="59"/>
  <c r="D50" i="59"/>
  <c r="D42" i="59"/>
  <c r="F41" i="59"/>
  <c r="F40" i="59"/>
  <c r="I39" i="59"/>
  <c r="K39" i="59" s="1"/>
  <c r="H39" i="59"/>
  <c r="Q39" i="59" s="1"/>
  <c r="F39" i="59"/>
  <c r="K35" i="59"/>
  <c r="I35" i="59"/>
  <c r="H34" i="59"/>
  <c r="Q34" i="59" s="1"/>
  <c r="F34" i="59"/>
  <c r="Q33" i="59"/>
  <c r="K33" i="59"/>
  <c r="I33" i="59"/>
  <c r="F33" i="59"/>
  <c r="I25" i="59"/>
  <c r="K25" i="59" s="1"/>
  <c r="H25" i="59"/>
  <c r="F25" i="59"/>
  <c r="D25" i="59"/>
  <c r="D63" i="59" s="1"/>
  <c r="H24" i="59"/>
  <c r="D24" i="59"/>
  <c r="D21" i="59"/>
  <c r="E20" i="8" s="1"/>
  <c r="I20" i="59"/>
  <c r="H20" i="59"/>
  <c r="Q20" i="59" s="1"/>
  <c r="F20" i="59"/>
  <c r="H19" i="59"/>
  <c r="Q19" i="59" s="1"/>
  <c r="F19" i="59"/>
  <c r="F57" i="59" s="1"/>
  <c r="Q18" i="59"/>
  <c r="I18" i="59"/>
  <c r="H18" i="59"/>
  <c r="F18" i="59"/>
  <c r="F56" i="59" s="1"/>
  <c r="I15" i="59"/>
  <c r="K15" i="59" s="1"/>
  <c r="Q14" i="59"/>
  <c r="D14" i="59"/>
  <c r="Q13" i="59"/>
  <c r="I13" i="59"/>
  <c r="F13" i="59"/>
  <c r="Q12" i="59"/>
  <c r="I12" i="59"/>
  <c r="F12" i="59"/>
  <c r="F50" i="59" s="1"/>
  <c r="D122" i="58"/>
  <c r="I101" i="58"/>
  <c r="F94" i="58"/>
  <c r="D94" i="58"/>
  <c r="D93" i="58"/>
  <c r="D92" i="58"/>
  <c r="D95" i="58" s="1"/>
  <c r="I89" i="58"/>
  <c r="D89" i="58"/>
  <c r="D88" i="58"/>
  <c r="I87" i="58"/>
  <c r="D87" i="58"/>
  <c r="D81" i="58"/>
  <c r="F81" i="58" s="1"/>
  <c r="F102" i="58" s="1"/>
  <c r="D78" i="58"/>
  <c r="D77" i="58"/>
  <c r="F76" i="58"/>
  <c r="F75" i="58"/>
  <c r="F93" i="58" s="1"/>
  <c r="Q71" i="58"/>
  <c r="I71" i="58"/>
  <c r="K71" i="58" s="1"/>
  <c r="K89" i="58" s="1"/>
  <c r="H71" i="58"/>
  <c r="F71" i="58"/>
  <c r="F89" i="58" s="1"/>
  <c r="D70" i="58"/>
  <c r="F70" i="58" s="1"/>
  <c r="Q69" i="58"/>
  <c r="I69" i="58"/>
  <c r="F69" i="58"/>
  <c r="F87" i="58" s="1"/>
  <c r="I61" i="58"/>
  <c r="K61" i="58" s="1"/>
  <c r="K101" i="58" s="1"/>
  <c r="H61" i="58"/>
  <c r="F61" i="58"/>
  <c r="F101" i="58" s="1"/>
  <c r="D61" i="58"/>
  <c r="H60" i="58"/>
  <c r="Q56" i="58"/>
  <c r="D55" i="58"/>
  <c r="D56" i="58" s="1"/>
  <c r="I56" i="58" s="1"/>
  <c r="H54" i="58"/>
  <c r="H76" i="58" s="1"/>
  <c r="F54" i="58"/>
  <c r="Q53" i="58"/>
  <c r="I53" i="58"/>
  <c r="K53" i="58" s="1"/>
  <c r="H53" i="58"/>
  <c r="H75" i="58" s="1"/>
  <c r="F53" i="58"/>
  <c r="H52" i="58"/>
  <c r="Q52" i="58" s="1"/>
  <c r="Q49" i="58"/>
  <c r="I49" i="58"/>
  <c r="K49" i="58" s="1"/>
  <c r="F49" i="58"/>
  <c r="I48" i="58"/>
  <c r="K48" i="58" s="1"/>
  <c r="H48" i="58"/>
  <c r="Q48" i="58" s="1"/>
  <c r="F48" i="58"/>
  <c r="D48" i="58"/>
  <c r="Q47" i="58"/>
  <c r="I47" i="58"/>
  <c r="F47" i="58"/>
  <c r="D40" i="58"/>
  <c r="D36" i="58"/>
  <c r="E13" i="8" s="1"/>
  <c r="D35" i="58"/>
  <c r="D29" i="58"/>
  <c r="I26" i="58"/>
  <c r="D26" i="58"/>
  <c r="F26" i="58" s="1"/>
  <c r="K26" i="58" s="1"/>
  <c r="F25" i="58"/>
  <c r="Q24" i="58"/>
  <c r="I24" i="58"/>
  <c r="F24" i="58"/>
  <c r="H17" i="58"/>
  <c r="I17" i="58" s="1"/>
  <c r="D17" i="58"/>
  <c r="F17" i="58" s="1"/>
  <c r="Q14" i="58"/>
  <c r="D14" i="58"/>
  <c r="F14" i="58" s="1"/>
  <c r="F37" i="58" s="1"/>
  <c r="H13" i="58"/>
  <c r="F13" i="58"/>
  <c r="F36" i="58" s="1"/>
  <c r="Q12" i="58"/>
  <c r="K12" i="58"/>
  <c r="I12" i="58"/>
  <c r="F12" i="58"/>
  <c r="D48" i="57"/>
  <c r="H39" i="57"/>
  <c r="D39" i="57"/>
  <c r="Q35" i="57"/>
  <c r="H35" i="57"/>
  <c r="I35" i="57" s="1"/>
  <c r="F35" i="57"/>
  <c r="H27" i="57"/>
  <c r="F27" i="57"/>
  <c r="I27" i="57" s="1"/>
  <c r="K27" i="57" s="1"/>
  <c r="L27" i="57" s="1"/>
  <c r="D27" i="57"/>
  <c r="F24" i="57"/>
  <c r="H23" i="57"/>
  <c r="I23" i="57" s="1"/>
  <c r="F23" i="57"/>
  <c r="F25" i="57" s="1"/>
  <c r="F29" i="57" s="1"/>
  <c r="H16" i="57"/>
  <c r="I16" i="57" s="1"/>
  <c r="D16" i="57"/>
  <c r="F16" i="57" s="1"/>
  <c r="H13" i="57"/>
  <c r="H24" i="57" s="1"/>
  <c r="F13" i="57"/>
  <c r="Q12" i="57"/>
  <c r="I12" i="57"/>
  <c r="F12" i="57"/>
  <c r="F14" i="57" s="1"/>
  <c r="K217" i="59" l="1"/>
  <c r="L217" i="59" s="1"/>
  <c r="K218" i="59"/>
  <c r="L218" i="59" s="1"/>
  <c r="Q24" i="57"/>
  <c r="I24" i="57"/>
  <c r="K24" i="57" s="1"/>
  <c r="K16" i="57"/>
  <c r="L16" i="57" s="1"/>
  <c r="I118" i="59"/>
  <c r="K83" i="59"/>
  <c r="I85" i="59"/>
  <c r="I101" i="59"/>
  <c r="F101" i="59"/>
  <c r="Q76" i="58"/>
  <c r="I76" i="58"/>
  <c r="D216" i="59"/>
  <c r="D219" i="59" s="1"/>
  <c r="F47" i="57"/>
  <c r="F18" i="57"/>
  <c r="E17" i="8"/>
  <c r="D211" i="59"/>
  <c r="D213" i="59" s="1"/>
  <c r="D118" i="59"/>
  <c r="D120" i="59" s="1"/>
  <c r="Q98" i="59"/>
  <c r="I98" i="59"/>
  <c r="K98" i="59" s="1"/>
  <c r="K93" i="59"/>
  <c r="K24" i="58"/>
  <c r="F56" i="58"/>
  <c r="I24" i="59"/>
  <c r="D62" i="59"/>
  <c r="F24" i="59"/>
  <c r="F51" i="59"/>
  <c r="F59" i="59" s="1"/>
  <c r="H97" i="59"/>
  <c r="Q78" i="59"/>
  <c r="F83" i="59"/>
  <c r="Q93" i="59"/>
  <c r="I131" i="59"/>
  <c r="F131" i="59"/>
  <c r="F174" i="59" s="1"/>
  <c r="F27" i="58"/>
  <c r="I60" i="58"/>
  <c r="I25" i="57"/>
  <c r="I29" i="57" s="1"/>
  <c r="I81" i="58"/>
  <c r="K13" i="59"/>
  <c r="F58" i="59"/>
  <c r="I34" i="59"/>
  <c r="I78" i="59"/>
  <c r="K129" i="59"/>
  <c r="H159" i="59"/>
  <c r="Q136" i="59"/>
  <c r="Q138" i="59"/>
  <c r="I138" i="59"/>
  <c r="K138" i="59" s="1"/>
  <c r="F181" i="59"/>
  <c r="I108" i="59"/>
  <c r="K108" i="59" s="1"/>
  <c r="I13" i="57"/>
  <c r="K13" i="57" s="1"/>
  <c r="L13" i="57" s="1"/>
  <c r="K23" i="57"/>
  <c r="K25" i="57" s="1"/>
  <c r="H25" i="58"/>
  <c r="Q13" i="58"/>
  <c r="I13" i="58"/>
  <c r="Q75" i="58"/>
  <c r="I75" i="58"/>
  <c r="K69" i="58"/>
  <c r="I63" i="59"/>
  <c r="K63" i="59" s="1"/>
  <c r="I80" i="59"/>
  <c r="I107" i="59"/>
  <c r="D74" i="59"/>
  <c r="I114" i="59"/>
  <c r="K114" i="59" s="1"/>
  <c r="I136" i="59"/>
  <c r="K136" i="59" s="1"/>
  <c r="F172" i="59"/>
  <c r="H161" i="59"/>
  <c r="F164" i="59"/>
  <c r="K35" i="57"/>
  <c r="Q23" i="57"/>
  <c r="F14" i="59"/>
  <c r="F52" i="59" s="1"/>
  <c r="D52" i="59"/>
  <c r="I56" i="59"/>
  <c r="K56" i="59" s="1"/>
  <c r="K20" i="59"/>
  <c r="F42" i="59"/>
  <c r="Q14" i="9"/>
  <c r="I162" i="59"/>
  <c r="I145" i="59"/>
  <c r="F145" i="59"/>
  <c r="F188" i="59" s="1"/>
  <c r="I172" i="59"/>
  <c r="Q10" i="9"/>
  <c r="Q158" i="59"/>
  <c r="I158" i="59"/>
  <c r="K12" i="57"/>
  <c r="K17" i="58"/>
  <c r="L17" i="58" s="1"/>
  <c r="I40" i="58"/>
  <c r="E15" i="8"/>
  <c r="D123" i="58"/>
  <c r="D124" i="58" s="1"/>
  <c r="Q13" i="57"/>
  <c r="I39" i="57"/>
  <c r="I46" i="57" s="1"/>
  <c r="F39" i="57"/>
  <c r="F46" i="57" s="1"/>
  <c r="F48" i="57" s="1"/>
  <c r="F15" i="58"/>
  <c r="I14" i="58"/>
  <c r="I15" i="58" s="1"/>
  <c r="F57" i="58"/>
  <c r="F118" i="58" s="1"/>
  <c r="F88" i="58"/>
  <c r="H74" i="58"/>
  <c r="Q74" i="58" s="1"/>
  <c r="F78" i="58"/>
  <c r="F79" i="58" s="1"/>
  <c r="F82" i="58" s="1"/>
  <c r="D96" i="58"/>
  <c r="I14" i="59"/>
  <c r="K18" i="59"/>
  <c r="H41" i="59"/>
  <c r="I74" i="59"/>
  <c r="E21" i="8"/>
  <c r="D144" i="59"/>
  <c r="K153" i="59"/>
  <c r="F182" i="59"/>
  <c r="K173" i="59"/>
  <c r="Q54" i="58"/>
  <c r="I54" i="58"/>
  <c r="K54" i="58" s="1"/>
  <c r="F35" i="58"/>
  <c r="F38" i="58" s="1"/>
  <c r="I29" i="58"/>
  <c r="F29" i="58"/>
  <c r="F40" i="58" s="1"/>
  <c r="F41" i="58" s="1"/>
  <c r="D37" i="58"/>
  <c r="D60" i="58"/>
  <c r="F60" i="58" s="1"/>
  <c r="H70" i="58"/>
  <c r="I78" i="58"/>
  <c r="K12" i="59"/>
  <c r="I50" i="59"/>
  <c r="E25" i="8"/>
  <c r="D44" i="59"/>
  <c r="Q79" i="59"/>
  <c r="K84" i="59"/>
  <c r="I110" i="59"/>
  <c r="K110" i="59" s="1"/>
  <c r="Q12" i="9"/>
  <c r="Q160" i="59"/>
  <c r="I160" i="59"/>
  <c r="I189" i="59"/>
  <c r="I35" i="58"/>
  <c r="K47" i="58"/>
  <c r="I163" i="59"/>
  <c r="I19" i="59"/>
  <c r="H40" i="59"/>
  <c r="F84" i="59"/>
  <c r="F119" i="59" s="1"/>
  <c r="K119" i="59" s="1"/>
  <c r="F166" i="59"/>
  <c r="D189" i="59"/>
  <c r="Q163" i="59"/>
  <c r="I19" i="58" l="1"/>
  <c r="K46" i="57"/>
  <c r="O37" i="57"/>
  <c r="L35" i="57"/>
  <c r="F189" i="59"/>
  <c r="F167" i="59"/>
  <c r="K166" i="59"/>
  <c r="I44" i="59"/>
  <c r="F44" i="59"/>
  <c r="D64" i="59"/>
  <c r="I57" i="58"/>
  <c r="I52" i="59"/>
  <c r="K52" i="59" s="1"/>
  <c r="K14" i="59"/>
  <c r="F117" i="58"/>
  <c r="F119" i="58" s="1"/>
  <c r="K172" i="59"/>
  <c r="Q13" i="9"/>
  <c r="Q161" i="59"/>
  <c r="I161" i="59"/>
  <c r="K87" i="58"/>
  <c r="K34" i="59"/>
  <c r="I51" i="59"/>
  <c r="K51" i="59" s="1"/>
  <c r="I120" i="59"/>
  <c r="K120" i="59" s="1"/>
  <c r="K101" i="59"/>
  <c r="F102" i="59"/>
  <c r="F120" i="59"/>
  <c r="K189" i="59"/>
  <c r="L12" i="57"/>
  <c r="K14" i="57"/>
  <c r="F184" i="59"/>
  <c r="I93" i="58"/>
  <c r="K75" i="58"/>
  <c r="K93" i="58" s="1"/>
  <c r="I174" i="59"/>
  <c r="K174" i="59" s="1"/>
  <c r="K131" i="59"/>
  <c r="I141" i="59"/>
  <c r="I62" i="59"/>
  <c r="I26" i="59"/>
  <c r="I198" i="59" s="1"/>
  <c r="K24" i="59"/>
  <c r="K26" i="59" s="1"/>
  <c r="F141" i="59"/>
  <c r="I100" i="58"/>
  <c r="I103" i="58" s="1"/>
  <c r="K60" i="58"/>
  <c r="I62" i="58"/>
  <c r="I37" i="58"/>
  <c r="K37" i="58" s="1"/>
  <c r="K14" i="58"/>
  <c r="F62" i="59"/>
  <c r="F26" i="59"/>
  <c r="F198" i="59" s="1"/>
  <c r="Q40" i="59"/>
  <c r="I40" i="59"/>
  <c r="K40" i="59" s="1"/>
  <c r="K160" i="59"/>
  <c r="I180" i="59"/>
  <c r="K180" i="59" s="1"/>
  <c r="K50" i="59"/>
  <c r="K39" i="57"/>
  <c r="L39" i="57" s="1"/>
  <c r="I14" i="57"/>
  <c r="I188" i="59"/>
  <c r="K188" i="59" s="1"/>
  <c r="K145" i="59"/>
  <c r="F96" i="58"/>
  <c r="F41" i="57"/>
  <c r="F21" i="59"/>
  <c r="K40" i="58"/>
  <c r="L40" i="58" s="1"/>
  <c r="K35" i="58"/>
  <c r="I57" i="59"/>
  <c r="K57" i="59" s="1"/>
  <c r="K19" i="59"/>
  <c r="K21" i="59"/>
  <c r="F30" i="58"/>
  <c r="F144" i="59"/>
  <c r="I144" i="59"/>
  <c r="I41" i="57"/>
  <c r="I182" i="59"/>
  <c r="K182" i="59" s="1"/>
  <c r="K162" i="59"/>
  <c r="K13" i="58"/>
  <c r="K15" i="58" s="1"/>
  <c r="F118" i="59"/>
  <c r="F121" i="59" s="1"/>
  <c r="F85" i="59"/>
  <c r="F19" i="58"/>
  <c r="Q70" i="58"/>
  <c r="I70" i="58"/>
  <c r="Q41" i="59"/>
  <c r="I41" i="59"/>
  <c r="L25" i="57"/>
  <c r="K29" i="57"/>
  <c r="L29" i="57" s="1"/>
  <c r="K78" i="59"/>
  <c r="K163" i="59"/>
  <c r="I183" i="59"/>
  <c r="K183" i="59" s="1"/>
  <c r="I21" i="59"/>
  <c r="K29" i="58"/>
  <c r="I112" i="58"/>
  <c r="F74" i="59"/>
  <c r="D109" i="59"/>
  <c r="I102" i="58"/>
  <c r="K81" i="58"/>
  <c r="K102" i="58" s="1"/>
  <c r="F112" i="58"/>
  <c r="K56" i="58"/>
  <c r="K57" i="58" s="1"/>
  <c r="K85" i="59"/>
  <c r="F100" i="58"/>
  <c r="F103" i="58" s="1"/>
  <c r="F62" i="58"/>
  <c r="K78" i="58"/>
  <c r="K96" i="58" s="1"/>
  <c r="I96" i="58"/>
  <c r="I109" i="59"/>
  <c r="F97" i="58"/>
  <c r="F105" i="58" s="1"/>
  <c r="I178" i="59"/>
  <c r="K178" i="59" s="1"/>
  <c r="K158" i="59"/>
  <c r="K107" i="59"/>
  <c r="Q25" i="58"/>
  <c r="I25" i="58"/>
  <c r="Q11" i="9"/>
  <c r="I159" i="59"/>
  <c r="Q159" i="59"/>
  <c r="Q97" i="59"/>
  <c r="I97" i="59"/>
  <c r="K76" i="58"/>
  <c r="K94" i="58" s="1"/>
  <c r="I94" i="58"/>
  <c r="I199" i="59"/>
  <c r="I87" i="59"/>
  <c r="L57" i="58" l="1"/>
  <c r="K159" i="59"/>
  <c r="I179" i="59"/>
  <c r="K179" i="59" s="1"/>
  <c r="I164" i="59"/>
  <c r="F206" i="59"/>
  <c r="F80" i="59"/>
  <c r="F205" i="59" s="1"/>
  <c r="F109" i="59"/>
  <c r="F115" i="59" s="1"/>
  <c r="F123" i="59" s="1"/>
  <c r="F10" i="8"/>
  <c r="I18" i="57"/>
  <c r="I47" i="57"/>
  <c r="F187" i="59"/>
  <c r="F190" i="59" s="1"/>
  <c r="F192" i="59" s="1"/>
  <c r="F146" i="59"/>
  <c r="F200" i="59" s="1"/>
  <c r="F212" i="59" s="1"/>
  <c r="K25" i="58"/>
  <c r="K27" i="58" s="1"/>
  <c r="K30" i="58" s="1"/>
  <c r="I27" i="58"/>
  <c r="K41" i="59"/>
  <c r="K42" i="59" s="1"/>
  <c r="I58" i="59"/>
  <c r="K58" i="59" s="1"/>
  <c r="K59" i="59"/>
  <c r="K198" i="59"/>
  <c r="F122" i="58"/>
  <c r="F20" i="8"/>
  <c r="I204" i="59"/>
  <c r="I210" i="59" s="1"/>
  <c r="I28" i="59"/>
  <c r="I36" i="58"/>
  <c r="I65" i="59"/>
  <c r="K62" i="59"/>
  <c r="I64" i="59"/>
  <c r="K64" i="59" s="1"/>
  <c r="I45" i="59"/>
  <c r="K44" i="59"/>
  <c r="I187" i="59"/>
  <c r="K144" i="59"/>
  <c r="I146" i="59"/>
  <c r="K74" i="59"/>
  <c r="K80" i="59" s="1"/>
  <c r="K112" i="58"/>
  <c r="I114" i="58"/>
  <c r="F210" i="59"/>
  <c r="K109" i="59"/>
  <c r="L26" i="59"/>
  <c r="L21" i="59"/>
  <c r="K28" i="59"/>
  <c r="L28" i="59" s="1"/>
  <c r="O14" i="57"/>
  <c r="K18" i="57"/>
  <c r="L18" i="57" s="1"/>
  <c r="L14" i="57"/>
  <c r="F45" i="59"/>
  <c r="F64" i="59"/>
  <c r="F65" i="59" s="1"/>
  <c r="F67" i="59" s="1"/>
  <c r="F216" i="59" s="1"/>
  <c r="F219" i="59" s="1"/>
  <c r="I88" i="58"/>
  <c r="I97" i="58" s="1"/>
  <c r="K70" i="58"/>
  <c r="I79" i="58"/>
  <c r="I82" i="58" s="1"/>
  <c r="F21" i="8"/>
  <c r="I148" i="59"/>
  <c r="K141" i="59"/>
  <c r="I42" i="59"/>
  <c r="F25" i="8" s="1"/>
  <c r="K184" i="59"/>
  <c r="F64" i="58"/>
  <c r="F113" i="58"/>
  <c r="F123" i="58" s="1"/>
  <c r="F87" i="59"/>
  <c r="F199" i="59"/>
  <c r="K161" i="59"/>
  <c r="I181" i="59"/>
  <c r="K181" i="59" s="1"/>
  <c r="K199" i="59"/>
  <c r="K87" i="59"/>
  <c r="L87" i="59" s="1"/>
  <c r="L85" i="59"/>
  <c r="F204" i="59"/>
  <c r="F207" i="59" s="1"/>
  <c r="F28" i="59"/>
  <c r="L15" i="58"/>
  <c r="K19" i="58"/>
  <c r="L19" i="58" s="1"/>
  <c r="O14" i="58"/>
  <c r="K118" i="59"/>
  <c r="K121" i="59" s="1"/>
  <c r="L121" i="59" s="1"/>
  <c r="I64" i="58"/>
  <c r="I113" i="58"/>
  <c r="K41" i="57"/>
  <c r="L41" i="57" s="1"/>
  <c r="K97" i="59"/>
  <c r="K99" i="59" s="1"/>
  <c r="K102" i="59" s="1"/>
  <c r="I99" i="59"/>
  <c r="I121" i="59"/>
  <c r="I113" i="59"/>
  <c r="K113" i="59" s="1"/>
  <c r="K115" i="59" s="1"/>
  <c r="K62" i="58"/>
  <c r="K100" i="58"/>
  <c r="K103" i="58" s="1"/>
  <c r="L103" i="58" s="1"/>
  <c r="K210" i="59" l="1"/>
  <c r="K123" i="59"/>
  <c r="L123" i="59" s="1"/>
  <c r="L115" i="59"/>
  <c r="L42" i="59"/>
  <c r="O14" i="59"/>
  <c r="F213" i="59"/>
  <c r="K36" i="58"/>
  <c r="K38" i="58" s="1"/>
  <c r="I38" i="58"/>
  <c r="K88" i="58"/>
  <c r="K97" i="58" s="1"/>
  <c r="K79" i="58"/>
  <c r="L59" i="59"/>
  <c r="K164" i="59"/>
  <c r="F26" i="8"/>
  <c r="I167" i="59"/>
  <c r="I102" i="59"/>
  <c r="I205" i="59"/>
  <c r="K148" i="59"/>
  <c r="L141" i="59"/>
  <c r="O74" i="59"/>
  <c r="L80" i="59"/>
  <c r="I184" i="59"/>
  <c r="F114" i="58"/>
  <c r="I115" i="59"/>
  <c r="L184" i="59"/>
  <c r="K47" i="57"/>
  <c r="I48" i="57"/>
  <c r="F211" i="59"/>
  <c r="I200" i="59"/>
  <c r="K146" i="59"/>
  <c r="L146" i="59" s="1"/>
  <c r="K65" i="59"/>
  <c r="L65" i="59" s="1"/>
  <c r="F124" i="58"/>
  <c r="I117" i="58"/>
  <c r="I30" i="58"/>
  <c r="K45" i="59"/>
  <c r="L45" i="59" s="1"/>
  <c r="F15" i="8"/>
  <c r="I105" i="58"/>
  <c r="I206" i="59"/>
  <c r="K206" i="59" s="1"/>
  <c r="I207" i="59"/>
  <c r="K204" i="59"/>
  <c r="L62" i="58"/>
  <c r="K64" i="58"/>
  <c r="L64" i="58" s="1"/>
  <c r="K113" i="58"/>
  <c r="K114" i="58" s="1"/>
  <c r="F201" i="59"/>
  <c r="I190" i="59"/>
  <c r="K187" i="59"/>
  <c r="K190" i="59" s="1"/>
  <c r="L190" i="59" s="1"/>
  <c r="I59" i="59"/>
  <c r="I67" i="59" s="1"/>
  <c r="I118" i="58"/>
  <c r="K118" i="58" s="1"/>
  <c r="L118" i="58" s="1"/>
  <c r="F148" i="59"/>
  <c r="L47" i="57" l="1"/>
  <c r="K48" i="57"/>
  <c r="L48" i="57" s="1"/>
  <c r="K192" i="59"/>
  <c r="L192" i="59" s="1"/>
  <c r="L148" i="59"/>
  <c r="K41" i="58"/>
  <c r="L41" i="58" s="1"/>
  <c r="L38" i="58"/>
  <c r="F17" i="8"/>
  <c r="I123" i="59"/>
  <c r="K205" i="59"/>
  <c r="K207" i="59" s="1"/>
  <c r="I211" i="59"/>
  <c r="K67" i="59"/>
  <c r="L67" i="59" s="1"/>
  <c r="L164" i="59"/>
  <c r="K167" i="59"/>
  <c r="L167" i="59" s="1"/>
  <c r="I119" i="58"/>
  <c r="K117" i="58"/>
  <c r="I122" i="58"/>
  <c r="L79" i="58"/>
  <c r="K82" i="58"/>
  <c r="L82" i="58" s="1"/>
  <c r="O49" i="58"/>
  <c r="I212" i="59"/>
  <c r="K212" i="59" s="1"/>
  <c r="K200" i="59"/>
  <c r="K201" i="59" s="1"/>
  <c r="I201" i="59"/>
  <c r="I192" i="59"/>
  <c r="K105" i="58"/>
  <c r="L105" i="58" s="1"/>
  <c r="L97" i="58"/>
  <c r="O131" i="59"/>
  <c r="I123" i="58"/>
  <c r="K123" i="58" s="1"/>
  <c r="L123" i="58" s="1"/>
  <c r="F13" i="8"/>
  <c r="I41" i="58"/>
  <c r="I216" i="59" s="1"/>
  <c r="K216" i="59" l="1"/>
  <c r="I219" i="59"/>
  <c r="L117" i="58"/>
  <c r="K119" i="58"/>
  <c r="L119" i="58" s="1"/>
  <c r="K211" i="59"/>
  <c r="K213" i="59" s="1"/>
  <c r="I213" i="59"/>
  <c r="K122" i="58"/>
  <c r="I124" i="58"/>
  <c r="K124" i="58" l="1"/>
  <c r="L124" i="58" s="1"/>
  <c r="L122" i="58"/>
  <c r="L216" i="59"/>
  <c r="K219" i="59"/>
  <c r="L219" i="59" s="1"/>
  <c r="F9" i="7" l="1"/>
  <c r="T11" i="9" l="1"/>
  <c r="T12" i="9"/>
  <c r="T13" i="9"/>
  <c r="T14" i="9"/>
  <c r="T15" i="9"/>
  <c r="T10" i="9"/>
  <c r="S11" i="9"/>
  <c r="S12" i="9"/>
  <c r="S13" i="9"/>
  <c r="S14" i="9"/>
  <c r="S15" i="9"/>
  <c r="S10" i="9"/>
  <c r="C52" i="7" l="1"/>
  <c r="C51" i="7"/>
  <c r="C52" i="9"/>
  <c r="B4" i="9" l="1"/>
  <c r="J5" i="7" l="1"/>
  <c r="B2" i="7" s="1"/>
  <c r="B2" i="8" l="1"/>
  <c r="B2" i="9" l="1"/>
  <c r="U15" i="9" l="1"/>
  <c r="U14" i="9"/>
  <c r="U13" i="9"/>
  <c r="U12" i="9"/>
  <c r="U11" i="9"/>
  <c r="R15" i="9"/>
  <c r="R14" i="9"/>
  <c r="R13" i="9"/>
  <c r="R12" i="9"/>
  <c r="R11" i="9"/>
  <c r="E36" i="9"/>
  <c r="E17" i="9"/>
  <c r="F10" i="9" s="1"/>
  <c r="U10" i="9" l="1"/>
  <c r="R10" i="9"/>
  <c r="V10" i="9" s="1"/>
  <c r="G45" i="9"/>
  <c r="G36" i="9"/>
  <c r="G26" i="9"/>
  <c r="G17" i="9"/>
  <c r="V11" i="9" l="1"/>
  <c r="H40" i="9" s="1"/>
  <c r="V12" i="9"/>
  <c r="H41" i="9" s="1"/>
  <c r="V13" i="9"/>
  <c r="H42" i="9" s="1"/>
  <c r="V14" i="9"/>
  <c r="H43" i="9" s="1"/>
  <c r="V15" i="9"/>
  <c r="H44" i="9" s="1"/>
  <c r="H39" i="9"/>
  <c r="B12" i="8" l="1"/>
  <c r="B13" i="8" s="1"/>
  <c r="B15" i="8" l="1"/>
  <c r="B17" i="8" s="1"/>
  <c r="B19" i="8" s="1"/>
  <c r="B20" i="8" s="1"/>
  <c r="B21" i="8" s="1"/>
  <c r="B22" i="8" s="1"/>
  <c r="G7" i="8"/>
  <c r="G26" i="8"/>
  <c r="L26" i="8" s="1"/>
  <c r="G25" i="8"/>
  <c r="L25" i="8" s="1"/>
  <c r="G21" i="8"/>
  <c r="L21" i="8" s="1"/>
  <c r="G20" i="8"/>
  <c r="L20" i="8" s="1"/>
  <c r="G17" i="8"/>
  <c r="L17" i="8" s="1"/>
  <c r="G15" i="8"/>
  <c r="L15" i="8" s="1"/>
  <c r="G13" i="8"/>
  <c r="L13" i="8" s="1"/>
  <c r="G10" i="8"/>
  <c r="L10" i="8" s="1"/>
  <c r="B24" i="8" l="1"/>
  <c r="B25" i="8" s="1"/>
  <c r="B26" i="8" s="1"/>
  <c r="B27" i="8" s="1"/>
  <c r="B28" i="8" s="1"/>
  <c r="F21" i="7"/>
  <c r="F13" i="7"/>
  <c r="F11" i="7"/>
  <c r="H10" i="9" l="1"/>
  <c r="H12" i="9"/>
  <c r="H14" i="9"/>
  <c r="E16" i="9"/>
  <c r="F11" i="9" s="1"/>
  <c r="G11" i="9" s="1"/>
  <c r="H20" i="9"/>
  <c r="H22" i="9"/>
  <c r="H24" i="9"/>
  <c r="E26" i="9"/>
  <c r="F22" i="9" s="1"/>
  <c r="G22" i="9" s="1"/>
  <c r="B28" i="9"/>
  <c r="B29" i="9" s="1"/>
  <c r="B30" i="9" s="1"/>
  <c r="B31" i="9" s="1"/>
  <c r="B32" i="9" s="1"/>
  <c r="B33" i="9" s="1"/>
  <c r="B34" i="9" s="1"/>
  <c r="B35" i="9" s="1"/>
  <c r="B36" i="9" s="1"/>
  <c r="B38" i="9" s="1"/>
  <c r="B39" i="9" s="1"/>
  <c r="B40" i="9" s="1"/>
  <c r="B41" i="9" s="1"/>
  <c r="B42" i="9" s="1"/>
  <c r="B43" i="9" s="1"/>
  <c r="B44" i="9" s="1"/>
  <c r="B45" i="9" s="1"/>
  <c r="H29" i="9"/>
  <c r="H30" i="9"/>
  <c r="H31" i="9"/>
  <c r="H32" i="9"/>
  <c r="H33" i="9"/>
  <c r="H34" i="9"/>
  <c r="E35" i="9"/>
  <c r="F29" i="9" s="1"/>
  <c r="H21" i="9"/>
  <c r="H13" i="9"/>
  <c r="H15" i="9"/>
  <c r="E45" i="9"/>
  <c r="F39" i="9" s="1"/>
  <c r="G47" i="9"/>
  <c r="F7" i="8"/>
  <c r="N7" i="8"/>
  <c r="E22" i="8"/>
  <c r="F22" i="8"/>
  <c r="E27" i="8"/>
  <c r="F27" i="8"/>
  <c r="G6" i="7"/>
  <c r="B32" i="7"/>
  <c r="B33" i="7" s="1"/>
  <c r="B34" i="7" s="1"/>
  <c r="B35" i="7" s="1"/>
  <c r="B36" i="7" s="1"/>
  <c r="B38" i="7" s="1"/>
  <c r="B39" i="7" s="1"/>
  <c r="B40" i="7" s="1"/>
  <c r="B41" i="7" s="1"/>
  <c r="B42" i="7" s="1"/>
  <c r="B43" i="7" s="1"/>
  <c r="B44" i="7" s="1"/>
  <c r="B45" i="7" s="1"/>
  <c r="B47" i="7" s="1"/>
  <c r="B49" i="7" s="1"/>
  <c r="G39" i="9" l="1"/>
  <c r="F39" i="7" s="1"/>
  <c r="G29" i="9"/>
  <c r="I29" i="9" s="1"/>
  <c r="F28" i="8"/>
  <c r="F30" i="9"/>
  <c r="G30" i="9" s="1"/>
  <c r="F34" i="7" s="1"/>
  <c r="E28" i="8"/>
  <c r="F23" i="9"/>
  <c r="G23" i="9" s="1"/>
  <c r="F21" i="9"/>
  <c r="G21" i="9" s="1"/>
  <c r="F25" i="9"/>
  <c r="G25" i="9" s="1"/>
  <c r="F20" i="9"/>
  <c r="F24" i="9"/>
  <c r="G24" i="9" s="1"/>
  <c r="F17" i="7"/>
  <c r="F32" i="9"/>
  <c r="G32" i="9" s="1"/>
  <c r="I32" i="9" s="1"/>
  <c r="F34" i="9"/>
  <c r="G34" i="9" s="1"/>
  <c r="I34" i="9" s="1"/>
  <c r="F33" i="9"/>
  <c r="G33" i="9" s="1"/>
  <c r="I33" i="9" s="1"/>
  <c r="F31" i="9"/>
  <c r="G31" i="9" s="1"/>
  <c r="I22" i="9"/>
  <c r="F26" i="7"/>
  <c r="F12" i="9"/>
  <c r="G12" i="9" s="1"/>
  <c r="E47" i="9"/>
  <c r="H23" i="9"/>
  <c r="F15" i="9"/>
  <c r="G15" i="9" s="1"/>
  <c r="I15" i="9" s="1"/>
  <c r="H11" i="9"/>
  <c r="I11" i="9" s="1"/>
  <c r="F14" i="9"/>
  <c r="G14" i="9" s="1"/>
  <c r="I14" i="9" s="1"/>
  <c r="F44" i="9"/>
  <c r="G44" i="9" s="1"/>
  <c r="F43" i="9"/>
  <c r="G43" i="9" s="1"/>
  <c r="F42" i="9"/>
  <c r="G42" i="9" s="1"/>
  <c r="F41" i="9"/>
  <c r="G41" i="9" s="1"/>
  <c r="F40" i="9"/>
  <c r="G40" i="9" s="1"/>
  <c r="H25" i="9"/>
  <c r="F13" i="9"/>
  <c r="G13" i="9" s="1"/>
  <c r="I13" i="9" s="1"/>
  <c r="F36" i="9" l="1"/>
  <c r="I39" i="9"/>
  <c r="F33" i="7"/>
  <c r="F45" i="9"/>
  <c r="G20" i="9"/>
  <c r="I20" i="9" s="1"/>
  <c r="F26" i="9"/>
  <c r="G10" i="9"/>
  <c r="I10" i="9" s="1"/>
  <c r="F17" i="9"/>
  <c r="I30" i="9"/>
  <c r="I41" i="9"/>
  <c r="F41" i="7"/>
  <c r="G16" i="9"/>
  <c r="I12" i="9"/>
  <c r="G59" i="9"/>
  <c r="I23" i="9"/>
  <c r="F27" i="7"/>
  <c r="F42" i="7"/>
  <c r="I42" i="9"/>
  <c r="I43" i="9"/>
  <c r="F43" i="7"/>
  <c r="I25" i="9"/>
  <c r="F29" i="7"/>
  <c r="F40" i="7"/>
  <c r="I40" i="9"/>
  <c r="F44" i="7"/>
  <c r="I44" i="9"/>
  <c r="I21" i="9"/>
  <c r="F25" i="7"/>
  <c r="I24" i="9"/>
  <c r="F28" i="7"/>
  <c r="I31" i="9"/>
  <c r="G35" i="9"/>
  <c r="G58" i="9"/>
  <c r="G56" i="9" l="1"/>
  <c r="G57" i="9"/>
  <c r="F24" i="7"/>
  <c r="F30" i="7" s="1"/>
  <c r="F16" i="7"/>
  <c r="F45" i="7"/>
  <c r="I35" i="9"/>
  <c r="I45" i="9"/>
  <c r="I17" i="9"/>
  <c r="I16" i="9"/>
  <c r="I26" i="9"/>
  <c r="F18" i="7"/>
  <c r="F35" i="7"/>
  <c r="F36" i="7" s="1"/>
  <c r="M27" i="8" s="1"/>
  <c r="I36" i="9"/>
  <c r="F19" i="7" l="1"/>
  <c r="F47" i="7" s="1"/>
  <c r="I47" i="9"/>
  <c r="M22" i="8" l="1"/>
  <c r="M28" i="8" s="1"/>
  <c r="N26" i="8"/>
  <c r="G45" i="7" s="1"/>
  <c r="N21" i="8"/>
  <c r="G30" i="7" s="1"/>
  <c r="N15" i="8"/>
  <c r="G13" i="7" s="1"/>
  <c r="N17" i="8"/>
  <c r="G21" i="7" s="1"/>
  <c r="N13" i="8"/>
  <c r="G11" i="7" s="1"/>
  <c r="N25" i="8"/>
  <c r="N20" i="8" l="1"/>
  <c r="G19" i="7" s="1"/>
  <c r="N10" i="8"/>
  <c r="N27" i="8"/>
  <c r="G36" i="7"/>
  <c r="N22" i="8" l="1"/>
  <c r="N28" i="8" s="1"/>
  <c r="G9" i="7"/>
  <c r="G47" i="7" l="1"/>
  <c r="H9" i="7" s="1"/>
  <c r="H21" i="7" l="1"/>
  <c r="I21" i="7" s="1"/>
  <c r="J21" i="7" s="1"/>
  <c r="F23" i="72" s="1"/>
  <c r="H11" i="7"/>
  <c r="I11" i="7" s="1"/>
  <c r="J11" i="7" s="1"/>
  <c r="F11" i="72" s="1"/>
  <c r="H30" i="7"/>
  <c r="I30" i="7" s="1"/>
  <c r="J26" i="9" s="1"/>
  <c r="H13" i="7"/>
  <c r="I13" i="7" s="1"/>
  <c r="J13" i="7" s="1"/>
  <c r="F14" i="72" s="1"/>
  <c r="H19" i="7"/>
  <c r="I19" i="7" s="1"/>
  <c r="J17" i="9" s="1"/>
  <c r="H45" i="7"/>
  <c r="I45" i="7" s="1"/>
  <c r="J45" i="9" s="1"/>
  <c r="H36" i="7"/>
  <c r="I36" i="7" s="1"/>
  <c r="J36" i="9" s="1"/>
  <c r="I9" i="7"/>
  <c r="J9" i="7" s="1"/>
  <c r="F9" i="72" s="1"/>
  <c r="H14" i="72" l="1"/>
  <c r="I14" i="72" s="1"/>
  <c r="F15" i="72"/>
  <c r="H15" i="72" s="1"/>
  <c r="I15" i="72" s="1"/>
  <c r="F12" i="72"/>
  <c r="H12" i="72" s="1"/>
  <c r="I12" i="72" s="1"/>
  <c r="H11" i="72"/>
  <c r="I11" i="72" s="1"/>
  <c r="H9" i="72"/>
  <c r="G17" i="70"/>
  <c r="G23" i="70" s="1"/>
  <c r="H23" i="72"/>
  <c r="I23" i="72" s="1"/>
  <c r="F24" i="72"/>
  <c r="H24" i="72" s="1"/>
  <c r="I24" i="72" s="1"/>
  <c r="K13" i="7"/>
  <c r="K11" i="7"/>
  <c r="K21" i="7"/>
  <c r="H47" i="7"/>
  <c r="J47" i="9"/>
  <c r="J48" i="9" s="1"/>
  <c r="K11" i="9" s="1"/>
  <c r="I47" i="7"/>
  <c r="S21" i="69" l="1"/>
  <c r="J24" i="72"/>
  <c r="I9" i="72"/>
  <c r="S16" i="69"/>
  <c r="J23" i="72"/>
  <c r="H23" i="70"/>
  <c r="H30" i="70" s="1"/>
  <c r="H32" i="70" s="1"/>
  <c r="H33" i="70" s="1"/>
  <c r="H34" i="70" s="1"/>
  <c r="G30" i="70"/>
  <c r="G36" i="70"/>
  <c r="S19" i="69"/>
  <c r="J15" i="72"/>
  <c r="S13" i="69"/>
  <c r="J11" i="72"/>
  <c r="J12" i="72"/>
  <c r="S18" i="69"/>
  <c r="S14" i="69"/>
  <c r="J14" i="72"/>
  <c r="K9" i="7"/>
  <c r="K44" i="9"/>
  <c r="L44" i="9" s="1"/>
  <c r="L25" i="9" s="1"/>
  <c r="K14" i="9"/>
  <c r="K12" i="9"/>
  <c r="K24" i="9"/>
  <c r="K42" i="9"/>
  <c r="L42" i="9" s="1"/>
  <c r="L23" i="9" s="1"/>
  <c r="K32" i="9"/>
  <c r="K41" i="9"/>
  <c r="L41" i="9" s="1"/>
  <c r="M41" i="9" s="1"/>
  <c r="K34" i="9"/>
  <c r="K31" i="9"/>
  <c r="K23" i="9"/>
  <c r="K39" i="9"/>
  <c r="L39" i="9" s="1"/>
  <c r="K30" i="9"/>
  <c r="K43" i="9"/>
  <c r="L43" i="9" s="1"/>
  <c r="M43" i="9" s="1"/>
  <c r="K15" i="9"/>
  <c r="K10" i="9"/>
  <c r="K29" i="9"/>
  <c r="K20" i="9"/>
  <c r="K13" i="9"/>
  <c r="K21" i="9"/>
  <c r="K25" i="9"/>
  <c r="K22" i="9"/>
  <c r="K33" i="9"/>
  <c r="K40" i="9"/>
  <c r="L40" i="9" s="1"/>
  <c r="L30" i="9" s="1"/>
  <c r="S29" i="69" l="1"/>
  <c r="T29" i="69" s="1"/>
  <c r="I14" i="71"/>
  <c r="T14" i="69"/>
  <c r="S31" i="69"/>
  <c r="T31" i="69" s="1"/>
  <c r="T16" i="69"/>
  <c r="I16" i="71"/>
  <c r="I18" i="71"/>
  <c r="T18" i="69"/>
  <c r="I13" i="71"/>
  <c r="T13" i="69"/>
  <c r="S28" i="69"/>
  <c r="T28" i="69" s="1"/>
  <c r="S11" i="69"/>
  <c r="J9" i="72"/>
  <c r="T19" i="69"/>
  <c r="I19" i="71"/>
  <c r="T21" i="69"/>
  <c r="I21" i="71"/>
  <c r="J41" i="7"/>
  <c r="J44" i="7"/>
  <c r="K45" i="9"/>
  <c r="M44" i="9"/>
  <c r="J42" i="7"/>
  <c r="L24" i="9"/>
  <c r="J28" i="7" s="1"/>
  <c r="F31" i="72" s="1"/>
  <c r="M42" i="9"/>
  <c r="K35" i="9"/>
  <c r="M40" i="9"/>
  <c r="J40" i="7"/>
  <c r="K16" i="9"/>
  <c r="L21" i="9"/>
  <c r="J25" i="7" s="1"/>
  <c r="F28" i="72" s="1"/>
  <c r="L22" i="9"/>
  <c r="M22" i="9" s="1"/>
  <c r="K26" i="9"/>
  <c r="K36" i="9"/>
  <c r="K17" i="9"/>
  <c r="J43" i="7"/>
  <c r="M23" i="9"/>
  <c r="J27" i="7"/>
  <c r="F30" i="72" s="1"/>
  <c r="M30" i="9"/>
  <c r="L11" i="9"/>
  <c r="J34" i="7"/>
  <c r="L29" i="9"/>
  <c r="J39" i="7"/>
  <c r="M39" i="9"/>
  <c r="L20" i="9"/>
  <c r="M25" i="9"/>
  <c r="J29" i="7"/>
  <c r="F32" i="72" s="1"/>
  <c r="F46" i="72" l="1"/>
  <c r="H46" i="72" s="1"/>
  <c r="I46" i="72" s="1"/>
  <c r="J46" i="72" s="1"/>
  <c r="H31" i="72"/>
  <c r="I31" i="72" s="1"/>
  <c r="J31" i="72" s="1"/>
  <c r="L18" i="71"/>
  <c r="N18" i="71" s="1"/>
  <c r="J18" i="71"/>
  <c r="J19" i="71"/>
  <c r="L19" i="71"/>
  <c r="N19" i="71" s="1"/>
  <c r="F43" i="72"/>
  <c r="H43" i="72" s="1"/>
  <c r="H28" i="72"/>
  <c r="I28" i="72" s="1"/>
  <c r="J28" i="72" s="1"/>
  <c r="L16" i="71"/>
  <c r="N16" i="71" s="1"/>
  <c r="J16" i="71"/>
  <c r="I32" i="71"/>
  <c r="T11" i="69"/>
  <c r="S27" i="69"/>
  <c r="I11" i="71"/>
  <c r="J21" i="71"/>
  <c r="L21" i="71"/>
  <c r="N21" i="71" s="1"/>
  <c r="L14" i="71"/>
  <c r="N14" i="71" s="1"/>
  <c r="I30" i="71"/>
  <c r="J14" i="71"/>
  <c r="F47" i="72"/>
  <c r="H47" i="72" s="1"/>
  <c r="I47" i="72" s="1"/>
  <c r="J47" i="72" s="1"/>
  <c r="H32" i="72"/>
  <c r="I32" i="72" s="1"/>
  <c r="J32" i="72" s="1"/>
  <c r="H30" i="72"/>
  <c r="I30" i="72" s="1"/>
  <c r="J30" i="72" s="1"/>
  <c r="F45" i="72"/>
  <c r="H45" i="72" s="1"/>
  <c r="I45" i="72" s="1"/>
  <c r="J45" i="72" s="1"/>
  <c r="I29" i="71"/>
  <c r="L13" i="71"/>
  <c r="N13" i="71" s="1"/>
  <c r="J13" i="71"/>
  <c r="L35" i="9"/>
  <c r="L16" i="9" s="1"/>
  <c r="M24" i="9"/>
  <c r="M45" i="9"/>
  <c r="N45" i="9" s="1"/>
  <c r="J26" i="7"/>
  <c r="F29" i="72" s="1"/>
  <c r="M21" i="9"/>
  <c r="K47" i="9"/>
  <c r="J33" i="7"/>
  <c r="M29" i="9"/>
  <c r="L10" i="9"/>
  <c r="J24" i="7"/>
  <c r="F27" i="72" s="1"/>
  <c r="M20" i="9"/>
  <c r="M11" i="9"/>
  <c r="J17" i="7"/>
  <c r="F19" i="72" s="1"/>
  <c r="F37" i="72" l="1"/>
  <c r="H37" i="72" s="1"/>
  <c r="I37" i="72" s="1"/>
  <c r="J37" i="72" s="1"/>
  <c r="H19" i="72"/>
  <c r="I19" i="72" s="1"/>
  <c r="J19" i="72" s="1"/>
  <c r="I43" i="72"/>
  <c r="J43" i="72" s="1"/>
  <c r="F42" i="72"/>
  <c r="H42" i="72" s="1"/>
  <c r="I42" i="72" s="1"/>
  <c r="H27" i="72"/>
  <c r="F44" i="72"/>
  <c r="H44" i="72" s="1"/>
  <c r="I44" i="72" s="1"/>
  <c r="J44" i="72" s="1"/>
  <c r="H29" i="72"/>
  <c r="I29" i="72" s="1"/>
  <c r="J29" i="72" s="1"/>
  <c r="T27" i="69"/>
  <c r="L32" i="71"/>
  <c r="N32" i="71" s="1"/>
  <c r="J32" i="71"/>
  <c r="L11" i="71"/>
  <c r="N11" i="71" s="1"/>
  <c r="J11" i="71"/>
  <c r="I28" i="71"/>
  <c r="L30" i="71"/>
  <c r="N30" i="71" s="1"/>
  <c r="J30" i="71"/>
  <c r="L29" i="71"/>
  <c r="N29" i="71" s="1"/>
  <c r="J29" i="71"/>
  <c r="K45" i="7"/>
  <c r="M26" i="9"/>
  <c r="N26" i="9" s="1"/>
  <c r="M35" i="9"/>
  <c r="M36" i="9" s="1"/>
  <c r="K36" i="7" s="1"/>
  <c r="J35" i="7"/>
  <c r="M10" i="9"/>
  <c r="J16" i="7"/>
  <c r="F18" i="72" s="1"/>
  <c r="J18" i="7"/>
  <c r="F20" i="72" s="1"/>
  <c r="M16" i="9"/>
  <c r="H20" i="72" l="1"/>
  <c r="I20" i="72" s="1"/>
  <c r="J20" i="72" s="1"/>
  <c r="F38" i="72"/>
  <c r="H38" i="72" s="1"/>
  <c r="I38" i="72" s="1"/>
  <c r="J38" i="72" s="1"/>
  <c r="H48" i="72"/>
  <c r="I27" i="72"/>
  <c r="H33" i="72"/>
  <c r="L28" i="71"/>
  <c r="N28" i="71" s="1"/>
  <c r="J28" i="71"/>
  <c r="J42" i="72"/>
  <c r="I48" i="72"/>
  <c r="F36" i="72"/>
  <c r="H36" i="72" s="1"/>
  <c r="H18" i="72"/>
  <c r="K30" i="7"/>
  <c r="N36" i="9"/>
  <c r="M17" i="9"/>
  <c r="J27" i="72" l="1"/>
  <c r="I33" i="72"/>
  <c r="S22" i="69"/>
  <c r="J48" i="72"/>
  <c r="I18" i="72"/>
  <c r="H21" i="72"/>
  <c r="I36" i="72"/>
  <c r="H39" i="72"/>
  <c r="N17" i="9"/>
  <c r="M47" i="9"/>
  <c r="K19" i="7"/>
  <c r="K47" i="7" s="1"/>
  <c r="I39" i="72" l="1"/>
  <c r="J36" i="72"/>
  <c r="H50" i="72"/>
  <c r="J18" i="72"/>
  <c r="I21" i="72"/>
  <c r="I22" i="71"/>
  <c r="T22" i="69"/>
  <c r="S17" i="69"/>
  <c r="J33" i="72"/>
  <c r="N47" i="9"/>
  <c r="N48" i="9" s="1"/>
  <c r="J47" i="7"/>
  <c r="L47" i="7"/>
  <c r="L48" i="7" s="1"/>
  <c r="L22" i="71" l="1"/>
  <c r="N22" i="71" s="1"/>
  <c r="J22" i="71"/>
  <c r="I17" i="71"/>
  <c r="S32" i="69"/>
  <c r="T32" i="69" s="1"/>
  <c r="T17" i="69"/>
  <c r="S15" i="69"/>
  <c r="J21" i="72"/>
  <c r="I50" i="72"/>
  <c r="J50" i="72" s="1"/>
  <c r="J39" i="72"/>
  <c r="S20" i="69"/>
  <c r="T15" i="69" l="1"/>
  <c r="S30" i="69"/>
  <c r="I15" i="71"/>
  <c r="S24" i="69"/>
  <c r="T24" i="69" s="1"/>
  <c r="I33" i="71"/>
  <c r="L17" i="71"/>
  <c r="N17" i="71" s="1"/>
  <c r="J17" i="71"/>
  <c r="T20" i="69"/>
  <c r="I20" i="71"/>
  <c r="L33" i="71" l="1"/>
  <c r="N33" i="71" s="1"/>
  <c r="J33" i="71"/>
  <c r="T30" i="69"/>
  <c r="S34" i="69"/>
  <c r="T34" i="69" s="1"/>
  <c r="L15" i="71"/>
  <c r="N15" i="71" s="1"/>
  <c r="J15" i="71"/>
  <c r="I31" i="71"/>
  <c r="I24" i="71"/>
  <c r="L20" i="71"/>
  <c r="N20" i="71" s="1"/>
  <c r="J20" i="71"/>
  <c r="L24" i="71" l="1"/>
  <c r="N24" i="71" s="1"/>
  <c r="J24" i="71"/>
  <c r="L31" i="71"/>
  <c r="N31" i="71" s="1"/>
  <c r="J31" i="71"/>
  <c r="I35" i="71"/>
  <c r="L35" i="71" l="1"/>
  <c r="N35" i="71" s="1"/>
  <c r="J35" i="71"/>
</calcChain>
</file>

<file path=xl/comments1.xml><?xml version="1.0" encoding="utf-8"?>
<comments xmlns="http://schemas.openxmlformats.org/spreadsheetml/2006/main">
  <authors>
    <author>jphelp</author>
  </authors>
  <commentList>
    <comment ref="F52" authorId="0" shapeId="0">
      <text>
        <r>
          <rPr>
            <b/>
            <sz val="8"/>
            <color indexed="81"/>
            <rFont val="Tahoma"/>
            <family val="2"/>
          </rPr>
          <t>jphelp:</t>
        </r>
        <r>
          <rPr>
            <sz val="8"/>
            <color indexed="81"/>
            <rFont val="Tahoma"/>
            <family val="2"/>
          </rPr>
          <t xml:space="preserve">
Revenue from the first 900 therms is counted under minimum bill charges, because all customers pay the minimum whether they consume 900 therms or not. (03/09)</t>
        </r>
      </text>
    </comment>
    <comment ref="F74" authorId="0" shapeId="0">
      <text>
        <r>
          <rPr>
            <b/>
            <sz val="8"/>
            <color indexed="81"/>
            <rFont val="Tahoma"/>
            <family val="2"/>
          </rPr>
          <t>jphelp:</t>
        </r>
        <r>
          <rPr>
            <sz val="8"/>
            <color indexed="81"/>
            <rFont val="Tahoma"/>
            <family val="2"/>
          </rPr>
          <t xml:space="preserve">
Revenue from the first 900 therms is counted under minimum bill charges, because all customers pay the minimum whether they consume 900 therms or not. (03/09)</t>
        </r>
      </text>
    </comment>
    <comment ref="F92" authorId="0" shapeId="0">
      <text>
        <r>
          <rPr>
            <b/>
            <sz val="8"/>
            <color indexed="81"/>
            <rFont val="Tahoma"/>
            <family val="2"/>
          </rPr>
          <t>jphelp:</t>
        </r>
        <r>
          <rPr>
            <sz val="8"/>
            <color indexed="81"/>
            <rFont val="Tahoma"/>
            <family val="2"/>
          </rPr>
          <t xml:space="preserve">
Revenue from the first 900 therms is counted under minimum bill charges, because all customers pay the minimum whether they consume 900 therms or not. (03/09)</t>
        </r>
      </text>
    </comment>
  </commentList>
</comments>
</file>

<file path=xl/sharedStrings.xml><?xml version="1.0" encoding="utf-8"?>
<sst xmlns="http://schemas.openxmlformats.org/spreadsheetml/2006/main" count="1008" uniqueCount="364">
  <si>
    <t>Total</t>
  </si>
  <si>
    <t>Subtotal</t>
  </si>
  <si>
    <t>87T</t>
  </si>
  <si>
    <t>85T</t>
  </si>
  <si>
    <t>Interruptible</t>
  </si>
  <si>
    <t>Residential</t>
  </si>
  <si>
    <t>Revenue</t>
  </si>
  <si>
    <t>Schedule</t>
  </si>
  <si>
    <t>Rate Class</t>
  </si>
  <si>
    <t>Sched 149</t>
  </si>
  <si>
    <t>Margin</t>
  </si>
  <si>
    <t>Volume</t>
  </si>
  <si>
    <t>Rate</t>
  </si>
  <si>
    <t>Puget Sound Energy</t>
  </si>
  <si>
    <t>Check</t>
  </si>
  <si>
    <t>Next 300,000 therms</t>
  </si>
  <si>
    <t>Next 100,000 therms</t>
  </si>
  <si>
    <t>Next 50,000 therms</t>
  </si>
  <si>
    <t>Next 25,000 therms</t>
  </si>
  <si>
    <t>First 25,000 therms</t>
  </si>
  <si>
    <t>Total revenue requirement for low income program</t>
  </si>
  <si>
    <t>Over 500,000 therms</t>
  </si>
  <si>
    <t>Transportation</t>
  </si>
  <si>
    <t>Over 50,000 therms</t>
  </si>
  <si>
    <t>Large volume</t>
  </si>
  <si>
    <t>Commercial &amp; industrial</t>
  </si>
  <si>
    <t>23/53</t>
  </si>
  <si>
    <t>Customer Class</t>
  </si>
  <si>
    <t>Proposed</t>
  </si>
  <si>
    <t>Estimated</t>
  </si>
  <si>
    <t>(3)</t>
  </si>
  <si>
    <t>(2)</t>
  </si>
  <si>
    <t>(1)</t>
  </si>
  <si>
    <t>86/86T</t>
  </si>
  <si>
    <t>41/41T</t>
  </si>
  <si>
    <t>31/31T</t>
  </si>
  <si>
    <t>Requirement</t>
  </si>
  <si>
    <t>Spread</t>
  </si>
  <si>
    <t>Line</t>
  </si>
  <si>
    <t>Margin at</t>
  </si>
  <si>
    <t>Low Income</t>
  </si>
  <si>
    <t xml:space="preserve">   Subtotal</t>
  </si>
  <si>
    <t>Non exclusive interruptible</t>
  </si>
  <si>
    <t>Limited interruptible</t>
  </si>
  <si>
    <t>General service</t>
  </si>
  <si>
    <t>Margin/Therm</t>
  </si>
  <si>
    <t>Revenue at</t>
  </si>
  <si>
    <t>Average</t>
  </si>
  <si>
    <t>CRM</t>
  </si>
  <si>
    <t>Percent of revenue at Schedule 87T base rates</t>
  </si>
  <si>
    <t>Transportation Schedule 87T</t>
  </si>
  <si>
    <t>Subtotal over 50,000 therms</t>
  </si>
  <si>
    <t>Transportation Schedule 85T</t>
  </si>
  <si>
    <t>Interruptible Schedule 87</t>
  </si>
  <si>
    <t>Interruptible Schedule 85</t>
  </si>
  <si>
    <t>Therm</t>
  </si>
  <si>
    <t>Base Rates</t>
  </si>
  <si>
    <t>(Therms)</t>
  </si>
  <si>
    <t>% to Total</t>
  </si>
  <si>
    <t>Rate Schedule</t>
  </si>
  <si>
    <t>Rate per</t>
  </si>
  <si>
    <t>Allocated</t>
  </si>
  <si>
    <t>Normalized</t>
  </si>
  <si>
    <t>Calculation of Low Income Gas Rates by Block for Schedules 85, 85T, 87 and 87T</t>
  </si>
  <si>
    <t xml:space="preserve">Total Whole Dollar Increase/(Decrease) </t>
  </si>
  <si>
    <t>TOTAL</t>
  </si>
  <si>
    <t>GAS</t>
  </si>
  <si>
    <t>ELECTRIC</t>
  </si>
  <si>
    <t>Components of Whole Dollar Increase/(Decrease) in Low Income Requirement</t>
  </si>
  <si>
    <t xml:space="preserve">Current State Utility Tax </t>
  </si>
  <si>
    <t>Current Annual Filing Fee</t>
  </si>
  <si>
    <t>Revenue Sensitive Items:</t>
  </si>
  <si>
    <t>(i)</t>
  </si>
  <si>
    <t>(h)</t>
  </si>
  <si>
    <t>(g)</t>
  </si>
  <si>
    <t>(f)</t>
  </si>
  <si>
    <t>(e)</t>
  </si>
  <si>
    <t>(d)</t>
  </si>
  <si>
    <t xml:space="preserve">(c) </t>
  </si>
  <si>
    <t>(b)</t>
  </si>
  <si>
    <t>(a)</t>
  </si>
  <si>
    <t>Notes</t>
  </si>
  <si>
    <t>Gas</t>
  </si>
  <si>
    <t>Electric</t>
  </si>
  <si>
    <t>LINE 
NO.</t>
  </si>
  <si>
    <t xml:space="preserve">REVENUE REQUIREMENTS </t>
  </si>
  <si>
    <t>LOW INCOME PROGRAM</t>
  </si>
  <si>
    <t>PUGET SOUND ENERGY</t>
  </si>
  <si>
    <r>
      <t>Volume</t>
    </r>
    <r>
      <rPr>
        <vertAlign val="superscript"/>
        <sz val="10"/>
        <rFont val="Arial"/>
        <family val="2"/>
      </rPr>
      <t xml:space="preserve"> (1)</t>
    </r>
  </si>
  <si>
    <r>
      <t>Volume</t>
    </r>
    <r>
      <rPr>
        <vertAlign val="superscript"/>
        <sz val="10"/>
        <rFont val="Arial"/>
        <family val="2"/>
      </rPr>
      <t xml:space="preserve"> (2)</t>
    </r>
  </si>
  <si>
    <r>
      <t>(Therms)</t>
    </r>
    <r>
      <rPr>
        <vertAlign val="superscript"/>
        <sz val="10"/>
        <rFont val="Arial"/>
        <family val="2"/>
      </rPr>
      <t xml:space="preserve"> (1)</t>
    </r>
  </si>
  <si>
    <r>
      <t>Current Rates</t>
    </r>
    <r>
      <rPr>
        <vertAlign val="superscript"/>
        <sz val="10"/>
        <rFont val="Arial"/>
        <family val="2"/>
      </rPr>
      <t xml:space="preserve"> (2)</t>
    </r>
  </si>
  <si>
    <r>
      <t xml:space="preserve">(Therms) </t>
    </r>
    <r>
      <rPr>
        <vertAlign val="superscript"/>
        <sz val="10"/>
        <rFont val="Arial"/>
        <family val="2"/>
      </rPr>
      <t>(1)</t>
    </r>
  </si>
  <si>
    <t>Current Year Low Income Cap</t>
  </si>
  <si>
    <t>Public Utility Tax Credits Received from Department of Revenue under RCW 82.16.0497</t>
  </si>
  <si>
    <t xml:space="preserve">Increase due to LIHEAP Credits </t>
  </si>
  <si>
    <t>Calculation of Schedule 129 Rates</t>
  </si>
  <si>
    <r>
      <t xml:space="preserve">Base Rates </t>
    </r>
    <r>
      <rPr>
        <vertAlign val="superscript"/>
        <sz val="10"/>
        <rFont val="Arial"/>
        <family val="2"/>
      </rPr>
      <t>(3)</t>
    </r>
  </si>
  <si>
    <t>Base</t>
  </si>
  <si>
    <t>Sched 140</t>
  </si>
  <si>
    <t>Property Tax</t>
  </si>
  <si>
    <r>
      <t>Revenue</t>
    </r>
    <r>
      <rPr>
        <vertAlign val="superscript"/>
        <sz val="10"/>
        <rFont val="Arial"/>
        <family val="2"/>
      </rPr>
      <t xml:space="preserve"> (2)</t>
    </r>
  </si>
  <si>
    <t>Percent</t>
  </si>
  <si>
    <t>Change</t>
  </si>
  <si>
    <t>A</t>
  </si>
  <si>
    <t>B</t>
  </si>
  <si>
    <t>C</t>
  </si>
  <si>
    <t>D</t>
  </si>
  <si>
    <t>H</t>
  </si>
  <si>
    <t>I</t>
  </si>
  <si>
    <t>J</t>
  </si>
  <si>
    <t>Charges</t>
  </si>
  <si>
    <t>Rates</t>
  </si>
  <si>
    <t>Change in Revenue Requirement</t>
  </si>
  <si>
    <t>EDIT</t>
  </si>
  <si>
    <t>Sch. 87T</t>
  </si>
  <si>
    <t>Sch. 140</t>
  </si>
  <si>
    <t>Sch. 141X</t>
  </si>
  <si>
    <t>Sch. 149</t>
  </si>
  <si>
    <t xml:space="preserve">Billing </t>
  </si>
  <si>
    <t>Current</t>
  </si>
  <si>
    <t>Target</t>
  </si>
  <si>
    <t>Description</t>
  </si>
  <si>
    <t>Units</t>
  </si>
  <si>
    <t>Determinants</t>
  </si>
  <si>
    <t>Revenues</t>
  </si>
  <si>
    <t>Basic Charge</t>
  </si>
  <si>
    <t>Bills</t>
  </si>
  <si>
    <t>Delivery Charge</t>
  </si>
  <si>
    <t>Therms</t>
  </si>
  <si>
    <t>Mantles</t>
  </si>
  <si>
    <t>Procurement Charge</t>
  </si>
  <si>
    <t>Demand</t>
  </si>
  <si>
    <t>Minimum Bill</t>
  </si>
  <si>
    <t>Demand Charge</t>
  </si>
  <si>
    <t>Delivery Charge:</t>
  </si>
  <si>
    <t>First 900 therms</t>
  </si>
  <si>
    <t>in minimum bills</t>
  </si>
  <si>
    <t>Next 4,100 therms</t>
  </si>
  <si>
    <t>All over 5,000 therms</t>
  </si>
  <si>
    <t>Total Volume</t>
  </si>
  <si>
    <t>Minimum Bills</t>
  </si>
  <si>
    <t>First 25,000 Therms</t>
  </si>
  <si>
    <t>Next 25,000 Therms</t>
  </si>
  <si>
    <t>All over 50,000 Therms</t>
  </si>
  <si>
    <t>Next 50,000 Therms</t>
  </si>
  <si>
    <t>First 1,000 therms</t>
  </si>
  <si>
    <t>All over 1,000 therms</t>
  </si>
  <si>
    <t xml:space="preserve"> </t>
  </si>
  <si>
    <t>All over 500,000 therms</t>
  </si>
  <si>
    <t>Sch. 129</t>
  </si>
  <si>
    <t>Sched 141X</t>
  </si>
  <si>
    <t>Proposed Rates</t>
  </si>
  <si>
    <t>F</t>
  </si>
  <si>
    <t>G</t>
  </si>
  <si>
    <t>True-up Estimate in Prior Year Filing</t>
  </si>
  <si>
    <t>Bad Debts Conversion Factor used in 2019 GRC UE-190529, et al</t>
  </si>
  <si>
    <t>Schedule 87T Margin Rates:</t>
  </si>
  <si>
    <t>Current and Proposed Rates by Rate Schedule (Schedules 16, 23 &amp; 53)</t>
  </si>
  <si>
    <t xml:space="preserve">Difference </t>
  </si>
  <si>
    <t>Resulting</t>
  </si>
  <si>
    <t>$</t>
  </si>
  <si>
    <t>%</t>
  </si>
  <si>
    <t>Increase</t>
  </si>
  <si>
    <t>Schedule 23</t>
  </si>
  <si>
    <t>TARGET 23/53</t>
  </si>
  <si>
    <t>over (under)</t>
  </si>
  <si>
    <t>Gas Revenue (Schedule 101) (1)</t>
  </si>
  <si>
    <t>Total Revenues</t>
  </si>
  <si>
    <t>Schedule 53</t>
  </si>
  <si>
    <t>Total Delivery Charges</t>
  </si>
  <si>
    <t>Gas Revenue (Schedule 101)</t>
  </si>
  <si>
    <t>Schedule 16</t>
  </si>
  <si>
    <t>TARGET 16</t>
  </si>
  <si>
    <t>Total Delivery Charge</t>
  </si>
  <si>
    <t>Calculated Total Therms</t>
  </si>
  <si>
    <t>Residential Summary</t>
  </si>
  <si>
    <t>Total Residential Gas (Schedule 101) Revenues</t>
  </si>
  <si>
    <t>Total Residential Margin Revenues</t>
  </si>
  <si>
    <t>Total Residential Revenues</t>
  </si>
  <si>
    <t>(1) Schedule 101 rates in effective November 1, 2018</t>
  </si>
  <si>
    <t>Current and Proposed Rates by Rate Schedule (Schedules 31, 31T, 41 &amp; 41T)</t>
  </si>
  <si>
    <t>Schedule 31 - Sales</t>
  </si>
  <si>
    <t>TARGET 31/31T</t>
  </si>
  <si>
    <t>Schedule 31 - Transportation</t>
  </si>
  <si>
    <t>Gas Balancing Service Charge</t>
  </si>
  <si>
    <t>Schedule 31 - Total</t>
  </si>
  <si>
    <t>Schedule 41 - Sales</t>
  </si>
  <si>
    <t>TARGET 41/41T</t>
  </si>
  <si>
    <t>Volumetric Charge</t>
  </si>
  <si>
    <t>Total Gas Revenue</t>
  </si>
  <si>
    <t>Schedule 41 - Transportation</t>
  </si>
  <si>
    <t>Schedule 41 - Total</t>
  </si>
  <si>
    <t>Commercial &amp; Industrial Summary</t>
  </si>
  <si>
    <t>Total Gas (Schedule 101) Revenues</t>
  </si>
  <si>
    <t>Schedules 31, 31T, 61</t>
  </si>
  <si>
    <t>Schedule 41, 41T</t>
  </si>
  <si>
    <t>Total Margin Revenues</t>
  </si>
  <si>
    <t>Schedules 31, 31T</t>
  </si>
  <si>
    <t>Total Revenue</t>
  </si>
  <si>
    <t>Current and Proposed Rates by Rate Schedule (Schedules 85, 85T, 86, 86T, 87 &amp; 87T)</t>
  </si>
  <si>
    <t>Schedule 85 - Sales</t>
  </si>
  <si>
    <t>TARGET 85/85T</t>
  </si>
  <si>
    <t>Schedule 85 - Transportation</t>
  </si>
  <si>
    <t>Schedule 85 - Total</t>
  </si>
  <si>
    <t>Schedule 86 - Sales</t>
  </si>
  <si>
    <t>TARGET 86/86T</t>
  </si>
  <si>
    <t>Schedule 86 - Transportation</t>
  </si>
  <si>
    <t>Schedule 86 - Total</t>
  </si>
  <si>
    <t>Schedule 87 - Sales</t>
  </si>
  <si>
    <t>TARGET 87/87T</t>
  </si>
  <si>
    <t>Schedule 87 - Transportation</t>
  </si>
  <si>
    <t>Schedule 87 - Total</t>
  </si>
  <si>
    <t>Interruptible Summary</t>
  </si>
  <si>
    <t>Schedules 85, 85T</t>
  </si>
  <si>
    <t>Schedules 86, 86T</t>
  </si>
  <si>
    <t>Schedules 87, 87T</t>
  </si>
  <si>
    <t>Total Summary</t>
  </si>
  <si>
    <t>Plus Contracts</t>
  </si>
  <si>
    <t>Plus Rentals</t>
  </si>
  <si>
    <t>Grand Total</t>
  </si>
  <si>
    <t>UG-190530</t>
  </si>
  <si>
    <t>(5)</t>
  </si>
  <si>
    <t>(4)</t>
  </si>
  <si>
    <t>(6)</t>
  </si>
  <si>
    <t>(7)</t>
  </si>
  <si>
    <t>Sched 141Z</t>
  </si>
  <si>
    <r>
      <t>(Therms)</t>
    </r>
    <r>
      <rPr>
        <vertAlign val="superscript"/>
        <sz val="10"/>
        <rFont val="Arial"/>
        <family val="2"/>
      </rPr>
      <t xml:space="preserve"> (7)</t>
    </r>
  </si>
  <si>
    <r>
      <t>Current Rates</t>
    </r>
    <r>
      <rPr>
        <vertAlign val="superscript"/>
        <sz val="10"/>
        <rFont val="Arial"/>
        <family val="2"/>
      </rPr>
      <t xml:space="preserve"> (8)</t>
    </r>
  </si>
  <si>
    <t>(8)</t>
  </si>
  <si>
    <t>UP EDIT</t>
  </si>
  <si>
    <t>(Eff. Oct 1, 2020)</t>
  </si>
  <si>
    <t>Sch. 141Z</t>
  </si>
  <si>
    <t>Schedule 141Z Unprotected Excess Deferred Income Tax (UP EDIT) Reversal rates effective October 1, 2020.</t>
  </si>
  <si>
    <t>OCTOBER 2021 THROUGH SEPTEMBER 2022</t>
  </si>
  <si>
    <t>Under / (Over) Collection through September 2021 (Excludes Revenue Sensitive Items)</t>
  </si>
  <si>
    <t>Conversion Factor</t>
  </si>
  <si>
    <t>Low income revenue requirement to be recovered in rates</t>
  </si>
  <si>
    <t>Rate Change Impacts by Rate Schedule</t>
  </si>
  <si>
    <t>Forecasted</t>
  </si>
  <si>
    <t>Sched 129</t>
  </si>
  <si>
    <t>Total Forecasted</t>
  </si>
  <si>
    <r>
      <t>(Therms)</t>
    </r>
    <r>
      <rPr>
        <vertAlign val="superscript"/>
        <sz val="11"/>
        <color theme="1"/>
        <rFont val="Calibri"/>
        <family val="2"/>
      </rPr>
      <t xml:space="preserve"> (1)</t>
    </r>
  </si>
  <si>
    <r>
      <t>Revenue</t>
    </r>
    <r>
      <rPr>
        <vertAlign val="superscript"/>
        <sz val="11"/>
        <color theme="1"/>
        <rFont val="Calibri"/>
        <family val="2"/>
      </rPr>
      <t xml:space="preserve"> (1)</t>
    </r>
  </si>
  <si>
    <t>$/Therm</t>
  </si>
  <si>
    <r>
      <t>Revenue</t>
    </r>
    <r>
      <rPr>
        <vertAlign val="superscript"/>
        <sz val="11"/>
        <color theme="1"/>
        <rFont val="Calibri"/>
        <family val="2"/>
        <scheme val="minor"/>
      </rPr>
      <t xml:space="preserve"> (2)</t>
    </r>
  </si>
  <si>
    <t>E=D/C</t>
  </si>
  <si>
    <t xml:space="preserve">F </t>
  </si>
  <si>
    <t xml:space="preserve">G=E*F </t>
  </si>
  <si>
    <t>K</t>
  </si>
  <si>
    <t>L</t>
  </si>
  <si>
    <t>M</t>
  </si>
  <si>
    <t>N</t>
  </si>
  <si>
    <t>O</t>
  </si>
  <si>
    <t>P</t>
  </si>
  <si>
    <t>23,53</t>
  </si>
  <si>
    <t>Residential Gas Lights</t>
  </si>
  <si>
    <t>Commercial &amp; Industrial</t>
  </si>
  <si>
    <t>Large Volume</t>
  </si>
  <si>
    <t>Limited Interruptible</t>
  </si>
  <si>
    <t>Non-exclusive Interruptible</t>
  </si>
  <si>
    <t>Commercial &amp; Industrial Transportation</t>
  </si>
  <si>
    <t>31T</t>
  </si>
  <si>
    <t>Large Volume Transportation</t>
  </si>
  <si>
    <t>41T</t>
  </si>
  <si>
    <t>Interruptible Transportation</t>
  </si>
  <si>
    <t>Limited Interruptible Transportation</t>
  </si>
  <si>
    <t>86T</t>
  </si>
  <si>
    <t>Non-exclusive Interruptible Transportation</t>
  </si>
  <si>
    <t>Contracts</t>
  </si>
  <si>
    <t>By Customer Class:</t>
  </si>
  <si>
    <t>Typical Residential Bill Impacts</t>
  </si>
  <si>
    <t>Current Rates</t>
  </si>
  <si>
    <r>
      <t>Rates</t>
    </r>
    <r>
      <rPr>
        <vertAlign val="superscript"/>
        <sz val="11"/>
        <rFont val="Calibri"/>
        <family val="2"/>
        <scheme val="minor"/>
      </rPr>
      <t xml:space="preserve"> (1)</t>
    </r>
  </si>
  <si>
    <t>Volume (therms)</t>
  </si>
  <si>
    <t>Customer charge ($/month)</t>
  </si>
  <si>
    <t>Volumetric charges ($/therm)</t>
  </si>
  <si>
    <t>Total volumetric charges</t>
  </si>
  <si>
    <t>Total monthly bill</t>
  </si>
  <si>
    <t>Change from bill under current rates</t>
  </si>
  <si>
    <t>Percent change from bill under current rates</t>
  </si>
  <si>
    <t>Total volumetric rates less gas costs</t>
  </si>
  <si>
    <t>Average Rate Per Therm Impacts by Rate Schedule</t>
  </si>
  <si>
    <t>Volume (Therms)</t>
  </si>
  <si>
    <t>Average Rate</t>
  </si>
  <si>
    <t>Per Therm</t>
  </si>
  <si>
    <t>% Change</t>
  </si>
  <si>
    <t>check</t>
  </si>
  <si>
    <t>E = D/C</t>
  </si>
  <si>
    <t>H = G/F</t>
  </si>
  <si>
    <t>I = (G-D)/D</t>
  </si>
  <si>
    <t>Gas Schedule 129</t>
  </si>
  <si>
    <t>Low Income Program</t>
  </si>
  <si>
    <t xml:space="preserve">Rate </t>
  </si>
  <si>
    <r>
      <t xml:space="preserve">Rates </t>
    </r>
    <r>
      <rPr>
        <vertAlign val="superscript"/>
        <sz val="10"/>
        <rFont val="Arial"/>
        <family val="2"/>
      </rPr>
      <t>(3)</t>
    </r>
  </si>
  <si>
    <r>
      <t xml:space="preserve">Rates </t>
    </r>
    <r>
      <rPr>
        <vertAlign val="superscript"/>
        <sz val="10"/>
        <rFont val="Arial"/>
        <family val="2"/>
      </rPr>
      <t>(4)</t>
    </r>
  </si>
  <si>
    <r>
      <t xml:space="preserve">Rates </t>
    </r>
    <r>
      <rPr>
        <vertAlign val="superscript"/>
        <sz val="10"/>
        <rFont val="Arial"/>
        <family val="2"/>
      </rPr>
      <t>(5)</t>
    </r>
  </si>
  <si>
    <r>
      <t>Rates</t>
    </r>
    <r>
      <rPr>
        <vertAlign val="superscript"/>
        <sz val="10"/>
        <rFont val="Arial"/>
        <family val="2"/>
      </rPr>
      <t xml:space="preserve"> (6)</t>
    </r>
  </si>
  <si>
    <t>KY notes: source file --&gt; \\Sestdpt2.puget.com\rpl\GrpRevnu\PUBLIC\# 2019 GRC\PLR Correction Compliance Update\Response filed 08-27-2021\Support\190529-30-PSE-WP-Cmpl-RevReq-COS-(08-31-21) FULL SET(C) --&gt; "190529-30-PSE-WP-JDT-14-GAS-RATE-SPREAD-DESIGN-19GRC-09-2020.xlsx"</t>
  </si>
  <si>
    <t>Source: 2019 GRC PLR Update (eff. Oct 1, 2021)</t>
  </si>
  <si>
    <t>Weather normalized volume for the 12 months ended December 2018 from 2019 General Rate Case (2019 GRC) Filing (UG-190530) - PLR Update (effective Oct 1, 2021).</t>
  </si>
  <si>
    <t>Margin for the 12 months ended December 2018 from 2019 General Rate Case (2019 GRC) Filing (UG-190530)  - PLR Update (effective Oct 1, 2021).</t>
  </si>
  <si>
    <t>Schedule 140 Property Tax rates effective May 1, 2022.</t>
  </si>
  <si>
    <t>Schedule 141X Protected-Plus Excess Deferred Income Tax (EDIT) Reversal rates effective October 1, 2021.</t>
  </si>
  <si>
    <t>Schedule 149 Cost Recovery Mechanism (CRM) rates effective November 1, 2021.</t>
  </si>
  <si>
    <t>Proposed Effective October 1, 2022</t>
  </si>
  <si>
    <t>Estimated 2021 Margin at Current Rates</t>
  </si>
  <si>
    <t>UG-190530
(2019 GRC PLR Update)
(Eff. Oct 1, 2021)</t>
  </si>
  <si>
    <t>(Eff. May 1, 2022)</t>
  </si>
  <si>
    <t>(Eff. Oct 1, 2021)</t>
  </si>
  <si>
    <t>(Eff. Nov 1, 2021)</t>
  </si>
  <si>
    <t>Weather normalized margin revenue for 12 months ending December 31, 2021, given 2021 volume, priced at current rates effective May 1, 2022.</t>
  </si>
  <si>
    <t>Calendar volume for year ending December 31, 2021 from Customer Information System (CIS).</t>
  </si>
  <si>
    <t>Schedule 87T rates from tariff effective May 1, 2022 including Delivery, Property Tax (Sch. 140), EDIT (Sch. 141X), UP EDIT (Sch. 141Z), and CRM (Sch. 149).</t>
  </si>
  <si>
    <t>Prior Low Income Cap UE-210674 &amp; UG-210675</t>
  </si>
  <si>
    <t>Decoupling Residential Bill Impact UE-220227 and UG-220228</t>
  </si>
  <si>
    <t>COVID-19 bill payment assistance program</t>
  </si>
  <si>
    <t>Amount to be recovered October 2022 through September 2023</t>
  </si>
  <si>
    <t>Recovery of CACAP-2 Funding</t>
  </si>
  <si>
    <t>2022 Gas Schedule 129 Low Income Program Filing</t>
  </si>
  <si>
    <t>Proposed Rates Effective October 1, 2022</t>
  </si>
  <si>
    <t>Base Sch.</t>
  </si>
  <si>
    <t>12ME Sept. 2023</t>
  </si>
  <si>
    <t>Base Schedule</t>
  </si>
  <si>
    <t>Oct. 2022 -</t>
  </si>
  <si>
    <t>Sch. 101</t>
  </si>
  <si>
    <t>Sch. 106</t>
  </si>
  <si>
    <t>Sch. 120</t>
  </si>
  <si>
    <t>Sch. 142</t>
  </si>
  <si>
    <t>Sept. 2023</t>
  </si>
  <si>
    <t>Q = sum(G:P)</t>
  </si>
  <si>
    <t xml:space="preserve">R </t>
  </si>
  <si>
    <t>S= R/Q</t>
  </si>
  <si>
    <t>16,23,53</t>
  </si>
  <si>
    <t>31,31T</t>
  </si>
  <si>
    <t>41,41T</t>
  </si>
  <si>
    <t>85,85T</t>
  </si>
  <si>
    <t>86,86T</t>
  </si>
  <si>
    <t>Non-exclusive interruptible</t>
  </si>
  <si>
    <t>87,87T</t>
  </si>
  <si>
    <r>
      <rPr>
        <vertAlign val="superscript"/>
        <sz val="11"/>
        <color theme="1"/>
        <rFont val="Calibri"/>
        <family val="2"/>
      </rPr>
      <t xml:space="preserve">(1) </t>
    </r>
    <r>
      <rPr>
        <sz val="11"/>
        <color theme="1"/>
        <rFont val="Calibri"/>
        <family val="2"/>
        <scheme val="minor"/>
      </rPr>
      <t>Weather normalized volume and base schedule margin for 12 months ending December 2018, at approved rates from UG-190530 GRC IRS PLR compliance filing.</t>
    </r>
  </si>
  <si>
    <r>
      <rPr>
        <vertAlign val="superscript"/>
        <sz val="11"/>
        <color theme="1"/>
        <rFont val="Calibri"/>
        <family val="2"/>
      </rPr>
      <t xml:space="preserve">(2) </t>
    </r>
    <r>
      <rPr>
        <sz val="11"/>
        <color theme="1"/>
        <rFont val="Calibri"/>
        <family val="2"/>
        <scheme val="minor"/>
      </rPr>
      <t>Forecasted revenues at current rates effective May 1, 2022.</t>
    </r>
  </si>
  <si>
    <t>Schedule 129 Low Income</t>
  </si>
  <si>
    <t>Rate Change</t>
  </si>
  <si>
    <t>Basic charge (Sch. 23)</t>
  </si>
  <si>
    <t>Delivery charge (Sch. 23)</t>
  </si>
  <si>
    <t>Low income charge (Sch. 129)</t>
  </si>
  <si>
    <t>Property tax charge (Sch. 140)</t>
  </si>
  <si>
    <t>EDIT adjusting charge (Sch. 141X)</t>
  </si>
  <si>
    <t>UP EDIT adjusting charge (Sch. 141Z)</t>
  </si>
  <si>
    <t>Decoupling charge (Sch. 142)</t>
  </si>
  <si>
    <t>CRM Charge (Sch. 149)</t>
  </si>
  <si>
    <t>Conservation charge (Sch. 120)</t>
  </si>
  <si>
    <t>Gas cost charge (Sch. 101)</t>
  </si>
  <si>
    <t>Gas cost amort. charge (Sch. 106)</t>
  </si>
  <si>
    <r>
      <rPr>
        <vertAlign val="superscript"/>
        <sz val="11"/>
        <rFont val="Calibri"/>
        <family val="2"/>
        <scheme val="minor"/>
      </rPr>
      <t xml:space="preserve">(1) </t>
    </r>
    <r>
      <rPr>
        <sz val="11"/>
        <rFont val="Calibri"/>
        <family val="2"/>
        <scheme val="minor"/>
      </rPr>
      <t>Rates for Schedule 23 customers in effect May 1, 2022</t>
    </r>
  </si>
  <si>
    <t>Oct. 2022 - Sept. 2023</t>
  </si>
  <si>
    <r>
      <t>Current Rates</t>
    </r>
    <r>
      <rPr>
        <vertAlign val="superscript"/>
        <sz val="11"/>
        <color theme="1"/>
        <rFont val="Calibri"/>
        <family val="2"/>
        <scheme val="minor"/>
      </rPr>
      <t xml:space="preserve"> (1)</t>
    </r>
  </si>
  <si>
    <r>
      <rPr>
        <vertAlign val="superscript"/>
        <sz val="11"/>
        <rFont val="Calibri"/>
        <family val="2"/>
      </rPr>
      <t xml:space="preserve">(1) </t>
    </r>
    <r>
      <rPr>
        <sz val="11"/>
        <rFont val="Calibri"/>
        <family val="2"/>
      </rPr>
      <t>Rates effective May 1, 2022</t>
    </r>
  </si>
  <si>
    <t>Weather normalized volume for year ending December 31, 2021 from 2021 Commission Basis Report (CBR)</t>
  </si>
  <si>
    <t>2019 Gas General Rate Case Filing</t>
  </si>
  <si>
    <t>Test Year Ended December 31, 2018</t>
  </si>
  <si>
    <t>Decrease due to moving from a combined under-collection of $0.2M in the prior rate period to a combined over-collection of $1.2M in the current rate period</t>
  </si>
  <si>
    <t>Low Income revenue requirement set in rates in October 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</si>
</sst>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_(&quot;$&quot;* #,##0.00000_);_(&quot;$&quot;* \(#,##0.00000\);_(&quot;$&quot;* &quot;-&quot;?????_);_(@_)"/>
    <numFmt numFmtId="168" formatCode="_(&quot;$&quot;* #,##0.00000_);_(&quot;$&quot;* \(#,##0.00000\);_(&quot;$&quot;* &quot;-&quot;??_);_(@_)"/>
    <numFmt numFmtId="169" formatCode="_(* #,##0.00000_);_(* \(#,##0.00000\);_(* &quot;-&quot;??_);_(@_)"/>
    <numFmt numFmtId="170" formatCode="0.0000000"/>
    <numFmt numFmtId="171" formatCode="_(&quot;$&quot;* #,##0.0000_);_(&quot;$&quot;* \(#,##0.0000\);_(&quot;$&quot;* &quot;-&quot;??_);_(@_)"/>
    <numFmt numFmtId="172" formatCode="0.0000%"/>
    <numFmt numFmtId="173" formatCode="#,##0.000000_);\(#,##0.000000\)"/>
    <numFmt numFmtId="174" formatCode="_(* #,##0.0000000_);_(* \(#,##0.0000000\);_(* &quot;-&quot;??_);_(@_)"/>
    <numFmt numFmtId="175" formatCode="&quot;$&quot;#,##0\ ;\(&quot;$&quot;#,##0\)"/>
    <numFmt numFmtId="176" formatCode="0.000%"/>
    <numFmt numFmtId="177" formatCode="&quot;$&quot;#,##0.00000"/>
    <numFmt numFmtId="178" formatCode="&quot;$&quot;#,##0.00\ ;\(&quot;$&quot;#,##0.00\)"/>
    <numFmt numFmtId="179" formatCode="&quot;$&quot;#,##0.00000\ ;\(&quot;$&quot;#,##0.00000\)"/>
    <numFmt numFmtId="180" formatCode="&quot;$&quot;#,##0.0000\ ;\(&quot;$&quot;#,##0.0000\)"/>
    <numFmt numFmtId="181" formatCode="#,##0.00000"/>
    <numFmt numFmtId="182" formatCode="#,##0.0"/>
    <numFmt numFmtId="183" formatCode="&quot;$&quot;#,##0"/>
    <numFmt numFmtId="184" formatCode="&quot;$&quot;#,##0.000\ ;\(&quot;$&quot;#,##0.000\)"/>
    <numFmt numFmtId="185" formatCode="_(&quot;$&quot;* #,##0.00_);_(&quot;$&quot;* \(#,##0.00\);_(&quot;$&quot;* &quot;-&quot;_);_(@_)"/>
  </numFmts>
  <fonts count="4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0"/>
      <color rgb="FF0000FF"/>
      <name val="Arial"/>
      <family val="2"/>
    </font>
    <font>
      <sz val="10"/>
      <color indexed="21"/>
      <name val="Arial"/>
      <family val="2"/>
    </font>
    <font>
      <sz val="10"/>
      <color theme="1"/>
      <name val="Arial"/>
      <family val="2"/>
    </font>
    <font>
      <sz val="10"/>
      <color rgb="FF009999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sz val="10"/>
      <color rgb="FF006666"/>
      <name val="Arial"/>
      <family val="2"/>
    </font>
    <font>
      <sz val="14"/>
      <name val="Arial"/>
      <family val="2"/>
    </font>
    <font>
      <sz val="10"/>
      <color rgb="FF00808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color indexed="9"/>
      <name val="Arial"/>
      <family val="2"/>
    </font>
    <font>
      <sz val="10"/>
      <color rgb="FFFF000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vertAlign val="superscript"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1"/>
      <color rgb="FF008080"/>
      <name val="Calibri"/>
      <family val="2"/>
      <scheme val="minor"/>
    </font>
    <font>
      <u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theme="1"/>
      <name val="Calibri"/>
      <family val="2"/>
    </font>
    <font>
      <sz val="11"/>
      <color indexed="1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sz val="10"/>
      <name val="Arial"/>
    </font>
    <font>
      <sz val="11"/>
      <color rgb="FF0000FF"/>
      <name val="Calibri"/>
      <family val="2"/>
    </font>
    <font>
      <vertAlign val="superscript"/>
      <sz val="11"/>
      <name val="Calibri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 style="medium">
        <color indexed="10"/>
      </right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3">
    <xf numFmtId="0" fontId="0" fillId="0" borderId="0"/>
    <xf numFmtId="43" fontId="16" fillId="0" borderId="0" applyFont="0" applyFill="0" applyBorder="0" applyAlignment="0" applyProtection="0"/>
    <xf numFmtId="0" fontId="38" fillId="0" borderId="0"/>
  </cellStyleXfs>
  <cellXfs count="541">
    <xf numFmtId="0" fontId="0" fillId="0" borderId="0" xfId="0"/>
    <xf numFmtId="3" fontId="8" fillId="0" borderId="2" xfId="0" applyNumberFormat="1" applyFont="1" applyFill="1" applyBorder="1"/>
    <xf numFmtId="3" fontId="8" fillId="0" borderId="0" xfId="0" applyNumberFormat="1" applyFont="1" applyFill="1"/>
    <xf numFmtId="3" fontId="3" fillId="0" borderId="0" xfId="0" applyNumberFormat="1" applyFont="1" applyFill="1"/>
    <xf numFmtId="166" fontId="1" fillId="0" borderId="0" xfId="0" applyNumberFormat="1" applyFont="1" applyFill="1"/>
    <xf numFmtId="166" fontId="1" fillId="0" borderId="0" xfId="0" applyNumberFormat="1" applyFont="1" applyFill="1" applyBorder="1"/>
    <xf numFmtId="164" fontId="1" fillId="0" borderId="0" xfId="0" applyNumberFormat="1" applyFont="1" applyFill="1" applyBorder="1"/>
    <xf numFmtId="42" fontId="1" fillId="0" borderId="0" xfId="0" applyNumberFormat="1" applyFont="1" applyFill="1" applyBorder="1"/>
    <xf numFmtId="42" fontId="3" fillId="0" borderId="0" xfId="0" applyNumberFormat="1" applyFont="1" applyFill="1" applyBorder="1"/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42" fontId="1" fillId="0" borderId="1" xfId="0" applyNumberFormat="1" applyFont="1" applyFill="1" applyBorder="1"/>
    <xf numFmtId="164" fontId="4" fillId="0" borderId="5" xfId="0" applyNumberFormat="1" applyFont="1" applyFill="1" applyBorder="1"/>
    <xf numFmtId="3" fontId="4" fillId="0" borderId="5" xfId="0" applyNumberFormat="1" applyFont="1" applyFill="1" applyBorder="1"/>
    <xf numFmtId="3" fontId="3" fillId="0" borderId="0" xfId="0" applyNumberFormat="1" applyFont="1" applyFill="1" applyBorder="1"/>
    <xf numFmtId="3" fontId="1" fillId="0" borderId="1" xfId="0" applyNumberFormat="1" applyFont="1" applyFill="1" applyBorder="1"/>
    <xf numFmtId="0" fontId="1" fillId="0" borderId="0" xfId="0" applyFont="1" applyFill="1" applyBorder="1" applyAlignment="1">
      <alignment horizontal="left" indent="1"/>
    </xf>
    <xf numFmtId="0" fontId="1" fillId="0" borderId="2" xfId="0" applyFont="1" applyFill="1" applyBorder="1" applyAlignment="1">
      <alignment horizontal="center"/>
    </xf>
    <xf numFmtId="3" fontId="1" fillId="0" borderId="12" xfId="0" applyNumberFormat="1" applyFont="1" applyFill="1" applyBorder="1"/>
    <xf numFmtId="3" fontId="1" fillId="0" borderId="13" xfId="0" applyNumberFormat="1" applyFont="1" applyFill="1" applyBorder="1"/>
    <xf numFmtId="0" fontId="1" fillId="0" borderId="14" xfId="0" applyFont="1" applyFill="1" applyBorder="1" applyAlignment="1">
      <alignment horizontal="center"/>
    </xf>
    <xf numFmtId="42" fontId="5" fillId="0" borderId="6" xfId="0" applyNumberFormat="1" applyFont="1" applyFill="1" applyBorder="1"/>
    <xf numFmtId="164" fontId="1" fillId="0" borderId="2" xfId="0" applyNumberFormat="1" applyFont="1" applyFill="1" applyBorder="1"/>
    <xf numFmtId="164" fontId="1" fillId="0" borderId="0" xfId="0" applyNumberFormat="1" applyFont="1" applyFill="1"/>
    <xf numFmtId="3" fontId="9" fillId="0" borderId="0" xfId="0" applyNumberFormat="1" applyFont="1" applyFill="1" applyAlignment="1">
      <alignment horizontal="right"/>
    </xf>
    <xf numFmtId="164" fontId="1" fillId="0" borderId="5" xfId="0" applyNumberFormat="1" applyFont="1" applyFill="1" applyBorder="1"/>
    <xf numFmtId="167" fontId="1" fillId="0" borderId="0" xfId="0" applyNumberFormat="1" applyFont="1" applyFill="1"/>
    <xf numFmtId="164" fontId="1" fillId="0" borderId="1" xfId="0" applyNumberFormat="1" applyFont="1" applyFill="1" applyBorder="1"/>
    <xf numFmtId="3" fontId="1" fillId="0" borderId="1" xfId="0" applyNumberFormat="1" applyFont="1" applyFill="1" applyBorder="1" applyAlignment="1">
      <alignment horizontal="right"/>
    </xf>
    <xf numFmtId="3" fontId="13" fillId="0" borderId="0" xfId="0" applyNumberFormat="1" applyFont="1" applyFill="1"/>
    <xf numFmtId="10" fontId="1" fillId="0" borderId="1" xfId="0" applyNumberFormat="1" applyFont="1" applyFill="1" applyBorder="1" applyAlignment="1">
      <alignment horizontal="right"/>
    </xf>
    <xf numFmtId="10" fontId="9" fillId="0" borderId="0" xfId="0" applyNumberFormat="1" applyFont="1" applyFill="1"/>
    <xf numFmtId="10" fontId="9" fillId="0" borderId="2" xfId="0" applyNumberFormat="1" applyFont="1" applyFill="1" applyBorder="1"/>
    <xf numFmtId="0" fontId="1" fillId="0" borderId="0" xfId="0" applyFont="1" applyAlignment="1">
      <alignment horizontal="centerContinuous"/>
    </xf>
    <xf numFmtId="3" fontId="1" fillId="0" borderId="0" xfId="0" applyNumberFormat="1" applyFont="1" applyFill="1"/>
    <xf numFmtId="0" fontId="1" fillId="0" borderId="0" xfId="0" applyFont="1" applyBorder="1"/>
    <xf numFmtId="0" fontId="1" fillId="0" borderId="0" xfId="0" quotePrefix="1" applyFont="1" applyAlignment="1">
      <alignment vertical="top"/>
    </xf>
    <xf numFmtId="0" fontId="5" fillId="0" borderId="0" xfId="0" applyFont="1"/>
    <xf numFmtId="41" fontId="1" fillId="0" borderId="0" xfId="0" quotePrefix="1" applyNumberFormat="1" applyFont="1" applyAlignment="1">
      <alignment horizontal="right"/>
    </xf>
    <xf numFmtId="3" fontId="1" fillId="0" borderId="0" xfId="0" applyNumberFormat="1" applyFont="1" applyFill="1" applyBorder="1"/>
    <xf numFmtId="168" fontId="9" fillId="0" borderId="2" xfId="0" applyNumberFormat="1" applyFont="1" applyFill="1" applyBorder="1"/>
    <xf numFmtId="168" fontId="1" fillId="0" borderId="0" xfId="0" applyNumberFormat="1" applyFont="1" applyFill="1"/>
    <xf numFmtId="0" fontId="1" fillId="0" borderId="0" xfId="0" applyFont="1" applyFill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44" fontId="1" fillId="0" borderId="0" xfId="0" applyNumberFormat="1" applyFont="1" applyFill="1"/>
    <xf numFmtId="42" fontId="15" fillId="0" borderId="0" xfId="0" applyNumberFormat="1" applyFont="1" applyFill="1"/>
    <xf numFmtId="165" fontId="9" fillId="0" borderId="0" xfId="0" applyNumberFormat="1" applyFont="1" applyFill="1"/>
    <xf numFmtId="164" fontId="8" fillId="0" borderId="0" xfId="0" applyNumberFormat="1" applyFont="1" applyFill="1"/>
    <xf numFmtId="164" fontId="15" fillId="0" borderId="0" xfId="0" applyNumberFormat="1" applyFont="1" applyFill="1"/>
    <xf numFmtId="3" fontId="8" fillId="0" borderId="0" xfId="0" applyNumberFormat="1" applyFont="1" applyFill="1" applyBorder="1"/>
    <xf numFmtId="10" fontId="1" fillId="0" borderId="0" xfId="0" applyNumberFormat="1" applyFont="1" applyFill="1"/>
    <xf numFmtId="8" fontId="1" fillId="0" borderId="0" xfId="0" applyNumberFormat="1" applyFont="1" applyFill="1"/>
    <xf numFmtId="3" fontId="15" fillId="0" borderId="1" xfId="0" applyNumberFormat="1" applyFont="1" applyFill="1" applyBorder="1"/>
    <xf numFmtId="3" fontId="9" fillId="0" borderId="0" xfId="0" applyNumberFormat="1" applyFont="1" applyFill="1"/>
    <xf numFmtId="3" fontId="9" fillId="0" borderId="5" xfId="0" applyNumberFormat="1" applyFont="1" applyFill="1" applyBorder="1"/>
    <xf numFmtId="168" fontId="15" fillId="0" borderId="0" xfId="0" applyNumberFormat="1" applyFont="1" applyFill="1"/>
    <xf numFmtId="0" fontId="1" fillId="0" borderId="0" xfId="0" applyFont="1" applyFill="1" applyAlignment="1">
      <alignment horizontal="centerContinuous"/>
    </xf>
    <xf numFmtId="10" fontId="9" fillId="0" borderId="5" xfId="0" applyNumberFormat="1" applyFont="1" applyFill="1" applyBorder="1"/>
    <xf numFmtId="0" fontId="2" fillId="0" borderId="0" xfId="0" applyFont="1" applyFill="1"/>
    <xf numFmtId="166" fontId="2" fillId="0" borderId="0" xfId="0" applyNumberFormat="1" applyFont="1" applyFill="1" applyBorder="1"/>
    <xf numFmtId="168" fontId="2" fillId="0" borderId="0" xfId="0" applyNumberFormat="1" applyFont="1" applyFill="1" applyBorder="1"/>
    <xf numFmtId="41" fontId="2" fillId="0" borderId="0" xfId="0" applyNumberFormat="1" applyFont="1" applyFill="1" applyBorder="1"/>
    <xf numFmtId="42" fontId="17" fillId="0" borderId="0" xfId="0" applyNumberFormat="1" applyFont="1" applyFill="1" applyBorder="1"/>
    <xf numFmtId="42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/>
    <xf numFmtId="0" fontId="2" fillId="0" borderId="0" xfId="0" applyFont="1" applyFill="1" applyAlignment="1">
      <alignment horizontal="centerContinuous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Continuous"/>
    </xf>
    <xf numFmtId="0" fontId="1" fillId="0" borderId="1" xfId="0" applyFont="1" applyFill="1" applyBorder="1"/>
    <xf numFmtId="0" fontId="1" fillId="0" borderId="39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3" fontId="15" fillId="0" borderId="0" xfId="0" applyNumberFormat="1" applyFont="1" applyFill="1" applyBorder="1"/>
    <xf numFmtId="178" fontId="15" fillId="0" borderId="0" xfId="0" applyNumberFormat="1" applyFont="1" applyFill="1" applyBorder="1"/>
    <xf numFmtId="175" fontId="8" fillId="0" borderId="29" xfId="0" applyNumberFormat="1" applyFont="1" applyFill="1" applyBorder="1" applyAlignment="1">
      <alignment horizontal="center"/>
    </xf>
    <xf numFmtId="179" fontId="15" fillId="0" borderId="0" xfId="0" applyNumberFormat="1" applyFont="1" applyFill="1" applyBorder="1"/>
    <xf numFmtId="179" fontId="1" fillId="0" borderId="0" xfId="0" applyNumberFormat="1" applyFont="1" applyFill="1" applyBorder="1"/>
    <xf numFmtId="0" fontId="15" fillId="0" borderId="0" xfId="0" applyFont="1" applyFill="1" applyBorder="1"/>
    <xf numFmtId="177" fontId="1" fillId="0" borderId="0" xfId="0" applyNumberFormat="1" applyFont="1" applyFill="1" applyBorder="1" applyAlignment="1">
      <alignment horizontal="center"/>
    </xf>
    <xf numFmtId="179" fontId="9" fillId="0" borderId="0" xfId="0" applyNumberFormat="1" applyFont="1" applyFill="1" applyBorder="1"/>
    <xf numFmtId="172" fontId="3" fillId="0" borderId="6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81" fontId="1" fillId="0" borderId="0" xfId="0" applyNumberFormat="1" applyFont="1" applyFill="1" applyBorder="1"/>
    <xf numFmtId="0" fontId="1" fillId="0" borderId="35" xfId="0" applyFont="1" applyFill="1" applyBorder="1"/>
    <xf numFmtId="0" fontId="1" fillId="0" borderId="2" xfId="0" applyFont="1" applyFill="1" applyBorder="1"/>
    <xf numFmtId="175" fontId="1" fillId="0" borderId="2" xfId="0" applyNumberFormat="1" applyFont="1" applyFill="1" applyBorder="1"/>
    <xf numFmtId="3" fontId="1" fillId="0" borderId="2" xfId="0" applyNumberFormat="1" applyFont="1" applyFill="1" applyBorder="1"/>
    <xf numFmtId="165" fontId="1" fillId="0" borderId="36" xfId="0" applyNumberFormat="1" applyFont="1" applyFill="1" applyBorder="1"/>
    <xf numFmtId="175" fontId="1" fillId="0" borderId="0" xfId="0" applyNumberFormat="1" applyFont="1" applyFill="1"/>
    <xf numFmtId="175" fontId="1" fillId="0" borderId="0" xfId="0" applyNumberFormat="1" applyFont="1" applyFill="1" applyBorder="1"/>
    <xf numFmtId="165" fontId="1" fillId="0" borderId="0" xfId="0" applyNumberFormat="1" applyFont="1" applyFill="1" applyBorder="1"/>
    <xf numFmtId="0" fontId="2" fillId="0" borderId="37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19" fillId="0" borderId="1" xfId="0" applyFont="1" applyFill="1" applyBorder="1"/>
    <xf numFmtId="0" fontId="1" fillId="0" borderId="39" xfId="0" applyFont="1" applyFill="1" applyBorder="1"/>
    <xf numFmtId="3" fontId="1" fillId="0" borderId="0" xfId="0" applyNumberFormat="1" applyFont="1" applyFill="1" applyBorder="1" applyProtection="1">
      <protection locked="0"/>
    </xf>
    <xf numFmtId="165" fontId="1" fillId="0" borderId="40" xfId="0" applyNumberFormat="1" applyFont="1" applyFill="1" applyBorder="1" applyAlignment="1">
      <alignment horizontal="right"/>
    </xf>
    <xf numFmtId="175" fontId="1" fillId="0" borderId="0" xfId="0" applyNumberFormat="1" applyFont="1" applyFill="1" applyBorder="1" applyAlignment="1">
      <alignment horizontal="right"/>
    </xf>
    <xf numFmtId="177" fontId="1" fillId="0" borderId="0" xfId="0" applyNumberFormat="1" applyFont="1" applyFill="1" applyBorder="1"/>
    <xf numFmtId="178" fontId="1" fillId="0" borderId="0" xfId="0" applyNumberFormat="1" applyFont="1" applyFill="1" applyBorder="1"/>
    <xf numFmtId="175" fontId="8" fillId="0" borderId="0" xfId="0" applyNumberFormat="1" applyFont="1" applyFill="1" applyBorder="1" applyAlignment="1">
      <alignment horizontal="center"/>
    </xf>
    <xf numFmtId="165" fontId="1" fillId="0" borderId="40" xfId="0" applyNumberFormat="1" applyFont="1" applyFill="1" applyBorder="1"/>
    <xf numFmtId="0" fontId="2" fillId="0" borderId="39" xfId="0" applyFont="1" applyFill="1" applyBorder="1"/>
    <xf numFmtId="175" fontId="2" fillId="0" borderId="0" xfId="0" applyNumberFormat="1" applyFont="1" applyFill="1" applyBorder="1"/>
    <xf numFmtId="179" fontId="3" fillId="0" borderId="0" xfId="0" applyNumberFormat="1" applyFont="1" applyFill="1" applyBorder="1"/>
    <xf numFmtId="176" fontId="1" fillId="0" borderId="0" xfId="0" applyNumberFormat="1" applyFont="1" applyFill="1" applyBorder="1"/>
    <xf numFmtId="179" fontId="1" fillId="0" borderId="0" xfId="0" applyNumberFormat="1" applyFont="1" applyFill="1" applyAlignment="1">
      <alignment horizontal="center"/>
    </xf>
    <xf numFmtId="0" fontId="19" fillId="0" borderId="0" xfId="0" applyFont="1" applyFill="1" applyBorder="1"/>
    <xf numFmtId="175" fontId="19" fillId="0" borderId="0" xfId="0" applyNumberFormat="1" applyFont="1" applyFill="1" applyBorder="1"/>
    <xf numFmtId="0" fontId="1" fillId="0" borderId="11" xfId="0" applyFont="1" applyFill="1" applyBorder="1" applyAlignment="1">
      <alignment horizontal="center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178" fontId="9" fillId="0" borderId="0" xfId="0" applyNumberFormat="1" applyFont="1" applyFill="1" applyBorder="1"/>
    <xf numFmtId="3" fontId="1" fillId="0" borderId="2" xfId="0" applyNumberFormat="1" applyFont="1" applyFill="1" applyBorder="1" applyAlignment="1">
      <alignment horizontal="center"/>
    </xf>
    <xf numFmtId="0" fontId="1" fillId="0" borderId="31" xfId="0" applyFont="1" applyFill="1" applyBorder="1"/>
    <xf numFmtId="3" fontId="1" fillId="0" borderId="0" xfId="0" applyNumberFormat="1" applyFont="1" applyFill="1" applyAlignment="1">
      <alignment horizontal="centerContinuous"/>
    </xf>
    <xf numFmtId="3" fontId="1" fillId="0" borderId="2" xfId="0" applyNumberFormat="1" applyFont="1" applyFill="1" applyBorder="1" applyAlignment="1"/>
    <xf numFmtId="175" fontId="1" fillId="0" borderId="10" xfId="0" applyNumberFormat="1" applyFont="1" applyFill="1" applyBorder="1" applyAlignment="1">
      <alignment horizontal="center"/>
    </xf>
    <xf numFmtId="175" fontId="1" fillId="0" borderId="1" xfId="0" applyNumberFormat="1" applyFont="1" applyFill="1" applyBorder="1"/>
    <xf numFmtId="10" fontId="3" fillId="0" borderId="0" xfId="0" applyNumberFormat="1" applyFont="1" applyFill="1" applyBorder="1" applyAlignment="1">
      <alignment horizontal="center"/>
    </xf>
    <xf numFmtId="182" fontId="1" fillId="0" borderId="0" xfId="0" applyNumberFormat="1" applyFont="1" applyFill="1" applyBorder="1"/>
    <xf numFmtId="9" fontId="1" fillId="0" borderId="0" xfId="0" applyNumberFormat="1" applyFont="1" applyFill="1" applyBorder="1"/>
    <xf numFmtId="178" fontId="1" fillId="0" borderId="2" xfId="0" applyNumberFormat="1" applyFont="1" applyFill="1" applyBorder="1" applyAlignment="1">
      <alignment horizontal="center"/>
    </xf>
    <xf numFmtId="175" fontId="1" fillId="0" borderId="2" xfId="0" applyNumberFormat="1" applyFont="1" applyFill="1" applyBorder="1" applyAlignment="1">
      <alignment horizontal="center"/>
    </xf>
    <xf numFmtId="9" fontId="1" fillId="0" borderId="2" xfId="0" applyNumberFormat="1" applyFont="1" applyFill="1" applyBorder="1"/>
    <xf numFmtId="179" fontId="7" fillId="0" borderId="0" xfId="0" applyNumberFormat="1" applyFont="1" applyFill="1" applyBorder="1"/>
    <xf numFmtId="178" fontId="3" fillId="0" borderId="0" xfId="0" applyNumberFormat="1" applyFont="1" applyFill="1" applyBorder="1"/>
    <xf numFmtId="0" fontId="9" fillId="0" borderId="11" xfId="0" applyFont="1" applyFill="1" applyBorder="1" applyAlignment="1">
      <alignment horizontal="center"/>
    </xf>
    <xf numFmtId="175" fontId="1" fillId="0" borderId="29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/>
    <xf numFmtId="179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left"/>
    </xf>
    <xf numFmtId="177" fontId="1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2" fontId="1" fillId="0" borderId="0" xfId="0" applyNumberFormat="1" applyFont="1" applyFill="1"/>
    <xf numFmtId="175" fontId="1" fillId="0" borderId="0" xfId="0" applyNumberFormat="1" applyFont="1" applyFill="1" applyBorder="1" applyAlignment="1">
      <alignment horizontal="center"/>
    </xf>
    <xf numFmtId="183" fontId="1" fillId="0" borderId="0" xfId="0" applyNumberFormat="1" applyFont="1" applyFill="1"/>
    <xf numFmtId="3" fontId="1" fillId="0" borderId="0" xfId="0" applyNumberFormat="1" applyFont="1" applyFill="1" applyBorder="1" applyAlignment="1">
      <alignment horizontal="centerContinuous"/>
    </xf>
    <xf numFmtId="178" fontId="1" fillId="0" borderId="0" xfId="0" applyNumberFormat="1" applyFont="1" applyFill="1" applyAlignment="1">
      <alignment horizontal="centerContinuous"/>
    </xf>
    <xf numFmtId="3" fontId="1" fillId="0" borderId="1" xfId="0" applyNumberFormat="1" applyFont="1" applyFill="1" applyBorder="1" applyAlignment="1">
      <alignment horizontal="center"/>
    </xf>
    <xf numFmtId="178" fontId="1" fillId="0" borderId="5" xfId="0" applyNumberFormat="1" applyFont="1" applyFill="1" applyBorder="1" applyAlignment="1">
      <alignment horizontal="centerContinuous"/>
    </xf>
    <xf numFmtId="3" fontId="1" fillId="0" borderId="1" xfId="0" applyNumberFormat="1" applyFont="1" applyFill="1" applyBorder="1" applyProtection="1">
      <protection locked="0"/>
    </xf>
    <xf numFmtId="178" fontId="1" fillId="0" borderId="1" xfId="0" applyNumberFormat="1" applyFont="1" applyFill="1" applyBorder="1"/>
    <xf numFmtId="175" fontId="15" fillId="0" borderId="0" xfId="0" applyNumberFormat="1" applyFont="1" applyFill="1" applyBorder="1" applyAlignment="1">
      <alignment horizontal="right"/>
    </xf>
    <xf numFmtId="9" fontId="3" fillId="0" borderId="0" xfId="0" applyNumberFormat="1" applyFont="1" applyFill="1" applyBorder="1"/>
    <xf numFmtId="165" fontId="1" fillId="0" borderId="38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178" fontId="1" fillId="0" borderId="2" xfId="0" applyNumberFormat="1" applyFont="1" applyFill="1" applyBorder="1"/>
    <xf numFmtId="178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Protection="1">
      <protection locked="0"/>
    </xf>
    <xf numFmtId="175" fontId="1" fillId="0" borderId="0" xfId="0" applyNumberFormat="1" applyFont="1" applyFill="1" applyBorder="1" applyProtection="1">
      <protection locked="0"/>
    </xf>
    <xf numFmtId="176" fontId="1" fillId="0" borderId="0" xfId="0" applyNumberFormat="1" applyFont="1" applyFill="1" applyBorder="1" applyAlignment="1">
      <alignment horizontal="left"/>
    </xf>
    <xf numFmtId="175" fontId="1" fillId="0" borderId="1" xfId="0" applyNumberFormat="1" applyFont="1" applyFill="1" applyBorder="1" applyAlignment="1">
      <alignment horizontal="right"/>
    </xf>
    <xf numFmtId="179" fontId="1" fillId="0" borderId="2" xfId="0" applyNumberFormat="1" applyFont="1" applyFill="1" applyBorder="1"/>
    <xf numFmtId="175" fontId="1" fillId="0" borderId="2" xfId="0" applyNumberFormat="1" applyFont="1" applyFill="1" applyBorder="1" applyAlignment="1">
      <alignment horizontal="right"/>
    </xf>
    <xf numFmtId="178" fontId="1" fillId="0" borderId="2" xfId="0" applyNumberFormat="1" applyFont="1" applyFill="1" applyBorder="1" applyAlignment="1">
      <alignment horizontal="right"/>
    </xf>
    <xf numFmtId="179" fontId="1" fillId="0" borderId="2" xfId="0" applyNumberFormat="1" applyFont="1" applyFill="1" applyBorder="1" applyAlignment="1">
      <alignment horizontal="right"/>
    </xf>
    <xf numFmtId="179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84" fontId="1" fillId="0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Border="1"/>
    <xf numFmtId="0" fontId="1" fillId="0" borderId="1" xfId="0" applyFont="1" applyFill="1" applyBorder="1" applyProtection="1">
      <protection locked="0"/>
    </xf>
    <xf numFmtId="179" fontId="1" fillId="0" borderId="1" xfId="0" applyNumberFormat="1" applyFont="1" applyFill="1" applyBorder="1"/>
    <xf numFmtId="178" fontId="1" fillId="0" borderId="1" xfId="0" applyNumberFormat="1" applyFont="1" applyFill="1" applyBorder="1" applyAlignment="1">
      <alignment horizontal="right"/>
    </xf>
    <xf numFmtId="165" fontId="1" fillId="0" borderId="40" xfId="0" applyNumberFormat="1" applyFont="1" applyFill="1" applyBorder="1" applyAlignment="1">
      <alignment horizontal="center"/>
    </xf>
    <xf numFmtId="175" fontId="3" fillId="0" borderId="0" xfId="0" applyNumberFormat="1" applyFont="1" applyFill="1" applyBorder="1" applyAlignment="1">
      <alignment horizontal="right"/>
    </xf>
    <xf numFmtId="165" fontId="1" fillId="0" borderId="38" xfId="0" applyNumberFormat="1" applyFont="1" applyFill="1" applyBorder="1"/>
    <xf numFmtId="5" fontId="1" fillId="0" borderId="0" xfId="0" applyNumberFormat="1" applyFont="1" applyFill="1" applyBorder="1"/>
    <xf numFmtId="5" fontId="1" fillId="0" borderId="0" xfId="0" applyNumberFormat="1" applyFont="1" applyFill="1" applyBorder="1" applyAlignment="1">
      <alignment horizontal="center"/>
    </xf>
    <xf numFmtId="5" fontId="1" fillId="0" borderId="0" xfId="0" applyNumberFormat="1" applyFont="1" applyFill="1"/>
    <xf numFmtId="178" fontId="1" fillId="0" borderId="0" xfId="0" applyNumberFormat="1" applyFont="1" applyFill="1"/>
    <xf numFmtId="0" fontId="9" fillId="0" borderId="0" xfId="0" applyFont="1" applyFill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41" fontId="1" fillId="0" borderId="0" xfId="0" applyNumberFormat="1" applyFont="1" applyFill="1" applyBorder="1"/>
    <xf numFmtId="0" fontId="2" fillId="0" borderId="0" xfId="0" applyFont="1" applyFill="1" applyAlignment="1"/>
    <xf numFmtId="0" fontId="0" fillId="0" borderId="0" xfId="0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42" fontId="0" fillId="0" borderId="0" xfId="0" applyNumberFormat="1" applyBorder="1" applyAlignment="1">
      <alignment horizontal="center"/>
    </xf>
    <xf numFmtId="42" fontId="0" fillId="0" borderId="0" xfId="0" applyNumberFormat="1" applyFont="1" applyBorder="1" applyAlignment="1">
      <alignment horizontal="center"/>
    </xf>
    <xf numFmtId="42" fontId="28" fillId="0" borderId="0" xfId="0" applyNumberFormat="1" applyFont="1"/>
    <xf numFmtId="168" fontId="0" fillId="0" borderId="0" xfId="0" applyNumberFormat="1"/>
    <xf numFmtId="42" fontId="0" fillId="0" borderId="0" xfId="0" applyNumberFormat="1"/>
    <xf numFmtId="42" fontId="24" fillId="0" borderId="0" xfId="0" applyNumberFormat="1" applyFont="1"/>
    <xf numFmtId="10" fontId="0" fillId="0" borderId="0" xfId="0" applyNumberFormat="1" applyFont="1"/>
    <xf numFmtId="42" fontId="25" fillId="0" borderId="0" xfId="0" applyNumberFormat="1" applyFont="1"/>
    <xf numFmtId="168" fontId="0" fillId="0" borderId="2" xfId="0" applyNumberFormat="1" applyBorder="1"/>
    <xf numFmtId="3" fontId="0" fillId="0" borderId="1" xfId="0" applyNumberFormat="1" applyBorder="1"/>
    <xf numFmtId="42" fontId="0" fillId="0" borderId="1" xfId="0" applyNumberFormat="1" applyBorder="1"/>
    <xf numFmtId="42" fontId="24" fillId="0" borderId="1" xfId="0" applyNumberFormat="1" applyFont="1" applyBorder="1"/>
    <xf numFmtId="10" fontId="0" fillId="0" borderId="1" xfId="0" applyNumberFormat="1" applyFont="1" applyBorder="1"/>
    <xf numFmtId="3" fontId="0" fillId="0" borderId="0" xfId="0" applyNumberFormat="1"/>
    <xf numFmtId="10" fontId="0" fillId="0" borderId="0" xfId="0" applyNumberFormat="1"/>
    <xf numFmtId="0" fontId="29" fillId="0" borderId="0" xfId="0" applyFont="1" applyBorder="1" applyAlignment="1">
      <alignment horizontal="left"/>
    </xf>
    <xf numFmtId="0" fontId="30" fillId="0" borderId="0" xfId="0" applyFont="1" applyAlignment="1">
      <alignment horizontal="left"/>
    </xf>
    <xf numFmtId="3" fontId="31" fillId="0" borderId="0" xfId="0" applyNumberFormat="1" applyFont="1" applyBorder="1"/>
    <xf numFmtId="42" fontId="31" fillId="0" borderId="0" xfId="0" applyNumberFormat="1" applyFont="1" applyBorder="1"/>
    <xf numFmtId="0" fontId="31" fillId="0" borderId="0" xfId="0" applyFont="1"/>
    <xf numFmtId="42" fontId="31" fillId="0" borderId="0" xfId="0" applyNumberFormat="1" applyFont="1"/>
    <xf numFmtId="10" fontId="31" fillId="0" borderId="0" xfId="0" applyNumberFormat="1" applyFont="1"/>
    <xf numFmtId="0" fontId="31" fillId="0" borderId="0" xfId="0" applyFont="1" applyAlignment="1">
      <alignment horizontal="left"/>
    </xf>
    <xf numFmtId="164" fontId="31" fillId="0" borderId="0" xfId="0" applyNumberFormat="1" applyFont="1" applyFill="1"/>
    <xf numFmtId="166" fontId="31" fillId="0" borderId="0" xfId="0" applyNumberFormat="1" applyFont="1" applyFill="1"/>
    <xf numFmtId="0" fontId="31" fillId="0" borderId="0" xfId="0" applyFont="1" applyFill="1" applyBorder="1" applyAlignment="1">
      <alignment horizontal="left" vertical="center" textRotation="180"/>
    </xf>
    <xf numFmtId="0" fontId="31" fillId="0" borderId="0" xfId="0" applyFont="1" applyFill="1" applyBorder="1" applyAlignment="1">
      <alignment horizontal="left"/>
    </xf>
    <xf numFmtId="0" fontId="31" fillId="0" borderId="0" xfId="0" applyFont="1" applyBorder="1" applyAlignment="1">
      <alignment horizontal="left"/>
    </xf>
    <xf numFmtId="164" fontId="31" fillId="0" borderId="1" xfId="0" applyNumberFormat="1" applyFont="1" applyFill="1" applyBorder="1"/>
    <xf numFmtId="168" fontId="0" fillId="0" borderId="1" xfId="0" applyNumberFormat="1" applyBorder="1"/>
    <xf numFmtId="166" fontId="31" fillId="0" borderId="1" xfId="0" applyNumberFormat="1" applyFont="1" applyFill="1" applyBorder="1"/>
    <xf numFmtId="0" fontId="31" fillId="0" borderId="0" xfId="0" applyFont="1" applyFill="1"/>
    <xf numFmtId="0" fontId="31" fillId="0" borderId="0" xfId="0" applyFont="1" applyBorder="1"/>
    <xf numFmtId="44" fontId="31" fillId="0" borderId="0" xfId="0" applyNumberFormat="1" applyFont="1"/>
    <xf numFmtId="164" fontId="0" fillId="0" borderId="0" xfId="0" applyNumberFormat="1"/>
    <xf numFmtId="0" fontId="24" fillId="0" borderId="0" xfId="0" applyFont="1"/>
    <xf numFmtId="0" fontId="24" fillId="0" borderId="2" xfId="0" applyFont="1" applyBorder="1" applyAlignment="1">
      <alignment horizontal="centerContinuous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33" fillId="0" borderId="0" xfId="0" applyFont="1"/>
    <xf numFmtId="185" fontId="24" fillId="0" borderId="0" xfId="0" applyNumberFormat="1" applyFont="1"/>
    <xf numFmtId="0" fontId="33" fillId="0" borderId="0" xfId="0" applyFont="1" applyBorder="1"/>
    <xf numFmtId="44" fontId="33" fillId="0" borderId="0" xfId="0" applyNumberFormat="1" applyFont="1" applyBorder="1"/>
    <xf numFmtId="44" fontId="24" fillId="0" borderId="0" xfId="0" applyNumberFormat="1" applyFont="1"/>
    <xf numFmtId="44" fontId="24" fillId="0" borderId="0" xfId="0" applyNumberFormat="1" applyFont="1" applyBorder="1"/>
    <xf numFmtId="44" fontId="24" fillId="0" borderId="1" xfId="0" applyNumberFormat="1" applyFont="1" applyBorder="1"/>
    <xf numFmtId="44" fontId="33" fillId="0" borderId="0" xfId="0" applyNumberFormat="1" applyFont="1"/>
    <xf numFmtId="0" fontId="24" fillId="0" borderId="0" xfId="0" applyFont="1" applyBorder="1"/>
    <xf numFmtId="167" fontId="28" fillId="0" borderId="0" xfId="0" applyNumberFormat="1" applyFont="1"/>
    <xf numFmtId="167" fontId="33" fillId="0" borderId="0" xfId="0" applyNumberFormat="1" applyFont="1" applyBorder="1"/>
    <xf numFmtId="167" fontId="24" fillId="0" borderId="0" xfId="0" applyNumberFormat="1" applyFont="1"/>
    <xf numFmtId="167" fontId="0" fillId="0" borderId="0" xfId="0" applyNumberFormat="1" applyFont="1"/>
    <xf numFmtId="167" fontId="24" fillId="0" borderId="1" xfId="0" applyNumberFormat="1" applyFont="1" applyBorder="1"/>
    <xf numFmtId="167" fontId="0" fillId="0" borderId="0" xfId="0" applyNumberFormat="1" applyFont="1" applyFill="1"/>
    <xf numFmtId="185" fontId="24" fillId="0" borderId="1" xfId="0" applyNumberFormat="1" applyFont="1" applyBorder="1"/>
    <xf numFmtId="167" fontId="24" fillId="0" borderId="0" xfId="0" applyNumberFormat="1" applyFont="1" applyBorder="1"/>
    <xf numFmtId="165" fontId="24" fillId="0" borderId="0" xfId="0" applyNumberFormat="1" applyFont="1"/>
    <xf numFmtId="165" fontId="24" fillId="0" borderId="0" xfId="0" applyNumberFormat="1" applyFont="1" applyBorder="1"/>
    <xf numFmtId="10" fontId="24" fillId="0" borderId="0" xfId="0" applyNumberFormat="1" applyFont="1"/>
    <xf numFmtId="0" fontId="24" fillId="0" borderId="0" xfId="0" applyFont="1" applyFill="1" applyAlignment="1"/>
    <xf numFmtId="0" fontId="24" fillId="0" borderId="0" xfId="0" applyFont="1" applyAlignment="1"/>
    <xf numFmtId="0" fontId="0" fillId="0" borderId="0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6" fontId="28" fillId="0" borderId="0" xfId="0" applyNumberFormat="1" applyFont="1" applyAlignment="1">
      <alignment horizontal="left"/>
    </xf>
    <xf numFmtId="42" fontId="28" fillId="0" borderId="0" xfId="0" applyNumberFormat="1" applyFont="1" applyAlignment="1">
      <alignment horizontal="left"/>
    </xf>
    <xf numFmtId="168" fontId="16" fillId="0" borderId="0" xfId="0" applyNumberFormat="1" applyFont="1"/>
    <xf numFmtId="164" fontId="28" fillId="0" borderId="0" xfId="0" applyNumberFormat="1" applyFont="1" applyBorder="1"/>
    <xf numFmtId="10" fontId="23" fillId="0" borderId="0" xfId="0" applyNumberFormat="1" applyFont="1"/>
    <xf numFmtId="168" fontId="0" fillId="0" borderId="0" xfId="0" applyNumberFormat="1" applyBorder="1"/>
    <xf numFmtId="0" fontId="0" fillId="0" borderId="0" xfId="0" applyBorder="1"/>
    <xf numFmtId="166" fontId="0" fillId="0" borderId="1" xfId="0" applyNumberFormat="1" applyBorder="1"/>
    <xf numFmtId="168" fontId="0" fillId="0" borderId="1" xfId="0" applyNumberFormat="1" applyFont="1" applyBorder="1"/>
    <xf numFmtId="164" fontId="0" fillId="0" borderId="0" xfId="0" applyNumberFormat="1" applyFont="1" applyBorder="1"/>
    <xf numFmtId="42" fontId="0" fillId="0" borderId="0" xfId="0" applyNumberFormat="1" applyBorder="1"/>
    <xf numFmtId="164" fontId="0" fillId="0" borderId="0" xfId="0" applyNumberFormat="1" applyFont="1"/>
    <xf numFmtId="42" fontId="0" fillId="0" borderId="0" xfId="0" applyNumberFormat="1" applyFont="1"/>
    <xf numFmtId="164" fontId="31" fillId="0" borderId="0" xfId="0" applyNumberFormat="1" applyFont="1" applyBorder="1"/>
    <xf numFmtId="42" fontId="34" fillId="0" borderId="0" xfId="0" applyNumberFormat="1" applyFont="1" applyBorder="1"/>
    <xf numFmtId="168" fontId="31" fillId="0" borderId="0" xfId="0" applyNumberFormat="1" applyFont="1" applyFill="1"/>
    <xf numFmtId="0" fontId="31" fillId="0" borderId="0" xfId="0" applyFont="1" applyFill="1" applyBorder="1"/>
    <xf numFmtId="164" fontId="31" fillId="0" borderId="0" xfId="0" applyNumberFormat="1" applyFont="1" applyFill="1" applyBorder="1"/>
    <xf numFmtId="166" fontId="31" fillId="0" borderId="1" xfId="0" applyNumberFormat="1" applyFont="1" applyBorder="1" applyAlignment="1">
      <alignment horizontal="left"/>
    </xf>
    <xf numFmtId="164" fontId="31" fillId="0" borderId="1" xfId="0" applyNumberFormat="1" applyFont="1" applyBorder="1" applyAlignment="1">
      <alignment horizontal="left"/>
    </xf>
    <xf numFmtId="168" fontId="31" fillId="0" borderId="1" xfId="0" applyNumberFormat="1" applyFont="1" applyFill="1" applyBorder="1"/>
    <xf numFmtId="0" fontId="0" fillId="0" borderId="0" xfId="0" quotePrefix="1"/>
    <xf numFmtId="0" fontId="28" fillId="0" borderId="2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168" fontId="25" fillId="0" borderId="0" xfId="0" applyNumberFormat="1" applyFont="1"/>
    <xf numFmtId="164" fontId="24" fillId="0" borderId="0" xfId="0" applyNumberFormat="1" applyFont="1"/>
    <xf numFmtId="3" fontId="24" fillId="0" borderId="0" xfId="0" applyNumberFormat="1" applyFont="1"/>
    <xf numFmtId="168" fontId="25" fillId="0" borderId="0" xfId="0" applyNumberFormat="1" applyFont="1" applyBorder="1"/>
    <xf numFmtId="3" fontId="24" fillId="0" borderId="1" xfId="0" applyNumberFormat="1" applyFont="1" applyFill="1" applyBorder="1"/>
    <xf numFmtId="164" fontId="0" fillId="0" borderId="1" xfId="0" applyNumberFormat="1" applyFont="1" applyBorder="1"/>
    <xf numFmtId="165" fontId="24" fillId="0" borderId="1" xfId="0" applyNumberFormat="1" applyFont="1" applyBorder="1"/>
    <xf numFmtId="3" fontId="24" fillId="0" borderId="0" xfId="0" applyNumberFormat="1" applyFont="1" applyFill="1"/>
    <xf numFmtId="8" fontId="24" fillId="0" borderId="0" xfId="0" applyNumberFormat="1" applyFont="1"/>
    <xf numFmtId="168" fontId="25" fillId="0" borderId="0" xfId="0" applyNumberFormat="1" applyFont="1" applyFill="1"/>
    <xf numFmtId="3" fontId="24" fillId="0" borderId="2" xfId="0" applyNumberFormat="1" applyFont="1" applyBorder="1"/>
    <xf numFmtId="168" fontId="25" fillId="0" borderId="2" xfId="0" applyNumberFormat="1" applyFont="1" applyFill="1" applyBorder="1"/>
    <xf numFmtId="164" fontId="0" fillId="0" borderId="2" xfId="0" applyNumberFormat="1" applyFont="1" applyBorder="1"/>
    <xf numFmtId="3" fontId="24" fillId="0" borderId="1" xfId="0" applyNumberFormat="1" applyFont="1" applyBorder="1"/>
    <xf numFmtId="0" fontId="24" fillId="0" borderId="0" xfId="0" applyFont="1" applyFill="1" applyBorder="1"/>
    <xf numFmtId="164" fontId="24" fillId="0" borderId="0" xfId="0" applyNumberFormat="1" applyFont="1" applyBorder="1"/>
    <xf numFmtId="0" fontId="24" fillId="0" borderId="0" xfId="0" applyFont="1" applyFill="1"/>
    <xf numFmtId="0" fontId="24" fillId="0" borderId="0" xfId="0" quotePrefix="1" applyFont="1" applyAlignment="1">
      <alignment vertical="top"/>
    </xf>
    <xf numFmtId="0" fontId="35" fillId="0" borderId="0" xfId="0" applyFont="1"/>
    <xf numFmtId="0" fontId="35" fillId="0" borderId="0" xfId="0" applyFont="1" applyFill="1"/>
    <xf numFmtId="41" fontId="24" fillId="0" borderId="0" xfId="0" quotePrefix="1" applyNumberFormat="1" applyFont="1" applyAlignment="1">
      <alignment horizontal="right"/>
    </xf>
    <xf numFmtId="0" fontId="24" fillId="0" borderId="0" xfId="0" applyFont="1" applyFill="1" applyBorder="1" applyAlignment="1">
      <alignment horizontal="left"/>
    </xf>
    <xf numFmtId="3" fontId="24" fillId="0" borderId="0" xfId="0" applyNumberFormat="1" applyFont="1" applyFill="1" applyBorder="1"/>
    <xf numFmtId="168" fontId="4" fillId="0" borderId="0" xfId="0" applyNumberFormat="1" applyFont="1" applyFill="1" applyBorder="1"/>
    <xf numFmtId="168" fontId="28" fillId="0" borderId="0" xfId="0" applyNumberFormat="1" applyFont="1"/>
    <xf numFmtId="168" fontId="28" fillId="0" borderId="0" xfId="0" applyNumberFormat="1" applyFont="1" applyBorder="1"/>
    <xf numFmtId="166" fontId="31" fillId="0" borderId="0" xfId="1" applyNumberFormat="1" applyFont="1" applyFill="1"/>
    <xf numFmtId="166" fontId="31" fillId="0" borderId="1" xfId="1" applyNumberFormat="1" applyFont="1" applyFill="1" applyBorder="1"/>
    <xf numFmtId="43" fontId="20" fillId="0" borderId="31" xfId="1" applyFont="1" applyFill="1" applyBorder="1"/>
    <xf numFmtId="43" fontId="20" fillId="0" borderId="32" xfId="1" applyFont="1" applyFill="1" applyBorder="1"/>
    <xf numFmtId="43" fontId="20" fillId="0" borderId="45" xfId="1" applyFont="1" applyFill="1" applyBorder="1"/>
    <xf numFmtId="0" fontId="2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8" fillId="0" borderId="0" xfId="2" applyFill="1"/>
    <xf numFmtId="0" fontId="38" fillId="0" borderId="0" xfId="2"/>
    <xf numFmtId="0" fontId="14" fillId="0" borderId="0" xfId="2" applyFont="1" applyBorder="1"/>
    <xf numFmtId="0" fontId="14" fillId="0" borderId="0" xfId="2" applyFont="1"/>
    <xf numFmtId="0" fontId="6" fillId="0" borderId="0" xfId="2" applyFont="1" applyFill="1" applyBorder="1" applyAlignment="1">
      <alignment horizontal="right" vertical="top"/>
    </xf>
    <xf numFmtId="0" fontId="6" fillId="0" borderId="0" xfId="2" applyFont="1" applyFill="1" applyBorder="1" applyAlignment="1">
      <alignment horizontal="left" vertical="top"/>
    </xf>
    <xf numFmtId="0" fontId="14" fillId="0" borderId="3" xfId="2" applyFont="1" applyFill="1" applyBorder="1" applyAlignment="1">
      <alignment horizontal="centerContinuous"/>
    </xf>
    <xf numFmtId="0" fontId="14" fillId="0" borderId="3" xfId="2" applyFont="1" applyFill="1" applyBorder="1"/>
    <xf numFmtId="0" fontId="14" fillId="0" borderId="0" xfId="2" applyFont="1" applyFill="1"/>
    <xf numFmtId="0" fontId="2" fillId="0" borderId="27" xfId="2" applyFont="1" applyFill="1" applyBorder="1" applyAlignment="1">
      <alignment horizontal="center" wrapText="1"/>
    </xf>
    <xf numFmtId="0" fontId="2" fillId="0" borderId="26" xfId="2" applyFont="1" applyFill="1" applyBorder="1" applyAlignment="1">
      <alignment horizontal="center"/>
    </xf>
    <xf numFmtId="0" fontId="38" fillId="0" borderId="25" xfId="2" applyFill="1" applyBorder="1"/>
    <xf numFmtId="0" fontId="38" fillId="0" borderId="25" xfId="2" applyFill="1" applyBorder="1" applyAlignment="1">
      <alignment horizontal="center"/>
    </xf>
    <xf numFmtId="0" fontId="38" fillId="0" borderId="24" xfId="2" applyFill="1" applyBorder="1" applyAlignment="1">
      <alignment horizontal="center"/>
    </xf>
    <xf numFmtId="0" fontId="2" fillId="0" borderId="7" xfId="2" applyFont="1" applyFill="1" applyBorder="1" applyAlignment="1">
      <alignment horizontal="center"/>
    </xf>
    <xf numFmtId="9" fontId="2" fillId="0" borderId="23" xfId="2" applyNumberFormat="1" applyFont="1" applyFill="1" applyBorder="1" applyAlignment="1">
      <alignment horizontal="center"/>
    </xf>
    <xf numFmtId="0" fontId="1" fillId="0" borderId="19" xfId="2" applyFont="1" applyFill="1" applyBorder="1" applyAlignment="1">
      <alignment horizontal="center"/>
    </xf>
    <xf numFmtId="0" fontId="1" fillId="0" borderId="21" xfId="2" applyFont="1" applyFill="1" applyBorder="1" applyAlignment="1">
      <alignment horizontal="center"/>
    </xf>
    <xf numFmtId="0" fontId="38" fillId="0" borderId="0" xfId="2" applyFill="1" applyBorder="1" applyAlignment="1">
      <alignment horizontal="center"/>
    </xf>
    <xf numFmtId="0" fontId="38" fillId="0" borderId="8" xfId="2" applyFill="1" applyBorder="1" applyAlignment="1">
      <alignment horizontal="center"/>
    </xf>
    <xf numFmtId="0" fontId="38" fillId="0" borderId="22" xfId="2" applyFill="1" applyBorder="1" applyAlignment="1">
      <alignment horizontal="center"/>
    </xf>
    <xf numFmtId="0" fontId="38" fillId="0" borderId="19" xfId="2" applyFill="1" applyBorder="1" applyAlignment="1">
      <alignment horizontal="center"/>
    </xf>
    <xf numFmtId="0" fontId="1" fillId="0" borderId="21" xfId="2" applyFont="1" applyFill="1" applyBorder="1" applyAlignment="1">
      <alignment horizontal="left"/>
    </xf>
    <xf numFmtId="42" fontId="38" fillId="0" borderId="19" xfId="2" applyNumberFormat="1" applyFill="1" applyBorder="1" applyAlignment="1">
      <alignment horizontal="center"/>
    </xf>
    <xf numFmtId="10" fontId="38" fillId="0" borderId="0" xfId="2" applyNumberFormat="1" applyFont="1" applyFill="1" applyBorder="1" applyAlignment="1">
      <alignment horizontal="center"/>
    </xf>
    <xf numFmtId="10" fontId="38" fillId="0" borderId="8" xfId="2" applyNumberFormat="1" applyFont="1" applyFill="1" applyBorder="1" applyAlignment="1">
      <alignment horizontal="center"/>
    </xf>
    <xf numFmtId="0" fontId="1" fillId="0" borderId="0" xfId="2" applyFont="1" applyFill="1" applyBorder="1" applyAlignment="1">
      <alignment horizontal="left" vertical="top" wrapText="1"/>
    </xf>
    <xf numFmtId="9" fontId="7" fillId="0" borderId="0" xfId="2" applyNumberFormat="1" applyFont="1" applyFill="1" applyBorder="1" applyAlignment="1">
      <alignment horizontal="centerContinuous"/>
    </xf>
    <xf numFmtId="41" fontId="38" fillId="0" borderId="20" xfId="2" applyNumberFormat="1" applyFill="1" applyBorder="1" applyAlignment="1">
      <alignment horizontal="center"/>
    </xf>
    <xf numFmtId="0" fontId="20" fillId="0" borderId="0" xfId="2" applyFont="1" applyFill="1"/>
    <xf numFmtId="0" fontId="38" fillId="0" borderId="0" xfId="2" applyFill="1" applyBorder="1"/>
    <xf numFmtId="172" fontId="38" fillId="0" borderId="0" xfId="2" applyNumberFormat="1" applyFont="1" applyFill="1" applyBorder="1"/>
    <xf numFmtId="172" fontId="38" fillId="0" borderId="8" xfId="2" applyNumberFormat="1" applyFont="1" applyFill="1" applyBorder="1"/>
    <xf numFmtId="42" fontId="1" fillId="0" borderId="19" xfId="2" applyNumberFormat="1" applyFont="1" applyFill="1" applyBorder="1" applyAlignment="1"/>
    <xf numFmtId="0" fontId="38" fillId="0" borderId="19" xfId="2" applyFill="1" applyBorder="1"/>
    <xf numFmtId="0" fontId="7" fillId="0" borderId="0" xfId="2" applyFont="1" applyFill="1"/>
    <xf numFmtId="164" fontId="1" fillId="0" borderId="19" xfId="2" applyNumberFormat="1" applyFont="1" applyFill="1" applyBorder="1" applyAlignment="1"/>
    <xf numFmtId="164" fontId="38" fillId="0" borderId="19" xfId="2" applyNumberFormat="1" applyFill="1" applyBorder="1" applyAlignment="1">
      <alignment horizontal="center"/>
    </xf>
    <xf numFmtId="41" fontId="1" fillId="0" borderId="19" xfId="2" applyNumberFormat="1" applyFont="1" applyFill="1" applyBorder="1" applyAlignment="1"/>
    <xf numFmtId="0" fontId="1" fillId="0" borderId="21" xfId="2" applyFont="1" applyFill="1" applyBorder="1"/>
    <xf numFmtId="0" fontId="38" fillId="0" borderId="8" xfId="2" applyFill="1" applyBorder="1" applyAlignment="1">
      <alignment horizontal="left"/>
    </xf>
    <xf numFmtId="0" fontId="38" fillId="0" borderId="21" xfId="2" applyFill="1" applyBorder="1"/>
    <xf numFmtId="9" fontId="38" fillId="0" borderId="0" xfId="2" applyNumberFormat="1" applyFill="1" applyBorder="1"/>
    <xf numFmtId="37" fontId="1" fillId="0" borderId="20" xfId="2" applyNumberFormat="1" applyFont="1" applyFill="1" applyBorder="1"/>
    <xf numFmtId="42" fontId="1" fillId="0" borderId="20" xfId="2" applyNumberFormat="1" applyFont="1" applyFill="1" applyBorder="1"/>
    <xf numFmtId="9" fontId="38" fillId="0" borderId="8" xfId="2" applyNumberFormat="1" applyFill="1" applyBorder="1"/>
    <xf numFmtId="42" fontId="1" fillId="0" borderId="19" xfId="2" applyNumberFormat="1" applyFont="1" applyFill="1" applyBorder="1"/>
    <xf numFmtId="0" fontId="38" fillId="0" borderId="8" xfId="2" applyFill="1" applyBorder="1"/>
    <xf numFmtId="164" fontId="1" fillId="0" borderId="19" xfId="2" applyNumberFormat="1" applyFont="1" applyFill="1" applyBorder="1"/>
    <xf numFmtId="0" fontId="11" fillId="0" borderId="21" xfId="2" applyFont="1" applyFill="1" applyBorder="1"/>
    <xf numFmtId="173" fontId="1" fillId="0" borderId="19" xfId="2" applyNumberFormat="1" applyFont="1" applyFill="1" applyBorder="1"/>
    <xf numFmtId="170" fontId="1" fillId="0" borderId="19" xfId="2" applyNumberFormat="1" applyFont="1" applyFill="1" applyBorder="1"/>
    <xf numFmtId="173" fontId="1" fillId="0" borderId="20" xfId="2" applyNumberFormat="1" applyFont="1" applyFill="1" applyBorder="1"/>
    <xf numFmtId="174" fontId="1" fillId="0" borderId="20" xfId="2" applyNumberFormat="1" applyFont="1" applyFill="1" applyBorder="1"/>
    <xf numFmtId="9" fontId="1" fillId="0" borderId="19" xfId="2" applyNumberFormat="1" applyFont="1" applyFill="1" applyBorder="1" applyAlignment="1">
      <alignment horizontal="center"/>
    </xf>
    <xf numFmtId="37" fontId="9" fillId="0" borderId="20" xfId="2" applyNumberFormat="1" applyFont="1" applyFill="1" applyBorder="1"/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/>
    <xf numFmtId="0" fontId="38" fillId="0" borderId="18" xfId="2" applyFill="1" applyBorder="1"/>
    <xf numFmtId="0" fontId="1" fillId="0" borderId="28" xfId="2" applyFont="1" applyFill="1" applyBorder="1"/>
    <xf numFmtId="0" fontId="2" fillId="0" borderId="3" xfId="2" applyFont="1" applyFill="1" applyBorder="1"/>
    <xf numFmtId="0" fontId="2" fillId="0" borderId="17" xfId="2" applyFont="1" applyFill="1" applyBorder="1"/>
    <xf numFmtId="42" fontId="2" fillId="0" borderId="16" xfId="2" applyNumberFormat="1" applyFont="1" applyFill="1" applyBorder="1"/>
    <xf numFmtId="0" fontId="38" fillId="0" borderId="15" xfId="2" applyFill="1" applyBorder="1"/>
    <xf numFmtId="43" fontId="1" fillId="0" borderId="0" xfId="2" applyNumberFormat="1" applyFont="1" applyFill="1" applyBorder="1"/>
    <xf numFmtId="43" fontId="2" fillId="0" borderId="0" xfId="2" applyNumberFormat="1" applyFont="1" applyFill="1" applyBorder="1" applyAlignment="1">
      <alignment horizontal="center"/>
    </xf>
    <xf numFmtId="0" fontId="39" fillId="0" borderId="0" xfId="2" applyFont="1"/>
    <xf numFmtId="0" fontId="2" fillId="0" borderId="0" xfId="2" applyFont="1" applyFill="1" applyBorder="1" applyAlignment="1"/>
    <xf numFmtId="0" fontId="2" fillId="0" borderId="4" xfId="2" applyFont="1" applyFill="1" applyBorder="1" applyAlignment="1">
      <alignment horizontal="center"/>
    </xf>
    <xf numFmtId="43" fontId="2" fillId="0" borderId="4" xfId="2" applyNumberFormat="1" applyFont="1" applyFill="1" applyBorder="1" applyAlignment="1">
      <alignment horizontal="center"/>
    </xf>
    <xf numFmtId="0" fontId="1" fillId="0" borderId="0" xfId="2" applyFont="1" applyFill="1" applyBorder="1" applyAlignment="1"/>
    <xf numFmtId="173" fontId="1" fillId="0" borderId="0" xfId="2" applyNumberFormat="1" applyFont="1" applyFill="1" applyBorder="1"/>
    <xf numFmtId="0" fontId="1" fillId="0" borderId="0" xfId="2" applyFont="1" applyFill="1" applyBorder="1" applyAlignment="1">
      <alignment horizontal="left"/>
    </xf>
    <xf numFmtId="41" fontId="1" fillId="0" borderId="0" xfId="2" applyNumberFormat="1" applyFont="1" applyFill="1" applyBorder="1"/>
    <xf numFmtId="41" fontId="1" fillId="0" borderId="0" xfId="2" applyNumberFormat="1" applyFont="1" applyFill="1" applyBorder="1" applyAlignment="1">
      <alignment vertical="top"/>
    </xf>
    <xf numFmtId="41" fontId="1" fillId="0" borderId="0" xfId="2" applyNumberFormat="1" applyFont="1" applyFill="1"/>
    <xf numFmtId="0" fontId="2" fillId="0" borderId="0" xfId="2" applyFont="1" applyFill="1" applyAlignment="1"/>
    <xf numFmtId="42" fontId="2" fillId="0" borderId="9" xfId="2" applyNumberFormat="1" applyFont="1" applyFill="1" applyBorder="1"/>
    <xf numFmtId="44" fontId="38" fillId="0" borderId="0" xfId="2" applyNumberFormat="1" applyFill="1"/>
    <xf numFmtId="164" fontId="38" fillId="0" borderId="0" xfId="2" applyNumberFormat="1" applyFill="1"/>
    <xf numFmtId="164" fontId="38" fillId="0" borderId="0" xfId="2" applyNumberFormat="1"/>
    <xf numFmtId="44" fontId="38" fillId="0" borderId="0" xfId="2" applyNumberFormat="1"/>
    <xf numFmtId="0" fontId="2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5" fillId="0" borderId="2" xfId="0" quotePrefix="1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24" fillId="0" borderId="0" xfId="0" applyFont="1" applyFill="1" applyAlignment="1">
      <alignment horizontal="centerContinuous"/>
    </xf>
    <xf numFmtId="0" fontId="24" fillId="0" borderId="0" xfId="0" applyFont="1" applyBorder="1" applyAlignment="1">
      <alignment horizontal="centerContinuous"/>
    </xf>
    <xf numFmtId="3" fontId="31" fillId="0" borderId="0" xfId="0" applyNumberFormat="1" applyFont="1" applyFill="1" applyBorder="1"/>
    <xf numFmtId="167" fontId="31" fillId="0" borderId="0" xfId="0" applyNumberFormat="1" applyFont="1" applyFill="1" applyBorder="1"/>
    <xf numFmtId="167" fontId="34" fillId="0" borderId="0" xfId="0" applyNumberFormat="1" applyFont="1" applyFill="1" applyBorder="1"/>
    <xf numFmtId="164" fontId="34" fillId="0" borderId="0" xfId="0" applyNumberFormat="1" applyFont="1" applyFill="1"/>
    <xf numFmtId="0" fontId="18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"/>
    </xf>
    <xf numFmtId="164" fontId="9" fillId="0" borderId="0" xfId="0" applyNumberFormat="1" applyFont="1" applyFill="1"/>
    <xf numFmtId="168" fontId="9" fillId="0" borderId="0" xfId="0" applyNumberFormat="1" applyFont="1" applyFill="1"/>
    <xf numFmtId="166" fontId="9" fillId="0" borderId="0" xfId="0" applyNumberFormat="1" applyFont="1" applyFill="1"/>
    <xf numFmtId="169" fontId="1" fillId="0" borderId="0" xfId="0" applyNumberFormat="1" applyFont="1" applyFill="1"/>
    <xf numFmtId="3" fontId="10" fillId="0" borderId="0" xfId="0" applyNumberFormat="1" applyFont="1" applyFill="1"/>
    <xf numFmtId="164" fontId="3" fillId="0" borderId="0" xfId="0" applyNumberFormat="1" applyFont="1" applyFill="1"/>
    <xf numFmtId="164" fontId="9" fillId="0" borderId="0" xfId="0" applyNumberFormat="1" applyFont="1" applyFill="1" applyBorder="1"/>
    <xf numFmtId="168" fontId="8" fillId="0" borderId="0" xfId="0" applyNumberFormat="1" applyFont="1" applyFill="1" applyBorder="1"/>
    <xf numFmtId="169" fontId="9" fillId="0" borderId="0" xfId="0" applyNumberFormat="1" applyFont="1" applyFill="1"/>
    <xf numFmtId="168" fontId="8" fillId="0" borderId="0" xfId="0" applyNumberFormat="1" applyFont="1" applyFill="1"/>
    <xf numFmtId="165" fontId="9" fillId="0" borderId="2" xfId="0" applyNumberFormat="1" applyFont="1" applyFill="1" applyBorder="1"/>
    <xf numFmtId="164" fontId="9" fillId="0" borderId="2" xfId="0" applyNumberFormat="1" applyFont="1" applyFill="1" applyBorder="1"/>
    <xf numFmtId="168" fontId="1" fillId="0" borderId="0" xfId="0" applyNumberFormat="1" applyFont="1" applyFill="1" applyBorder="1"/>
    <xf numFmtId="164" fontId="5" fillId="0" borderId="11" xfId="0" applyNumberFormat="1" applyFont="1" applyFill="1" applyBorder="1"/>
    <xf numFmtId="10" fontId="5" fillId="0" borderId="10" xfId="0" applyNumberFormat="1" applyFont="1" applyFill="1" applyBorder="1"/>
    <xf numFmtId="0" fontId="12" fillId="0" borderId="0" xfId="0" quotePrefix="1" applyFont="1" applyFill="1" applyAlignment="1">
      <alignment horizontal="center" vertical="top"/>
    </xf>
    <xf numFmtId="0" fontId="1" fillId="0" borderId="0" xfId="0" quotePrefix="1" applyFont="1" applyFill="1" applyAlignment="1">
      <alignment horizontal="left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wrapText="1"/>
    </xf>
    <xf numFmtId="3" fontId="15" fillId="0" borderId="0" xfId="0" applyNumberFormat="1" applyFont="1" applyFill="1"/>
    <xf numFmtId="0" fontId="1" fillId="0" borderId="5" xfId="0" applyFont="1" applyFill="1" applyBorder="1"/>
    <xf numFmtId="3" fontId="9" fillId="0" borderId="1" xfId="0" applyNumberFormat="1" applyFont="1" applyFill="1" applyBorder="1"/>
    <xf numFmtId="3" fontId="15" fillId="0" borderId="2" xfId="0" applyNumberFormat="1" applyFont="1" applyFill="1" applyBorder="1"/>
    <xf numFmtId="0" fontId="12" fillId="0" borderId="0" xfId="0" quotePrefix="1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9" fillId="0" borderId="0" xfId="0" applyFont="1" applyFill="1" applyAlignment="1"/>
    <xf numFmtId="0" fontId="36" fillId="0" borderId="0" xfId="0" applyFont="1" applyFill="1"/>
    <xf numFmtId="0" fontId="37" fillId="0" borderId="0" xfId="0" applyFont="1" applyFill="1" applyBorder="1" applyAlignment="1">
      <alignment horizontal="center"/>
    </xf>
    <xf numFmtId="168" fontId="7" fillId="0" borderId="0" xfId="0" applyNumberFormat="1" applyFont="1" applyFill="1"/>
    <xf numFmtId="42" fontId="1" fillId="0" borderId="0" xfId="0" applyNumberFormat="1" applyFont="1" applyFill="1"/>
    <xf numFmtId="9" fontId="9" fillId="0" borderId="0" xfId="0" applyNumberFormat="1" applyFont="1" applyFill="1"/>
    <xf numFmtId="0" fontId="15" fillId="0" borderId="0" xfId="0" applyFont="1" applyFill="1"/>
    <xf numFmtId="0" fontId="1" fillId="0" borderId="0" xfId="0" applyFont="1" applyFill="1" applyAlignment="1">
      <alignment horizontal="left" indent="1"/>
    </xf>
    <xf numFmtId="42" fontId="15" fillId="0" borderId="0" xfId="0" applyNumberFormat="1" applyFont="1" applyFill="1" applyBorder="1"/>
    <xf numFmtId="168" fontId="15" fillId="0" borderId="0" xfId="0" applyNumberFormat="1" applyFont="1" applyFill="1" applyBorder="1"/>
    <xf numFmtId="168" fontId="7" fillId="0" borderId="0" xfId="0" applyNumberFormat="1" applyFont="1" applyFill="1" applyBorder="1"/>
    <xf numFmtId="42" fontId="1" fillId="0" borderId="2" xfId="0" applyNumberFormat="1" applyFont="1" applyFill="1" applyBorder="1"/>
    <xf numFmtId="164" fontId="4" fillId="0" borderId="0" xfId="0" applyNumberFormat="1" applyFont="1" applyFill="1"/>
    <xf numFmtId="164" fontId="4" fillId="0" borderId="0" xfId="0" applyNumberFormat="1" applyFont="1" applyFill="1" applyBorder="1"/>
    <xf numFmtId="0" fontId="2" fillId="0" borderId="0" xfId="0" applyFont="1" applyFill="1" applyAlignment="1">
      <alignment wrapText="1"/>
    </xf>
    <xf numFmtId="171" fontId="1" fillId="0" borderId="0" xfId="0" applyNumberFormat="1" applyFont="1" applyFill="1" applyBorder="1"/>
    <xf numFmtId="178" fontId="1" fillId="0" borderId="0" xfId="0" applyNumberFormat="1" applyFont="1" applyFill="1" applyBorder="1" applyAlignment="1">
      <alignment horizontal="centerContinuous"/>
    </xf>
    <xf numFmtId="175" fontId="1" fillId="0" borderId="0" xfId="0" applyNumberFormat="1" applyFont="1" applyFill="1" applyAlignment="1">
      <alignment horizontal="centerContinuous"/>
    </xf>
    <xf numFmtId="177" fontId="1" fillId="0" borderId="0" xfId="0" applyNumberFormat="1" applyFont="1" applyFill="1" applyAlignment="1">
      <alignment horizontal="centerContinuous"/>
    </xf>
    <xf numFmtId="175" fontId="1" fillId="0" borderId="0" xfId="0" applyNumberFormat="1" applyFont="1" applyFill="1" applyBorder="1" applyAlignment="1">
      <alignment horizontal="centerContinuous"/>
    </xf>
    <xf numFmtId="175" fontId="1" fillId="0" borderId="0" xfId="0" applyNumberFormat="1" applyFont="1" applyFill="1" applyAlignment="1">
      <alignment horizontal="right"/>
    </xf>
    <xf numFmtId="0" fontId="1" fillId="0" borderId="3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178" fontId="1" fillId="0" borderId="1" xfId="0" applyNumberFormat="1" applyFont="1" applyFill="1" applyBorder="1" applyAlignment="1">
      <alignment horizontal="left"/>
    </xf>
    <xf numFmtId="178" fontId="1" fillId="0" borderId="34" xfId="0" applyNumberFormat="1" applyFont="1" applyFill="1" applyBorder="1" applyAlignment="1">
      <alignment horizontal="centerContinuous"/>
    </xf>
    <xf numFmtId="178" fontId="1" fillId="0" borderId="0" xfId="0" applyNumberFormat="1" applyFont="1" applyFill="1" applyBorder="1" applyAlignment="1">
      <alignment horizontal="left"/>
    </xf>
    <xf numFmtId="0" fontId="1" fillId="0" borderId="35" xfId="0" applyFont="1" applyFill="1" applyBorder="1" applyAlignment="1">
      <alignment horizontal="center"/>
    </xf>
    <xf numFmtId="176" fontId="1" fillId="0" borderId="36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7" fontId="1" fillId="0" borderId="2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179" fontId="1" fillId="0" borderId="0" xfId="0" applyNumberFormat="1" applyFont="1" applyFill="1"/>
    <xf numFmtId="175" fontId="19" fillId="0" borderId="1" xfId="0" applyNumberFormat="1" applyFont="1" applyFill="1" applyBorder="1"/>
    <xf numFmtId="180" fontId="1" fillId="0" borderId="0" xfId="0" applyNumberFormat="1" applyFont="1" applyFill="1" applyBorder="1" applyAlignment="1">
      <alignment horizontal="right"/>
    </xf>
    <xf numFmtId="0" fontId="2" fillId="0" borderId="35" xfId="0" applyFont="1" applyFill="1" applyBorder="1"/>
    <xf numFmtId="0" fontId="2" fillId="0" borderId="2" xfId="0" applyFont="1" applyFill="1" applyBorder="1"/>
    <xf numFmtId="175" fontId="2" fillId="0" borderId="2" xfId="0" applyNumberFormat="1" applyFont="1" applyFill="1" applyBorder="1"/>
    <xf numFmtId="165" fontId="1" fillId="0" borderId="36" xfId="0" applyNumberFormat="1" applyFont="1" applyFill="1" applyBorder="1" applyAlignment="1">
      <alignment horizontal="right"/>
    </xf>
    <xf numFmtId="165" fontId="1" fillId="0" borderId="0" xfId="0" applyNumberFormat="1" applyFont="1" applyFill="1"/>
    <xf numFmtId="0" fontId="1" fillId="0" borderId="30" xfId="0" applyFont="1" applyFill="1" applyBorder="1"/>
    <xf numFmtId="0" fontId="2" fillId="0" borderId="31" xfId="0" applyFont="1" applyFill="1" applyBorder="1"/>
    <xf numFmtId="175" fontId="3" fillId="0" borderId="0" xfId="0" applyNumberFormat="1" applyFont="1" applyFill="1"/>
    <xf numFmtId="0" fontId="20" fillId="0" borderId="0" xfId="0" applyFont="1" applyFill="1"/>
    <xf numFmtId="179" fontId="1" fillId="0" borderId="0" xfId="0" applyNumberFormat="1" applyFont="1" applyFill="1" applyAlignment="1">
      <alignment horizontal="centerContinuous"/>
    </xf>
    <xf numFmtId="176" fontId="1" fillId="0" borderId="0" xfId="0" applyNumberFormat="1" applyFont="1" applyFill="1" applyAlignment="1">
      <alignment horizontal="centerContinuous"/>
    </xf>
    <xf numFmtId="176" fontId="1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left"/>
    </xf>
    <xf numFmtId="176" fontId="1" fillId="0" borderId="0" xfId="0" applyNumberFormat="1" applyFont="1" applyFill="1" applyBorder="1" applyAlignment="1">
      <alignment horizontal="right"/>
    </xf>
    <xf numFmtId="179" fontId="1" fillId="0" borderId="2" xfId="0" applyNumberFormat="1" applyFont="1" applyFill="1" applyBorder="1" applyAlignment="1">
      <alignment horizontal="center"/>
    </xf>
    <xf numFmtId="176" fontId="1" fillId="0" borderId="40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center"/>
    </xf>
    <xf numFmtId="175" fontId="1" fillId="0" borderId="40" xfId="0" applyNumberFormat="1" applyFont="1" applyFill="1" applyBorder="1" applyAlignment="1">
      <alignment horizontal="right"/>
    </xf>
    <xf numFmtId="5" fontId="1" fillId="0" borderId="1" xfId="0" applyNumberFormat="1" applyFont="1" applyFill="1" applyBorder="1"/>
    <xf numFmtId="176" fontId="1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>
      <alignment horizontal="left"/>
    </xf>
    <xf numFmtId="5" fontId="8" fillId="0" borderId="0" xfId="0" applyNumberFormat="1" applyFont="1" applyFill="1"/>
    <xf numFmtId="165" fontId="1" fillId="0" borderId="0" xfId="0" applyNumberFormat="1" applyFont="1" applyFill="1" applyAlignment="1">
      <alignment horizontal="right"/>
    </xf>
    <xf numFmtId="41" fontId="8" fillId="0" borderId="0" xfId="0" applyNumberFormat="1" applyFont="1" applyFill="1"/>
    <xf numFmtId="42" fontId="8" fillId="0" borderId="0" xfId="0" applyNumberFormat="1" applyFont="1" applyFill="1"/>
    <xf numFmtId="0" fontId="9" fillId="0" borderId="41" xfId="0" applyFont="1" applyFill="1" applyBorder="1"/>
    <xf numFmtId="0" fontId="1" fillId="0" borderId="42" xfId="0" applyFont="1" applyFill="1" applyBorder="1"/>
    <xf numFmtId="43" fontId="20" fillId="0" borderId="42" xfId="1" applyFont="1" applyFill="1" applyBorder="1"/>
    <xf numFmtId="179" fontId="1" fillId="0" borderId="42" xfId="0" applyNumberFormat="1" applyFont="1" applyFill="1" applyBorder="1"/>
    <xf numFmtId="43" fontId="20" fillId="0" borderId="43" xfId="1" applyFont="1" applyFill="1" applyBorder="1"/>
    <xf numFmtId="0" fontId="9" fillId="0" borderId="44" xfId="0" applyFont="1" applyFill="1" applyBorder="1"/>
    <xf numFmtId="0" fontId="1" fillId="0" borderId="45" xfId="0" applyFont="1" applyFill="1" applyBorder="1"/>
    <xf numFmtId="179" fontId="20" fillId="0" borderId="45" xfId="0" applyNumberFormat="1" applyFont="1" applyFill="1" applyBorder="1"/>
    <xf numFmtId="5" fontId="20" fillId="0" borderId="46" xfId="1" applyNumberFormat="1" applyFont="1" applyFill="1" applyBorder="1"/>
    <xf numFmtId="165" fontId="1" fillId="0" borderId="0" xfId="0" applyNumberFormat="1" applyFont="1" applyFill="1" applyAlignment="1">
      <alignment horizontal="centerContinuous"/>
    </xf>
    <xf numFmtId="178" fontId="1" fillId="0" borderId="0" xfId="0" applyNumberFormat="1" applyFont="1" applyFill="1" applyAlignment="1"/>
    <xf numFmtId="165" fontId="1" fillId="0" borderId="0" xfId="0" applyNumberFormat="1" applyFont="1" applyFill="1" applyAlignment="1"/>
    <xf numFmtId="165" fontId="1" fillId="0" borderId="36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77" fontId="1" fillId="0" borderId="0" xfId="0" applyNumberFormat="1" applyFont="1" applyFill="1" applyBorder="1" applyAlignment="1">
      <alignment horizontal="center" wrapText="1"/>
    </xf>
    <xf numFmtId="42" fontId="1" fillId="0" borderId="0" xfId="0" applyNumberFormat="1" applyFont="1" applyFill="1" applyBorder="1" applyAlignment="1">
      <alignment horizontal="right"/>
    </xf>
    <xf numFmtId="0" fontId="1" fillId="0" borderId="2" xfId="0" applyFont="1" applyFill="1" applyBorder="1" applyProtection="1">
      <protection locked="0"/>
    </xf>
    <xf numFmtId="8" fontId="1" fillId="0" borderId="0" xfId="0" applyNumberFormat="1" applyFont="1" applyFill="1" applyBorder="1"/>
    <xf numFmtId="168" fontId="3" fillId="0" borderId="0" xfId="0" applyNumberFormat="1" applyFont="1" applyFill="1" applyBorder="1"/>
    <xf numFmtId="165" fontId="1" fillId="0" borderId="0" xfId="0" applyNumberFormat="1" applyFont="1" applyFill="1" applyAlignment="1">
      <alignment horizontal="left"/>
    </xf>
    <xf numFmtId="176" fontId="1" fillId="0" borderId="0" xfId="0" applyNumberFormat="1" applyFont="1" applyFill="1"/>
    <xf numFmtId="183" fontId="1" fillId="0" borderId="0" xfId="0" applyNumberFormat="1" applyFont="1" applyFill="1" applyBorder="1"/>
    <xf numFmtId="183" fontId="1" fillId="0" borderId="0" xfId="0" applyNumberFormat="1" applyFont="1" applyFill="1" applyAlignment="1">
      <alignment horizontal="left"/>
    </xf>
    <xf numFmtId="183" fontId="1" fillId="0" borderId="1" xfId="0" applyNumberFormat="1" applyFont="1" applyFill="1" applyBorder="1"/>
    <xf numFmtId="183" fontId="1" fillId="0" borderId="31" xfId="0" applyNumberFormat="1" applyFont="1" applyFill="1" applyBorder="1"/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4" fillId="0" borderId="2" xfId="0" applyFont="1" applyBorder="1" applyAlignment="1">
      <alignment horizontal="center"/>
    </xf>
    <xf numFmtId="3" fontId="25" fillId="0" borderId="0" xfId="0" applyNumberFormat="1" applyFont="1"/>
    <xf numFmtId="3" fontId="25" fillId="0" borderId="0" xfId="0" applyNumberFormat="1" applyFont="1" applyFill="1"/>
    <xf numFmtId="3" fontId="25" fillId="0" borderId="0" xfId="0" quotePrefix="1" applyNumberFormat="1" applyFont="1" applyFill="1"/>
    <xf numFmtId="44" fontId="25" fillId="0" borderId="0" xfId="0" applyNumberFormat="1" applyFont="1"/>
    <xf numFmtId="167" fontId="25" fillId="0" borderId="0" xfId="0" applyNumberFormat="1" applyFont="1"/>
    <xf numFmtId="167" fontId="25" fillId="0" borderId="0" xfId="0" applyNumberFormat="1" applyFont="1" applyFill="1"/>
    <xf numFmtId="0" fontId="1" fillId="0" borderId="2" xfId="0" applyFont="1" applyFill="1" applyBorder="1" applyAlignment="1">
      <alignment horizontal="center"/>
    </xf>
    <xf numFmtId="0" fontId="1" fillId="0" borderId="0" xfId="0" quotePrefix="1" applyFont="1" applyFill="1" applyAlignment="1">
      <alignment horizontal="left" vertical="top" wrapText="1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4" fillId="0" borderId="2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2" applyFont="1" applyFill="1" applyBorder="1" applyAlignment="1">
      <alignment horizontal="left" wrapText="1"/>
    </xf>
    <xf numFmtId="178" fontId="1" fillId="0" borderId="5" xfId="0" applyNumberFormat="1" applyFont="1" applyFill="1" applyBorder="1" applyAlignment="1">
      <alignment horizontal="center"/>
    </xf>
    <xf numFmtId="178" fontId="1" fillId="0" borderId="34" xfId="0" applyNumberFormat="1" applyFont="1" applyFill="1" applyBorder="1" applyAlignment="1">
      <alignment horizontal="center"/>
    </xf>
    <xf numFmtId="0" fontId="41" fillId="0" borderId="0" xfId="2" applyFont="1" applyFill="1" applyBorder="1" applyAlignment="1">
      <alignment horizontal="centerContinuous"/>
    </xf>
    <xf numFmtId="0" fontId="42" fillId="0" borderId="0" xfId="2" applyFont="1" applyFill="1"/>
    <xf numFmtId="0" fontId="42" fillId="0" borderId="0" xfId="2" applyFont="1"/>
    <xf numFmtId="0" fontId="42" fillId="0" borderId="0" xfId="2" applyFont="1" applyFill="1" applyBorder="1" applyAlignment="1">
      <alignment horizontal="centerContinuous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00FF"/>
      <color rgb="FF008080"/>
      <color rgb="FFFFCCFF"/>
      <color rgb="FF0099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wprd.puget.com:50100/irj/go/km/docs/documents/Public%20Documents/Sales%20and%20Margin%20Reports%20(Final)/Sales%20of%20Electricity/2011/Sales_of_Electricity_2011_02_final_20110310_15372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Low%20Income/2022/2022%20Sch%20129%20Filing%20(eff.%20Oct%201,%202022)/Revenue%20Requirement/UXXXX-Advice-2022-23-PSE-WP-Low-Income-Rev-Req-(8-31-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Footnotes"/>
      <sheetName val="Strings"/>
      <sheetName val="ZZCOOM_M03_Q004"/>
      <sheetName val="ZZCOOM_M03_Q004SKF"/>
      <sheetName val="ZZCOOM_M03_Q004ORDERS"/>
      <sheetName val="Revision History"/>
      <sheetName val="Grap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Req 2022-2023"/>
      <sheetName val="COVID Assistance Funding"/>
      <sheetName val="Summary of RR change"/>
      <sheetName val="Revenue Req 2021-2022"/>
      <sheetName val="2021 Elec&amp;Gas Forecast Revenue"/>
      <sheetName val="2021-2022 Elec Rev Collected"/>
      <sheetName val="2020-2021 Elec Rev Collected"/>
      <sheetName val="2021 Elec Rates"/>
      <sheetName val="2020 Elec Rates"/>
      <sheetName val="F22 Electric - Load"/>
      <sheetName val="Electric - Load"/>
      <sheetName val="2021-2022 Gas Rev Collected"/>
      <sheetName val="2020-2021 Gas Rev Collected"/>
      <sheetName val="2021 Prop G Rates"/>
      <sheetName val="2020 Proposed Gas Rates"/>
      <sheetName val="ConvFac Elec -2019 GRC"/>
      <sheetName val="ConvFac Gas-2019 GRC"/>
      <sheetName val="F22 Gas - Load"/>
      <sheetName val="Gas - Load"/>
      <sheetName val="Elec Sch 142 5-2022"/>
      <sheetName val="Elec Sch 142 5-2021"/>
      <sheetName val="Gas Sch 142 05-2022"/>
      <sheetName val="Gas Sch 142 05-2021"/>
      <sheetName val="LIHEAP Credit"/>
      <sheetName val="2020 PCORC Low-Income Funding"/>
      <sheetName val="2020 PCORC Electr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2"/>
  <sheetViews>
    <sheetView tabSelected="1" zoomScale="90" zoomScaleNormal="90" workbookViewId="0">
      <pane ySplit="8" topLeftCell="A27" activePane="bottomLeft" state="frozen"/>
      <selection pane="bottomLeft" activeCell="I49" sqref="I49"/>
    </sheetView>
  </sheetViews>
  <sheetFormatPr defaultColWidth="8.81640625" defaultRowHeight="12.5" x14ac:dyDescent="0.25"/>
  <cols>
    <col min="1" max="1" width="2.54296875" style="43" customWidth="1"/>
    <col min="2" max="2" width="4.54296875" style="43" customWidth="1"/>
    <col min="3" max="3" width="2.81640625" style="43" customWidth="1"/>
    <col min="4" max="4" width="26.7265625" style="43" customWidth="1"/>
    <col min="5" max="5" width="8.81640625" style="43" customWidth="1"/>
    <col min="6" max="6" width="13.54296875" style="43" bestFit="1" customWidth="1"/>
    <col min="7" max="7" width="15.453125" style="43" bestFit="1" customWidth="1"/>
    <col min="8" max="8" width="8" style="43" bestFit="1" customWidth="1"/>
    <col min="9" max="9" width="13.26953125" style="43" customWidth="1"/>
    <col min="10" max="10" width="12.54296875" style="43" customWidth="1"/>
    <col min="11" max="11" width="13.453125" style="43" customWidth="1"/>
    <col min="12" max="12" width="15.26953125" style="43" bestFit="1" customWidth="1"/>
    <col min="13" max="13" width="10" style="43" customWidth="1"/>
    <col min="14" max="14" width="14.54296875" style="43" customWidth="1"/>
    <col min="15" max="15" width="10.54296875" style="43" customWidth="1"/>
    <col min="16" max="16384" width="8.81640625" style="43"/>
  </cols>
  <sheetData>
    <row r="1" spans="2:15" ht="15" customHeight="1" x14ac:dyDescent="0.25">
      <c r="B1" s="175" t="s">
        <v>13</v>
      </c>
      <c r="C1" s="175"/>
      <c r="D1" s="175"/>
      <c r="E1" s="175"/>
      <c r="F1" s="175"/>
      <c r="G1" s="175"/>
      <c r="H1" s="175"/>
      <c r="I1" s="175"/>
      <c r="J1" s="175"/>
      <c r="K1" s="175"/>
      <c r="L1" s="33"/>
    </row>
    <row r="2" spans="2:15" s="42" customFormat="1" ht="15" customHeight="1" x14ac:dyDescent="0.3">
      <c r="B2" s="175" t="str">
        <f>J5&amp;" Gas Schedule 129 Low Income Program Filing"</f>
        <v>2022 Gas Schedule 129 Low Income Program Filing</v>
      </c>
      <c r="C2" s="175"/>
      <c r="D2" s="175"/>
      <c r="E2" s="175"/>
      <c r="F2" s="175"/>
      <c r="G2" s="175"/>
      <c r="H2" s="175"/>
      <c r="I2" s="400"/>
      <c r="J2" s="400"/>
      <c r="K2" s="400"/>
      <c r="L2" s="59"/>
    </row>
    <row r="3" spans="2:15" s="42" customFormat="1" ht="15" customHeight="1" x14ac:dyDescent="0.25">
      <c r="B3" s="59" t="s">
        <v>96</v>
      </c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2:15" s="42" customFormat="1" ht="15" customHeight="1" x14ac:dyDescent="0.3">
      <c r="B4" s="59" t="s">
        <v>305</v>
      </c>
      <c r="C4" s="59"/>
      <c r="D4" s="59"/>
      <c r="E4" s="59"/>
      <c r="F4" s="59"/>
      <c r="G4" s="59"/>
      <c r="H4" s="59"/>
      <c r="I4" s="69"/>
      <c r="J4" s="69"/>
      <c r="K4" s="69"/>
      <c r="L4" s="59"/>
    </row>
    <row r="5" spans="2:15" s="42" customFormat="1" x14ac:dyDescent="0.25">
      <c r="J5" s="307">
        <f>F6+1</f>
        <v>2022</v>
      </c>
    </row>
    <row r="6" spans="2:15" s="42" customFormat="1" x14ac:dyDescent="0.25">
      <c r="F6" s="401">
        <v>2021</v>
      </c>
      <c r="G6" s="44">
        <f>+F6</f>
        <v>2021</v>
      </c>
      <c r="H6" s="307"/>
      <c r="I6" s="307" t="s">
        <v>40</v>
      </c>
      <c r="J6" s="307" t="s">
        <v>28</v>
      </c>
      <c r="K6" s="307"/>
    </row>
    <row r="7" spans="2:15" s="42" customFormat="1" x14ac:dyDescent="0.25">
      <c r="E7" s="307" t="s">
        <v>12</v>
      </c>
      <c r="F7" s="307" t="s">
        <v>11</v>
      </c>
      <c r="G7" s="44" t="s">
        <v>39</v>
      </c>
      <c r="H7" s="307" t="s">
        <v>10</v>
      </c>
      <c r="I7" s="307" t="s">
        <v>6</v>
      </c>
      <c r="J7" s="307" t="s">
        <v>150</v>
      </c>
      <c r="K7" s="307" t="s">
        <v>29</v>
      </c>
    </row>
    <row r="8" spans="2:15" s="42" customFormat="1" ht="14.5" x14ac:dyDescent="0.25">
      <c r="B8" s="87" t="s">
        <v>38</v>
      </c>
      <c r="C8" s="524" t="s">
        <v>27</v>
      </c>
      <c r="D8" s="524"/>
      <c r="E8" s="17" t="s">
        <v>7</v>
      </c>
      <c r="F8" s="17" t="s">
        <v>90</v>
      </c>
      <c r="G8" s="17" t="s">
        <v>91</v>
      </c>
      <c r="H8" s="17" t="s">
        <v>37</v>
      </c>
      <c r="I8" s="17" t="s">
        <v>36</v>
      </c>
      <c r="J8" s="17" t="s">
        <v>112</v>
      </c>
      <c r="K8" s="17" t="s">
        <v>6</v>
      </c>
    </row>
    <row r="9" spans="2:15" s="42" customFormat="1" x14ac:dyDescent="0.25">
      <c r="B9" s="307">
        <v>1</v>
      </c>
      <c r="C9" s="42" t="s">
        <v>5</v>
      </c>
      <c r="E9" s="307" t="s">
        <v>26</v>
      </c>
      <c r="F9" s="2">
        <f>'Margin Revenue'!M10</f>
        <v>610028363.10562325</v>
      </c>
      <c r="G9" s="50">
        <f>+'Margin Revenue'!N10</f>
        <v>393697500.04951334</v>
      </c>
      <c r="H9" s="49">
        <f>G9/$G$47</f>
        <v>0.70536225287597143</v>
      </c>
      <c r="I9" s="402">
        <f>$I$49*H9</f>
        <v>1929112.4564697787</v>
      </c>
      <c r="J9" s="403">
        <f>ROUND(I9/F9,5)</f>
        <v>3.16E-3</v>
      </c>
      <c r="K9" s="402">
        <f>F9*(J9)</f>
        <v>1927689.6274137695</v>
      </c>
      <c r="L9" s="404"/>
      <c r="M9" s="405"/>
      <c r="N9" s="41"/>
      <c r="O9" s="53"/>
    </row>
    <row r="10" spans="2:15" s="42" customFormat="1" x14ac:dyDescent="0.25">
      <c r="B10" s="307"/>
      <c r="E10" s="307"/>
      <c r="F10" s="406"/>
      <c r="G10" s="407"/>
      <c r="H10" s="49"/>
      <c r="I10" s="402"/>
      <c r="J10" s="403"/>
      <c r="K10" s="402"/>
      <c r="M10" s="405"/>
      <c r="N10" s="41"/>
      <c r="O10" s="53"/>
    </row>
    <row r="11" spans="2:15" s="42" customFormat="1" x14ac:dyDescent="0.25">
      <c r="B11" s="307">
        <v>2</v>
      </c>
      <c r="C11" s="42" t="s">
        <v>25</v>
      </c>
      <c r="E11" s="307" t="s">
        <v>35</v>
      </c>
      <c r="F11" s="2">
        <f>'Margin Revenue'!M13</f>
        <v>227926862.9423449</v>
      </c>
      <c r="G11" s="50">
        <f>+'Margin Revenue'!N13</f>
        <v>124343394.60665569</v>
      </c>
      <c r="H11" s="49">
        <f>G11/$G$47</f>
        <v>0.22277798802117382</v>
      </c>
      <c r="I11" s="402">
        <f>$I$49*H11</f>
        <v>609280.96161461284</v>
      </c>
      <c r="J11" s="403">
        <f>ROUND(I11/F11,5)</f>
        <v>2.6700000000000001E-3</v>
      </c>
      <c r="K11" s="402">
        <f>F11*(J11)</f>
        <v>608564.72405606089</v>
      </c>
      <c r="L11" s="404"/>
      <c r="M11" s="405"/>
      <c r="N11" s="41"/>
      <c r="O11" s="53"/>
    </row>
    <row r="12" spans="2:15" s="42" customFormat="1" x14ac:dyDescent="0.25">
      <c r="B12" s="307"/>
      <c r="E12" s="307"/>
      <c r="F12" s="406"/>
      <c r="G12" s="23"/>
      <c r="H12" s="49"/>
      <c r="I12" s="402"/>
      <c r="J12" s="403"/>
      <c r="K12" s="402"/>
      <c r="M12" s="405"/>
      <c r="N12" s="41"/>
      <c r="O12" s="53"/>
    </row>
    <row r="13" spans="2:15" s="42" customFormat="1" x14ac:dyDescent="0.25">
      <c r="B13" s="307">
        <v>3</v>
      </c>
      <c r="C13" s="42" t="s">
        <v>24</v>
      </c>
      <c r="E13" s="307" t="s">
        <v>34</v>
      </c>
      <c r="F13" s="2">
        <f>'Margin Revenue'!M15</f>
        <v>83760025.108578265</v>
      </c>
      <c r="G13" s="50">
        <f>+'Margin Revenue'!N15</f>
        <v>22132008.393287688</v>
      </c>
      <c r="H13" s="49">
        <f>G13/G$47</f>
        <v>3.9652482677680158E-2</v>
      </c>
      <c r="I13" s="408">
        <f>$I$49*H13</f>
        <v>108446.54353358966</v>
      </c>
      <c r="J13" s="403">
        <f>ROUND(I13/F13,5)</f>
        <v>1.2899999999999999E-3</v>
      </c>
      <c r="K13" s="402">
        <f>F13*(J13)</f>
        <v>108050.43239006595</v>
      </c>
      <c r="L13" s="26"/>
      <c r="M13" s="405"/>
      <c r="N13" s="41"/>
      <c r="O13" s="53"/>
    </row>
    <row r="14" spans="2:15" s="42" customFormat="1" x14ac:dyDescent="0.25">
      <c r="B14" s="307"/>
      <c r="E14" s="307"/>
      <c r="F14" s="34"/>
      <c r="G14" s="50"/>
      <c r="H14" s="49"/>
      <c r="I14" s="408"/>
      <c r="J14" s="403"/>
      <c r="K14" s="402"/>
      <c r="M14" s="405"/>
      <c r="N14" s="41"/>
      <c r="O14" s="53"/>
    </row>
    <row r="15" spans="2:15" s="42" customFormat="1" x14ac:dyDescent="0.25">
      <c r="B15" s="307">
        <v>4</v>
      </c>
      <c r="C15" s="42" t="s">
        <v>4</v>
      </c>
      <c r="E15" s="307">
        <v>85</v>
      </c>
      <c r="F15" s="2"/>
      <c r="G15" s="50"/>
      <c r="H15" s="49"/>
      <c r="I15" s="408"/>
      <c r="J15" s="403"/>
      <c r="K15" s="402"/>
      <c r="M15" s="405"/>
      <c r="N15" s="41"/>
      <c r="O15" s="53"/>
    </row>
    <row r="16" spans="2:15" s="42" customFormat="1" x14ac:dyDescent="0.25">
      <c r="B16" s="307">
        <v>5</v>
      </c>
      <c r="D16" s="42" t="s">
        <v>19</v>
      </c>
      <c r="E16" s="307"/>
      <c r="F16" s="2">
        <f>'Sch 85 87 Rate Calc'!G10</f>
        <v>7731832.7691030335</v>
      </c>
      <c r="G16" s="50"/>
      <c r="H16" s="49"/>
      <c r="I16" s="23"/>
      <c r="J16" s="409">
        <f>'Sch 85 87 Rate Calc'!L10</f>
        <v>9.1E-4</v>
      </c>
      <c r="K16" s="402"/>
      <c r="L16" s="34"/>
      <c r="M16" s="405"/>
      <c r="N16" s="41"/>
      <c r="O16" s="53"/>
    </row>
    <row r="17" spans="2:15" s="42" customFormat="1" x14ac:dyDescent="0.25">
      <c r="B17" s="307">
        <v>6</v>
      </c>
      <c r="D17" s="42" t="s">
        <v>18</v>
      </c>
      <c r="E17" s="307"/>
      <c r="F17" s="2">
        <f>'Sch 85 87 Rate Calc'!G11</f>
        <v>4300893.6376835331</v>
      </c>
      <c r="G17" s="50"/>
      <c r="H17" s="49"/>
      <c r="I17" s="23"/>
      <c r="J17" s="409">
        <f>'Sch 85 87 Rate Calc'!L11</f>
        <v>5.5999999999999995E-4</v>
      </c>
      <c r="K17" s="402"/>
      <c r="M17" s="405"/>
      <c r="N17" s="41"/>
      <c r="O17" s="53"/>
    </row>
    <row r="18" spans="2:15" s="42" customFormat="1" x14ac:dyDescent="0.25">
      <c r="B18" s="307">
        <v>7</v>
      </c>
      <c r="D18" s="42" t="s">
        <v>23</v>
      </c>
      <c r="E18" s="307"/>
      <c r="F18" s="1">
        <f>'Sch 85 87 Rate Calc'!G16</f>
        <v>7063805.5524261314</v>
      </c>
      <c r="G18" s="50"/>
      <c r="H18" s="49"/>
      <c r="I18" s="23"/>
      <c r="J18" s="409">
        <f>'Sch 85 87 Rate Calc'!L16</f>
        <v>3.2000000000000003E-4</v>
      </c>
      <c r="K18" s="402"/>
      <c r="M18" s="405"/>
      <c r="N18" s="41"/>
      <c r="O18" s="53"/>
    </row>
    <row r="19" spans="2:15" s="42" customFormat="1" x14ac:dyDescent="0.25">
      <c r="B19" s="307">
        <v>8</v>
      </c>
      <c r="D19" s="42" t="s">
        <v>0</v>
      </c>
      <c r="E19" s="307"/>
      <c r="F19" s="34">
        <f>SUM(F16:F18)</f>
        <v>19096531.959212698</v>
      </c>
      <c r="G19" s="50">
        <f>+'Margin Revenue'!N20</f>
        <v>2230514.4478399055</v>
      </c>
      <c r="H19" s="49">
        <f>G19/G$47</f>
        <v>3.9962679361766089E-3</v>
      </c>
      <c r="I19" s="408">
        <f>$I$49*H19</f>
        <v>10929.490802259643</v>
      </c>
      <c r="J19" s="403"/>
      <c r="K19" s="50">
        <f>'Sch 85 87 Rate Calc'!M17</f>
        <v>11704.886033762901</v>
      </c>
      <c r="M19" s="405"/>
      <c r="N19" s="41"/>
      <c r="O19" s="53"/>
    </row>
    <row r="20" spans="2:15" s="42" customFormat="1" x14ac:dyDescent="0.25">
      <c r="B20" s="307"/>
      <c r="E20" s="307"/>
      <c r="F20" s="34"/>
      <c r="G20" s="407"/>
      <c r="H20" s="49"/>
      <c r="I20" s="408"/>
      <c r="J20" s="403"/>
      <c r="K20" s="402"/>
      <c r="M20" s="405"/>
      <c r="N20" s="41"/>
      <c r="O20" s="53"/>
    </row>
    <row r="21" spans="2:15" s="42" customFormat="1" x14ac:dyDescent="0.25">
      <c r="B21" s="307">
        <v>9</v>
      </c>
      <c r="C21" s="42" t="s">
        <v>4</v>
      </c>
      <c r="E21" s="307" t="s">
        <v>33</v>
      </c>
      <c r="F21" s="29">
        <f>'Margin Revenue'!M17</f>
        <v>7474724.5877283467</v>
      </c>
      <c r="G21" s="50">
        <f>'Margin Revenue'!N17</f>
        <v>1708272.8281041076</v>
      </c>
      <c r="H21" s="49">
        <f>G21/G$47</f>
        <v>3.0606015288559868E-3</v>
      </c>
      <c r="I21" s="408">
        <f>$I$49*H21</f>
        <v>8370.5138877692625</v>
      </c>
      <c r="J21" s="403">
        <f>ROUND(I21/F21,5)</f>
        <v>1.1199999999999999E-3</v>
      </c>
      <c r="K21" s="402">
        <f>F21*(J21)</f>
        <v>8371.6915382557472</v>
      </c>
      <c r="M21" s="405"/>
      <c r="N21" s="41"/>
      <c r="O21" s="53"/>
    </row>
    <row r="22" spans="2:15" s="42" customFormat="1" x14ac:dyDescent="0.25">
      <c r="B22" s="307"/>
      <c r="E22" s="307"/>
      <c r="F22" s="34"/>
      <c r="G22" s="50"/>
      <c r="H22" s="49"/>
      <c r="I22" s="408"/>
      <c r="J22" s="403"/>
      <c r="K22" s="402"/>
      <c r="M22" s="405"/>
      <c r="N22" s="41"/>
      <c r="O22" s="53"/>
    </row>
    <row r="23" spans="2:15" s="42" customFormat="1" x14ac:dyDescent="0.25">
      <c r="B23" s="307">
        <v>10</v>
      </c>
      <c r="C23" s="42" t="s">
        <v>4</v>
      </c>
      <c r="E23" s="307">
        <v>87</v>
      </c>
      <c r="F23" s="34"/>
      <c r="G23" s="50"/>
      <c r="H23" s="49"/>
      <c r="I23" s="408"/>
      <c r="J23" s="403"/>
      <c r="K23" s="402"/>
      <c r="M23" s="405"/>
      <c r="N23" s="41"/>
      <c r="O23" s="53"/>
    </row>
    <row r="24" spans="2:15" s="42" customFormat="1" x14ac:dyDescent="0.25">
      <c r="B24" s="307">
        <v>11</v>
      </c>
      <c r="D24" s="42" t="s">
        <v>19</v>
      </c>
      <c r="E24" s="307"/>
      <c r="F24" s="2">
        <f>'Sch 85 87 Rate Calc'!G20</f>
        <v>1295749.0995656035</v>
      </c>
      <c r="G24" s="50"/>
      <c r="H24" s="49"/>
      <c r="I24" s="408"/>
      <c r="J24" s="409">
        <f>'Sch 85 87 Rate Calc'!L20</f>
        <v>9.1E-4</v>
      </c>
      <c r="K24" s="402"/>
      <c r="M24" s="405"/>
      <c r="N24" s="41"/>
      <c r="O24" s="53"/>
    </row>
    <row r="25" spans="2:15" s="42" customFormat="1" x14ac:dyDescent="0.25">
      <c r="B25" s="307">
        <v>12</v>
      </c>
      <c r="D25" s="42" t="s">
        <v>18</v>
      </c>
      <c r="E25" s="307"/>
      <c r="F25" s="2">
        <f>'Sch 85 87 Rate Calc'!G21</f>
        <v>1239000.7711869655</v>
      </c>
      <c r="G25" s="50"/>
      <c r="H25" s="49"/>
      <c r="I25" s="408"/>
      <c r="J25" s="409">
        <f>'Sch 85 87 Rate Calc'!L21</f>
        <v>5.5999999999999995E-4</v>
      </c>
      <c r="K25" s="402"/>
      <c r="M25" s="405"/>
      <c r="N25" s="41"/>
      <c r="O25" s="53"/>
    </row>
    <row r="26" spans="2:15" s="42" customFormat="1" x14ac:dyDescent="0.25">
      <c r="B26" s="307">
        <v>13</v>
      </c>
      <c r="D26" s="42" t="s">
        <v>17</v>
      </c>
      <c r="E26" s="307"/>
      <c r="F26" s="2">
        <f>'Sch 85 87 Rate Calc'!G22</f>
        <v>2186688.7650560704</v>
      </c>
      <c r="G26" s="50"/>
      <c r="H26" s="49"/>
      <c r="I26" s="408"/>
      <c r="J26" s="409">
        <f>'Sch 85 87 Rate Calc'!L22</f>
        <v>3.6999999999999999E-4</v>
      </c>
      <c r="K26" s="402"/>
      <c r="M26" s="405"/>
      <c r="N26" s="41"/>
      <c r="O26" s="53"/>
    </row>
    <row r="27" spans="2:15" s="42" customFormat="1" x14ac:dyDescent="0.25">
      <c r="B27" s="307">
        <v>14</v>
      </c>
      <c r="D27" s="42" t="s">
        <v>16</v>
      </c>
      <c r="E27" s="307"/>
      <c r="F27" s="2">
        <f>'Sch 85 87 Rate Calc'!G23</f>
        <v>2865739.2682994045</v>
      </c>
      <c r="G27" s="50"/>
      <c r="H27" s="49"/>
      <c r="I27" s="408"/>
      <c r="J27" s="409">
        <f>'Sch 85 87 Rate Calc'!L23</f>
        <v>2.5000000000000001E-4</v>
      </c>
      <c r="K27" s="402"/>
      <c r="M27" s="405"/>
      <c r="N27" s="41"/>
      <c r="O27" s="53"/>
    </row>
    <row r="28" spans="2:15" s="42" customFormat="1" x14ac:dyDescent="0.25">
      <c r="B28" s="307">
        <v>15</v>
      </c>
      <c r="D28" s="42" t="s">
        <v>15</v>
      </c>
      <c r="E28" s="307"/>
      <c r="F28" s="2">
        <f>'Sch 85 87 Rate Calc'!G24</f>
        <v>3703934.1389381443</v>
      </c>
      <c r="G28" s="50"/>
      <c r="H28" s="49"/>
      <c r="I28" s="408"/>
      <c r="J28" s="409">
        <f>'Sch 85 87 Rate Calc'!L24</f>
        <v>1.9000000000000001E-4</v>
      </c>
      <c r="K28" s="402"/>
      <c r="M28" s="405"/>
      <c r="N28" s="41"/>
      <c r="O28" s="53"/>
    </row>
    <row r="29" spans="2:15" s="42" customFormat="1" x14ac:dyDescent="0.25">
      <c r="B29" s="307">
        <v>16</v>
      </c>
      <c r="D29" s="42" t="s">
        <v>21</v>
      </c>
      <c r="E29" s="307"/>
      <c r="F29" s="1">
        <f>'Sch 85 87 Rate Calc'!G25</f>
        <v>9852245.4167201295</v>
      </c>
      <c r="G29" s="50"/>
      <c r="H29" s="49"/>
      <c r="I29" s="408"/>
      <c r="J29" s="409">
        <f>'Sch 85 87 Rate Calc'!L25</f>
        <v>1.4999999999999999E-4</v>
      </c>
      <c r="K29" s="402"/>
      <c r="M29" s="405"/>
      <c r="N29" s="41"/>
      <c r="O29" s="53"/>
    </row>
    <row r="30" spans="2:15" s="42" customFormat="1" x14ac:dyDescent="0.25">
      <c r="B30" s="307">
        <v>17</v>
      </c>
      <c r="D30" s="42" t="s">
        <v>0</v>
      </c>
      <c r="E30" s="307"/>
      <c r="F30" s="34">
        <f>SUM(F24:F29)</f>
        <v>21143357.459766317</v>
      </c>
      <c r="G30" s="50">
        <f>+'Margin Revenue'!N21</f>
        <v>1383221.8790941774</v>
      </c>
      <c r="H30" s="49">
        <f>G30/G$47</f>
        <v>2.4782288450968019E-3</v>
      </c>
      <c r="I30" s="408">
        <f>$I$49*H30</f>
        <v>6777.7686083516446</v>
      </c>
      <c r="J30" s="403"/>
      <c r="K30" s="50">
        <f>'Sch 85 87 Rate Calc'!M26</f>
        <v>5580.0660715212634</v>
      </c>
      <c r="M30" s="405"/>
      <c r="N30" s="41"/>
      <c r="O30" s="53"/>
    </row>
    <row r="31" spans="2:15" s="42" customFormat="1" x14ac:dyDescent="0.25">
      <c r="B31" s="307"/>
      <c r="E31" s="307"/>
      <c r="F31" s="34"/>
      <c r="G31" s="407"/>
      <c r="H31" s="49"/>
      <c r="I31" s="408"/>
      <c r="J31" s="403"/>
      <c r="K31" s="50"/>
      <c r="M31" s="410"/>
      <c r="N31" s="41"/>
      <c r="O31" s="53"/>
    </row>
    <row r="32" spans="2:15" s="42" customFormat="1" x14ac:dyDescent="0.25">
      <c r="B32" s="307">
        <f>B30+1</f>
        <v>18</v>
      </c>
      <c r="C32" s="42" t="s">
        <v>22</v>
      </c>
      <c r="E32" s="307" t="s">
        <v>3</v>
      </c>
      <c r="F32" s="34"/>
      <c r="G32" s="407"/>
      <c r="H32" s="49"/>
      <c r="I32" s="408"/>
      <c r="J32" s="403"/>
      <c r="K32" s="50"/>
      <c r="M32" s="410"/>
      <c r="N32" s="41"/>
      <c r="O32" s="53"/>
    </row>
    <row r="33" spans="2:15" s="42" customFormat="1" x14ac:dyDescent="0.25">
      <c r="B33" s="307">
        <f>B32+1</f>
        <v>19</v>
      </c>
      <c r="D33" s="42" t="s">
        <v>19</v>
      </c>
      <c r="E33" s="307"/>
      <c r="F33" s="2">
        <f>'Sch 85 87 Rate Calc'!G29</f>
        <v>24484460.633315865</v>
      </c>
      <c r="G33" s="407"/>
      <c r="H33" s="49"/>
      <c r="I33" s="408"/>
      <c r="J33" s="411">
        <f>'Sch 85 87 Rate Calc'!L29</f>
        <v>9.1E-4</v>
      </c>
      <c r="K33" s="50"/>
      <c r="M33" s="410"/>
      <c r="N33" s="41"/>
      <c r="O33" s="53"/>
    </row>
    <row r="34" spans="2:15" s="42" customFormat="1" x14ac:dyDescent="0.25">
      <c r="B34" s="307">
        <f>B33+1</f>
        <v>20</v>
      </c>
      <c r="D34" s="42" t="s">
        <v>18</v>
      </c>
      <c r="E34" s="307"/>
      <c r="F34" s="2">
        <f>'Sch 85 87 Rate Calc'!G30</f>
        <v>17174313.556782313</v>
      </c>
      <c r="G34" s="407"/>
      <c r="H34" s="49"/>
      <c r="I34" s="408"/>
      <c r="J34" s="411">
        <f>'Sch 85 87 Rate Calc'!L30</f>
        <v>5.5999999999999995E-4</v>
      </c>
      <c r="K34" s="50"/>
      <c r="M34" s="410"/>
      <c r="N34" s="41"/>
      <c r="O34" s="53"/>
    </row>
    <row r="35" spans="2:15" s="42" customFormat="1" x14ac:dyDescent="0.25">
      <c r="B35" s="307">
        <f>B34+1</f>
        <v>21</v>
      </c>
      <c r="D35" s="42" t="s">
        <v>23</v>
      </c>
      <c r="E35" s="307"/>
      <c r="F35" s="1">
        <f>'Sch 85 87 Rate Calc'!G35</f>
        <v>28624552.281885359</v>
      </c>
      <c r="G35" s="407"/>
      <c r="H35" s="49"/>
      <c r="I35" s="408"/>
      <c r="J35" s="411">
        <f>'Sch 85 87 Rate Calc'!L35</f>
        <v>3.2000000000000003E-4</v>
      </c>
      <c r="K35" s="50"/>
      <c r="M35" s="410"/>
      <c r="N35" s="41"/>
      <c r="O35" s="53"/>
    </row>
    <row r="36" spans="2:15" s="42" customFormat="1" x14ac:dyDescent="0.25">
      <c r="B36" s="307">
        <f>B35+1</f>
        <v>22</v>
      </c>
      <c r="D36" s="42" t="s">
        <v>0</v>
      </c>
      <c r="E36" s="307"/>
      <c r="F36" s="34">
        <f>SUM(F33:F35)</f>
        <v>70283326.471983537</v>
      </c>
      <c r="G36" s="50">
        <f>+'Margin Revenue'!N25</f>
        <v>7876737.2105572745</v>
      </c>
      <c r="H36" s="49">
        <f>G36/G$47</f>
        <v>1.4112238719961213E-2</v>
      </c>
      <c r="I36" s="408">
        <f>$I$49*H36</f>
        <v>38595.906418796265</v>
      </c>
      <c r="J36" s="403"/>
      <c r="K36" s="50">
        <f>'Sch 85 87 Rate Calc'!M36</f>
        <v>41058.331498318847</v>
      </c>
      <c r="M36" s="405"/>
      <c r="N36" s="41"/>
      <c r="O36" s="53"/>
    </row>
    <row r="37" spans="2:15" s="42" customFormat="1" x14ac:dyDescent="0.25">
      <c r="B37" s="307"/>
      <c r="E37" s="307"/>
      <c r="F37" s="34"/>
      <c r="G37" s="407"/>
      <c r="H37" s="49"/>
      <c r="I37" s="408"/>
      <c r="J37" s="403"/>
      <c r="K37" s="50"/>
      <c r="M37" s="410"/>
      <c r="N37" s="41"/>
      <c r="O37" s="53"/>
    </row>
    <row r="38" spans="2:15" s="42" customFormat="1" x14ac:dyDescent="0.25">
      <c r="B38" s="307">
        <f>B36+1</f>
        <v>23</v>
      </c>
      <c r="C38" s="42" t="s">
        <v>22</v>
      </c>
      <c r="E38" s="307" t="s">
        <v>2</v>
      </c>
      <c r="F38" s="34"/>
      <c r="G38" s="407"/>
      <c r="H38" s="49"/>
      <c r="I38" s="408"/>
      <c r="J38" s="403"/>
      <c r="K38" s="50"/>
      <c r="M38" s="410"/>
      <c r="N38" s="41"/>
      <c r="O38" s="53"/>
    </row>
    <row r="39" spans="2:15" s="42" customFormat="1" x14ac:dyDescent="0.25">
      <c r="B39" s="307">
        <f t="shared" ref="B39:B45" si="0">B38+1</f>
        <v>24</v>
      </c>
      <c r="D39" s="42" t="s">
        <v>19</v>
      </c>
      <c r="E39" s="307"/>
      <c r="F39" s="2">
        <f>'Sch 85 87 Rate Calc'!G39</f>
        <v>2996928.4229749735</v>
      </c>
      <c r="G39" s="407"/>
      <c r="H39" s="49"/>
      <c r="I39" s="408"/>
      <c r="J39" s="411">
        <f>'Sch 85 87 Rate Calc'!L39</f>
        <v>9.1E-4</v>
      </c>
      <c r="K39" s="50"/>
      <c r="M39" s="410"/>
      <c r="N39" s="41"/>
      <c r="O39" s="53"/>
    </row>
    <row r="40" spans="2:15" s="42" customFormat="1" x14ac:dyDescent="0.25">
      <c r="B40" s="307">
        <f t="shared" si="0"/>
        <v>25</v>
      </c>
      <c r="D40" s="42" t="s">
        <v>18</v>
      </c>
      <c r="E40" s="307"/>
      <c r="F40" s="2">
        <f>'Sch 85 87 Rate Calc'!G40</f>
        <v>2996928.4229749735</v>
      </c>
      <c r="G40" s="407"/>
      <c r="H40" s="49"/>
      <c r="I40" s="408"/>
      <c r="J40" s="411">
        <f>'Sch 85 87 Rate Calc'!L40</f>
        <v>5.5999999999999995E-4</v>
      </c>
      <c r="K40" s="50"/>
      <c r="M40" s="410"/>
      <c r="N40" s="41"/>
      <c r="O40" s="53"/>
    </row>
    <row r="41" spans="2:15" s="42" customFormat="1" x14ac:dyDescent="0.25">
      <c r="B41" s="307">
        <f t="shared" si="0"/>
        <v>26</v>
      </c>
      <c r="D41" s="42" t="s">
        <v>17</v>
      </c>
      <c r="E41" s="307"/>
      <c r="F41" s="2">
        <f>'Sch 85 87 Rate Calc'!G41</f>
        <v>5993856.8459499469</v>
      </c>
      <c r="G41" s="407"/>
      <c r="H41" s="49"/>
      <c r="I41" s="408"/>
      <c r="J41" s="411">
        <f>'Sch 85 87 Rate Calc'!L41</f>
        <v>3.6999999999999999E-4</v>
      </c>
      <c r="K41" s="50"/>
      <c r="M41" s="410"/>
      <c r="N41" s="41"/>
      <c r="O41" s="53"/>
    </row>
    <row r="42" spans="2:15" s="42" customFormat="1" x14ac:dyDescent="0.25">
      <c r="B42" s="307">
        <f t="shared" si="0"/>
        <v>27</v>
      </c>
      <c r="D42" s="42" t="s">
        <v>16</v>
      </c>
      <c r="E42" s="307"/>
      <c r="F42" s="2">
        <f>'Sch 85 87 Rate Calc'!G42</f>
        <v>11470202.093868293</v>
      </c>
      <c r="G42" s="407"/>
      <c r="H42" s="49"/>
      <c r="I42" s="408"/>
      <c r="J42" s="411">
        <f>'Sch 85 87 Rate Calc'!L42</f>
        <v>2.5000000000000001E-4</v>
      </c>
      <c r="K42" s="50"/>
      <c r="M42" s="410"/>
      <c r="N42" s="41"/>
      <c r="O42" s="53"/>
    </row>
    <row r="43" spans="2:15" s="42" customFormat="1" x14ac:dyDescent="0.25">
      <c r="B43" s="307">
        <f t="shared" si="0"/>
        <v>28</v>
      </c>
      <c r="D43" s="42" t="s">
        <v>15</v>
      </c>
      <c r="E43" s="307"/>
      <c r="F43" s="2">
        <f>'Sch 85 87 Rate Calc'!G43</f>
        <v>25713398.123042308</v>
      </c>
      <c r="G43" s="407"/>
      <c r="H43" s="49"/>
      <c r="I43" s="408"/>
      <c r="J43" s="411">
        <f>'Sch 85 87 Rate Calc'!L43</f>
        <v>1.9000000000000001E-4</v>
      </c>
      <c r="K43" s="50"/>
      <c r="M43" s="410"/>
      <c r="N43" s="41"/>
      <c r="O43" s="53"/>
    </row>
    <row r="44" spans="2:15" s="42" customFormat="1" x14ac:dyDescent="0.25">
      <c r="B44" s="307">
        <f t="shared" si="0"/>
        <v>29</v>
      </c>
      <c r="D44" s="42" t="s">
        <v>21</v>
      </c>
      <c r="E44" s="307"/>
      <c r="F44" s="1">
        <f>'Sch 85 87 Rate Calc'!G44</f>
        <v>47104643.057064503</v>
      </c>
      <c r="G44" s="407"/>
      <c r="H44" s="49"/>
      <c r="I44" s="408"/>
      <c r="J44" s="411">
        <f>'Sch 85 87 Rate Calc'!L44</f>
        <v>1.4999999999999999E-4</v>
      </c>
      <c r="K44" s="50"/>
      <c r="M44" s="410"/>
      <c r="N44" s="41"/>
      <c r="O44" s="53"/>
    </row>
    <row r="45" spans="2:15" s="42" customFormat="1" x14ac:dyDescent="0.25">
      <c r="B45" s="307">
        <f t="shared" si="0"/>
        <v>30</v>
      </c>
      <c r="D45" s="42" t="s">
        <v>0</v>
      </c>
      <c r="E45" s="307"/>
      <c r="F45" s="34">
        <f>SUM(F39:F44)</f>
        <v>96275956.965875</v>
      </c>
      <c r="G45" s="50">
        <f>+'Margin Revenue'!N26</f>
        <v>4777724.8168290956</v>
      </c>
      <c r="H45" s="49">
        <f>G45/G$47</f>
        <v>8.5599393950842404E-3</v>
      </c>
      <c r="I45" s="408">
        <f>$I$49*H45</f>
        <v>23410.787359763915</v>
      </c>
      <c r="J45" s="403"/>
      <c r="K45" s="50">
        <f>'Sch 85 87 Rate Calc'!M45</f>
        <v>21442.00444017948</v>
      </c>
      <c r="M45" s="405"/>
      <c r="N45" s="41"/>
      <c r="O45" s="53"/>
    </row>
    <row r="46" spans="2:15" s="42" customFormat="1" x14ac:dyDescent="0.25">
      <c r="B46" s="307"/>
      <c r="F46" s="89"/>
      <c r="G46" s="87"/>
      <c r="H46" s="412"/>
      <c r="I46" s="413"/>
      <c r="J46" s="40"/>
      <c r="K46" s="413"/>
      <c r="L46" s="87"/>
      <c r="M46" s="405"/>
      <c r="N46" s="414"/>
      <c r="O46" s="53"/>
    </row>
    <row r="47" spans="2:15" s="42" customFormat="1" x14ac:dyDescent="0.25">
      <c r="B47" s="307">
        <f>B45+1</f>
        <v>31</v>
      </c>
      <c r="D47" s="42" t="s">
        <v>0</v>
      </c>
      <c r="F47" s="15">
        <f>F9+F11+F13+F19+F21+F30+F36+F45</f>
        <v>1135989148.6011121</v>
      </c>
      <c r="G47" s="11">
        <f>G9+G11+G13+G19+G21+G30+G36+G45</f>
        <v>558149374.23188114</v>
      </c>
      <c r="H47" s="49">
        <f>SUM(H9:H46)</f>
        <v>1.0000000000000004</v>
      </c>
      <c r="I47" s="11">
        <f>I9+I11+I13+I19+I21+I30+I36+I45</f>
        <v>2734924.4286949215</v>
      </c>
      <c r="J47" s="403">
        <f>ROUND(K47/F47,5)</f>
        <v>2.4099999999999998E-3</v>
      </c>
      <c r="K47" s="11">
        <f>K9+K11+K13+K19+K21+K30+K36+K45</f>
        <v>2732461.7634419347</v>
      </c>
      <c r="L47" s="415">
        <f>K47-I47</f>
        <v>-2462.6652529868297</v>
      </c>
      <c r="M47" s="405"/>
      <c r="N47" s="41"/>
      <c r="O47" s="53"/>
    </row>
    <row r="48" spans="2:15" s="42" customFormat="1" x14ac:dyDescent="0.25">
      <c r="B48" s="307"/>
      <c r="F48" s="45"/>
      <c r="G48" s="7"/>
      <c r="H48" s="45"/>
      <c r="I48" s="45"/>
      <c r="J48" s="45"/>
      <c r="K48" s="45"/>
      <c r="L48" s="416">
        <f>L47/I47</f>
        <v>-9.0045093281132776E-4</v>
      </c>
      <c r="N48" s="54"/>
    </row>
    <row r="49" spans="2:14" s="42" customFormat="1" ht="15" customHeight="1" x14ac:dyDescent="0.25">
      <c r="B49" s="307">
        <f>B47+1</f>
        <v>32</v>
      </c>
      <c r="D49" s="42" t="s">
        <v>20</v>
      </c>
      <c r="F49" s="45"/>
      <c r="G49" s="7"/>
      <c r="H49" s="45"/>
      <c r="I49" s="50">
        <f>'Revenue Req 2022-2023'!G27</f>
        <v>2734924.4286949211</v>
      </c>
      <c r="J49" s="45"/>
      <c r="K49" s="6"/>
      <c r="L49" s="45"/>
    </row>
    <row r="50" spans="2:14" s="42" customFormat="1" x14ac:dyDescent="0.25">
      <c r="I50" s="23"/>
      <c r="N50" s="54"/>
    </row>
    <row r="51" spans="2:14" s="42" customFormat="1" ht="15" customHeight="1" x14ac:dyDescent="0.25">
      <c r="B51" s="417" t="s">
        <v>32</v>
      </c>
      <c r="C51" s="418" t="str">
        <f>'Margin Revenue'!$C$37</f>
        <v>Weather normalized volume for year ending December 31, 2021 from 2021 Commission Basis Report (CBR)</v>
      </c>
      <c r="D51" s="419"/>
      <c r="E51" s="419"/>
      <c r="F51" s="419"/>
      <c r="G51" s="419"/>
      <c r="H51" s="419"/>
      <c r="I51" s="419"/>
      <c r="J51" s="419"/>
      <c r="K51" s="419"/>
    </row>
    <row r="52" spans="2:14" s="42" customFormat="1" ht="15" customHeight="1" x14ac:dyDescent="0.25">
      <c r="B52" s="417" t="s">
        <v>31</v>
      </c>
      <c r="C52" s="525" t="str">
        <f>'Margin Revenue'!$C$38</f>
        <v>Weather normalized margin revenue for 12 months ending December 31, 2021, given 2021 volume, priced at current rates effective May 1, 2022.</v>
      </c>
      <c r="D52" s="525"/>
      <c r="E52" s="525"/>
      <c r="F52" s="525"/>
      <c r="G52" s="525"/>
      <c r="H52" s="525"/>
      <c r="I52" s="525"/>
      <c r="J52" s="525"/>
      <c r="K52" s="525"/>
      <c r="L52" s="10"/>
    </row>
    <row r="53" spans="2:14" x14ac:dyDescent="0.25">
      <c r="B53" s="36"/>
      <c r="D53" s="37"/>
      <c r="E53" s="37"/>
      <c r="F53" s="37"/>
      <c r="G53" s="37"/>
      <c r="H53" s="37"/>
    </row>
    <row r="54" spans="2:14" x14ac:dyDescent="0.25">
      <c r="C54" s="45"/>
      <c r="D54" s="45"/>
      <c r="H54" s="37"/>
    </row>
    <row r="55" spans="2:14" x14ac:dyDescent="0.25">
      <c r="C55" s="45"/>
      <c r="D55" s="38"/>
      <c r="E55" s="35"/>
      <c r="F55" s="35"/>
      <c r="H55" s="37"/>
    </row>
    <row r="56" spans="2:14" x14ac:dyDescent="0.25">
      <c r="C56" s="45"/>
      <c r="D56" s="35"/>
      <c r="E56" s="45"/>
      <c r="F56" s="45"/>
      <c r="G56" s="37"/>
      <c r="H56" s="37"/>
    </row>
    <row r="57" spans="2:14" x14ac:dyDescent="0.25">
      <c r="C57" s="45"/>
      <c r="D57" s="35"/>
      <c r="E57" s="46"/>
      <c r="F57" s="39"/>
      <c r="H57" s="37"/>
    </row>
    <row r="58" spans="2:14" x14ac:dyDescent="0.25">
      <c r="C58" s="37"/>
      <c r="D58" s="37"/>
      <c r="E58" s="46"/>
      <c r="F58" s="39"/>
      <c r="H58" s="37"/>
    </row>
    <row r="59" spans="2:14" x14ac:dyDescent="0.25">
      <c r="E59" s="46"/>
      <c r="F59" s="39"/>
    </row>
    <row r="60" spans="2:14" x14ac:dyDescent="0.25">
      <c r="E60" s="35"/>
      <c r="F60" s="35"/>
    </row>
    <row r="61" spans="2:14" x14ac:dyDescent="0.25">
      <c r="E61" s="35"/>
      <c r="F61" s="35"/>
    </row>
    <row r="62" spans="2:14" x14ac:dyDescent="0.25">
      <c r="E62" s="35"/>
      <c r="F62" s="35"/>
    </row>
  </sheetData>
  <mergeCells count="2">
    <mergeCell ref="C8:D8"/>
    <mergeCell ref="C52:K52"/>
  </mergeCells>
  <printOptions horizontalCentered="1"/>
  <pageMargins left="0.75" right="0.75" top="1" bottom="1" header="0.5" footer="0.5"/>
  <pageSetup scale="76" orientation="portrait" blackAndWhite="1" horizontalDpi="300" verticalDpi="300" r:id="rId1"/>
  <headerFooter alignWithMargins="0">
    <oddFooter>&amp;L&amp;F 
&amp;A&amp;C&amp;P&amp;R&amp;D</oddFooter>
  </headerFooter>
  <customProperties>
    <customPr name="_pios_id" r:id="rId2"/>
  </customProperties>
  <ignoredErrors>
    <ignoredError sqref="H47 J4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zoomScaleNormal="100" workbookViewId="0">
      <pane xSplit="1" ySplit="6" topLeftCell="B7" activePane="bottomRight" state="frozen"/>
      <selection activeCell="U10" sqref="U10"/>
      <selection pane="topRight" activeCell="U10" sqref="U10"/>
      <selection pane="bottomLeft" activeCell="U10" sqref="U10"/>
      <selection pane="bottomRight" activeCell="D20" sqref="D20"/>
    </sheetView>
  </sheetViews>
  <sheetFormatPr defaultRowHeight="12.5" x14ac:dyDescent="0.25"/>
  <cols>
    <col min="1" max="1" width="8.54296875" style="309" customWidth="1"/>
    <col min="2" max="2" width="43.1796875" style="309" customWidth="1"/>
    <col min="3" max="3" width="38.90625" style="309" customWidth="1"/>
    <col min="4" max="5" width="10.453125" style="309" customWidth="1"/>
    <col min="6" max="6" width="12.36328125" style="308" bestFit="1" customWidth="1"/>
    <col min="7" max="7" width="11.90625" style="308" bestFit="1" customWidth="1"/>
    <col min="8" max="8" width="12.36328125" style="308" bestFit="1" customWidth="1"/>
    <col min="9" max="9" width="11.90625" style="309" bestFit="1" customWidth="1"/>
    <col min="10" max="10" width="17.453125" style="308" customWidth="1"/>
    <col min="11" max="21" width="8.7265625" style="308"/>
    <col min="22" max="16384" width="8.7265625" style="309"/>
  </cols>
  <sheetData>
    <row r="1" spans="1:21" s="539" customFormat="1" ht="15.5" x14ac:dyDescent="0.35">
      <c r="A1" s="537" t="s">
        <v>87</v>
      </c>
      <c r="B1" s="537"/>
      <c r="C1" s="537"/>
      <c r="D1" s="537"/>
      <c r="E1" s="537"/>
      <c r="F1" s="537"/>
      <c r="G1" s="537"/>
      <c r="H1" s="537"/>
      <c r="I1" s="537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</row>
    <row r="2" spans="1:21" s="539" customFormat="1" ht="15.5" x14ac:dyDescent="0.35">
      <c r="A2" s="537" t="s">
        <v>86</v>
      </c>
      <c r="B2" s="537"/>
      <c r="C2" s="537"/>
      <c r="D2" s="537"/>
      <c r="E2" s="537"/>
      <c r="F2" s="537"/>
      <c r="G2" s="537"/>
      <c r="H2" s="537"/>
      <c r="I2" s="537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</row>
    <row r="3" spans="1:21" s="539" customFormat="1" ht="15.5" x14ac:dyDescent="0.35">
      <c r="A3" s="537" t="s">
        <v>85</v>
      </c>
      <c r="B3" s="540"/>
      <c r="C3" s="540"/>
      <c r="D3" s="540"/>
      <c r="E3" s="540"/>
      <c r="F3" s="540"/>
      <c r="G3" s="540"/>
      <c r="H3" s="540"/>
      <c r="I3" s="540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38"/>
      <c r="U3" s="538"/>
    </row>
    <row r="4" spans="1:21" s="539" customFormat="1" ht="15.5" x14ac:dyDescent="0.35">
      <c r="A4" s="537" t="s">
        <v>234</v>
      </c>
      <c r="B4" s="540"/>
      <c r="C4" s="540"/>
      <c r="D4" s="540"/>
      <c r="E4" s="540"/>
      <c r="F4" s="540"/>
      <c r="G4" s="540"/>
      <c r="H4" s="540"/>
      <c r="I4" s="540"/>
      <c r="J4" s="538"/>
      <c r="K4" s="538"/>
      <c r="L4" s="538"/>
      <c r="M4" s="538"/>
      <c r="N4" s="538"/>
      <c r="O4" s="538"/>
      <c r="P4" s="538"/>
      <c r="Q4" s="538"/>
      <c r="R4" s="538"/>
      <c r="S4" s="538"/>
      <c r="T4" s="538"/>
      <c r="U4" s="538"/>
    </row>
    <row r="5" spans="1:21" s="311" customFormat="1" ht="17.25" customHeight="1" x14ac:dyDescent="0.35">
      <c r="A5" s="310"/>
      <c r="C5" s="312"/>
      <c r="D5" s="313"/>
      <c r="E5" s="314"/>
      <c r="F5" s="315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</row>
    <row r="6" spans="1:21" ht="39.75" customHeight="1" thickBot="1" x14ac:dyDescent="0.35">
      <c r="A6" s="317" t="s">
        <v>84</v>
      </c>
      <c r="B6" s="318"/>
      <c r="C6" s="319"/>
      <c r="D6" s="320" t="s">
        <v>83</v>
      </c>
      <c r="E6" s="321" t="s">
        <v>82</v>
      </c>
      <c r="F6" s="322" t="s">
        <v>67</v>
      </c>
      <c r="G6" s="322" t="s">
        <v>66</v>
      </c>
      <c r="H6" s="322" t="s">
        <v>65</v>
      </c>
      <c r="I6" s="323" t="s">
        <v>81</v>
      </c>
    </row>
    <row r="7" spans="1:21" x14ac:dyDescent="0.25">
      <c r="A7" s="324" t="s">
        <v>80</v>
      </c>
      <c r="B7" s="325" t="s">
        <v>79</v>
      </c>
      <c r="C7" s="326" t="s">
        <v>78</v>
      </c>
      <c r="D7" s="326" t="s">
        <v>77</v>
      </c>
      <c r="E7" s="327" t="s">
        <v>76</v>
      </c>
      <c r="F7" s="328" t="s">
        <v>75</v>
      </c>
      <c r="G7" s="328" t="s">
        <v>74</v>
      </c>
      <c r="H7" s="328" t="s">
        <v>73</v>
      </c>
      <c r="I7" s="328" t="s">
        <v>72</v>
      </c>
    </row>
    <row r="8" spans="1:21" x14ac:dyDescent="0.25">
      <c r="A8" s="324"/>
      <c r="B8" s="325"/>
      <c r="C8" s="326"/>
      <c r="D8" s="326"/>
      <c r="E8" s="327"/>
      <c r="F8" s="329"/>
      <c r="G8" s="329"/>
      <c r="H8" s="329"/>
      <c r="I8" s="329"/>
    </row>
    <row r="9" spans="1:21" x14ac:dyDescent="0.25">
      <c r="A9" s="324">
        <f>A8+1</f>
        <v>1</v>
      </c>
      <c r="B9" s="330" t="s">
        <v>314</v>
      </c>
      <c r="C9" s="326"/>
      <c r="D9" s="326"/>
      <c r="E9" s="327"/>
      <c r="F9" s="331">
        <v>26036010.77454726</v>
      </c>
      <c r="G9" s="331">
        <v>2804272.0509128161</v>
      </c>
      <c r="H9" s="331">
        <f>F9+G9</f>
        <v>28840282.825460076</v>
      </c>
      <c r="I9" s="329"/>
    </row>
    <row r="10" spans="1:21" x14ac:dyDescent="0.25">
      <c r="A10" s="324">
        <f>A9+1</f>
        <v>2</v>
      </c>
      <c r="B10" s="330" t="s">
        <v>315</v>
      </c>
      <c r="C10" s="326"/>
      <c r="D10" s="332">
        <v>-2.6152645487990459E-2</v>
      </c>
      <c r="E10" s="333">
        <v>-4.9557551409907556E-3</v>
      </c>
      <c r="F10" s="336">
        <f>IF(D10&lt;0,0,D10)*F9</f>
        <v>0</v>
      </c>
      <c r="G10" s="336">
        <f>IF(E10&lt;0,0,E10)*G9</f>
        <v>0</v>
      </c>
      <c r="H10" s="336">
        <f>F10+G10</f>
        <v>0</v>
      </c>
      <c r="I10" s="329"/>
    </row>
    <row r="11" spans="1:21" x14ac:dyDescent="0.25">
      <c r="A11" s="324">
        <f>A10+1</f>
        <v>3</v>
      </c>
      <c r="B11" s="330" t="s">
        <v>93</v>
      </c>
      <c r="C11" s="338"/>
      <c r="D11" s="339"/>
      <c r="E11" s="340"/>
      <c r="F11" s="341">
        <f>SUM(F9:F10)</f>
        <v>26036010.77454726</v>
      </c>
      <c r="G11" s="341">
        <f>SUM(G9:G10)</f>
        <v>2804272.0509128161</v>
      </c>
      <c r="H11" s="341">
        <f>SUM(H9:H10)</f>
        <v>28840282.825460076</v>
      </c>
      <c r="I11" s="342"/>
      <c r="J11" s="337"/>
      <c r="L11" s="343"/>
    </row>
    <row r="12" spans="1:21" s="308" customFormat="1" x14ac:dyDescent="0.25">
      <c r="A12" s="324">
        <f t="shared" ref="A12:A31" si="0">A11+1</f>
        <v>4</v>
      </c>
      <c r="B12" s="330"/>
      <c r="C12" s="338"/>
      <c r="D12" s="339"/>
      <c r="E12" s="340"/>
      <c r="F12" s="344"/>
      <c r="G12" s="344"/>
      <c r="H12" s="345"/>
      <c r="I12" s="342"/>
    </row>
    <row r="13" spans="1:21" x14ac:dyDescent="0.25">
      <c r="A13" s="324">
        <f t="shared" si="0"/>
        <v>5</v>
      </c>
      <c r="B13" s="330" t="s">
        <v>155</v>
      </c>
      <c r="C13" s="338"/>
      <c r="D13" s="339"/>
      <c r="E13" s="340"/>
      <c r="F13" s="344">
        <v>-372008.14869228378</v>
      </c>
      <c r="G13" s="344">
        <v>107372.08444949077</v>
      </c>
      <c r="H13" s="346">
        <f>SUM(F13:G13)</f>
        <v>-264636.06424279301</v>
      </c>
      <c r="I13" s="342"/>
    </row>
    <row r="14" spans="1:21" x14ac:dyDescent="0.25">
      <c r="A14" s="324">
        <f t="shared" si="0"/>
        <v>6</v>
      </c>
      <c r="B14" s="334" t="s">
        <v>316</v>
      </c>
      <c r="C14" s="326"/>
      <c r="D14" s="335"/>
      <c r="E14" s="335"/>
      <c r="F14" s="346">
        <v>25635146.539999999</v>
      </c>
      <c r="G14" s="346">
        <v>0</v>
      </c>
      <c r="H14" s="346">
        <f>F14+G14</f>
        <v>25635146.539999999</v>
      </c>
      <c r="I14" s="355"/>
    </row>
    <row r="15" spans="1:21" x14ac:dyDescent="0.25">
      <c r="A15" s="324">
        <f t="shared" si="0"/>
        <v>7</v>
      </c>
      <c r="B15" s="347" t="s">
        <v>235</v>
      </c>
      <c r="C15" s="338"/>
      <c r="D15" s="338"/>
      <c r="E15" s="348"/>
      <c r="F15" s="346">
        <v>-993287.54323109612</v>
      </c>
      <c r="G15" s="346">
        <v>-212739.8820356736</v>
      </c>
      <c r="H15" s="346">
        <f>SUM(F15:G15)</f>
        <v>-1206027.4252667697</v>
      </c>
      <c r="I15" s="342"/>
    </row>
    <row r="16" spans="1:21" x14ac:dyDescent="0.25">
      <c r="A16" s="324">
        <f t="shared" si="0"/>
        <v>8</v>
      </c>
      <c r="B16" s="349" t="s">
        <v>94</v>
      </c>
      <c r="C16" s="338"/>
      <c r="D16" s="350">
        <v>0.9</v>
      </c>
      <c r="E16" s="350">
        <v>0.1</v>
      </c>
      <c r="F16" s="351">
        <f>H16*D16</f>
        <v>-843694.05599999998</v>
      </c>
      <c r="G16" s="351">
        <f>H16*E16</f>
        <v>-93743.784</v>
      </c>
      <c r="H16" s="352">
        <v>-937437.84</v>
      </c>
      <c r="I16" s="342"/>
    </row>
    <row r="17" spans="1:17" s="308" customFormat="1" x14ac:dyDescent="0.25">
      <c r="A17" s="324">
        <f t="shared" si="0"/>
        <v>9</v>
      </c>
      <c r="B17" s="330"/>
      <c r="C17" s="338"/>
      <c r="D17" s="350"/>
      <c r="E17" s="353"/>
      <c r="F17" s="346"/>
      <c r="G17" s="346"/>
      <c r="H17" s="346">
        <f>SUM(F17:G17)</f>
        <v>0</v>
      </c>
      <c r="I17" s="342"/>
    </row>
    <row r="18" spans="1:17" s="308" customFormat="1" ht="14.15" customHeight="1" x14ac:dyDescent="0.25">
      <c r="A18" s="324">
        <f t="shared" si="0"/>
        <v>10</v>
      </c>
      <c r="B18" s="347" t="s">
        <v>317</v>
      </c>
      <c r="C18" s="338"/>
      <c r="F18" s="354">
        <f>SUM(F11:F17)</f>
        <v>49462167.566623874</v>
      </c>
      <c r="G18" s="354">
        <f>SUM(G11:G17)</f>
        <v>2605160.469326633</v>
      </c>
      <c r="H18" s="354">
        <f>SUM(H11:H17)</f>
        <v>52067328.035950512</v>
      </c>
      <c r="I18" s="342"/>
    </row>
    <row r="19" spans="1:17" s="308" customFormat="1" ht="14.15" customHeight="1" x14ac:dyDescent="0.25">
      <c r="A19" s="324">
        <f t="shared" si="0"/>
        <v>11</v>
      </c>
      <c r="B19" s="349"/>
      <c r="C19" s="338"/>
      <c r="D19" s="338"/>
      <c r="E19" s="355"/>
      <c r="F19" s="356"/>
      <c r="G19" s="356"/>
      <c r="H19" s="356"/>
      <c r="I19" s="342"/>
    </row>
    <row r="20" spans="1:17" s="308" customFormat="1" ht="14.15" customHeight="1" x14ac:dyDescent="0.25">
      <c r="A20" s="324">
        <f t="shared" si="0"/>
        <v>12</v>
      </c>
      <c r="B20" s="357" t="s">
        <v>71</v>
      </c>
      <c r="C20" s="338"/>
      <c r="D20" s="338"/>
      <c r="E20" s="355"/>
      <c r="F20" s="356"/>
      <c r="G20" s="356"/>
      <c r="H20" s="356"/>
      <c r="I20" s="342"/>
    </row>
    <row r="21" spans="1:17" s="308" customFormat="1" ht="14.15" customHeight="1" x14ac:dyDescent="0.25">
      <c r="A21" s="324">
        <f t="shared" si="0"/>
        <v>13</v>
      </c>
      <c r="B21" s="349" t="s">
        <v>156</v>
      </c>
      <c r="C21" s="338"/>
      <c r="D21" s="338"/>
      <c r="E21" s="355"/>
      <c r="F21" s="358">
        <v>8.4790000000000004E-3</v>
      </c>
      <c r="G21" s="358">
        <v>5.1240000000000001E-3</v>
      </c>
      <c r="H21" s="356"/>
      <c r="I21" s="355"/>
    </row>
    <row r="22" spans="1:17" s="308" customFormat="1" ht="14.15" customHeight="1" x14ac:dyDescent="0.25">
      <c r="A22" s="324">
        <f t="shared" si="0"/>
        <v>14</v>
      </c>
      <c r="B22" s="349" t="s">
        <v>70</v>
      </c>
      <c r="C22" s="338"/>
      <c r="D22" s="338"/>
      <c r="E22" s="355"/>
      <c r="F22" s="358">
        <v>4.0000000000000001E-3</v>
      </c>
      <c r="G22" s="358">
        <v>4.0000000000000001E-3</v>
      </c>
      <c r="H22" s="356"/>
      <c r="I22" s="355"/>
      <c r="M22" s="337"/>
    </row>
    <row r="23" spans="1:17" s="308" customFormat="1" ht="14.15" customHeight="1" x14ac:dyDescent="0.25">
      <c r="A23" s="324">
        <f t="shared" si="0"/>
        <v>15</v>
      </c>
      <c r="B23" s="349" t="s">
        <v>69</v>
      </c>
      <c r="C23" s="338"/>
      <c r="D23" s="338"/>
      <c r="E23" s="355"/>
      <c r="F23" s="358">
        <v>3.8406000000000003E-2</v>
      </c>
      <c r="G23" s="358">
        <v>3.8323000000000003E-2</v>
      </c>
      <c r="H23" s="356"/>
      <c r="I23" s="355"/>
    </row>
    <row r="24" spans="1:17" s="308" customFormat="1" ht="14.15" customHeight="1" x14ac:dyDescent="0.25">
      <c r="A24" s="324">
        <f t="shared" si="0"/>
        <v>16</v>
      </c>
      <c r="B24" s="349"/>
      <c r="C24" s="338"/>
      <c r="D24" s="338"/>
      <c r="E24" s="355"/>
      <c r="F24" s="359"/>
      <c r="G24" s="359"/>
      <c r="H24" s="356"/>
      <c r="I24" s="355"/>
    </row>
    <row r="25" spans="1:17" s="308" customFormat="1" ht="14.15" customHeight="1" x14ac:dyDescent="0.25">
      <c r="A25" s="324">
        <f t="shared" si="0"/>
        <v>17</v>
      </c>
      <c r="B25" s="347" t="s">
        <v>236</v>
      </c>
      <c r="C25" s="338"/>
      <c r="D25" s="338"/>
      <c r="E25" s="355"/>
      <c r="F25" s="360">
        <f>1-SUM(F21:F23)</f>
        <v>0.94911500000000004</v>
      </c>
      <c r="G25" s="360">
        <f>1-SUM(G21:G23)</f>
        <v>0.95255299999999998</v>
      </c>
      <c r="H25" s="361"/>
      <c r="I25" s="355"/>
    </row>
    <row r="26" spans="1:17" s="308" customFormat="1" ht="14.15" customHeight="1" x14ac:dyDescent="0.25">
      <c r="A26" s="324">
        <f t="shared" si="0"/>
        <v>18</v>
      </c>
      <c r="B26" s="349"/>
      <c r="C26" s="338"/>
      <c r="D26" s="338"/>
      <c r="E26" s="355"/>
      <c r="F26" s="356"/>
      <c r="G26" s="356"/>
      <c r="H26" s="356"/>
      <c r="I26" s="355"/>
    </row>
    <row r="27" spans="1:17" s="308" customFormat="1" ht="14.15" customHeight="1" x14ac:dyDescent="0.25">
      <c r="A27" s="324">
        <f t="shared" si="0"/>
        <v>19</v>
      </c>
      <c r="B27" s="347" t="s">
        <v>237</v>
      </c>
      <c r="C27" s="338"/>
      <c r="D27" s="338"/>
      <c r="E27" s="355"/>
      <c r="F27" s="354">
        <f>F18/F25</f>
        <v>52113987.837747663</v>
      </c>
      <c r="G27" s="354">
        <f>G18/G25</f>
        <v>2734924.4286949211</v>
      </c>
      <c r="H27" s="354">
        <f>SUM(F27:G27)</f>
        <v>54848912.266442582</v>
      </c>
      <c r="I27" s="355"/>
    </row>
    <row r="28" spans="1:17" s="308" customFormat="1" ht="14.15" customHeight="1" x14ac:dyDescent="0.25">
      <c r="A28" s="324">
        <f t="shared" si="0"/>
        <v>20</v>
      </c>
      <c r="B28" s="349"/>
      <c r="C28" s="338"/>
      <c r="D28" s="338"/>
      <c r="E28" s="355"/>
      <c r="F28" s="362"/>
      <c r="G28" s="362"/>
      <c r="H28" s="362"/>
      <c r="I28" s="355"/>
    </row>
    <row r="29" spans="1:17" s="308" customFormat="1" ht="14.15" customHeight="1" x14ac:dyDescent="0.25">
      <c r="A29" s="324">
        <f t="shared" si="0"/>
        <v>21</v>
      </c>
      <c r="B29" s="347" t="s">
        <v>363</v>
      </c>
      <c r="C29" s="338"/>
      <c r="D29" s="338"/>
      <c r="E29" s="338"/>
      <c r="F29" s="363">
        <v>26163518.825089253</v>
      </c>
      <c r="G29" s="363">
        <v>3187156.2278544344</v>
      </c>
      <c r="H29" s="352">
        <f>SUM(F29:G29)</f>
        <v>29350675.052943688</v>
      </c>
      <c r="I29" s="355"/>
      <c r="Q29" s="343"/>
    </row>
    <row r="30" spans="1:17" s="308" customFormat="1" ht="13" x14ac:dyDescent="0.3">
      <c r="A30" s="324">
        <f t="shared" si="0"/>
        <v>22</v>
      </c>
      <c r="B30" s="364"/>
      <c r="C30" s="365"/>
      <c r="D30" s="365"/>
      <c r="E30" s="365"/>
      <c r="F30" s="366"/>
      <c r="G30" s="366"/>
      <c r="H30" s="366"/>
      <c r="I30" s="355"/>
    </row>
    <row r="31" spans="1:17" s="308" customFormat="1" ht="13.5" thickBot="1" x14ac:dyDescent="0.35">
      <c r="A31" s="324">
        <f t="shared" si="0"/>
        <v>23</v>
      </c>
      <c r="B31" s="367" t="s">
        <v>113</v>
      </c>
      <c r="C31" s="368"/>
      <c r="D31" s="368"/>
      <c r="E31" s="369"/>
      <c r="F31" s="370">
        <f>F27-F29</f>
        <v>25950469.01265841</v>
      </c>
      <c r="G31" s="370">
        <f>G27-G29</f>
        <v>-452231.79915951332</v>
      </c>
      <c r="H31" s="370">
        <f>H27-H29</f>
        <v>25498237.213498894</v>
      </c>
      <c r="I31" s="371"/>
    </row>
    <row r="32" spans="1:17" s="308" customFormat="1" ht="13" thickTop="1" x14ac:dyDescent="0.25">
      <c r="A32" s="326"/>
      <c r="B32" s="326"/>
      <c r="C32" s="338"/>
      <c r="D32" s="338"/>
      <c r="E32" s="338"/>
      <c r="F32" s="338"/>
      <c r="G32" s="338"/>
      <c r="H32" s="338"/>
    </row>
    <row r="33" spans="1:9" s="308" customFormat="1" ht="14.15" customHeight="1" x14ac:dyDescent="0.3">
      <c r="A33" s="309"/>
      <c r="B33" s="326"/>
      <c r="C33" s="338"/>
      <c r="D33" s="338"/>
      <c r="E33" s="338"/>
      <c r="F33" s="372"/>
      <c r="G33" s="372"/>
      <c r="H33" s="373"/>
    </row>
    <row r="34" spans="1:9" s="308" customFormat="1" ht="14.15" customHeight="1" x14ac:dyDescent="0.35">
      <c r="A34" s="374"/>
      <c r="B34" s="326"/>
      <c r="C34" s="338"/>
      <c r="D34" s="338"/>
      <c r="E34" s="338"/>
      <c r="F34" s="372"/>
      <c r="G34" s="372"/>
      <c r="H34" s="373"/>
    </row>
    <row r="35" spans="1:9" s="308" customFormat="1" ht="14.15" customHeight="1" x14ac:dyDescent="0.3">
      <c r="B35" s="326"/>
      <c r="C35" s="338"/>
      <c r="D35" s="338"/>
      <c r="E35" s="338"/>
      <c r="F35" s="372"/>
      <c r="G35" s="372"/>
      <c r="H35" s="373"/>
    </row>
    <row r="36" spans="1:9" s="308" customFormat="1" ht="14.15" customHeight="1" thickBot="1" x14ac:dyDescent="0.35">
      <c r="A36" s="375" t="s">
        <v>68</v>
      </c>
      <c r="C36" s="338"/>
      <c r="D36" s="338"/>
      <c r="E36" s="338"/>
      <c r="F36" s="376" t="s">
        <v>67</v>
      </c>
      <c r="G36" s="376" t="s">
        <v>66</v>
      </c>
      <c r="H36" s="377" t="s">
        <v>65</v>
      </c>
    </row>
    <row r="37" spans="1:9" s="308" customFormat="1" ht="14.15" customHeight="1" x14ac:dyDescent="0.25">
      <c r="A37" s="378"/>
      <c r="C37" s="338"/>
      <c r="D37" s="338"/>
      <c r="E37" s="338"/>
      <c r="F37" s="379"/>
      <c r="G37" s="379"/>
      <c r="H37" s="372"/>
    </row>
    <row r="38" spans="1:9" s="308" customFormat="1" ht="14.15" customHeight="1" x14ac:dyDescent="0.25">
      <c r="A38" s="380"/>
      <c r="C38" s="338"/>
      <c r="D38" s="338"/>
      <c r="E38" s="338"/>
      <c r="F38" s="381"/>
      <c r="G38" s="381"/>
      <c r="H38" s="381"/>
    </row>
    <row r="39" spans="1:9" s="308" customFormat="1" ht="14.15" customHeight="1" x14ac:dyDescent="0.25">
      <c r="A39" s="330" t="s">
        <v>155</v>
      </c>
      <c r="C39" s="338"/>
      <c r="D39" s="338"/>
      <c r="E39" s="338"/>
      <c r="F39" s="381">
        <v>-110999.95841190137</v>
      </c>
      <c r="G39" s="381">
        <v>-8408.320987435347</v>
      </c>
      <c r="H39" s="381">
        <f t="shared" ref="H39:H42" si="1">SUM(F39:G39)</f>
        <v>-119408.27939933672</v>
      </c>
    </row>
    <row r="40" spans="1:9" s="308" customFormat="1" ht="25.5" customHeight="1" x14ac:dyDescent="0.25">
      <c r="A40" s="534" t="s">
        <v>362</v>
      </c>
      <c r="B40" s="534"/>
      <c r="C40" s="534"/>
      <c r="D40" s="534"/>
      <c r="E40" s="534"/>
      <c r="F40" s="382">
        <v>-1050119.2488244418</v>
      </c>
      <c r="G40" s="382">
        <v>-448674.16515546193</v>
      </c>
      <c r="H40" s="382">
        <f t="shared" si="1"/>
        <v>-1498793.4139799038</v>
      </c>
    </row>
    <row r="41" spans="1:9" s="308" customFormat="1" x14ac:dyDescent="0.25">
      <c r="A41" s="378" t="s">
        <v>95</v>
      </c>
      <c r="F41" s="381">
        <v>44557.317346891032</v>
      </c>
      <c r="G41" s="381">
        <v>4850.6869833839437</v>
      </c>
      <c r="H41" s="383">
        <f t="shared" si="1"/>
        <v>49408.004330274976</v>
      </c>
    </row>
    <row r="42" spans="1:9" s="308" customFormat="1" x14ac:dyDescent="0.25">
      <c r="A42" s="380" t="s">
        <v>318</v>
      </c>
      <c r="F42" s="381">
        <v>27067030.902547859</v>
      </c>
      <c r="G42" s="381">
        <v>0</v>
      </c>
      <c r="H42" s="383">
        <f t="shared" si="1"/>
        <v>27067030.902547859</v>
      </c>
    </row>
    <row r="43" spans="1:9" s="308" customFormat="1" x14ac:dyDescent="0.25">
      <c r="F43" s="381"/>
      <c r="G43" s="381"/>
      <c r="H43" s="383"/>
    </row>
    <row r="44" spans="1:9" s="308" customFormat="1" ht="13.5" thickBot="1" x14ac:dyDescent="0.35">
      <c r="A44" s="384" t="s">
        <v>64</v>
      </c>
      <c r="F44" s="385">
        <f>SUM(F38:F43)</f>
        <v>25950469.012658406</v>
      </c>
      <c r="G44" s="385">
        <f>SUM(G38:G43)</f>
        <v>-452231.79915951332</v>
      </c>
      <c r="H44" s="385">
        <f>SUM(H38:H43)</f>
        <v>25498237.213498894</v>
      </c>
    </row>
    <row r="45" spans="1:9" s="308" customFormat="1" ht="13" thickTop="1" x14ac:dyDescent="0.25">
      <c r="A45" s="309"/>
    </row>
    <row r="46" spans="1:9" s="308" customFormat="1" x14ac:dyDescent="0.25">
      <c r="A46" s="309"/>
    </row>
    <row r="47" spans="1:9" s="308" customFormat="1" x14ac:dyDescent="0.25">
      <c r="F47" s="386"/>
      <c r="G47" s="386"/>
      <c r="I47" s="309"/>
    </row>
    <row r="48" spans="1:9" s="308" customFormat="1" x14ac:dyDescent="0.25">
      <c r="F48" s="386"/>
      <c r="G48" s="386"/>
      <c r="I48" s="309"/>
    </row>
    <row r="49" spans="1:9" s="308" customFormat="1" x14ac:dyDescent="0.25">
      <c r="C49" s="387"/>
      <c r="D49" s="387"/>
      <c r="I49" s="309"/>
    </row>
    <row r="50" spans="1:9" s="308" customFormat="1" x14ac:dyDescent="0.25">
      <c r="I50" s="309"/>
    </row>
    <row r="51" spans="1:9" s="308" customFormat="1" x14ac:dyDescent="0.25">
      <c r="A51" s="309"/>
      <c r="B51" s="309"/>
      <c r="C51" s="388"/>
      <c r="D51" s="388"/>
      <c r="E51" s="309"/>
      <c r="I51" s="309"/>
    </row>
    <row r="52" spans="1:9" s="308" customFormat="1" x14ac:dyDescent="0.25">
      <c r="A52" s="309"/>
      <c r="B52" s="309"/>
      <c r="C52" s="389"/>
      <c r="D52" s="389"/>
      <c r="E52" s="309"/>
      <c r="I52" s="309"/>
    </row>
  </sheetData>
  <mergeCells count="1">
    <mergeCell ref="A40:E40"/>
  </mergeCells>
  <printOptions horizontalCentered="1"/>
  <pageMargins left="0.5" right="0.5" top="0.28000000000000003" bottom="0.52" header="0.36" footer="0.42"/>
  <pageSetup scale="65" fitToWidth="0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zoomScale="90" zoomScaleNormal="90" workbookViewId="0">
      <selection activeCell="L33" sqref="L33"/>
    </sheetView>
  </sheetViews>
  <sheetFormatPr defaultRowHeight="14.5" x14ac:dyDescent="0.35"/>
  <sheetData/>
  <pageMargins left="0.7" right="0.7" top="0.75" bottom="0.75" header="0.3" footer="0.3"/>
  <customProperties>
    <customPr name="_pios_id" r:id="rId1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8"/>
  <sheetViews>
    <sheetView topLeftCell="A28" zoomScale="80" zoomScaleNormal="80" workbookViewId="0">
      <selection activeCell="B58" sqref="B58"/>
    </sheetView>
  </sheetViews>
  <sheetFormatPr defaultColWidth="9.1796875" defaultRowHeight="13" x14ac:dyDescent="0.3"/>
  <cols>
    <col min="1" max="1" width="2.453125" style="42" customWidth="1"/>
    <col min="2" max="2" width="31.7265625" style="61" customWidth="1"/>
    <col min="3" max="3" width="9.7265625" style="61" customWidth="1"/>
    <col min="4" max="4" width="12.7265625" style="42" customWidth="1"/>
    <col min="5" max="5" width="10.453125" style="42" customWidth="1"/>
    <col min="6" max="6" width="13.26953125" style="61" customWidth="1"/>
    <col min="7" max="7" width="2.81640625" style="39" customWidth="1"/>
    <col min="8" max="8" width="10.453125" style="42" bestFit="1" customWidth="1"/>
    <col min="9" max="9" width="13.26953125" style="174" customWidth="1"/>
    <col min="10" max="10" width="2.81640625" style="102" customWidth="1"/>
    <col min="11" max="11" width="13.26953125" style="42" customWidth="1"/>
    <col min="12" max="12" width="10.453125" style="447" customWidth="1"/>
    <col min="13" max="13" width="2.81640625" style="447" customWidth="1"/>
    <col min="14" max="14" width="1.54296875" style="447" customWidth="1"/>
    <col min="15" max="15" width="14.54296875" style="42" customWidth="1"/>
    <col min="16" max="16" width="2.81640625" style="42" customWidth="1"/>
    <col min="17" max="17" width="8.81640625" style="132" customWidth="1"/>
    <col min="18" max="16384" width="9.1796875" style="42"/>
  </cols>
  <sheetData>
    <row r="1" spans="2:26" x14ac:dyDescent="0.3">
      <c r="B1" s="69"/>
      <c r="C1" s="69"/>
      <c r="D1" s="59"/>
      <c r="E1" s="59"/>
      <c r="F1" s="69"/>
      <c r="G1" s="140"/>
      <c r="H1" s="59"/>
      <c r="I1" s="141"/>
      <c r="J1" s="443"/>
      <c r="K1" s="59"/>
      <c r="L1" s="444"/>
      <c r="M1" s="444"/>
      <c r="N1" s="444"/>
      <c r="O1" s="59"/>
      <c r="P1" s="59"/>
      <c r="Q1" s="445"/>
    </row>
    <row r="2" spans="2:26" x14ac:dyDescent="0.3">
      <c r="B2" s="69" t="s">
        <v>13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444"/>
      <c r="N2" s="444"/>
      <c r="O2" s="59"/>
      <c r="P2" s="59"/>
      <c r="Q2" s="445"/>
    </row>
    <row r="3" spans="2:26" x14ac:dyDescent="0.3">
      <c r="B3" s="400" t="s">
        <v>360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444"/>
      <c r="N3" s="444"/>
      <c r="O3" s="59"/>
      <c r="P3" s="59"/>
      <c r="Q3" s="445"/>
    </row>
    <row r="4" spans="2:26" x14ac:dyDescent="0.3">
      <c r="B4" s="69" t="s">
        <v>158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444"/>
      <c r="N4" s="444"/>
      <c r="O4" s="59"/>
      <c r="P4" s="59"/>
      <c r="Q4" s="445"/>
    </row>
    <row r="5" spans="2:26" x14ac:dyDescent="0.3">
      <c r="B5" s="69" t="s">
        <v>361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444"/>
      <c r="N5" s="446"/>
      <c r="O5" s="176"/>
      <c r="P5" s="59"/>
      <c r="Q5" s="445"/>
    </row>
    <row r="6" spans="2:26" x14ac:dyDescent="0.3">
      <c r="N6" s="100"/>
      <c r="O6" s="45"/>
    </row>
    <row r="7" spans="2:26" ht="15" customHeight="1" x14ac:dyDescent="0.25">
      <c r="B7" s="448"/>
      <c r="C7" s="70"/>
      <c r="D7" s="70" t="s">
        <v>119</v>
      </c>
      <c r="E7" s="71" t="s">
        <v>120</v>
      </c>
      <c r="F7" s="143"/>
      <c r="G7" s="449"/>
      <c r="H7" s="71" t="s">
        <v>28</v>
      </c>
      <c r="I7" s="143"/>
      <c r="J7" s="450"/>
      <c r="K7" s="143" t="s">
        <v>159</v>
      </c>
      <c r="L7" s="451"/>
      <c r="M7" s="452"/>
      <c r="N7" s="452"/>
      <c r="O7" s="44" t="s">
        <v>121</v>
      </c>
      <c r="Q7" s="81" t="s">
        <v>160</v>
      </c>
    </row>
    <row r="8" spans="2:26" ht="12.5" x14ac:dyDescent="0.25">
      <c r="B8" s="453" t="s">
        <v>122</v>
      </c>
      <c r="C8" s="17" t="s">
        <v>123</v>
      </c>
      <c r="D8" s="17" t="s">
        <v>124</v>
      </c>
      <c r="E8" s="17" t="s">
        <v>112</v>
      </c>
      <c r="F8" s="124" t="s">
        <v>125</v>
      </c>
      <c r="G8" s="17"/>
      <c r="H8" s="17" t="s">
        <v>112</v>
      </c>
      <c r="I8" s="124" t="s">
        <v>125</v>
      </c>
      <c r="J8" s="124"/>
      <c r="K8" s="124" t="s">
        <v>161</v>
      </c>
      <c r="L8" s="454" t="s">
        <v>162</v>
      </c>
      <c r="M8" s="455"/>
      <c r="N8" s="455"/>
      <c r="O8" s="17" t="s">
        <v>163</v>
      </c>
      <c r="Q8" s="456" t="s">
        <v>102</v>
      </c>
    </row>
    <row r="9" spans="2:26" ht="12.5" x14ac:dyDescent="0.25">
      <c r="B9" s="45"/>
      <c r="C9" s="45"/>
      <c r="D9" s="45"/>
      <c r="E9" s="45"/>
      <c r="F9" s="45"/>
      <c r="H9" s="45"/>
      <c r="I9" s="102"/>
      <c r="K9" s="45"/>
      <c r="L9" s="100"/>
      <c r="M9" s="100"/>
      <c r="N9" s="100"/>
      <c r="O9" s="45"/>
    </row>
    <row r="10" spans="2:26" x14ac:dyDescent="0.3">
      <c r="B10" s="94" t="s">
        <v>164</v>
      </c>
      <c r="C10" s="95"/>
      <c r="D10" s="72"/>
      <c r="E10" s="72"/>
      <c r="F10" s="72"/>
      <c r="G10" s="15"/>
      <c r="H10" s="72"/>
      <c r="I10" s="120"/>
      <c r="J10" s="120"/>
      <c r="K10" s="120"/>
      <c r="L10" s="148"/>
      <c r="M10" s="100"/>
      <c r="N10" s="100"/>
      <c r="O10" s="45"/>
    </row>
    <row r="11" spans="2:26" ht="12.5" x14ac:dyDescent="0.25">
      <c r="B11" s="97"/>
      <c r="C11" s="45"/>
      <c r="D11" s="45"/>
      <c r="E11" s="45"/>
      <c r="F11" s="45"/>
      <c r="G11" s="98"/>
      <c r="H11" s="45"/>
      <c r="I11" s="92"/>
      <c r="J11" s="92"/>
      <c r="K11" s="92"/>
      <c r="L11" s="99"/>
      <c r="M11" s="100"/>
      <c r="N11" s="100"/>
      <c r="O11" s="112" t="s">
        <v>165</v>
      </c>
      <c r="P11" s="45"/>
    </row>
    <row r="12" spans="2:26" ht="12.5" x14ac:dyDescent="0.25">
      <c r="B12" s="73" t="s">
        <v>126</v>
      </c>
      <c r="C12" s="74" t="s">
        <v>127</v>
      </c>
      <c r="D12" s="75">
        <v>9401341.5170350727</v>
      </c>
      <c r="E12" s="76">
        <v>11</v>
      </c>
      <c r="F12" s="92">
        <f>SUM(+D12*E12)</f>
        <v>103414756.6873858</v>
      </c>
      <c r="H12" s="76">
        <v>11.52</v>
      </c>
      <c r="I12" s="92">
        <f>SUM(+D12*H12)</f>
        <v>108303454.27624403</v>
      </c>
      <c r="J12" s="92"/>
      <c r="K12" s="92">
        <f>I12-F12</f>
        <v>4888697.5888582319</v>
      </c>
      <c r="L12" s="104">
        <f>ROUND(K12/F12,5)</f>
        <v>4.727E-2</v>
      </c>
      <c r="M12" s="100"/>
      <c r="N12" s="100"/>
      <c r="O12" s="77">
        <v>49736984.433210269</v>
      </c>
      <c r="P12" s="45"/>
      <c r="Q12" s="108">
        <f>H12/E12-1</f>
        <v>4.7272727272727133E-2</v>
      </c>
    </row>
    <row r="13" spans="2:26" ht="12.5" x14ac:dyDescent="0.25">
      <c r="B13" s="97" t="s">
        <v>128</v>
      </c>
      <c r="C13" s="45" t="s">
        <v>129</v>
      </c>
      <c r="D13" s="75">
        <v>609248231.82931805</v>
      </c>
      <c r="E13" s="78">
        <v>0.34603</v>
      </c>
      <c r="F13" s="92">
        <f>ROUND(D13*E13,2)</f>
        <v>210818165.66</v>
      </c>
      <c r="H13" s="79">
        <f>ROUND(E13*(1+$O$16),5)</f>
        <v>0.41964000000000001</v>
      </c>
      <c r="I13" s="92">
        <f>ROUND(D13*H13,2)</f>
        <v>255664928</v>
      </c>
      <c r="J13" s="92"/>
      <c r="K13" s="92">
        <f>I13-F13</f>
        <v>44846762.340000004</v>
      </c>
      <c r="L13" s="104">
        <f>ROUND(K13/F13,5)</f>
        <v>0.21273</v>
      </c>
      <c r="M13" s="45"/>
      <c r="N13" s="45"/>
      <c r="O13" s="130" t="s">
        <v>166</v>
      </c>
      <c r="P13" s="45"/>
      <c r="Q13" s="108">
        <f>H13/E13-1</f>
        <v>0.2127272201832211</v>
      </c>
    </row>
    <row r="14" spans="2:26" x14ac:dyDescent="0.3">
      <c r="B14" s="105"/>
      <c r="C14" s="74"/>
      <c r="D14" s="39"/>
      <c r="E14" s="80"/>
      <c r="F14" s="120">
        <f>SUM(F12:F13)</f>
        <v>314232922.34738576</v>
      </c>
      <c r="H14" s="45"/>
      <c r="I14" s="120">
        <f>SUM(I12:I13)</f>
        <v>363968382.27624404</v>
      </c>
      <c r="J14" s="92"/>
      <c r="K14" s="120">
        <f>SUM(K12:K13)</f>
        <v>49735459.928858235</v>
      </c>
      <c r="L14" s="170">
        <f>ROUND(K14/F14,5)</f>
        <v>0.15828</v>
      </c>
      <c r="M14" s="45"/>
      <c r="N14" s="45"/>
      <c r="O14" s="119">
        <f>(K14+K25)-O12</f>
        <v>-1517.591915667057</v>
      </c>
      <c r="P14" s="45"/>
      <c r="Q14" s="81"/>
    </row>
    <row r="15" spans="2:26" x14ac:dyDescent="0.3">
      <c r="B15" s="105"/>
      <c r="C15" s="179"/>
      <c r="D15" s="45"/>
      <c r="E15" s="78"/>
      <c r="F15" s="106"/>
      <c r="H15" s="45"/>
      <c r="I15" s="92"/>
      <c r="J15" s="92"/>
      <c r="K15" s="92"/>
      <c r="L15" s="99"/>
      <c r="M15" s="108"/>
      <c r="N15" s="108"/>
      <c r="O15" s="457"/>
      <c r="Q15" s="101"/>
    </row>
    <row r="16" spans="2:26" ht="12.5" x14ac:dyDescent="0.25">
      <c r="B16" s="97" t="s">
        <v>167</v>
      </c>
      <c r="C16" s="45" t="s">
        <v>129</v>
      </c>
      <c r="D16" s="39">
        <f>D13</f>
        <v>609248231.82931805</v>
      </c>
      <c r="E16" s="78">
        <v>0.32665</v>
      </c>
      <c r="F16" s="120">
        <f>E16*D16</f>
        <v>199010934.92704675</v>
      </c>
      <c r="G16" s="45"/>
      <c r="H16" s="82">
        <f>E16</f>
        <v>0.32665</v>
      </c>
      <c r="I16" s="120">
        <f>H16*D16</f>
        <v>199010934.92704675</v>
      </c>
      <c r="J16" s="92"/>
      <c r="K16" s="120">
        <f>I16-F16</f>
        <v>0</v>
      </c>
      <c r="L16" s="170">
        <f>ROUND(K16/F16,5)</f>
        <v>0</v>
      </c>
      <c r="M16" s="108"/>
      <c r="N16" s="108"/>
      <c r="O16" s="83">
        <v>0.21272341188453975</v>
      </c>
      <c r="P16" s="44"/>
      <c r="Q16" s="84"/>
      <c r="R16" s="45"/>
      <c r="Z16" s="45"/>
    </row>
    <row r="17" spans="2:26" ht="14.25" customHeight="1" x14ac:dyDescent="0.25">
      <c r="B17" s="97"/>
      <c r="C17" s="45"/>
      <c r="D17" s="45"/>
      <c r="E17" s="45"/>
      <c r="F17" s="92"/>
      <c r="H17" s="85"/>
      <c r="I17" s="92"/>
      <c r="J17" s="92"/>
      <c r="K17" s="92"/>
      <c r="L17" s="99"/>
      <c r="M17" s="45"/>
      <c r="N17" s="45"/>
      <c r="O17" s="44"/>
      <c r="P17" s="44"/>
      <c r="Q17" s="44"/>
      <c r="R17" s="45"/>
      <c r="Z17" s="45"/>
    </row>
    <row r="18" spans="2:26" ht="12.5" x14ac:dyDescent="0.25">
      <c r="B18" s="73" t="s">
        <v>168</v>
      </c>
      <c r="C18" s="74"/>
      <c r="D18" s="14"/>
      <c r="E18" s="45"/>
      <c r="F18" s="120">
        <f>F14+F16</f>
        <v>513243857.27443254</v>
      </c>
      <c r="H18" s="45"/>
      <c r="I18" s="120">
        <f>I14+I16</f>
        <v>562979317.20329082</v>
      </c>
      <c r="J18" s="92"/>
      <c r="K18" s="120">
        <f>K14+K16</f>
        <v>49735459.928858235</v>
      </c>
      <c r="L18" s="170">
        <f>ROUND(K18/F18,5)</f>
        <v>9.69E-2</v>
      </c>
      <c r="M18" s="108"/>
      <c r="N18" s="108"/>
      <c r="O18" s="108"/>
      <c r="P18" s="458"/>
      <c r="Q18" s="81"/>
      <c r="R18" s="45"/>
      <c r="Z18" s="45"/>
    </row>
    <row r="19" spans="2:26" ht="12.5" x14ac:dyDescent="0.25">
      <c r="B19" s="86"/>
      <c r="C19" s="87"/>
      <c r="D19" s="87"/>
      <c r="E19" s="87"/>
      <c r="F19" s="88"/>
      <c r="G19" s="89"/>
      <c r="H19" s="87"/>
      <c r="I19" s="88"/>
      <c r="J19" s="88"/>
      <c r="K19" s="88"/>
      <c r="L19" s="90"/>
      <c r="M19" s="45"/>
      <c r="N19" s="45"/>
      <c r="Q19" s="45"/>
      <c r="R19" s="45"/>
      <c r="Z19" s="45"/>
    </row>
    <row r="20" spans="2:26" ht="12.5" x14ac:dyDescent="0.25">
      <c r="B20" s="45"/>
      <c r="C20" s="45"/>
      <c r="D20" s="45"/>
      <c r="F20" s="91"/>
      <c r="H20" s="45"/>
      <c r="I20" s="92"/>
      <c r="J20" s="92"/>
      <c r="K20" s="92"/>
      <c r="L20" s="93"/>
      <c r="M20" s="45"/>
      <c r="N20" s="45"/>
      <c r="O20" s="45"/>
      <c r="Q20" s="45"/>
      <c r="R20" s="45"/>
      <c r="Z20" s="45"/>
    </row>
    <row r="21" spans="2:26" x14ac:dyDescent="0.3">
      <c r="B21" s="94" t="s">
        <v>169</v>
      </c>
      <c r="C21" s="95"/>
      <c r="D21" s="72"/>
      <c r="E21" s="96"/>
      <c r="F21" s="459"/>
      <c r="G21" s="15"/>
      <c r="H21" s="72"/>
      <c r="I21" s="120"/>
      <c r="J21" s="120"/>
      <c r="K21" s="120"/>
      <c r="L21" s="170"/>
      <c r="M21" s="45"/>
      <c r="N21" s="45"/>
      <c r="O21" s="45"/>
      <c r="Q21" s="101"/>
      <c r="R21" s="45"/>
      <c r="Z21" s="45"/>
    </row>
    <row r="22" spans="2:26" ht="12.5" x14ac:dyDescent="0.25">
      <c r="B22" s="97"/>
      <c r="C22" s="45"/>
      <c r="D22" s="45"/>
      <c r="E22" s="45"/>
      <c r="F22" s="92"/>
      <c r="G22" s="98"/>
      <c r="H22" s="45"/>
      <c r="I22" s="92"/>
      <c r="J22" s="92"/>
      <c r="K22" s="92"/>
      <c r="L22" s="99"/>
      <c r="M22" s="100"/>
      <c r="N22" s="100"/>
      <c r="O22" s="44"/>
      <c r="P22" s="45"/>
      <c r="Q22" s="101"/>
      <c r="R22" s="45"/>
      <c r="Z22" s="45"/>
    </row>
    <row r="23" spans="2:26" ht="13.5" customHeight="1" x14ac:dyDescent="0.25">
      <c r="B23" s="73" t="s">
        <v>126</v>
      </c>
      <c r="C23" s="74" t="s">
        <v>127</v>
      </c>
      <c r="D23" s="75">
        <v>1.4854545454545454</v>
      </c>
      <c r="E23" s="76">
        <v>11</v>
      </c>
      <c r="F23" s="92">
        <f>SUM(+D23*E23)</f>
        <v>16.34</v>
      </c>
      <c r="H23" s="102">
        <f>H12</f>
        <v>11.52</v>
      </c>
      <c r="I23" s="92">
        <f>SUM(+D23*H23)</f>
        <v>17.112436363636363</v>
      </c>
      <c r="J23" s="92"/>
      <c r="K23" s="92">
        <f>I23-F23</f>
        <v>0.7724363636363627</v>
      </c>
      <c r="L23" s="99"/>
      <c r="M23" s="100"/>
      <c r="N23" s="100"/>
      <c r="O23" s="103"/>
      <c r="P23" s="45"/>
      <c r="Q23" s="108">
        <f>H23/E23-1</f>
        <v>4.7272727272727133E-2</v>
      </c>
      <c r="R23" s="45"/>
      <c r="Z23" s="45"/>
    </row>
    <row r="24" spans="2:26" ht="13.5" customHeight="1" x14ac:dyDescent="0.25">
      <c r="B24" s="97" t="s">
        <v>128</v>
      </c>
      <c r="C24" s="45" t="s">
        <v>129</v>
      </c>
      <c r="D24" s="75">
        <v>83.329999999999984</v>
      </c>
      <c r="E24" s="78">
        <v>0.34603</v>
      </c>
      <c r="F24" s="92">
        <f>ROUND(D24*E24,2)</f>
        <v>28.83</v>
      </c>
      <c r="H24" s="79">
        <f>H13</f>
        <v>0.41964000000000001</v>
      </c>
      <c r="I24" s="92">
        <f>ROUND(D24*H24,2)</f>
        <v>34.97</v>
      </c>
      <c r="J24" s="92"/>
      <c r="K24" s="92">
        <f>I24-F24</f>
        <v>6.1400000000000006</v>
      </c>
      <c r="L24" s="104"/>
      <c r="M24" s="100"/>
      <c r="N24" s="100"/>
      <c r="O24" s="138"/>
      <c r="P24" s="45"/>
      <c r="Q24" s="108">
        <f>H24/E24-1</f>
        <v>0.2127272201832211</v>
      </c>
      <c r="R24" s="45"/>
      <c r="Z24" s="45"/>
    </row>
    <row r="25" spans="2:26" ht="13.5" customHeight="1" x14ac:dyDescent="0.25">
      <c r="B25" s="73" t="s">
        <v>170</v>
      </c>
      <c r="C25" s="74"/>
      <c r="D25" s="39"/>
      <c r="E25" s="45"/>
      <c r="F25" s="120">
        <f>SUM(F23:F24)</f>
        <v>45.17</v>
      </c>
      <c r="H25" s="45"/>
      <c r="I25" s="120">
        <f>SUM(I23:I24)</f>
        <v>52.082436363636361</v>
      </c>
      <c r="J25" s="92"/>
      <c r="K25" s="120">
        <f>SUM(K23:K24)</f>
        <v>6.9124363636363633</v>
      </c>
      <c r="L25" s="170">
        <f>ROUND(K25/F25,5)</f>
        <v>0.15303</v>
      </c>
      <c r="M25" s="45"/>
      <c r="N25" s="45"/>
      <c r="O25" s="138"/>
      <c r="P25" s="45"/>
      <c r="Q25" s="81"/>
      <c r="R25" s="45"/>
      <c r="Z25" s="45"/>
    </row>
    <row r="26" spans="2:26" ht="13.5" customHeight="1" x14ac:dyDescent="0.3">
      <c r="B26" s="105"/>
      <c r="C26" s="179"/>
      <c r="D26" s="45"/>
      <c r="E26" s="45"/>
      <c r="F26" s="106"/>
      <c r="H26" s="45"/>
      <c r="I26" s="92"/>
      <c r="J26" s="92"/>
      <c r="K26" s="92"/>
      <c r="L26" s="99"/>
      <c r="M26" s="45"/>
      <c r="N26" s="45"/>
      <c r="O26" s="44"/>
      <c r="Q26" s="101"/>
      <c r="R26" s="45"/>
      <c r="Z26" s="45"/>
    </row>
    <row r="27" spans="2:26" ht="13.5" customHeight="1" x14ac:dyDescent="0.25">
      <c r="B27" s="97" t="s">
        <v>171</v>
      </c>
      <c r="C27" s="45" t="s">
        <v>129</v>
      </c>
      <c r="D27" s="39">
        <f>D24</f>
        <v>83.329999999999984</v>
      </c>
      <c r="E27" s="78">
        <v>4.80769</v>
      </c>
      <c r="F27" s="120">
        <f>E27*D27</f>
        <v>400.62480769999991</v>
      </c>
      <c r="G27" s="45"/>
      <c r="H27" s="79">
        <f>E27</f>
        <v>4.80769</v>
      </c>
      <c r="I27" s="120">
        <f>F27</f>
        <v>400.62480769999991</v>
      </c>
      <c r="J27" s="92"/>
      <c r="K27" s="120">
        <f>I27-F27</f>
        <v>0</v>
      </c>
      <c r="L27" s="170">
        <f>ROUND(K27/F27,5)</f>
        <v>0</v>
      </c>
      <c r="M27" s="100"/>
      <c r="N27" s="100"/>
      <c r="O27" s="133"/>
      <c r="P27" s="44"/>
      <c r="Q27" s="44"/>
      <c r="R27" s="45"/>
      <c r="Z27" s="45"/>
    </row>
    <row r="28" spans="2:26" ht="13.5" customHeight="1" x14ac:dyDescent="0.25">
      <c r="B28" s="97"/>
      <c r="C28" s="45"/>
      <c r="D28" s="45"/>
      <c r="E28" s="107"/>
      <c r="F28" s="92"/>
      <c r="H28" s="85"/>
      <c r="I28" s="92"/>
      <c r="J28" s="92"/>
      <c r="K28" s="92"/>
      <c r="L28" s="104"/>
      <c r="M28" s="108"/>
      <c r="N28" s="108"/>
      <c r="O28" s="44"/>
      <c r="P28" s="44"/>
      <c r="Q28" s="44"/>
      <c r="R28" s="45"/>
      <c r="Z28" s="45"/>
    </row>
    <row r="29" spans="2:26" ht="13.5" customHeight="1" x14ac:dyDescent="0.25">
      <c r="B29" s="73" t="s">
        <v>168</v>
      </c>
      <c r="C29" s="74"/>
      <c r="D29" s="45"/>
      <c r="E29" s="45"/>
      <c r="F29" s="120">
        <f>F25+F27</f>
        <v>445.79480769999992</v>
      </c>
      <c r="H29" s="45"/>
      <c r="I29" s="120">
        <f>I25+I27</f>
        <v>452.70724406363627</v>
      </c>
      <c r="J29" s="92"/>
      <c r="K29" s="120">
        <f>K25+K27</f>
        <v>6.9124363636363633</v>
      </c>
      <c r="L29" s="170">
        <f>ROUND(K29/F29,5)</f>
        <v>1.5509999999999999E-2</v>
      </c>
      <c r="M29" s="45"/>
      <c r="N29" s="45"/>
      <c r="O29" s="109"/>
      <c r="P29" s="44"/>
      <c r="Q29" s="81"/>
      <c r="R29" s="45"/>
      <c r="Z29" s="45"/>
    </row>
    <row r="30" spans="2:26" ht="13.5" customHeight="1" x14ac:dyDescent="0.25">
      <c r="B30" s="86"/>
      <c r="C30" s="87"/>
      <c r="D30" s="87"/>
      <c r="E30" s="87"/>
      <c r="F30" s="88"/>
      <c r="G30" s="87"/>
      <c r="H30" s="87"/>
      <c r="I30" s="88"/>
      <c r="J30" s="88"/>
      <c r="K30" s="88"/>
      <c r="L30" s="90"/>
      <c r="M30" s="45"/>
      <c r="N30" s="45"/>
      <c r="P30" s="44"/>
      <c r="Q30" s="101"/>
      <c r="R30" s="45"/>
      <c r="Z30" s="45"/>
    </row>
    <row r="31" spans="2:26" ht="13.5" customHeight="1" x14ac:dyDescent="0.25">
      <c r="B31" s="45"/>
      <c r="C31" s="45"/>
      <c r="D31" s="45"/>
      <c r="E31" s="110"/>
      <c r="F31" s="111"/>
      <c r="H31" s="45"/>
      <c r="I31" s="92"/>
      <c r="J31" s="92"/>
      <c r="K31" s="92"/>
      <c r="L31" s="93"/>
      <c r="M31" s="45"/>
      <c r="N31" s="45"/>
      <c r="P31" s="44"/>
      <c r="Q31" s="101"/>
      <c r="R31" s="45"/>
      <c r="Z31" s="45"/>
    </row>
    <row r="32" spans="2:26" ht="13.5" customHeight="1" x14ac:dyDescent="0.25">
      <c r="B32" s="45"/>
      <c r="C32" s="45"/>
      <c r="D32" s="45"/>
      <c r="E32" s="110"/>
      <c r="F32" s="111"/>
      <c r="H32" s="45"/>
      <c r="I32" s="92"/>
      <c r="J32" s="92"/>
      <c r="K32" s="92"/>
      <c r="L32" s="93"/>
      <c r="M32" s="45"/>
      <c r="N32" s="45"/>
      <c r="P32" s="44"/>
      <c r="Q32" s="101"/>
      <c r="R32" s="45"/>
      <c r="Z32" s="45"/>
    </row>
    <row r="33" spans="2:26" ht="13.5" customHeight="1" x14ac:dyDescent="0.3">
      <c r="B33" s="94" t="s">
        <v>172</v>
      </c>
      <c r="C33" s="95"/>
      <c r="D33" s="72"/>
      <c r="E33" s="96"/>
      <c r="F33" s="459"/>
      <c r="G33" s="15"/>
      <c r="H33" s="72"/>
      <c r="I33" s="120"/>
      <c r="J33" s="120"/>
      <c r="K33" s="120"/>
      <c r="L33" s="170"/>
      <c r="M33" s="45"/>
      <c r="N33" s="45"/>
      <c r="P33" s="44"/>
      <c r="Q33" s="101"/>
      <c r="R33" s="45"/>
      <c r="Z33" s="45"/>
    </row>
    <row r="34" spans="2:26" ht="13.5" customHeight="1" x14ac:dyDescent="0.3">
      <c r="B34" s="105"/>
      <c r="C34" s="179"/>
      <c r="D34" s="45"/>
      <c r="E34" s="45"/>
      <c r="F34" s="92"/>
      <c r="G34" s="113"/>
      <c r="H34" s="45"/>
      <c r="I34" s="92"/>
      <c r="J34" s="92"/>
      <c r="K34" s="92"/>
      <c r="L34" s="99"/>
      <c r="M34" s="100"/>
      <c r="N34" s="100"/>
      <c r="O34" s="112" t="s">
        <v>173</v>
      </c>
      <c r="P34" s="44"/>
      <c r="Q34" s="101"/>
      <c r="R34" s="45"/>
      <c r="Z34" s="45"/>
    </row>
    <row r="35" spans="2:26" ht="13.5" customHeight="1" x14ac:dyDescent="0.25">
      <c r="B35" s="97" t="s">
        <v>174</v>
      </c>
      <c r="C35" s="113" t="s">
        <v>130</v>
      </c>
      <c r="D35" s="75">
        <v>494</v>
      </c>
      <c r="E35" s="76">
        <v>9.69</v>
      </c>
      <c r="F35" s="92">
        <f>ROUND(D35*E35,2)</f>
        <v>4786.8599999999997</v>
      </c>
      <c r="H35" s="102">
        <f>ROUND(E35*(1+$O$39),2)</f>
        <v>11.24</v>
      </c>
      <c r="I35" s="92">
        <f>ROUND(D35*H35,2)</f>
        <v>5552.56</v>
      </c>
      <c r="J35" s="92"/>
      <c r="K35" s="92">
        <f>I35-F35</f>
        <v>765.70000000000073</v>
      </c>
      <c r="L35" s="104">
        <f>ROUND(K35/F35,5)</f>
        <v>0.15995999999999999</v>
      </c>
      <c r="M35" s="460"/>
      <c r="N35" s="460"/>
      <c r="O35" s="77">
        <v>766.2414885237813</v>
      </c>
      <c r="P35" s="44"/>
      <c r="Q35" s="108">
        <f>H35/E35-1</f>
        <v>0.1599587203302375</v>
      </c>
      <c r="R35" s="45"/>
      <c r="Z35" s="45"/>
    </row>
    <row r="36" spans="2:26" ht="13.5" customHeight="1" x14ac:dyDescent="0.25">
      <c r="B36" s="97"/>
      <c r="C36" s="45"/>
      <c r="D36" s="80"/>
      <c r="E36" s="80"/>
      <c r="F36" s="92"/>
      <c r="G36" s="45"/>
      <c r="H36" s="45"/>
      <c r="I36" s="92"/>
      <c r="J36" s="92"/>
      <c r="K36" s="92"/>
      <c r="L36" s="104"/>
      <c r="M36" s="460"/>
      <c r="N36" s="460"/>
      <c r="O36" s="130" t="s">
        <v>166</v>
      </c>
      <c r="P36" s="44"/>
      <c r="Q36" s="108"/>
      <c r="R36" s="45"/>
      <c r="Z36" s="45"/>
    </row>
    <row r="37" spans="2:26" ht="13.5" customHeight="1" x14ac:dyDescent="0.3">
      <c r="B37" s="73" t="s">
        <v>175</v>
      </c>
      <c r="C37" s="74"/>
      <c r="D37" s="75">
        <v>9386</v>
      </c>
      <c r="E37" s="75"/>
      <c r="F37" s="106"/>
      <c r="H37" s="45"/>
      <c r="I37" s="92"/>
      <c r="J37" s="92"/>
      <c r="K37" s="92"/>
      <c r="L37" s="99"/>
      <c r="M37" s="460"/>
      <c r="N37" s="460"/>
      <c r="O37" s="119">
        <f>K35-O35</f>
        <v>-0.541488523780572</v>
      </c>
      <c r="P37" s="44"/>
      <c r="Q37" s="108"/>
      <c r="R37" s="45"/>
      <c r="Z37" s="45"/>
    </row>
    <row r="38" spans="2:26" ht="13.5" customHeight="1" x14ac:dyDescent="0.25">
      <c r="B38" s="97"/>
      <c r="C38" s="45"/>
      <c r="D38" s="45"/>
      <c r="E38" s="45"/>
      <c r="F38" s="92"/>
      <c r="H38" s="45"/>
      <c r="I38" s="92"/>
      <c r="J38" s="92"/>
      <c r="K38" s="92"/>
      <c r="L38" s="99"/>
      <c r="M38" s="108"/>
      <c r="N38" s="108"/>
      <c r="P38" s="44"/>
      <c r="Q38" s="108"/>
      <c r="R38" s="45"/>
      <c r="Z38" s="45"/>
    </row>
    <row r="39" spans="2:26" ht="13.5" customHeight="1" x14ac:dyDescent="0.25">
      <c r="B39" s="97" t="s">
        <v>167</v>
      </c>
      <c r="C39" s="74"/>
      <c r="D39" s="39">
        <f>D35</f>
        <v>494</v>
      </c>
      <c r="E39" s="76">
        <v>6.21</v>
      </c>
      <c r="F39" s="120">
        <f>D39*E39</f>
        <v>3067.74</v>
      </c>
      <c r="G39" s="122"/>
      <c r="H39" s="114">
        <f>E39</f>
        <v>6.21</v>
      </c>
      <c r="I39" s="120">
        <f>D39*H39</f>
        <v>3067.74</v>
      </c>
      <c r="J39" s="92"/>
      <c r="K39" s="120">
        <f>I39-F39</f>
        <v>0</v>
      </c>
      <c r="L39" s="170">
        <f>ROUND(K39/F39,5)</f>
        <v>0</v>
      </c>
      <c r="M39" s="45"/>
      <c r="N39" s="45"/>
      <c r="O39" s="83">
        <v>0.16045400000000001</v>
      </c>
      <c r="P39" s="44"/>
      <c r="Q39" s="44"/>
      <c r="R39" s="45"/>
      <c r="Z39" s="45"/>
    </row>
    <row r="40" spans="2:26" ht="13.5" customHeight="1" x14ac:dyDescent="0.25">
      <c r="B40" s="97"/>
      <c r="C40" s="45"/>
      <c r="D40" s="45"/>
      <c r="E40" s="45"/>
      <c r="F40" s="92"/>
      <c r="H40" s="45"/>
      <c r="I40" s="92"/>
      <c r="J40" s="92"/>
      <c r="K40" s="92"/>
      <c r="L40" s="168"/>
      <c r="O40" s="133"/>
      <c r="P40" s="44"/>
      <c r="Q40" s="44"/>
      <c r="R40" s="45"/>
      <c r="Z40" s="45"/>
    </row>
    <row r="41" spans="2:26" ht="13.5" customHeight="1" x14ac:dyDescent="0.25">
      <c r="B41" s="97" t="s">
        <v>168</v>
      </c>
      <c r="C41" s="45"/>
      <c r="D41" s="45"/>
      <c r="E41" s="45"/>
      <c r="F41" s="120">
        <f>F35+F39</f>
        <v>7854.5999999999995</v>
      </c>
      <c r="H41" s="45"/>
      <c r="I41" s="120">
        <f>I35+I39</f>
        <v>8620.2999999999993</v>
      </c>
      <c r="J41" s="92"/>
      <c r="K41" s="120">
        <f>K35+K39</f>
        <v>765.70000000000073</v>
      </c>
      <c r="L41" s="170">
        <f>ROUND(K41/F41,5)</f>
        <v>9.7479999999999997E-2</v>
      </c>
      <c r="M41" s="100"/>
      <c r="N41" s="100"/>
      <c r="O41" s="44"/>
      <c r="P41" s="44"/>
      <c r="Q41" s="44"/>
      <c r="R41" s="45"/>
      <c r="Z41" s="45"/>
    </row>
    <row r="42" spans="2:26" ht="13.5" customHeight="1" x14ac:dyDescent="0.3">
      <c r="B42" s="461"/>
      <c r="C42" s="462"/>
      <c r="D42" s="87"/>
      <c r="E42" s="87"/>
      <c r="F42" s="463"/>
      <c r="G42" s="89"/>
      <c r="H42" s="87"/>
      <c r="I42" s="151"/>
      <c r="J42" s="151"/>
      <c r="K42" s="87"/>
      <c r="L42" s="464"/>
      <c r="M42" s="138"/>
      <c r="N42" s="138"/>
      <c r="Q42" s="101"/>
      <c r="R42" s="45"/>
      <c r="Z42" s="45"/>
    </row>
    <row r="43" spans="2:26" ht="13.5" customHeight="1" x14ac:dyDescent="0.3">
      <c r="B43" s="42"/>
      <c r="K43" s="45"/>
      <c r="M43" s="108"/>
      <c r="N43" s="108"/>
      <c r="Q43" s="101"/>
      <c r="R43" s="45"/>
      <c r="Z43" s="45"/>
    </row>
    <row r="44" spans="2:26" x14ac:dyDescent="0.3">
      <c r="B44" s="61" t="s">
        <v>176</v>
      </c>
      <c r="K44" s="45"/>
      <c r="M44" s="138"/>
      <c r="N44" s="138"/>
      <c r="Q44" s="101"/>
      <c r="R44" s="45"/>
      <c r="Z44" s="45"/>
    </row>
    <row r="45" spans="2:26" x14ac:dyDescent="0.3">
      <c r="B45" s="42"/>
      <c r="D45" s="115" t="s">
        <v>129</v>
      </c>
      <c r="F45" s="17" t="s">
        <v>120</v>
      </c>
      <c r="I45" s="124" t="s">
        <v>28</v>
      </c>
      <c r="K45" s="124" t="s">
        <v>103</v>
      </c>
      <c r="Q45" s="101"/>
      <c r="R45" s="45"/>
      <c r="Z45" s="45"/>
    </row>
    <row r="46" spans="2:26" x14ac:dyDescent="0.3">
      <c r="B46" s="42" t="s">
        <v>177</v>
      </c>
      <c r="F46" s="91">
        <f>F16+F27+F39</f>
        <v>199014403.29185444</v>
      </c>
      <c r="I46" s="91">
        <f>I16+I27+I39</f>
        <v>199014403.29185444</v>
      </c>
      <c r="J46" s="91"/>
      <c r="K46" s="92">
        <f>I46-F46</f>
        <v>0</v>
      </c>
      <c r="Q46" s="101"/>
      <c r="R46" s="45"/>
      <c r="Z46" s="45"/>
    </row>
    <row r="47" spans="2:26" x14ac:dyDescent="0.3">
      <c r="B47" s="42" t="s">
        <v>178</v>
      </c>
      <c r="F47" s="91">
        <f>F14+F25+F35</f>
        <v>314237754.3773858</v>
      </c>
      <c r="G47" s="91"/>
      <c r="H47" s="91"/>
      <c r="I47" s="91">
        <f>I14+I25+I35</f>
        <v>363973986.91868043</v>
      </c>
      <c r="J47" s="91"/>
      <c r="K47" s="92">
        <f>I47-F47</f>
        <v>49736232.541294634</v>
      </c>
      <c r="L47" s="465">
        <f>K47/F47</f>
        <v>0.15827580183622236</v>
      </c>
    </row>
    <row r="48" spans="2:26" x14ac:dyDescent="0.3">
      <c r="B48" s="42" t="s">
        <v>179</v>
      </c>
      <c r="D48" s="34">
        <f>D13+D24+D37</f>
        <v>609257701.15931809</v>
      </c>
      <c r="F48" s="120">
        <f>F46+F47</f>
        <v>513252157.66924024</v>
      </c>
      <c r="I48" s="120">
        <f>I46+I47</f>
        <v>562988390.21053481</v>
      </c>
      <c r="K48" s="120">
        <f>K46+K47</f>
        <v>49736232.541294634</v>
      </c>
      <c r="L48" s="93">
        <f>K48/F48</f>
        <v>9.6904088561760332E-2</v>
      </c>
    </row>
    <row r="49" spans="2:17" x14ac:dyDescent="0.3">
      <c r="B49" s="42"/>
      <c r="D49" s="34"/>
      <c r="F49" s="92"/>
      <c r="I49" s="92"/>
      <c r="K49" s="92"/>
      <c r="L49" s="465"/>
    </row>
    <row r="50" spans="2:17" x14ac:dyDescent="0.3">
      <c r="B50" s="42" t="s">
        <v>180</v>
      </c>
      <c r="F50" s="47"/>
      <c r="I50" s="92"/>
      <c r="K50" s="92"/>
      <c r="L50" s="465"/>
    </row>
    <row r="51" spans="2:17" ht="13.5" thickBot="1" x14ac:dyDescent="0.35">
      <c r="B51" s="42"/>
      <c r="F51" s="42"/>
      <c r="I51" s="91"/>
      <c r="K51" s="92"/>
    </row>
    <row r="52" spans="2:17" ht="13.5" thickBot="1" x14ac:dyDescent="0.35">
      <c r="B52" s="466" t="s">
        <v>14</v>
      </c>
      <c r="C52" s="467"/>
      <c r="D52" s="303">
        <v>0</v>
      </c>
      <c r="E52" s="116"/>
      <c r="F52" s="304">
        <v>-4.5788884162902832E-3</v>
      </c>
      <c r="K52" s="45"/>
      <c r="O52" s="468"/>
      <c r="P52" s="91"/>
    </row>
    <row r="53" spans="2:17" x14ac:dyDescent="0.3">
      <c r="B53" s="42"/>
      <c r="F53" s="42"/>
    </row>
    <row r="55" spans="2:17" ht="12.5" x14ac:dyDescent="0.25">
      <c r="B55" s="42"/>
      <c r="C55" s="42"/>
      <c r="F55" s="42"/>
      <c r="G55" s="42"/>
      <c r="I55" s="42"/>
      <c r="J55" s="42"/>
      <c r="L55" s="42"/>
      <c r="M55" s="42"/>
      <c r="N55" s="42"/>
      <c r="Q55" s="42"/>
    </row>
    <row r="56" spans="2:17" x14ac:dyDescent="0.3">
      <c r="B56" s="42" t="s">
        <v>299</v>
      </c>
    </row>
    <row r="57" spans="2:17" x14ac:dyDescent="0.3">
      <c r="B57" s="42"/>
    </row>
    <row r="58" spans="2:17" x14ac:dyDescent="0.3">
      <c r="B58" s="469" t="s">
        <v>298</v>
      </c>
    </row>
  </sheetData>
  <dataConsolidate/>
  <printOptions horizontalCentered="1"/>
  <pageMargins left="0.5" right="0.5" top="1" bottom="1" header="0.75" footer="0.5"/>
  <pageSetup scale="75" fitToHeight="2" orientation="landscape" blackAndWhite="1" r:id="rId1"/>
  <headerFooter alignWithMargins="0">
    <oddFooter>&amp;RExhibit JDT-14
                   Page &amp;P of &amp;N</oddFooter>
  </headerFooter>
  <rowBreaks count="1" manualBreakCount="1">
    <brk id="42" min="1" max="16" man="1"/>
  </rowBreaks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149"/>
  <sheetViews>
    <sheetView topLeftCell="A94" zoomScale="80" zoomScaleNormal="80" workbookViewId="0">
      <selection activeCell="B135" sqref="B135"/>
    </sheetView>
  </sheetViews>
  <sheetFormatPr defaultColWidth="9.1796875" defaultRowHeight="12.5" x14ac:dyDescent="0.25"/>
  <cols>
    <col min="1" max="1" width="2.453125" style="42" customWidth="1"/>
    <col min="2" max="2" width="31.7265625" style="42" customWidth="1"/>
    <col min="3" max="3" width="9.7265625" style="42" customWidth="1"/>
    <col min="4" max="4" width="12.7265625" style="42" customWidth="1"/>
    <col min="5" max="5" width="10.453125" style="42" customWidth="1"/>
    <col min="6" max="6" width="13.26953125" style="174" customWidth="1"/>
    <col min="7" max="7" width="2.81640625" style="34" customWidth="1"/>
    <col min="8" max="8" width="10.453125" style="42" customWidth="1"/>
    <col min="9" max="9" width="13.26953125" style="174" customWidth="1"/>
    <col min="10" max="10" width="2.81640625" style="174" customWidth="1"/>
    <col min="11" max="11" width="13.26953125" style="174" customWidth="1"/>
    <col min="12" max="12" width="10.453125" style="465" customWidth="1"/>
    <col min="13" max="13" width="2.81640625" style="482" customWidth="1"/>
    <col min="14" max="14" width="2" style="509" customWidth="1"/>
    <col min="15" max="15" width="14.54296875" style="42" customWidth="1"/>
    <col min="16" max="16" width="2.81640625" style="42" customWidth="1"/>
    <col min="17" max="17" width="8.81640625" style="132" customWidth="1"/>
    <col min="18" max="16384" width="9.1796875" style="42"/>
  </cols>
  <sheetData>
    <row r="2" spans="1:17" ht="13" x14ac:dyDescent="0.3">
      <c r="B2" s="69" t="s">
        <v>13</v>
      </c>
      <c r="C2" s="59"/>
      <c r="D2" s="59"/>
      <c r="E2" s="59"/>
      <c r="F2" s="141"/>
      <c r="G2" s="117"/>
      <c r="H2" s="59"/>
      <c r="I2" s="141"/>
      <c r="J2" s="141"/>
      <c r="K2" s="141"/>
      <c r="L2" s="496"/>
      <c r="M2" s="471"/>
      <c r="N2" s="471"/>
      <c r="O2" s="59"/>
      <c r="P2" s="59"/>
      <c r="Q2" s="445"/>
    </row>
    <row r="3" spans="1:17" ht="13" x14ac:dyDescent="0.3">
      <c r="B3" s="400" t="s">
        <v>360</v>
      </c>
      <c r="C3" s="59"/>
      <c r="D3" s="59"/>
      <c r="E3" s="59"/>
      <c r="F3" s="59"/>
      <c r="G3" s="59"/>
      <c r="H3" s="59"/>
      <c r="I3" s="59"/>
      <c r="J3" s="59"/>
      <c r="K3" s="59"/>
      <c r="L3" s="496"/>
      <c r="M3" s="59"/>
      <c r="N3" s="471"/>
      <c r="O3" s="59"/>
      <c r="P3" s="59"/>
      <c r="Q3" s="445"/>
    </row>
    <row r="4" spans="1:17" ht="13" x14ac:dyDescent="0.3">
      <c r="B4" s="69" t="s">
        <v>181</v>
      </c>
      <c r="C4" s="59"/>
      <c r="D4" s="59"/>
      <c r="E4" s="59"/>
      <c r="F4" s="59"/>
      <c r="G4" s="59"/>
      <c r="H4" s="59"/>
      <c r="I4" s="59"/>
      <c r="J4" s="59"/>
      <c r="K4" s="59"/>
      <c r="L4" s="496"/>
      <c r="M4" s="59"/>
      <c r="N4" s="471"/>
      <c r="O4" s="59"/>
      <c r="P4" s="59"/>
      <c r="Q4" s="445"/>
    </row>
    <row r="5" spans="1:17" ht="13" x14ac:dyDescent="0.3">
      <c r="B5" s="69" t="s">
        <v>361</v>
      </c>
      <c r="C5" s="59"/>
      <c r="D5" s="59"/>
      <c r="E5" s="59"/>
      <c r="F5" s="59"/>
      <c r="G5" s="59"/>
      <c r="H5" s="59"/>
      <c r="I5" s="59"/>
      <c r="J5" s="59"/>
      <c r="K5" s="59"/>
      <c r="L5" s="496"/>
      <c r="M5" s="59"/>
      <c r="N5" s="472"/>
      <c r="O5" s="176"/>
      <c r="P5" s="59"/>
      <c r="Q5" s="445"/>
    </row>
    <row r="6" spans="1:17" ht="13.5" customHeight="1" x14ac:dyDescent="0.25">
      <c r="B6" s="10"/>
      <c r="C6" s="10"/>
      <c r="D6" s="10"/>
      <c r="E6" s="10"/>
      <c r="F6" s="497"/>
      <c r="G6" s="118"/>
      <c r="H6" s="10"/>
      <c r="I6" s="497"/>
      <c r="J6" s="497"/>
      <c r="K6" s="497"/>
      <c r="L6" s="498"/>
      <c r="N6" s="108"/>
      <c r="O6" s="45"/>
    </row>
    <row r="7" spans="1:17" ht="12" customHeight="1" x14ac:dyDescent="0.25">
      <c r="B7" s="448"/>
      <c r="C7" s="70"/>
      <c r="D7" s="70" t="s">
        <v>119</v>
      </c>
      <c r="E7" s="71" t="s">
        <v>120</v>
      </c>
      <c r="F7" s="143"/>
      <c r="G7" s="44"/>
      <c r="H7" s="71" t="s">
        <v>28</v>
      </c>
      <c r="I7" s="143"/>
      <c r="J7" s="450"/>
      <c r="K7" s="535" t="s">
        <v>159</v>
      </c>
      <c r="L7" s="536"/>
      <c r="M7" s="452"/>
      <c r="N7" s="472"/>
      <c r="O7" s="44" t="s">
        <v>121</v>
      </c>
      <c r="Q7" s="81" t="s">
        <v>160</v>
      </c>
    </row>
    <row r="8" spans="1:17" x14ac:dyDescent="0.25">
      <c r="B8" s="453" t="s">
        <v>122</v>
      </c>
      <c r="C8" s="17" t="s">
        <v>123</v>
      </c>
      <c r="D8" s="17" t="s">
        <v>124</v>
      </c>
      <c r="E8" s="17" t="s">
        <v>112</v>
      </c>
      <c r="F8" s="124" t="s">
        <v>125</v>
      </c>
      <c r="G8" s="17"/>
      <c r="H8" s="17" t="s">
        <v>112</v>
      </c>
      <c r="I8" s="124" t="s">
        <v>125</v>
      </c>
      <c r="J8" s="124"/>
      <c r="K8" s="124" t="s">
        <v>161</v>
      </c>
      <c r="L8" s="499" t="s">
        <v>162</v>
      </c>
      <c r="M8" s="155"/>
      <c r="N8" s="455"/>
      <c r="O8" s="17" t="s">
        <v>163</v>
      </c>
      <c r="Q8" s="456" t="s">
        <v>102</v>
      </c>
    </row>
    <row r="9" spans="1:17" x14ac:dyDescent="0.25">
      <c r="A9" s="45"/>
      <c r="B9" s="44"/>
      <c r="C9" s="44"/>
      <c r="D9" s="44"/>
      <c r="E9" s="44"/>
      <c r="F9" s="500"/>
      <c r="G9" s="44"/>
      <c r="H9" s="44"/>
      <c r="I9" s="500"/>
      <c r="J9" s="500"/>
      <c r="K9" s="500"/>
      <c r="L9" s="501"/>
      <c r="M9" s="155"/>
      <c r="N9" s="455"/>
      <c r="O9" s="45"/>
      <c r="P9" s="45"/>
      <c r="Q9" s="101"/>
    </row>
    <row r="10" spans="1:17" ht="13" x14ac:dyDescent="0.3">
      <c r="B10" s="94" t="s">
        <v>182</v>
      </c>
      <c r="C10" s="165"/>
      <c r="D10" s="72"/>
      <c r="E10" s="72"/>
      <c r="F10" s="120"/>
      <c r="G10" s="15"/>
      <c r="H10" s="72"/>
      <c r="I10" s="120"/>
      <c r="J10" s="120"/>
      <c r="K10" s="120"/>
      <c r="L10" s="170"/>
      <c r="M10" s="134"/>
      <c r="N10" s="108"/>
      <c r="O10" s="45"/>
      <c r="P10" s="45"/>
      <c r="Q10" s="101"/>
    </row>
    <row r="11" spans="1:17" x14ac:dyDescent="0.25">
      <c r="B11" s="97"/>
      <c r="C11" s="45"/>
      <c r="D11" s="39"/>
      <c r="E11" s="45"/>
      <c r="F11" s="92"/>
      <c r="G11" s="39"/>
      <c r="H11" s="45"/>
      <c r="I11" s="92"/>
      <c r="J11" s="92"/>
      <c r="K11" s="92"/>
      <c r="L11" s="104"/>
      <c r="M11" s="134"/>
      <c r="N11" s="108"/>
      <c r="O11" s="129" t="s">
        <v>183</v>
      </c>
      <c r="P11" s="45"/>
      <c r="Q11" s="101"/>
    </row>
    <row r="12" spans="1:17" x14ac:dyDescent="0.25">
      <c r="B12" s="73" t="s">
        <v>126</v>
      </c>
      <c r="C12" s="74" t="s">
        <v>127</v>
      </c>
      <c r="D12" s="75">
        <v>692597.12096613029</v>
      </c>
      <c r="E12" s="76">
        <v>32.159999999999997</v>
      </c>
      <c r="F12" s="92">
        <f>ROUND(D12*E12,2)</f>
        <v>22273923.41</v>
      </c>
      <c r="G12" s="39"/>
      <c r="H12" s="76">
        <v>33.840000000000003</v>
      </c>
      <c r="I12" s="92">
        <f>ROUND(D12*H12,2)</f>
        <v>23437486.57</v>
      </c>
      <c r="J12" s="92"/>
      <c r="K12" s="92">
        <f>I12-F12</f>
        <v>1163563.1600000001</v>
      </c>
      <c r="L12" s="104"/>
      <c r="M12" s="134"/>
      <c r="N12" s="108"/>
      <c r="O12" s="77">
        <v>22168833.377812788</v>
      </c>
      <c r="P12" s="45"/>
      <c r="Q12" s="108">
        <f>H12/E12-1</f>
        <v>5.2238805970149516E-2</v>
      </c>
    </row>
    <row r="13" spans="1:17" x14ac:dyDescent="0.25">
      <c r="B13" s="97" t="s">
        <v>128</v>
      </c>
      <c r="C13" s="45" t="s">
        <v>129</v>
      </c>
      <c r="D13" s="75">
        <v>234140158.08963937</v>
      </c>
      <c r="E13" s="78">
        <v>0.29475000000000001</v>
      </c>
      <c r="F13" s="92">
        <f>ROUND(D13*E13,2)</f>
        <v>69012811.599999994</v>
      </c>
      <c r="G13" s="39"/>
      <c r="H13" s="79">
        <f>ROUND(E13*(1+$O$16),5)</f>
        <v>0.37956000000000001</v>
      </c>
      <c r="I13" s="92">
        <f>ROUND(D13*H13,2)</f>
        <v>88870238.400000006</v>
      </c>
      <c r="J13" s="92"/>
      <c r="K13" s="92">
        <f>I13-F13</f>
        <v>19857426.800000012</v>
      </c>
      <c r="L13" s="104"/>
      <c r="M13" s="134"/>
      <c r="N13" s="108"/>
      <c r="O13" s="130" t="s">
        <v>166</v>
      </c>
      <c r="P13" s="45"/>
      <c r="Q13" s="108">
        <f>H13/E13-1</f>
        <v>0.28773536895674301</v>
      </c>
    </row>
    <row r="14" spans="1:17" x14ac:dyDescent="0.25">
      <c r="B14" s="97" t="s">
        <v>131</v>
      </c>
      <c r="C14" s="45"/>
      <c r="D14" s="39">
        <f>D13</f>
        <v>234140158.08963937</v>
      </c>
      <c r="E14" s="78">
        <v>8.8199999999999997E-3</v>
      </c>
      <c r="F14" s="92">
        <f>ROUND(D14*E14,2)</f>
        <v>2065116.19</v>
      </c>
      <c r="G14" s="39"/>
      <c r="H14" s="78">
        <v>1.371E-2</v>
      </c>
      <c r="I14" s="92">
        <f>ROUND(D14*H14,2)</f>
        <v>3210061.57</v>
      </c>
      <c r="J14" s="152"/>
      <c r="K14" s="92">
        <f>I14-F14</f>
        <v>1144945.3799999999</v>
      </c>
      <c r="L14" s="168"/>
      <c r="M14" s="155"/>
      <c r="N14" s="155"/>
      <c r="O14" s="119">
        <f>K15+K27-O12</f>
        <v>504.02218722179532</v>
      </c>
      <c r="P14" s="45"/>
      <c r="Q14" s="108">
        <f>H14/E14-1</f>
        <v>0.55442176870748305</v>
      </c>
    </row>
    <row r="15" spans="1:17" x14ac:dyDescent="0.25">
      <c r="B15" s="73" t="s">
        <v>170</v>
      </c>
      <c r="C15" s="74"/>
      <c r="D15" s="39"/>
      <c r="E15" s="80"/>
      <c r="F15" s="120">
        <f>SUM(F12:F14)</f>
        <v>93351851.199999988</v>
      </c>
      <c r="G15" s="39"/>
      <c r="H15" s="39"/>
      <c r="I15" s="120">
        <f>SUM(I12:I14)</f>
        <v>115517786.53999999</v>
      </c>
      <c r="J15" s="92"/>
      <c r="K15" s="120">
        <f>SUM(K12:K14)</f>
        <v>22165935.340000011</v>
      </c>
      <c r="L15" s="170">
        <f>ROUND(K15/F15,5)</f>
        <v>0.23744999999999999</v>
      </c>
      <c r="M15" s="134"/>
      <c r="N15" s="108"/>
      <c r="O15" s="121"/>
      <c r="P15" s="502"/>
      <c r="Q15" s="503"/>
    </row>
    <row r="16" spans="1:17" x14ac:dyDescent="0.25">
      <c r="B16" s="97"/>
      <c r="C16" s="45"/>
      <c r="D16" s="45"/>
      <c r="E16" s="80"/>
      <c r="F16" s="92"/>
      <c r="G16" s="39"/>
      <c r="H16" s="39"/>
      <c r="I16" s="92"/>
      <c r="J16" s="92"/>
      <c r="K16" s="92"/>
      <c r="L16" s="104"/>
      <c r="M16" s="134"/>
      <c r="N16" s="108"/>
      <c r="O16" s="83">
        <v>0.28772300000000001</v>
      </c>
      <c r="P16" s="45"/>
      <c r="Q16" s="101"/>
    </row>
    <row r="17" spans="1:17" x14ac:dyDescent="0.25">
      <c r="B17" s="97" t="s">
        <v>167</v>
      </c>
      <c r="C17" s="45" t="s">
        <v>129</v>
      </c>
      <c r="D17" s="39">
        <f>D13</f>
        <v>234140158.08963937</v>
      </c>
      <c r="E17" s="58">
        <v>0.31873000000000001</v>
      </c>
      <c r="F17" s="92">
        <f>E17*D17</f>
        <v>74627492.587910756</v>
      </c>
      <c r="G17" s="45"/>
      <c r="H17" s="82">
        <f>E17</f>
        <v>0.31873000000000001</v>
      </c>
      <c r="I17" s="92">
        <f>H17*D17</f>
        <v>74627492.587910756</v>
      </c>
      <c r="J17" s="92"/>
      <c r="K17" s="92">
        <f>I17-F17</f>
        <v>0</v>
      </c>
      <c r="L17" s="104">
        <f>ROUND(K17/F17,5)</f>
        <v>0</v>
      </c>
      <c r="M17" s="134"/>
      <c r="N17" s="108"/>
      <c r="O17" s="44"/>
      <c r="P17" s="44"/>
      <c r="Q17" s="44"/>
    </row>
    <row r="18" spans="1:17" x14ac:dyDescent="0.25">
      <c r="B18" s="97"/>
      <c r="C18" s="45"/>
      <c r="D18" s="45"/>
      <c r="E18" s="79"/>
      <c r="F18" s="92"/>
      <c r="G18" s="122"/>
      <c r="H18" s="85"/>
      <c r="I18" s="92"/>
      <c r="J18" s="92"/>
      <c r="K18" s="92"/>
      <c r="L18" s="104"/>
      <c r="M18" s="134"/>
      <c r="N18" s="108"/>
      <c r="O18" s="504"/>
      <c r="P18" s="44"/>
      <c r="Q18" s="44"/>
    </row>
    <row r="19" spans="1:17" x14ac:dyDescent="0.25">
      <c r="B19" s="73" t="s">
        <v>168</v>
      </c>
      <c r="C19" s="45"/>
      <c r="D19" s="45"/>
      <c r="E19" s="45"/>
      <c r="F19" s="120">
        <f>F17+F15</f>
        <v>167979343.78791076</v>
      </c>
      <c r="G19" s="122"/>
      <c r="H19" s="123"/>
      <c r="I19" s="120">
        <f>I17+I15</f>
        <v>190145279.12791073</v>
      </c>
      <c r="J19" s="92"/>
      <c r="K19" s="120">
        <f>K15+K17</f>
        <v>22165935.340000011</v>
      </c>
      <c r="L19" s="170">
        <f>ROUND(K19/F19,5)</f>
        <v>0.13195999999999999</v>
      </c>
      <c r="M19" s="134"/>
      <c r="N19" s="108"/>
      <c r="O19" s="44"/>
      <c r="P19" s="44"/>
      <c r="Q19" s="44"/>
    </row>
    <row r="20" spans="1:17" x14ac:dyDescent="0.25">
      <c r="B20" s="86"/>
      <c r="C20" s="505"/>
      <c r="D20" s="87"/>
      <c r="E20" s="124"/>
      <c r="F20" s="125"/>
      <c r="G20" s="87"/>
      <c r="H20" s="126"/>
      <c r="I20" s="88"/>
      <c r="J20" s="88"/>
      <c r="K20" s="88"/>
      <c r="L20" s="90"/>
      <c r="M20" s="134"/>
      <c r="N20" s="108"/>
      <c r="O20" s="45"/>
    </row>
    <row r="21" spans="1:17" x14ac:dyDescent="0.25">
      <c r="A21" s="45"/>
      <c r="B21" s="45"/>
      <c r="C21" s="45"/>
      <c r="D21" s="45"/>
      <c r="E21" s="45"/>
      <c r="F21" s="100"/>
      <c r="G21" s="122"/>
      <c r="H21" s="123"/>
      <c r="I21" s="100"/>
      <c r="J21" s="100"/>
      <c r="K21" s="92"/>
      <c r="L21" s="93"/>
      <c r="M21" s="134"/>
      <c r="N21" s="108"/>
      <c r="O21" s="45"/>
    </row>
    <row r="22" spans="1:17" ht="13" x14ac:dyDescent="0.3">
      <c r="A22" s="45"/>
      <c r="B22" s="94" t="s">
        <v>184</v>
      </c>
      <c r="C22" s="165"/>
      <c r="D22" s="72"/>
      <c r="E22" s="72"/>
      <c r="F22" s="120"/>
      <c r="G22" s="15"/>
      <c r="H22" s="72"/>
      <c r="I22" s="120"/>
      <c r="J22" s="120"/>
      <c r="K22" s="120"/>
      <c r="L22" s="170"/>
      <c r="M22" s="134"/>
      <c r="N22" s="108"/>
      <c r="O22" s="45"/>
    </row>
    <row r="23" spans="1:17" x14ac:dyDescent="0.25">
      <c r="A23" s="45"/>
      <c r="B23" s="97"/>
      <c r="C23" s="45"/>
      <c r="D23" s="39"/>
      <c r="E23" s="45"/>
      <c r="F23" s="92"/>
      <c r="G23" s="39"/>
      <c r="H23" s="45"/>
      <c r="I23" s="92"/>
      <c r="J23" s="92"/>
      <c r="K23" s="92"/>
      <c r="L23" s="104"/>
      <c r="M23" s="134"/>
      <c r="N23" s="108"/>
      <c r="O23" s="45"/>
    </row>
    <row r="24" spans="1:17" x14ac:dyDescent="0.25">
      <c r="A24" s="45"/>
      <c r="B24" s="73" t="s">
        <v>126</v>
      </c>
      <c r="C24" s="74" t="s">
        <v>127</v>
      </c>
      <c r="D24" s="75">
        <v>31</v>
      </c>
      <c r="E24" s="76">
        <v>353.77</v>
      </c>
      <c r="F24" s="92">
        <f>ROUND(D24*E24,2)</f>
        <v>10966.87</v>
      </c>
      <c r="G24" s="39"/>
      <c r="H24" s="76">
        <v>364.04</v>
      </c>
      <c r="I24" s="92">
        <f>ROUND(D24*H24,2)</f>
        <v>11285.24</v>
      </c>
      <c r="J24" s="92"/>
      <c r="K24" s="92">
        <f>I24-F24</f>
        <v>318.36999999999898</v>
      </c>
      <c r="L24" s="104"/>
      <c r="M24" s="134"/>
      <c r="N24" s="108"/>
      <c r="O24" s="45"/>
      <c r="Q24" s="108">
        <f>H24/E24-1</f>
        <v>2.903016083896337E-2</v>
      </c>
    </row>
    <row r="25" spans="1:17" x14ac:dyDescent="0.25">
      <c r="A25" s="45"/>
      <c r="B25" s="97" t="s">
        <v>128</v>
      </c>
      <c r="C25" s="45" t="s">
        <v>129</v>
      </c>
      <c r="D25" s="75">
        <v>36359.963605097219</v>
      </c>
      <c r="E25" s="78">
        <v>0.29475000000000001</v>
      </c>
      <c r="F25" s="92">
        <f>ROUND(D25*E25,2)</f>
        <v>10717.1</v>
      </c>
      <c r="G25" s="39"/>
      <c r="H25" s="79">
        <f>H13</f>
        <v>0.37956000000000001</v>
      </c>
      <c r="I25" s="92">
        <f>ROUND(D25*H25,2)</f>
        <v>13800.79</v>
      </c>
      <c r="J25" s="92"/>
      <c r="K25" s="92">
        <f>I25-F25</f>
        <v>3083.6900000000005</v>
      </c>
      <c r="L25" s="104"/>
      <c r="M25" s="134"/>
      <c r="N25" s="108"/>
      <c r="O25" s="45"/>
      <c r="Q25" s="108">
        <f t="shared" ref="Q25" si="0">H25/E25-1</f>
        <v>0.28773536895674301</v>
      </c>
    </row>
    <row r="26" spans="1:17" x14ac:dyDescent="0.25">
      <c r="A26" s="45"/>
      <c r="B26" s="73" t="s">
        <v>131</v>
      </c>
      <c r="C26" s="45"/>
      <c r="D26" s="39">
        <f>D25</f>
        <v>36359.963605097219</v>
      </c>
      <c r="E26" s="127">
        <v>0</v>
      </c>
      <c r="F26" s="92">
        <f>ROUND(D26*E26,2)</f>
        <v>0</v>
      </c>
      <c r="G26" s="39"/>
      <c r="H26" s="127">
        <v>0</v>
      </c>
      <c r="I26" s="92">
        <f>ROUND(D26*H26,2)</f>
        <v>0</v>
      </c>
      <c r="J26" s="92"/>
      <c r="K26" s="92">
        <f>I26-F26</f>
        <v>0</v>
      </c>
      <c r="L26" s="104"/>
      <c r="M26" s="134"/>
      <c r="N26" s="108"/>
      <c r="O26" s="45"/>
      <c r="Q26" s="108"/>
    </row>
    <row r="27" spans="1:17" x14ac:dyDescent="0.25">
      <c r="A27" s="45"/>
      <c r="B27" s="73" t="s">
        <v>170</v>
      </c>
      <c r="C27" s="74"/>
      <c r="D27" s="39"/>
      <c r="E27" s="80"/>
      <c r="F27" s="120">
        <f>SUM(F24:F26)</f>
        <v>21683.97</v>
      </c>
      <c r="G27" s="39"/>
      <c r="H27" s="39"/>
      <c r="I27" s="120">
        <f>SUM(I24:I26)</f>
        <v>25086.03</v>
      </c>
      <c r="J27" s="92"/>
      <c r="K27" s="120">
        <f>SUM(K24:K26)</f>
        <v>3402.0599999999995</v>
      </c>
      <c r="L27" s="170"/>
      <c r="M27" s="134"/>
      <c r="N27" s="108"/>
      <c r="O27" s="45"/>
    </row>
    <row r="28" spans="1:17" x14ac:dyDescent="0.25">
      <c r="A28" s="45"/>
      <c r="B28" s="97"/>
      <c r="C28" s="45"/>
      <c r="D28" s="45"/>
      <c r="E28" s="80"/>
      <c r="F28" s="92"/>
      <c r="G28" s="39"/>
      <c r="H28" s="39"/>
      <c r="I28" s="92"/>
      <c r="J28" s="92"/>
      <c r="K28" s="92"/>
      <c r="L28" s="104"/>
      <c r="M28" s="134"/>
      <c r="N28" s="108"/>
      <c r="O28" s="45"/>
    </row>
    <row r="29" spans="1:17" x14ac:dyDescent="0.25">
      <c r="A29" s="45"/>
      <c r="B29" s="97" t="s">
        <v>185</v>
      </c>
      <c r="C29" s="45" t="s">
        <v>129</v>
      </c>
      <c r="D29" s="39">
        <f>D25</f>
        <v>36359.963605097219</v>
      </c>
      <c r="E29" s="78">
        <v>6.9999999999999999E-4</v>
      </c>
      <c r="F29" s="92">
        <f>E29*D29</f>
        <v>25.451974523568051</v>
      </c>
      <c r="G29" s="45"/>
      <c r="H29" s="127">
        <v>1E-3</v>
      </c>
      <c r="I29" s="92">
        <f>H29*D29</f>
        <v>36.359963605097221</v>
      </c>
      <c r="J29" s="92"/>
      <c r="K29" s="92">
        <f>I29-F29</f>
        <v>10.90798908152917</v>
      </c>
      <c r="L29" s="104"/>
      <c r="M29" s="134"/>
      <c r="N29" s="108"/>
      <c r="O29" s="45"/>
    </row>
    <row r="30" spans="1:17" x14ac:dyDescent="0.25">
      <c r="A30" s="45"/>
      <c r="B30" s="73" t="s">
        <v>168</v>
      </c>
      <c r="C30" s="45"/>
      <c r="D30" s="45"/>
      <c r="E30" s="45"/>
      <c r="F30" s="120">
        <f>F29+F27</f>
        <v>21709.421974523568</v>
      </c>
      <c r="G30" s="122"/>
      <c r="H30" s="123"/>
      <c r="I30" s="120">
        <f>I29+I27</f>
        <v>25122.389963605096</v>
      </c>
      <c r="J30" s="92"/>
      <c r="K30" s="120">
        <f>K27+K29</f>
        <v>3412.9679890815287</v>
      </c>
      <c r="L30" s="170"/>
      <c r="M30" s="134"/>
      <c r="N30" s="108"/>
      <c r="O30" s="45"/>
    </row>
    <row r="31" spans="1:17" x14ac:dyDescent="0.25">
      <c r="A31" s="45"/>
      <c r="B31" s="86"/>
      <c r="C31" s="505"/>
      <c r="D31" s="87"/>
      <c r="E31" s="124"/>
      <c r="F31" s="125"/>
      <c r="G31" s="87"/>
      <c r="H31" s="126"/>
      <c r="I31" s="88"/>
      <c r="J31" s="88"/>
      <c r="K31" s="88"/>
      <c r="L31" s="90"/>
      <c r="M31" s="134"/>
      <c r="N31" s="108"/>
      <c r="O31" s="45"/>
    </row>
    <row r="32" spans="1:17" x14ac:dyDescent="0.25">
      <c r="A32" s="45"/>
      <c r="B32" s="45"/>
      <c r="C32" s="45"/>
      <c r="D32" s="45"/>
      <c r="E32" s="45"/>
      <c r="F32" s="100"/>
      <c r="G32" s="122"/>
      <c r="H32" s="123"/>
      <c r="I32" s="100"/>
      <c r="J32" s="100"/>
      <c r="K32" s="92"/>
      <c r="L32" s="93"/>
      <c r="M32" s="134"/>
      <c r="N32" s="108"/>
      <c r="O32" s="45"/>
    </row>
    <row r="33" spans="1:17" ht="13" x14ac:dyDescent="0.3">
      <c r="A33" s="45"/>
      <c r="B33" s="94" t="s">
        <v>186</v>
      </c>
      <c r="C33" s="165"/>
      <c r="D33" s="72"/>
      <c r="E33" s="72"/>
      <c r="F33" s="120"/>
      <c r="G33" s="15"/>
      <c r="H33" s="72"/>
      <c r="I33" s="120"/>
      <c r="J33" s="120"/>
      <c r="K33" s="120"/>
      <c r="L33" s="170"/>
      <c r="M33" s="134"/>
      <c r="N33" s="108"/>
      <c r="O33" s="45"/>
    </row>
    <row r="34" spans="1:17" x14ac:dyDescent="0.25">
      <c r="A34" s="45"/>
      <c r="B34" s="97"/>
      <c r="C34" s="45"/>
      <c r="D34" s="39"/>
      <c r="E34" s="45"/>
      <c r="F34" s="92"/>
      <c r="G34" s="39"/>
      <c r="H34" s="45"/>
      <c r="I34" s="92"/>
      <c r="J34" s="92"/>
      <c r="K34" s="92"/>
      <c r="L34" s="104"/>
      <c r="M34" s="134"/>
      <c r="N34" s="108"/>
      <c r="O34" s="45"/>
    </row>
    <row r="35" spans="1:17" x14ac:dyDescent="0.25">
      <c r="A35" s="45"/>
      <c r="B35" s="73" t="s">
        <v>126</v>
      </c>
      <c r="C35" s="74" t="s">
        <v>127</v>
      </c>
      <c r="D35" s="39">
        <f>D12+D24</f>
        <v>692628.12096613029</v>
      </c>
      <c r="E35" s="128"/>
      <c r="F35" s="92">
        <f>F12+F24</f>
        <v>22284890.280000001</v>
      </c>
      <c r="G35" s="39"/>
      <c r="H35" s="128"/>
      <c r="I35" s="92">
        <f>I12+I24</f>
        <v>23448771.809999999</v>
      </c>
      <c r="J35" s="92"/>
      <c r="K35" s="92">
        <f>I35-F35</f>
        <v>1163881.5299999975</v>
      </c>
      <c r="L35" s="104"/>
      <c r="M35" s="134"/>
      <c r="N35" s="108"/>
      <c r="O35" s="45"/>
    </row>
    <row r="36" spans="1:17" x14ac:dyDescent="0.25">
      <c r="A36" s="45"/>
      <c r="B36" s="97" t="s">
        <v>128</v>
      </c>
      <c r="C36" s="45" t="s">
        <v>129</v>
      </c>
      <c r="D36" s="39">
        <f>D13+D25</f>
        <v>234176518.05324447</v>
      </c>
      <c r="E36" s="107"/>
      <c r="F36" s="92">
        <f>F13+F25</f>
        <v>69023528.699999988</v>
      </c>
      <c r="G36" s="39"/>
      <c r="H36" s="107"/>
      <c r="I36" s="92">
        <f>I13+I25</f>
        <v>88884039.190000013</v>
      </c>
      <c r="J36" s="92"/>
      <c r="K36" s="92">
        <f>I36-F36</f>
        <v>19860510.490000024</v>
      </c>
      <c r="L36" s="104"/>
      <c r="M36" s="134"/>
      <c r="N36" s="108"/>
      <c r="O36" s="45"/>
    </row>
    <row r="37" spans="1:17" x14ac:dyDescent="0.25">
      <c r="A37" s="45"/>
      <c r="B37" s="97" t="s">
        <v>131</v>
      </c>
      <c r="C37" s="45" t="s">
        <v>129</v>
      </c>
      <c r="D37" s="39">
        <f>D14+D26</f>
        <v>234176518.05324447</v>
      </c>
      <c r="E37" s="107"/>
      <c r="F37" s="92">
        <f>F14+F26</f>
        <v>2065116.19</v>
      </c>
      <c r="G37" s="39"/>
      <c r="H37" s="107"/>
      <c r="I37" s="92">
        <f>I14+I26</f>
        <v>3210061.57</v>
      </c>
      <c r="J37" s="92"/>
      <c r="K37" s="92">
        <f>I37-F37</f>
        <v>1144945.3799999999</v>
      </c>
      <c r="L37" s="104"/>
      <c r="M37" s="134"/>
      <c r="N37" s="108"/>
      <c r="O37" s="45"/>
    </row>
    <row r="38" spans="1:17" x14ac:dyDescent="0.25">
      <c r="A38" s="45"/>
      <c r="B38" s="73" t="s">
        <v>170</v>
      </c>
      <c r="C38" s="74"/>
      <c r="D38" s="39"/>
      <c r="E38" s="45"/>
      <c r="F38" s="120">
        <f>SUM(F35:F37)</f>
        <v>93373535.169999987</v>
      </c>
      <c r="G38" s="39"/>
      <c r="H38" s="39"/>
      <c r="I38" s="120">
        <f>SUM(I35:I37)</f>
        <v>115542872.57000001</v>
      </c>
      <c r="J38" s="92"/>
      <c r="K38" s="120">
        <f>SUM(K35:K37)</f>
        <v>22169337.400000021</v>
      </c>
      <c r="L38" s="170">
        <f>ROUND(K38/F38,5)</f>
        <v>0.23743</v>
      </c>
      <c r="M38" s="134"/>
      <c r="N38" s="108"/>
      <c r="O38" s="45"/>
    </row>
    <row r="39" spans="1:17" x14ac:dyDescent="0.25">
      <c r="A39" s="45"/>
      <c r="B39" s="97"/>
      <c r="C39" s="45"/>
      <c r="D39" s="45"/>
      <c r="E39" s="45"/>
      <c r="F39" s="92"/>
      <c r="G39" s="39"/>
      <c r="H39" s="39"/>
      <c r="I39" s="92"/>
      <c r="J39" s="92"/>
      <c r="K39" s="92"/>
      <c r="L39" s="104"/>
      <c r="M39" s="134"/>
      <c r="N39" s="108"/>
      <c r="O39" s="45"/>
    </row>
    <row r="40" spans="1:17" x14ac:dyDescent="0.25">
      <c r="A40" s="45"/>
      <c r="B40" s="97" t="s">
        <v>167</v>
      </c>
      <c r="C40" s="45" t="s">
        <v>129</v>
      </c>
      <c r="D40" s="39">
        <f>D36</f>
        <v>234176518.05324447</v>
      </c>
      <c r="E40" s="107"/>
      <c r="F40" s="92">
        <f>F17+F29</f>
        <v>74627518.039885283</v>
      </c>
      <c r="G40" s="45"/>
      <c r="H40" s="79"/>
      <c r="I40" s="92">
        <f>I17+I29</f>
        <v>74627528.947874367</v>
      </c>
      <c r="J40" s="92"/>
      <c r="K40" s="88">
        <f>I40-F40</f>
        <v>10.907989084720612</v>
      </c>
      <c r="L40" s="90">
        <f>ROUND(K40/F40,5)</f>
        <v>0</v>
      </c>
      <c r="M40" s="134"/>
      <c r="N40" s="108"/>
      <c r="O40" s="45"/>
    </row>
    <row r="41" spans="1:17" x14ac:dyDescent="0.25">
      <c r="A41" s="45"/>
      <c r="B41" s="73" t="s">
        <v>168</v>
      </c>
      <c r="C41" s="45"/>
      <c r="D41" s="45"/>
      <c r="E41" s="45"/>
      <c r="F41" s="120">
        <f>F40+F38</f>
        <v>168001053.20988527</v>
      </c>
      <c r="G41" s="122"/>
      <c r="H41" s="123"/>
      <c r="I41" s="120">
        <f>I40+I38</f>
        <v>190170401.51787436</v>
      </c>
      <c r="J41" s="92"/>
      <c r="K41" s="120">
        <f>K38+K40</f>
        <v>22169348.307989106</v>
      </c>
      <c r="L41" s="170">
        <f>ROUND(K41/F41,5)</f>
        <v>0.13195999999999999</v>
      </c>
      <c r="M41" s="134"/>
      <c r="N41" s="108"/>
      <c r="O41" s="45"/>
    </row>
    <row r="42" spans="1:17" x14ac:dyDescent="0.25">
      <c r="A42" s="45"/>
      <c r="B42" s="86"/>
      <c r="C42" s="505"/>
      <c r="D42" s="87"/>
      <c r="E42" s="124"/>
      <c r="F42" s="125"/>
      <c r="G42" s="87"/>
      <c r="H42" s="126"/>
      <c r="I42" s="88"/>
      <c r="J42" s="88"/>
      <c r="K42" s="88"/>
      <c r="L42" s="90"/>
      <c r="M42" s="134"/>
      <c r="N42" s="108"/>
      <c r="O42" s="45"/>
    </row>
    <row r="43" spans="1:17" x14ac:dyDescent="0.25">
      <c r="A43" s="45"/>
      <c r="B43" s="45"/>
      <c r="C43" s="45"/>
      <c r="D43" s="45"/>
      <c r="E43" s="45"/>
      <c r="F43" s="100"/>
      <c r="G43" s="122"/>
      <c r="H43" s="123"/>
      <c r="I43" s="100"/>
      <c r="J43" s="100"/>
      <c r="K43" s="92"/>
      <c r="L43" s="93"/>
      <c r="M43" s="134"/>
      <c r="N43" s="108"/>
      <c r="O43" s="45"/>
    </row>
    <row r="44" spans="1:17" x14ac:dyDescent="0.25">
      <c r="A44" s="45"/>
      <c r="B44" s="45"/>
      <c r="C44" s="45"/>
      <c r="D44" s="45"/>
      <c r="E44" s="45"/>
      <c r="F44" s="100"/>
      <c r="G44" s="122"/>
      <c r="H44" s="123"/>
      <c r="I44" s="100"/>
      <c r="J44" s="100"/>
      <c r="K44" s="92"/>
      <c r="L44" s="93"/>
      <c r="M44" s="134"/>
      <c r="N44" s="108"/>
    </row>
    <row r="45" spans="1:17" ht="13" x14ac:dyDescent="0.3">
      <c r="B45" s="94" t="s">
        <v>187</v>
      </c>
      <c r="C45" s="165"/>
      <c r="D45" s="72"/>
      <c r="E45" s="72"/>
      <c r="F45" s="120"/>
      <c r="G45" s="72"/>
      <c r="H45" s="72"/>
      <c r="I45" s="120"/>
      <c r="J45" s="120"/>
      <c r="K45" s="120"/>
      <c r="L45" s="170"/>
      <c r="M45" s="134"/>
      <c r="N45" s="108"/>
    </row>
    <row r="46" spans="1:17" x14ac:dyDescent="0.25">
      <c r="B46" s="97"/>
      <c r="C46" s="45"/>
      <c r="D46" s="45"/>
      <c r="E46" s="45"/>
      <c r="F46" s="92"/>
      <c r="G46" s="98"/>
      <c r="H46" s="45"/>
      <c r="I46" s="92"/>
      <c r="J46" s="92"/>
      <c r="K46" s="92"/>
      <c r="L46" s="104"/>
      <c r="M46" s="134"/>
      <c r="N46" s="108"/>
      <c r="O46" s="129" t="s">
        <v>188</v>
      </c>
    </row>
    <row r="47" spans="1:17" x14ac:dyDescent="0.25">
      <c r="B47" s="73" t="s">
        <v>126</v>
      </c>
      <c r="C47" s="74" t="s">
        <v>127</v>
      </c>
      <c r="D47" s="75">
        <v>15978.11692331859</v>
      </c>
      <c r="E47" s="76">
        <v>106.43</v>
      </c>
      <c r="F47" s="92">
        <f>ROUND(D47*E47,2)</f>
        <v>1700550.98</v>
      </c>
      <c r="G47" s="39"/>
      <c r="H47" s="76">
        <v>113.4</v>
      </c>
      <c r="I47" s="92">
        <f>ROUND(D47*H47,2)</f>
        <v>1811918.46</v>
      </c>
      <c r="J47" s="92"/>
      <c r="K47" s="92">
        <f>I47-F47</f>
        <v>111367.47999999998</v>
      </c>
      <c r="L47" s="104"/>
      <c r="M47" s="134"/>
      <c r="N47" s="108"/>
      <c r="O47" s="77">
        <v>1541578.7069862834</v>
      </c>
      <c r="Q47" s="108">
        <f>H47/E47-1</f>
        <v>6.5489053838203581E-2</v>
      </c>
    </row>
    <row r="48" spans="1:17" x14ac:dyDescent="0.25">
      <c r="B48" s="97" t="s">
        <v>133</v>
      </c>
      <c r="C48" s="74" t="s">
        <v>127</v>
      </c>
      <c r="D48" s="39">
        <f>D47</f>
        <v>15978.11692331859</v>
      </c>
      <c r="E48" s="76">
        <v>115.88</v>
      </c>
      <c r="F48" s="100">
        <f>D48*E48</f>
        <v>1851544.1890741582</v>
      </c>
      <c r="G48" s="39"/>
      <c r="H48" s="102">
        <f>ROUND(+H53*900,2)</f>
        <v>123.82</v>
      </c>
      <c r="I48" s="100">
        <f>ROUND(D48*H48,2)</f>
        <v>1978410.44</v>
      </c>
      <c r="J48" s="100"/>
      <c r="K48" s="92">
        <f>I48-F48</f>
        <v>126866.25092584174</v>
      </c>
      <c r="L48" s="168"/>
      <c r="M48" s="134"/>
      <c r="N48" s="455"/>
      <c r="O48" s="130" t="s">
        <v>166</v>
      </c>
      <c r="Q48" s="108">
        <f t="shared" ref="Q48:Q49" si="1">H48/E48-1</f>
        <v>6.8519157749395987E-2</v>
      </c>
    </row>
    <row r="49" spans="1:17" x14ac:dyDescent="0.25">
      <c r="B49" s="97" t="s">
        <v>134</v>
      </c>
      <c r="C49" s="45" t="s">
        <v>132</v>
      </c>
      <c r="D49" s="75">
        <v>4466417.6739999996</v>
      </c>
      <c r="E49" s="76">
        <v>1.17</v>
      </c>
      <c r="F49" s="100">
        <f>ROUND(D49*E49,2)</f>
        <v>5225708.68</v>
      </c>
      <c r="G49" s="39"/>
      <c r="H49" s="76">
        <v>1.25</v>
      </c>
      <c r="I49" s="100">
        <f>ROUND(D49*H49,2)</f>
        <v>5583022.0899999999</v>
      </c>
      <c r="J49" s="100"/>
      <c r="K49" s="92">
        <f>I49-F49</f>
        <v>357313.41000000015</v>
      </c>
      <c r="L49" s="168"/>
      <c r="M49" s="134"/>
      <c r="N49" s="455"/>
      <c r="O49" s="119">
        <f>K57+K79-O47</f>
        <v>574.12831712886691</v>
      </c>
      <c r="Q49" s="108">
        <f t="shared" si="1"/>
        <v>6.8376068376068355E-2</v>
      </c>
    </row>
    <row r="50" spans="1:17" x14ac:dyDescent="0.25">
      <c r="B50" s="97"/>
      <c r="C50" s="45"/>
      <c r="D50" s="39"/>
      <c r="E50" s="76"/>
      <c r="F50" s="152"/>
      <c r="G50" s="39"/>
      <c r="H50" s="102"/>
      <c r="I50" s="100"/>
      <c r="J50" s="100"/>
      <c r="K50" s="138"/>
      <c r="L50" s="168"/>
      <c r="M50" s="134"/>
      <c r="N50" s="455"/>
      <c r="O50" s="131"/>
    </row>
    <row r="51" spans="1:17" x14ac:dyDescent="0.25">
      <c r="B51" s="97" t="s">
        <v>135</v>
      </c>
      <c r="C51" s="45"/>
      <c r="D51" s="39"/>
      <c r="E51" s="76"/>
      <c r="F51" s="100"/>
      <c r="G51" s="39"/>
      <c r="H51" s="102"/>
      <c r="I51" s="100"/>
      <c r="J51" s="100"/>
      <c r="K51" s="138"/>
      <c r="L51" s="168"/>
      <c r="M51" s="134"/>
      <c r="N51" s="455"/>
      <c r="O51" s="83">
        <v>6.8518647745069175E-2</v>
      </c>
      <c r="Q51" s="139"/>
    </row>
    <row r="52" spans="1:17" x14ac:dyDescent="0.25">
      <c r="B52" s="97" t="s">
        <v>136</v>
      </c>
      <c r="C52" s="45" t="s">
        <v>129</v>
      </c>
      <c r="D52" s="75">
        <v>13387853.839</v>
      </c>
      <c r="E52" s="78">
        <v>0.12876000000000001</v>
      </c>
      <c r="F52" s="92" t="s">
        <v>137</v>
      </c>
      <c r="G52" s="39"/>
      <c r="H52" s="79">
        <f>H53</f>
        <v>0.13758000000000001</v>
      </c>
      <c r="I52" s="92" t="s">
        <v>137</v>
      </c>
      <c r="J52" s="92"/>
      <c r="K52" s="92"/>
      <c r="L52" s="104"/>
      <c r="M52" s="134"/>
      <c r="N52" s="108"/>
      <c r="P52" s="44"/>
      <c r="Q52" s="108">
        <f>H52/E52-1</f>
        <v>6.8499534016775332E-2</v>
      </c>
    </row>
    <row r="53" spans="1:17" x14ac:dyDescent="0.25">
      <c r="B53" s="97" t="s">
        <v>138</v>
      </c>
      <c r="C53" s="45" t="s">
        <v>129</v>
      </c>
      <c r="D53" s="75">
        <v>29572063.337000005</v>
      </c>
      <c r="E53" s="78">
        <v>0.12876000000000001</v>
      </c>
      <c r="F53" s="92">
        <f>ROUND(D53*E53,2)</f>
        <v>3807698.88</v>
      </c>
      <c r="G53" s="39"/>
      <c r="H53" s="79">
        <f>ROUND(E53*(1+$O$51),5)</f>
        <v>0.13758000000000001</v>
      </c>
      <c r="I53" s="92">
        <f>ROUND(D53*H53,2)</f>
        <v>4068524.47</v>
      </c>
      <c r="J53" s="92"/>
      <c r="K53" s="92">
        <f>I53-F53</f>
        <v>260825.59000000032</v>
      </c>
      <c r="L53" s="104"/>
      <c r="M53" s="134"/>
      <c r="N53" s="108"/>
      <c r="O53" s="133"/>
      <c r="P53" s="44"/>
      <c r="Q53" s="108">
        <f>H53/E53-1</f>
        <v>6.8499534016775332E-2</v>
      </c>
    </row>
    <row r="54" spans="1:17" x14ac:dyDescent="0.25">
      <c r="B54" s="97" t="s">
        <v>139</v>
      </c>
      <c r="C54" s="45" t="s">
        <v>129</v>
      </c>
      <c r="D54" s="75">
        <v>22876740.28746549</v>
      </c>
      <c r="E54" s="78">
        <v>0.10364</v>
      </c>
      <c r="F54" s="92">
        <f>ROUND(D54*E54,2)</f>
        <v>2370945.36</v>
      </c>
      <c r="G54" s="39"/>
      <c r="H54" s="79">
        <f>ROUND(E54*(1+$O$51),5)</f>
        <v>0.11074000000000001</v>
      </c>
      <c r="I54" s="92">
        <f>ROUND(D54*H54,2)</f>
        <v>2533370.2200000002</v>
      </c>
      <c r="J54" s="92"/>
      <c r="K54" s="92">
        <f>I54-F54</f>
        <v>162424.86000000034</v>
      </c>
      <c r="L54" s="104"/>
      <c r="M54" s="134"/>
      <c r="N54" s="108"/>
      <c r="O54" s="92"/>
      <c r="P54" s="44"/>
      <c r="Q54" s="108">
        <f>H54/E54-1</f>
        <v>6.8506368197607248E-2</v>
      </c>
    </row>
    <row r="55" spans="1:17" x14ac:dyDescent="0.25">
      <c r="A55" s="45"/>
      <c r="B55" s="73" t="s">
        <v>140</v>
      </c>
      <c r="C55" s="74"/>
      <c r="D55" s="15">
        <f>SUM(D52:D54)</f>
        <v>65836657.463465497</v>
      </c>
      <c r="E55" s="75"/>
      <c r="F55" s="100"/>
      <c r="G55" s="39"/>
      <c r="H55" s="39"/>
      <c r="I55" s="45"/>
      <c r="J55" s="45"/>
      <c r="K55" s="45"/>
      <c r="L55" s="104"/>
      <c r="M55" s="134"/>
      <c r="N55" s="108"/>
      <c r="O55" s="45"/>
      <c r="Q55" s="108"/>
    </row>
    <row r="56" spans="1:17" x14ac:dyDescent="0.25">
      <c r="A56" s="45"/>
      <c r="B56" s="73" t="s">
        <v>131</v>
      </c>
      <c r="C56" s="45" t="s">
        <v>129</v>
      </c>
      <c r="D56" s="39">
        <f>D55</f>
        <v>65836657.463465497</v>
      </c>
      <c r="E56" s="436">
        <v>6.0899999999999999E-3</v>
      </c>
      <c r="F56" s="100">
        <f>D56*E56</f>
        <v>400945.24395250488</v>
      </c>
      <c r="G56" s="39"/>
      <c r="H56" s="78">
        <v>1.005E-2</v>
      </c>
      <c r="I56" s="100">
        <f>D56*H56</f>
        <v>661658.4075078282</v>
      </c>
      <c r="J56" s="100"/>
      <c r="K56" s="92">
        <f>I56-F56</f>
        <v>260713.16355532332</v>
      </c>
      <c r="L56" s="104"/>
      <c r="M56" s="134"/>
      <c r="N56" s="108"/>
      <c r="O56" s="45"/>
      <c r="Q56" s="108">
        <f>H56/E56-1</f>
        <v>0.65024630541871931</v>
      </c>
    </row>
    <row r="57" spans="1:17" x14ac:dyDescent="0.25">
      <c r="B57" s="73" t="s">
        <v>170</v>
      </c>
      <c r="C57" s="74"/>
      <c r="D57" s="15"/>
      <c r="E57" s="75"/>
      <c r="F57" s="156">
        <f>SUM(F47:F56)</f>
        <v>15357393.333026662</v>
      </c>
      <c r="G57" s="39"/>
      <c r="H57" s="39"/>
      <c r="I57" s="156">
        <f>SUM(I47:I49,I53:I56)</f>
        <v>16636904.087507829</v>
      </c>
      <c r="J57" s="100"/>
      <c r="K57" s="156">
        <f>SUM(K47:K56)</f>
        <v>1279510.7544811659</v>
      </c>
      <c r="L57" s="170">
        <f>ROUND(K57/F57,5)</f>
        <v>8.3320000000000005E-2</v>
      </c>
      <c r="M57" s="134"/>
      <c r="N57" s="108"/>
      <c r="O57" s="109"/>
      <c r="P57" s="307"/>
      <c r="Q57" s="135"/>
    </row>
    <row r="58" spans="1:17" x14ac:dyDescent="0.25">
      <c r="B58" s="73"/>
      <c r="C58" s="74"/>
      <c r="D58" s="39"/>
      <c r="E58" s="80"/>
      <c r="F58" s="92"/>
      <c r="G58" s="39"/>
      <c r="H58" s="39"/>
      <c r="I58" s="100"/>
      <c r="J58" s="100"/>
      <c r="K58" s="92"/>
      <c r="L58" s="104"/>
      <c r="M58" s="134"/>
      <c r="N58" s="108"/>
      <c r="O58" s="136"/>
      <c r="P58" s="307"/>
      <c r="Q58" s="135"/>
    </row>
    <row r="59" spans="1:17" x14ac:dyDescent="0.25">
      <c r="B59" s="97" t="s">
        <v>167</v>
      </c>
      <c r="C59" s="74"/>
      <c r="D59" s="45"/>
      <c r="E59" s="80"/>
      <c r="F59" s="92"/>
      <c r="G59" s="39"/>
      <c r="H59" s="39"/>
      <c r="I59" s="100"/>
      <c r="J59" s="100"/>
      <c r="K59" s="92"/>
      <c r="L59" s="104"/>
      <c r="M59" s="134"/>
      <c r="N59" s="108"/>
      <c r="Q59" s="139"/>
    </row>
    <row r="60" spans="1:17" x14ac:dyDescent="0.25">
      <c r="B60" s="97" t="s">
        <v>189</v>
      </c>
      <c r="C60" s="45" t="s">
        <v>129</v>
      </c>
      <c r="D60" s="39">
        <f>D55</f>
        <v>65836657.463465497</v>
      </c>
      <c r="E60" s="78">
        <v>0.2271</v>
      </c>
      <c r="F60" s="92">
        <f>E60*D60</f>
        <v>14951504.909953015</v>
      </c>
      <c r="G60" s="45"/>
      <c r="H60" s="82">
        <f>E60</f>
        <v>0.2271</v>
      </c>
      <c r="I60" s="92">
        <f>H60*D60</f>
        <v>14951504.909953015</v>
      </c>
      <c r="J60" s="92"/>
      <c r="K60" s="92">
        <f>I60-F60</f>
        <v>0</v>
      </c>
      <c r="L60" s="104"/>
      <c r="M60" s="134"/>
      <c r="N60" s="45"/>
      <c r="P60" s="137"/>
      <c r="Q60" s="139"/>
    </row>
    <row r="61" spans="1:17" x14ac:dyDescent="0.25">
      <c r="B61" s="97" t="s">
        <v>134</v>
      </c>
      <c r="C61" s="45" t="s">
        <v>132</v>
      </c>
      <c r="D61" s="39">
        <f>D49</f>
        <v>4466417.6739999996</v>
      </c>
      <c r="E61" s="76">
        <v>1.05</v>
      </c>
      <c r="F61" s="92">
        <f>E61*D61</f>
        <v>4689738.5576999998</v>
      </c>
      <c r="G61" s="45"/>
      <c r="H61" s="114">
        <f>E61</f>
        <v>1.05</v>
      </c>
      <c r="I61" s="92">
        <f>H61*D61</f>
        <v>4689738.5576999998</v>
      </c>
      <c r="J61" s="92"/>
      <c r="K61" s="92">
        <f>I61-F61</f>
        <v>0</v>
      </c>
      <c r="L61" s="104"/>
      <c r="M61" s="134"/>
      <c r="N61" s="108"/>
      <c r="O61" s="136"/>
      <c r="P61" s="307"/>
      <c r="Q61" s="139"/>
    </row>
    <row r="62" spans="1:17" x14ac:dyDescent="0.25">
      <c r="B62" s="73" t="s">
        <v>190</v>
      </c>
      <c r="C62" s="74"/>
      <c r="D62" s="45"/>
      <c r="E62" s="102"/>
      <c r="F62" s="156">
        <f>SUM(F60:F61)</f>
        <v>19641243.467653014</v>
      </c>
      <c r="G62" s="45"/>
      <c r="H62" s="102"/>
      <c r="I62" s="156">
        <f>SUM(I60:I61)</f>
        <v>19641243.467653014</v>
      </c>
      <c r="J62" s="92"/>
      <c r="K62" s="156">
        <f>SUM(K60:K61)</f>
        <v>0</v>
      </c>
      <c r="L62" s="170">
        <f>ROUND(K62/F62,5)</f>
        <v>0</v>
      </c>
      <c r="M62" s="134"/>
      <c r="N62" s="108"/>
      <c r="O62" s="45"/>
    </row>
    <row r="63" spans="1:17" x14ac:dyDescent="0.25">
      <c r="B63" s="97"/>
      <c r="C63" s="45"/>
      <c r="D63" s="45"/>
      <c r="E63" s="45"/>
      <c r="F63" s="92"/>
      <c r="G63" s="45"/>
      <c r="H63" s="45"/>
      <c r="I63" s="100"/>
      <c r="J63" s="100"/>
      <c r="K63" s="92"/>
      <c r="L63" s="104"/>
      <c r="M63" s="134"/>
      <c r="N63" s="108"/>
      <c r="O63" s="92"/>
      <c r="Q63" s="139"/>
    </row>
    <row r="64" spans="1:17" x14ac:dyDescent="0.25">
      <c r="B64" s="73" t="s">
        <v>168</v>
      </c>
      <c r="C64" s="74"/>
      <c r="D64" s="45"/>
      <c r="E64" s="39"/>
      <c r="F64" s="156">
        <f>+F62+F57</f>
        <v>34998636.800679676</v>
      </c>
      <c r="G64" s="39"/>
      <c r="H64" s="39"/>
      <c r="I64" s="156">
        <f>+I62+I57</f>
        <v>36278147.555160843</v>
      </c>
      <c r="J64" s="100"/>
      <c r="K64" s="156">
        <f>K62+K57</f>
        <v>1279510.7544811659</v>
      </c>
      <c r="L64" s="170">
        <f>ROUND(K64/F64,5)</f>
        <v>3.6560000000000002E-2</v>
      </c>
      <c r="M64" s="134"/>
      <c r="N64" s="108"/>
      <c r="O64" s="45"/>
    </row>
    <row r="65" spans="1:17" x14ac:dyDescent="0.25">
      <c r="B65" s="86"/>
      <c r="C65" s="87"/>
      <c r="D65" s="87"/>
      <c r="E65" s="87"/>
      <c r="F65" s="88"/>
      <c r="G65" s="87"/>
      <c r="H65" s="87"/>
      <c r="I65" s="125"/>
      <c r="J65" s="125"/>
      <c r="K65" s="88"/>
      <c r="L65" s="90"/>
      <c r="M65" s="134"/>
      <c r="N65" s="108"/>
      <c r="O65" s="45"/>
    </row>
    <row r="66" spans="1:17" x14ac:dyDescent="0.25">
      <c r="A66" s="45"/>
      <c r="B66" s="45"/>
      <c r="C66" s="45"/>
      <c r="D66" s="45"/>
      <c r="E66" s="45"/>
      <c r="F66" s="92"/>
      <c r="G66" s="45"/>
      <c r="H66" s="45"/>
      <c r="I66" s="138"/>
      <c r="J66" s="138"/>
      <c r="K66" s="92"/>
      <c r="L66" s="93"/>
      <c r="M66" s="134"/>
      <c r="N66" s="108"/>
      <c r="O66" s="45"/>
    </row>
    <row r="67" spans="1:17" ht="13" x14ac:dyDescent="0.3">
      <c r="A67" s="45"/>
      <c r="B67" s="94" t="s">
        <v>191</v>
      </c>
      <c r="C67" s="165"/>
      <c r="D67" s="72"/>
      <c r="E67" s="72"/>
      <c r="F67" s="120"/>
      <c r="G67" s="72"/>
      <c r="H67" s="72"/>
      <c r="I67" s="120"/>
      <c r="J67" s="120"/>
      <c r="K67" s="120"/>
      <c r="L67" s="170"/>
      <c r="M67" s="134"/>
      <c r="N67" s="108"/>
      <c r="O67" s="45"/>
    </row>
    <row r="68" spans="1:17" x14ac:dyDescent="0.25">
      <c r="A68" s="45"/>
      <c r="B68" s="97"/>
      <c r="C68" s="45"/>
      <c r="D68" s="45"/>
      <c r="E68" s="45"/>
      <c r="F68" s="92"/>
      <c r="G68" s="98"/>
      <c r="H68" s="45"/>
      <c r="I68" s="92"/>
      <c r="J68" s="92"/>
      <c r="K68" s="92"/>
      <c r="L68" s="104"/>
      <c r="M68" s="134"/>
      <c r="N68" s="108"/>
      <c r="O68" s="45"/>
      <c r="Q68" s="42"/>
    </row>
    <row r="69" spans="1:17" x14ac:dyDescent="0.25">
      <c r="A69" s="45"/>
      <c r="B69" s="73" t="s">
        <v>126</v>
      </c>
      <c r="C69" s="74" t="s">
        <v>127</v>
      </c>
      <c r="D69" s="75">
        <v>1233.3356387208999</v>
      </c>
      <c r="E69" s="76">
        <v>410.51</v>
      </c>
      <c r="F69" s="92">
        <f>ROUND(D69*E69,2)</f>
        <v>506296.61</v>
      </c>
      <c r="G69" s="39"/>
      <c r="H69" s="76">
        <v>422.79</v>
      </c>
      <c r="I69" s="92">
        <f>ROUND(D69*H69,2)</f>
        <v>521441.97</v>
      </c>
      <c r="J69" s="92"/>
      <c r="K69" s="92">
        <f>I69-F69</f>
        <v>15145.359999999986</v>
      </c>
      <c r="L69" s="104"/>
      <c r="M69" s="134"/>
      <c r="N69" s="108"/>
      <c r="O69" s="74"/>
      <c r="Q69" s="108">
        <f>H69/E69-1</f>
        <v>2.991400940293798E-2</v>
      </c>
    </row>
    <row r="70" spans="1:17" x14ac:dyDescent="0.25">
      <c r="A70" s="45"/>
      <c r="B70" s="97" t="s">
        <v>133</v>
      </c>
      <c r="C70" s="74" t="s">
        <v>127</v>
      </c>
      <c r="D70" s="39">
        <f>D69</f>
        <v>1233.3356387208999</v>
      </c>
      <c r="E70" s="76">
        <v>115.88</v>
      </c>
      <c r="F70" s="100">
        <f>D70*E70</f>
        <v>142918.93381497788</v>
      </c>
      <c r="G70" s="39"/>
      <c r="H70" s="102">
        <f>H48</f>
        <v>123.82</v>
      </c>
      <c r="I70" s="100">
        <f>ROUND(D70*H70,2)</f>
        <v>152711.62</v>
      </c>
      <c r="J70" s="100"/>
      <c r="K70" s="92">
        <f>I70-F70</f>
        <v>9792.6861850221176</v>
      </c>
      <c r="L70" s="168"/>
      <c r="M70" s="134"/>
      <c r="N70" s="108"/>
      <c r="O70" s="45"/>
      <c r="Q70" s="108">
        <f t="shared" ref="Q70:Q71" si="2">H70/E70-1</f>
        <v>6.8519157749395987E-2</v>
      </c>
    </row>
    <row r="71" spans="1:17" x14ac:dyDescent="0.25">
      <c r="A71" s="45"/>
      <c r="B71" s="97" t="s">
        <v>134</v>
      </c>
      <c r="C71" s="45" t="s">
        <v>132</v>
      </c>
      <c r="D71" s="75">
        <v>1160980.7009999999</v>
      </c>
      <c r="E71" s="76">
        <v>1.17</v>
      </c>
      <c r="F71" s="100">
        <f>ROUND(D71*E71,2)</f>
        <v>1358347.42</v>
      </c>
      <c r="G71" s="39"/>
      <c r="H71" s="102">
        <f>H49</f>
        <v>1.25</v>
      </c>
      <c r="I71" s="100">
        <f>ROUND(D71*H71,2)</f>
        <v>1451225.88</v>
      </c>
      <c r="J71" s="45"/>
      <c r="K71" s="92">
        <f>I71-F71</f>
        <v>92878.459999999963</v>
      </c>
      <c r="L71" s="168"/>
      <c r="M71" s="134"/>
      <c r="N71" s="108"/>
      <c r="O71" s="45"/>
      <c r="Q71" s="108">
        <f t="shared" si="2"/>
        <v>6.8376068376068355E-2</v>
      </c>
    </row>
    <row r="72" spans="1:17" x14ac:dyDescent="0.25">
      <c r="A72" s="45"/>
      <c r="B72" s="97"/>
      <c r="C72" s="45"/>
      <c r="D72" s="39"/>
      <c r="E72" s="76"/>
      <c r="F72" s="100"/>
      <c r="G72" s="39"/>
      <c r="H72" s="102"/>
      <c r="I72" s="100"/>
      <c r="J72" s="100"/>
      <c r="K72" s="138"/>
      <c r="L72" s="168"/>
      <c r="M72" s="134"/>
      <c r="N72" s="108"/>
      <c r="O72" s="45"/>
    </row>
    <row r="73" spans="1:17" x14ac:dyDescent="0.25">
      <c r="A73" s="45"/>
      <c r="B73" s="97" t="s">
        <v>135</v>
      </c>
      <c r="C73" s="45"/>
      <c r="D73" s="39"/>
      <c r="E73" s="76"/>
      <c r="F73" s="92"/>
      <c r="G73" s="39"/>
      <c r="H73" s="102"/>
      <c r="I73" s="100"/>
      <c r="J73" s="100"/>
      <c r="K73" s="138"/>
      <c r="L73" s="168"/>
      <c r="M73" s="134"/>
      <c r="N73" s="108"/>
      <c r="O73" s="45"/>
    </row>
    <row r="74" spans="1:17" x14ac:dyDescent="0.25">
      <c r="A74" s="45"/>
      <c r="B74" s="97" t="s">
        <v>136</v>
      </c>
      <c r="C74" s="45" t="s">
        <v>129</v>
      </c>
      <c r="D74" s="75">
        <v>1129776.96</v>
      </c>
      <c r="E74" s="78">
        <v>0.12876000000000001</v>
      </c>
      <c r="F74" s="92" t="s">
        <v>137</v>
      </c>
      <c r="G74" s="39"/>
      <c r="H74" s="79">
        <f>H52</f>
        <v>0.13758000000000001</v>
      </c>
      <c r="I74" s="92" t="s">
        <v>137</v>
      </c>
      <c r="J74" s="92"/>
      <c r="K74" s="92"/>
      <c r="L74" s="104"/>
      <c r="M74" s="134"/>
      <c r="N74" s="108"/>
      <c r="O74" s="45"/>
      <c r="Q74" s="108">
        <f>H74/E74-1</f>
        <v>6.8499534016775332E-2</v>
      </c>
    </row>
    <row r="75" spans="1:17" x14ac:dyDescent="0.25">
      <c r="A75" s="45"/>
      <c r="B75" s="97" t="s">
        <v>138</v>
      </c>
      <c r="C75" s="45" t="s">
        <v>129</v>
      </c>
      <c r="D75" s="75">
        <v>4274079.3400000008</v>
      </c>
      <c r="E75" s="78">
        <v>0.12876000000000001</v>
      </c>
      <c r="F75" s="92">
        <f>D75*E75</f>
        <v>550330.45581840014</v>
      </c>
      <c r="G75" s="39"/>
      <c r="H75" s="79">
        <f>H53</f>
        <v>0.13758000000000001</v>
      </c>
      <c r="I75" s="92">
        <f>H75*D75</f>
        <v>588027.83559720009</v>
      </c>
      <c r="J75" s="92"/>
      <c r="K75" s="92">
        <f>I75-F75</f>
        <v>37697.37977879995</v>
      </c>
      <c r="L75" s="104"/>
      <c r="M75" s="134"/>
      <c r="N75" s="108"/>
      <c r="O75" s="45"/>
      <c r="Q75" s="108">
        <f t="shared" ref="Q75:Q76" si="3">H75/E75-1</f>
        <v>6.8499534016775332E-2</v>
      </c>
    </row>
    <row r="76" spans="1:17" x14ac:dyDescent="0.25">
      <c r="A76" s="45"/>
      <c r="B76" s="97" t="s">
        <v>139</v>
      </c>
      <c r="C76" s="45" t="s">
        <v>129</v>
      </c>
      <c r="D76" s="75">
        <v>15088478.149073856</v>
      </c>
      <c r="E76" s="78">
        <v>0.10364</v>
      </c>
      <c r="F76" s="92">
        <f>D76*E76</f>
        <v>1563769.8753700145</v>
      </c>
      <c r="G76" s="39"/>
      <c r="H76" s="79">
        <f>H54</f>
        <v>0.11074000000000001</v>
      </c>
      <c r="I76" s="92">
        <f>H76*D76</f>
        <v>1670898.0702284388</v>
      </c>
      <c r="J76" s="92"/>
      <c r="K76" s="92">
        <f>I76-F76</f>
        <v>107128.19485842437</v>
      </c>
      <c r="L76" s="104"/>
      <c r="M76" s="134"/>
      <c r="N76" s="108"/>
      <c r="O76" s="45"/>
      <c r="Q76" s="108">
        <f t="shared" si="3"/>
        <v>6.8506368197607248E-2</v>
      </c>
    </row>
    <row r="77" spans="1:17" x14ac:dyDescent="0.25">
      <c r="A77" s="45"/>
      <c r="B77" s="73" t="s">
        <v>140</v>
      </c>
      <c r="C77" s="74"/>
      <c r="D77" s="15">
        <f>SUM(D74:D76)</f>
        <v>20492334.449073859</v>
      </c>
      <c r="E77" s="75"/>
      <c r="F77" s="100"/>
      <c r="G77" s="39"/>
      <c r="H77" s="39"/>
      <c r="I77" s="45"/>
      <c r="J77" s="45"/>
      <c r="K77" s="45"/>
      <c r="L77" s="104"/>
      <c r="M77" s="134"/>
      <c r="N77" s="108"/>
      <c r="O77" s="45"/>
      <c r="Q77" s="108"/>
    </row>
    <row r="78" spans="1:17" x14ac:dyDescent="0.25">
      <c r="A78" s="45"/>
      <c r="B78" s="73" t="s">
        <v>131</v>
      </c>
      <c r="C78" s="45" t="s">
        <v>129</v>
      </c>
      <c r="D78" s="39">
        <f>D77</f>
        <v>20492334.449073859</v>
      </c>
      <c r="E78" s="127">
        <v>0</v>
      </c>
      <c r="F78" s="100">
        <f>D78*E78</f>
        <v>0</v>
      </c>
      <c r="G78" s="39"/>
      <c r="H78" s="127">
        <v>0</v>
      </c>
      <c r="I78" s="100">
        <f>D78*H78</f>
        <v>0</v>
      </c>
      <c r="J78" s="100"/>
      <c r="K78" s="92">
        <f>I78-F78</f>
        <v>0</v>
      </c>
      <c r="L78" s="104"/>
      <c r="M78" s="134"/>
      <c r="N78" s="108"/>
      <c r="O78" s="45"/>
    </row>
    <row r="79" spans="1:17" x14ac:dyDescent="0.25">
      <c r="A79" s="45"/>
      <c r="B79" s="73" t="s">
        <v>170</v>
      </c>
      <c r="C79" s="74"/>
      <c r="D79" s="39"/>
      <c r="E79" s="75"/>
      <c r="F79" s="156">
        <f>SUM(F69:F78)</f>
        <v>4121663.2950033923</v>
      </c>
      <c r="G79" s="39"/>
      <c r="H79" s="39"/>
      <c r="I79" s="156">
        <f>SUM(I69:I78)</f>
        <v>4384305.3758256389</v>
      </c>
      <c r="J79" s="100"/>
      <c r="K79" s="156">
        <f>SUM(K69:K78)</f>
        <v>262642.08082224638</v>
      </c>
      <c r="L79" s="170">
        <f>ROUND(K79/F79,5)</f>
        <v>6.3719999999999999E-2</v>
      </c>
      <c r="M79" s="134"/>
      <c r="N79" s="108"/>
      <c r="O79" s="45"/>
    </row>
    <row r="80" spans="1:17" x14ac:dyDescent="0.25">
      <c r="A80" s="45"/>
      <c r="B80" s="73"/>
      <c r="C80" s="74"/>
      <c r="D80" s="39"/>
      <c r="E80" s="75"/>
      <c r="F80" s="100"/>
      <c r="G80" s="39"/>
      <c r="H80" s="39"/>
      <c r="I80" s="100"/>
      <c r="J80" s="100"/>
      <c r="K80" s="92"/>
      <c r="L80" s="104"/>
      <c r="M80" s="134"/>
      <c r="N80" s="108"/>
      <c r="O80" s="506"/>
      <c r="P80" s="45"/>
      <c r="Q80" s="108"/>
    </row>
    <row r="81" spans="1:17" x14ac:dyDescent="0.25">
      <c r="A81" s="45"/>
      <c r="B81" s="97" t="s">
        <v>185</v>
      </c>
      <c r="C81" s="45" t="s">
        <v>129</v>
      </c>
      <c r="D81" s="39">
        <f>D77</f>
        <v>20492334.449073859</v>
      </c>
      <c r="E81" s="78">
        <v>6.9999999999999999E-4</v>
      </c>
      <c r="F81" s="92">
        <f>E81*D81</f>
        <v>14344.6341143517</v>
      </c>
      <c r="G81" s="45"/>
      <c r="H81" s="127">
        <v>1E-3</v>
      </c>
      <c r="I81" s="92">
        <f>H81*D81</f>
        <v>20492.33444907386</v>
      </c>
      <c r="J81" s="92"/>
      <c r="K81" s="92">
        <f>I81-F81</f>
        <v>6147.7003347221598</v>
      </c>
      <c r="L81" s="104"/>
      <c r="M81" s="134"/>
      <c r="N81" s="108"/>
      <c r="O81" s="92"/>
      <c r="P81" s="45"/>
      <c r="Q81" s="14"/>
    </row>
    <row r="82" spans="1:17" x14ac:dyDescent="0.25">
      <c r="A82" s="45"/>
      <c r="B82" s="97" t="s">
        <v>168</v>
      </c>
      <c r="C82" s="45"/>
      <c r="D82" s="39"/>
      <c r="E82" s="79"/>
      <c r="F82" s="156">
        <f>F79+F81</f>
        <v>4136007.9291177439</v>
      </c>
      <c r="G82" s="45"/>
      <c r="H82" s="102"/>
      <c r="I82" s="156">
        <f>I79+SUM(I81:I81)</f>
        <v>4404797.7102747131</v>
      </c>
      <c r="J82" s="92"/>
      <c r="K82" s="156">
        <f>K79+SUM(K81:K81)</f>
        <v>268789.78115696856</v>
      </c>
      <c r="L82" s="170">
        <f>ROUND(K82/F82,5)</f>
        <v>6.4990000000000006E-2</v>
      </c>
      <c r="M82" s="134"/>
      <c r="N82" s="108"/>
      <c r="O82" s="92"/>
      <c r="P82" s="45"/>
      <c r="Q82" s="14"/>
    </row>
    <row r="83" spans="1:17" x14ac:dyDescent="0.25">
      <c r="A83" s="45"/>
      <c r="B83" s="86"/>
      <c r="C83" s="87"/>
      <c r="D83" s="87"/>
      <c r="E83" s="87"/>
      <c r="F83" s="88"/>
      <c r="G83" s="87"/>
      <c r="H83" s="87"/>
      <c r="I83" s="125"/>
      <c r="J83" s="125"/>
      <c r="K83" s="88"/>
      <c r="L83" s="90"/>
      <c r="M83" s="134"/>
      <c r="N83" s="108"/>
      <c r="O83" s="506"/>
      <c r="P83" s="45"/>
      <c r="Q83" s="14"/>
    </row>
    <row r="84" spans="1:17" x14ac:dyDescent="0.25">
      <c r="A84" s="45"/>
      <c r="B84" s="45"/>
      <c r="C84" s="45"/>
      <c r="D84" s="45"/>
      <c r="E84" s="45"/>
      <c r="F84" s="92"/>
      <c r="G84" s="45"/>
      <c r="H84" s="45"/>
      <c r="I84" s="138"/>
      <c r="J84" s="138"/>
      <c r="K84" s="92"/>
      <c r="L84" s="93"/>
      <c r="M84" s="134"/>
      <c r="N84" s="108"/>
      <c r="O84" s="506"/>
      <c r="P84" s="45"/>
      <c r="Q84" s="14"/>
    </row>
    <row r="85" spans="1:17" ht="13" x14ac:dyDescent="0.3">
      <c r="A85" s="45"/>
      <c r="B85" s="94" t="s">
        <v>192</v>
      </c>
      <c r="C85" s="165"/>
      <c r="D85" s="72"/>
      <c r="E85" s="72"/>
      <c r="F85" s="120"/>
      <c r="G85" s="72"/>
      <c r="H85" s="72"/>
      <c r="I85" s="120"/>
      <c r="J85" s="120"/>
      <c r="K85" s="120"/>
      <c r="L85" s="170"/>
      <c r="M85" s="134"/>
      <c r="N85" s="108"/>
      <c r="O85" s="506"/>
      <c r="P85" s="45"/>
      <c r="Q85" s="14"/>
    </row>
    <row r="86" spans="1:17" x14ac:dyDescent="0.25">
      <c r="A86" s="45"/>
      <c r="B86" s="97"/>
      <c r="C86" s="45"/>
      <c r="D86" s="45"/>
      <c r="E86" s="45"/>
      <c r="F86" s="92"/>
      <c r="G86" s="98"/>
      <c r="H86" s="45"/>
      <c r="I86" s="92"/>
      <c r="J86" s="92"/>
      <c r="K86" s="92"/>
      <c r="L86" s="104"/>
      <c r="M86" s="134"/>
      <c r="N86" s="108"/>
      <c r="O86" s="506"/>
      <c r="P86" s="45"/>
      <c r="Q86" s="14"/>
    </row>
    <row r="87" spans="1:17" x14ac:dyDescent="0.25">
      <c r="A87" s="45"/>
      <c r="B87" s="73" t="s">
        <v>126</v>
      </c>
      <c r="C87" s="74" t="s">
        <v>127</v>
      </c>
      <c r="D87" s="39">
        <f>D69+D47</f>
        <v>17211.452562039489</v>
      </c>
      <c r="E87" s="128"/>
      <c r="F87" s="92">
        <f>F69+F47</f>
        <v>2206847.59</v>
      </c>
      <c r="G87" s="39"/>
      <c r="H87" s="128"/>
      <c r="I87" s="92">
        <f>I69+I47</f>
        <v>2333360.4299999997</v>
      </c>
      <c r="J87" s="92"/>
      <c r="K87" s="92">
        <f>K69+K47</f>
        <v>126512.83999999997</v>
      </c>
      <c r="L87" s="104"/>
      <c r="M87" s="134"/>
      <c r="N87" s="108"/>
      <c r="O87" s="506"/>
      <c r="P87" s="45"/>
      <c r="Q87" s="14"/>
    </row>
    <row r="88" spans="1:17" x14ac:dyDescent="0.25">
      <c r="A88" s="45"/>
      <c r="B88" s="97" t="s">
        <v>133</v>
      </c>
      <c r="C88" s="74" t="s">
        <v>127</v>
      </c>
      <c r="D88" s="39">
        <f>D87</f>
        <v>17211.452562039489</v>
      </c>
      <c r="E88" s="128"/>
      <c r="F88" s="92">
        <f>F70+F48</f>
        <v>1994463.122889136</v>
      </c>
      <c r="G88" s="39"/>
      <c r="H88" s="102"/>
      <c r="I88" s="92">
        <f>I70+I48</f>
        <v>2131122.06</v>
      </c>
      <c r="J88" s="100"/>
      <c r="K88" s="92">
        <f>K70+K48</f>
        <v>136658.93711086386</v>
      </c>
      <c r="L88" s="168"/>
      <c r="M88" s="134"/>
      <c r="N88" s="108"/>
      <c r="O88" s="506"/>
      <c r="P88" s="45"/>
      <c r="Q88" s="14"/>
    </row>
    <row r="89" spans="1:17" x14ac:dyDescent="0.25">
      <c r="A89" s="45"/>
      <c r="B89" s="97" t="s">
        <v>134</v>
      </c>
      <c r="C89" s="45" t="s">
        <v>132</v>
      </c>
      <c r="D89" s="39">
        <f>D71+D49</f>
        <v>5627398.375</v>
      </c>
      <c r="E89" s="128"/>
      <c r="F89" s="92">
        <f>F71+F49</f>
        <v>6584056.0999999996</v>
      </c>
      <c r="G89" s="39"/>
      <c r="H89" s="128"/>
      <c r="I89" s="92">
        <f>I71+I49</f>
        <v>7034247.9699999997</v>
      </c>
      <c r="J89" s="100"/>
      <c r="K89" s="92">
        <f>K71+K49</f>
        <v>450191.87000000011</v>
      </c>
      <c r="L89" s="168"/>
      <c r="M89" s="134"/>
      <c r="N89" s="108"/>
      <c r="O89" s="506"/>
      <c r="P89" s="45"/>
      <c r="Q89" s="14"/>
    </row>
    <row r="90" spans="1:17" x14ac:dyDescent="0.25">
      <c r="A90" s="45"/>
      <c r="B90" s="97"/>
      <c r="C90" s="45"/>
      <c r="D90" s="39"/>
      <c r="E90" s="102"/>
      <c r="F90" s="100"/>
      <c r="G90" s="39"/>
      <c r="H90" s="102"/>
      <c r="I90" s="100"/>
      <c r="J90" s="100"/>
      <c r="K90" s="138"/>
      <c r="L90" s="168"/>
      <c r="M90" s="134"/>
      <c r="N90" s="108"/>
      <c r="O90" s="506"/>
      <c r="P90" s="45"/>
      <c r="Q90" s="14"/>
    </row>
    <row r="91" spans="1:17" x14ac:dyDescent="0.25">
      <c r="A91" s="45"/>
      <c r="B91" s="97" t="s">
        <v>135</v>
      </c>
      <c r="C91" s="45"/>
      <c r="D91" s="39"/>
      <c r="E91" s="102"/>
      <c r="F91" s="92"/>
      <c r="G91" s="39"/>
      <c r="H91" s="102"/>
      <c r="I91" s="100"/>
      <c r="J91" s="100"/>
      <c r="K91" s="138"/>
      <c r="L91" s="168"/>
      <c r="M91" s="134"/>
      <c r="N91" s="108"/>
      <c r="O91" s="506"/>
      <c r="P91" s="45"/>
      <c r="Q91" s="14"/>
    </row>
    <row r="92" spans="1:17" x14ac:dyDescent="0.25">
      <c r="A92" s="45"/>
      <c r="B92" s="97" t="s">
        <v>136</v>
      </c>
      <c r="C92" s="45" t="s">
        <v>129</v>
      </c>
      <c r="D92" s="39">
        <f>D74+D52</f>
        <v>14517630.798999999</v>
      </c>
      <c r="E92" s="107"/>
      <c r="F92" s="92" t="s">
        <v>137</v>
      </c>
      <c r="G92" s="39"/>
      <c r="H92" s="79"/>
      <c r="I92" s="92" t="s">
        <v>137</v>
      </c>
      <c r="J92" s="92"/>
      <c r="K92" s="92"/>
      <c r="L92" s="104"/>
      <c r="M92" s="134"/>
      <c r="N92" s="108"/>
      <c r="O92" s="506"/>
      <c r="P92" s="45"/>
      <c r="Q92" s="14"/>
    </row>
    <row r="93" spans="1:17" x14ac:dyDescent="0.25">
      <c r="A93" s="45"/>
      <c r="B93" s="97" t="s">
        <v>138</v>
      </c>
      <c r="C93" s="45" t="s">
        <v>129</v>
      </c>
      <c r="D93" s="39">
        <f>D75+D53</f>
        <v>33846142.677000009</v>
      </c>
      <c r="E93" s="107"/>
      <c r="F93" s="92">
        <f>F75+F53</f>
        <v>4358029.3358183997</v>
      </c>
      <c r="G93" s="39"/>
      <c r="H93" s="79"/>
      <c r="I93" s="92">
        <f>I75+I53</f>
        <v>4656552.3055972001</v>
      </c>
      <c r="J93" s="92"/>
      <c r="K93" s="92">
        <f>K75+K53</f>
        <v>298522.96977880027</v>
      </c>
      <c r="L93" s="104"/>
      <c r="M93" s="134"/>
      <c r="N93" s="108"/>
      <c r="O93" s="506"/>
      <c r="P93" s="45"/>
      <c r="Q93" s="14"/>
    </row>
    <row r="94" spans="1:17" x14ac:dyDescent="0.25">
      <c r="A94" s="45"/>
      <c r="B94" s="97" t="s">
        <v>139</v>
      </c>
      <c r="C94" s="45" t="s">
        <v>129</v>
      </c>
      <c r="D94" s="89">
        <f>D76+D54</f>
        <v>37965218.436539344</v>
      </c>
      <c r="E94" s="107"/>
      <c r="F94" s="92">
        <f>F76+F54</f>
        <v>3934715.2353700143</v>
      </c>
      <c r="G94" s="39"/>
      <c r="H94" s="79"/>
      <c r="I94" s="92">
        <f>I76+I54</f>
        <v>4204268.2902284395</v>
      </c>
      <c r="J94" s="92"/>
      <c r="K94" s="92">
        <f>K76+K54</f>
        <v>269553.0548584247</v>
      </c>
      <c r="L94" s="104"/>
      <c r="M94" s="134"/>
      <c r="N94" s="108"/>
      <c r="O94" s="506"/>
      <c r="P94" s="45"/>
      <c r="Q94" s="14"/>
    </row>
    <row r="95" spans="1:17" x14ac:dyDescent="0.25">
      <c r="A95" s="45"/>
      <c r="B95" s="73" t="s">
        <v>140</v>
      </c>
      <c r="C95" s="74"/>
      <c r="D95" s="15">
        <f>SUM(D92:D94)</f>
        <v>86328991.912539363</v>
      </c>
      <c r="E95" s="39"/>
      <c r="F95" s="100"/>
      <c r="G95" s="39"/>
      <c r="H95" s="39"/>
      <c r="I95" s="45"/>
      <c r="J95" s="45"/>
      <c r="K95" s="45"/>
      <c r="L95" s="104"/>
      <c r="M95" s="134"/>
      <c r="N95" s="108"/>
      <c r="O95" s="506"/>
      <c r="P95" s="45"/>
      <c r="Q95" s="14"/>
    </row>
    <row r="96" spans="1:17" x14ac:dyDescent="0.25">
      <c r="A96" s="45"/>
      <c r="B96" s="73" t="s">
        <v>131</v>
      </c>
      <c r="C96" s="45" t="s">
        <v>129</v>
      </c>
      <c r="D96" s="39">
        <f>D78+D56</f>
        <v>86328991.912539363</v>
      </c>
      <c r="E96" s="507"/>
      <c r="F96" s="100">
        <f>F56+F78</f>
        <v>400945.24395250488</v>
      </c>
      <c r="G96" s="39"/>
      <c r="H96" s="39"/>
      <c r="I96" s="100">
        <f>I78+I56</f>
        <v>661658.4075078282</v>
      </c>
      <c r="J96" s="100"/>
      <c r="K96" s="100">
        <f>K78</f>
        <v>0</v>
      </c>
      <c r="L96" s="104"/>
      <c r="M96" s="134"/>
      <c r="N96" s="108"/>
      <c r="O96" s="506"/>
      <c r="P96" s="45"/>
      <c r="Q96" s="14"/>
    </row>
    <row r="97" spans="1:17" x14ac:dyDescent="0.25">
      <c r="A97" s="45"/>
      <c r="B97" s="73" t="s">
        <v>170</v>
      </c>
      <c r="C97" s="74"/>
      <c r="D97" s="39"/>
      <c r="E97" s="39"/>
      <c r="F97" s="156">
        <f>SUM(F87:F96)</f>
        <v>19479056.628030054</v>
      </c>
      <c r="G97" s="39"/>
      <c r="H97" s="39"/>
      <c r="I97" s="156">
        <f>SUM(I87:I89,I93:I96)</f>
        <v>21021209.463333473</v>
      </c>
      <c r="J97" s="100"/>
      <c r="K97" s="156">
        <f>SUM(K87:K96)</f>
        <v>1281439.6717480889</v>
      </c>
      <c r="L97" s="170">
        <f>ROUND(K97/F97,5)</f>
        <v>6.5790000000000001E-2</v>
      </c>
      <c r="M97" s="134"/>
      <c r="N97" s="108"/>
      <c r="O97" s="506"/>
      <c r="P97" s="45"/>
      <c r="Q97" s="14"/>
    </row>
    <row r="98" spans="1:17" x14ac:dyDescent="0.25">
      <c r="A98" s="45"/>
      <c r="B98" s="73"/>
      <c r="C98" s="74"/>
      <c r="D98" s="39"/>
      <c r="E98" s="39"/>
      <c r="F98" s="100"/>
      <c r="G98" s="39"/>
      <c r="H98" s="39"/>
      <c r="I98" s="100"/>
      <c r="J98" s="100"/>
      <c r="K98" s="92"/>
      <c r="L98" s="104"/>
      <c r="M98" s="134"/>
      <c r="N98" s="108"/>
      <c r="O98" s="506"/>
      <c r="P98" s="45"/>
      <c r="Q98" s="14"/>
    </row>
    <row r="99" spans="1:17" x14ac:dyDescent="0.25">
      <c r="A99" s="45"/>
      <c r="B99" s="97" t="s">
        <v>167</v>
      </c>
      <c r="C99" s="74"/>
      <c r="D99" s="39"/>
      <c r="E99" s="39"/>
      <c r="F99" s="100"/>
      <c r="G99" s="39"/>
      <c r="H99" s="39"/>
      <c r="I99" s="100"/>
      <c r="J99" s="100"/>
      <c r="K99" s="92"/>
      <c r="L99" s="104"/>
      <c r="M99" s="134"/>
      <c r="N99" s="108"/>
      <c r="O99" s="506"/>
      <c r="P99" s="45"/>
      <c r="Q99" s="14"/>
    </row>
    <row r="100" spans="1:17" x14ac:dyDescent="0.25">
      <c r="A100" s="45"/>
      <c r="B100" s="97" t="s">
        <v>189</v>
      </c>
      <c r="C100" s="74"/>
      <c r="D100" s="39"/>
      <c r="E100" s="39"/>
      <c r="F100" s="100">
        <f>F60</f>
        <v>14951504.909953015</v>
      </c>
      <c r="G100" s="39"/>
      <c r="H100" s="39"/>
      <c r="I100" s="100">
        <f>I60</f>
        <v>14951504.909953015</v>
      </c>
      <c r="J100" s="100"/>
      <c r="K100" s="100">
        <f>K60</f>
        <v>0</v>
      </c>
      <c r="L100" s="104"/>
      <c r="M100" s="134"/>
      <c r="N100" s="108"/>
      <c r="O100" s="506"/>
      <c r="P100" s="45"/>
      <c r="Q100" s="14"/>
    </row>
    <row r="101" spans="1:17" x14ac:dyDescent="0.25">
      <c r="A101" s="45"/>
      <c r="B101" s="97" t="s">
        <v>134</v>
      </c>
      <c r="C101" s="74"/>
      <c r="D101" s="39"/>
      <c r="E101" s="39"/>
      <c r="F101" s="100">
        <f>F61</f>
        <v>4689738.5576999998</v>
      </c>
      <c r="G101" s="39"/>
      <c r="H101" s="39"/>
      <c r="I101" s="100">
        <f>I61</f>
        <v>4689738.5576999998</v>
      </c>
      <c r="J101" s="100"/>
      <c r="K101" s="100">
        <f>K61</f>
        <v>0</v>
      </c>
      <c r="L101" s="104"/>
      <c r="M101" s="134"/>
      <c r="N101" s="108"/>
      <c r="O101" s="506"/>
      <c r="P101" s="45"/>
      <c r="Q101" s="14"/>
    </row>
    <row r="102" spans="1:17" x14ac:dyDescent="0.25">
      <c r="A102" s="45"/>
      <c r="B102" s="97" t="s">
        <v>185</v>
      </c>
      <c r="C102" s="74"/>
      <c r="D102" s="39"/>
      <c r="E102" s="39"/>
      <c r="F102" s="100">
        <f>F81</f>
        <v>14344.6341143517</v>
      </c>
      <c r="G102" s="39"/>
      <c r="H102" s="39"/>
      <c r="I102" s="100">
        <f>I81</f>
        <v>20492.33444907386</v>
      </c>
      <c r="J102" s="100"/>
      <c r="K102" s="100">
        <f>K81</f>
        <v>6147.7003347221598</v>
      </c>
      <c r="L102" s="104"/>
      <c r="M102" s="134"/>
      <c r="N102" s="108"/>
      <c r="O102" s="506"/>
      <c r="P102" s="45"/>
      <c r="Q102" s="14"/>
    </row>
    <row r="103" spans="1:17" x14ac:dyDescent="0.25">
      <c r="A103" s="45"/>
      <c r="B103" s="73" t="s">
        <v>190</v>
      </c>
      <c r="C103" s="74"/>
      <c r="D103" s="39"/>
      <c r="E103" s="39"/>
      <c r="F103" s="156">
        <f>SUM(F100:F102)</f>
        <v>19655588.101767365</v>
      </c>
      <c r="G103" s="39"/>
      <c r="H103" s="39"/>
      <c r="I103" s="156">
        <f>SUM(I100:I102)</f>
        <v>19661735.802102089</v>
      </c>
      <c r="J103" s="100"/>
      <c r="K103" s="156">
        <f>SUM(K100:K102)</f>
        <v>6147.7003347221598</v>
      </c>
      <c r="L103" s="170">
        <f>ROUND(K103/F103,5)</f>
        <v>3.1E-4</v>
      </c>
      <c r="M103" s="134"/>
      <c r="N103" s="108"/>
      <c r="O103" s="506"/>
      <c r="P103" s="45"/>
      <c r="Q103" s="14"/>
    </row>
    <row r="104" spans="1:17" x14ac:dyDescent="0.25">
      <c r="A104" s="45"/>
      <c r="B104" s="97"/>
      <c r="C104" s="74"/>
      <c r="D104" s="45"/>
      <c r="E104" s="45"/>
      <c r="F104" s="92"/>
      <c r="G104" s="39"/>
      <c r="H104" s="39"/>
      <c r="I104" s="100"/>
      <c r="J104" s="100"/>
      <c r="K104" s="92"/>
      <c r="L104" s="104"/>
      <c r="M104" s="134"/>
      <c r="N104" s="108"/>
      <c r="O104" s="92"/>
      <c r="P104" s="45"/>
      <c r="Q104" s="14"/>
    </row>
    <row r="105" spans="1:17" x14ac:dyDescent="0.25">
      <c r="A105" s="45"/>
      <c r="B105" s="97" t="s">
        <v>168</v>
      </c>
      <c r="C105" s="45"/>
      <c r="D105" s="39"/>
      <c r="E105" s="79"/>
      <c r="F105" s="156">
        <f>F97+F103</f>
        <v>39134644.729797423</v>
      </c>
      <c r="G105" s="45"/>
      <c r="H105" s="102"/>
      <c r="I105" s="156">
        <f>I97+I103</f>
        <v>40682945.265435562</v>
      </c>
      <c r="J105" s="92"/>
      <c r="K105" s="156">
        <f>K97+K103</f>
        <v>1287587.3720828111</v>
      </c>
      <c r="L105" s="170">
        <f>ROUND(K105/F105,5)</f>
        <v>3.2899999999999999E-2</v>
      </c>
      <c r="M105" s="134"/>
      <c r="N105" s="108"/>
      <c r="O105" s="45"/>
      <c r="P105" s="45"/>
      <c r="Q105" s="39"/>
    </row>
    <row r="106" spans="1:17" x14ac:dyDescent="0.25">
      <c r="A106" s="45"/>
      <c r="B106" s="86"/>
      <c r="C106" s="87"/>
      <c r="D106" s="87"/>
      <c r="E106" s="87"/>
      <c r="F106" s="88"/>
      <c r="G106" s="87"/>
      <c r="H106" s="87"/>
      <c r="I106" s="125"/>
      <c r="J106" s="125"/>
      <c r="K106" s="88"/>
      <c r="L106" s="90"/>
      <c r="M106" s="134"/>
      <c r="N106" s="108"/>
      <c r="O106" s="45"/>
      <c r="P106" s="45"/>
      <c r="Q106" s="39"/>
    </row>
    <row r="107" spans="1:17" s="45" customFormat="1" x14ac:dyDescent="0.25">
      <c r="F107" s="92"/>
      <c r="I107" s="138"/>
      <c r="J107" s="138"/>
      <c r="K107" s="92"/>
      <c r="L107" s="93"/>
      <c r="M107" s="134"/>
      <c r="N107" s="108"/>
      <c r="O107" s="44"/>
      <c r="P107" s="44"/>
      <c r="Q107" s="44"/>
    </row>
    <row r="108" spans="1:17" x14ac:dyDescent="0.25">
      <c r="B108" s="45"/>
      <c r="F108" s="91"/>
      <c r="I108" s="91"/>
      <c r="J108" s="91"/>
      <c r="K108" s="91"/>
      <c r="M108" s="134"/>
      <c r="N108" s="108"/>
      <c r="O108" s="44"/>
      <c r="P108" s="44"/>
      <c r="Q108" s="44"/>
    </row>
    <row r="109" spans="1:17" ht="13" x14ac:dyDescent="0.3">
      <c r="B109" s="61" t="s">
        <v>193</v>
      </c>
      <c r="F109" s="91"/>
      <c r="I109" s="91"/>
      <c r="J109" s="91"/>
      <c r="K109" s="91"/>
      <c r="M109" s="134"/>
      <c r="N109" s="108"/>
      <c r="O109" s="109"/>
      <c r="P109" s="307"/>
      <c r="Q109" s="135"/>
    </row>
    <row r="110" spans="1:17" x14ac:dyDescent="0.25">
      <c r="D110" s="115" t="s">
        <v>129</v>
      </c>
      <c r="F110" s="125" t="s">
        <v>120</v>
      </c>
      <c r="I110" s="125" t="s">
        <v>28</v>
      </c>
      <c r="J110" s="91"/>
      <c r="K110" s="125" t="s">
        <v>103</v>
      </c>
      <c r="M110" s="134"/>
      <c r="N110" s="108"/>
    </row>
    <row r="111" spans="1:17" ht="13" x14ac:dyDescent="0.3">
      <c r="B111" s="61" t="s">
        <v>194</v>
      </c>
      <c r="C111" s="139"/>
      <c r="D111" s="34"/>
      <c r="E111" s="139"/>
      <c r="F111" s="139"/>
      <c r="G111" s="139"/>
      <c r="H111" s="139"/>
      <c r="I111" s="139"/>
      <c r="J111" s="139"/>
      <c r="K111" s="139"/>
      <c r="M111" s="508"/>
    </row>
    <row r="112" spans="1:17" x14ac:dyDescent="0.25">
      <c r="B112" s="42" t="s">
        <v>195</v>
      </c>
      <c r="C112" s="139"/>
      <c r="D112" s="34"/>
      <c r="E112" s="139"/>
      <c r="F112" s="139">
        <f>F17+F29</f>
        <v>74627518.039885283</v>
      </c>
      <c r="G112" s="139"/>
      <c r="H112" s="139"/>
      <c r="I112" s="139">
        <f>I17+I29</f>
        <v>74627528.947874367</v>
      </c>
      <c r="J112" s="139"/>
      <c r="K112" s="510">
        <f>I112-F112</f>
        <v>10.907989084720612</v>
      </c>
      <c r="M112" s="508"/>
    </row>
    <row r="113" spans="2:13" x14ac:dyDescent="0.25">
      <c r="B113" s="42" t="s">
        <v>196</v>
      </c>
      <c r="C113" s="139"/>
      <c r="D113" s="34"/>
      <c r="E113" s="139"/>
      <c r="F113" s="139">
        <f>F62+F81</f>
        <v>19655588.101767365</v>
      </c>
      <c r="G113" s="139"/>
      <c r="H113" s="139"/>
      <c r="I113" s="139">
        <f>I62+I81</f>
        <v>19661735.802102089</v>
      </c>
      <c r="J113" s="139"/>
      <c r="K113" s="510">
        <f>I113-F113</f>
        <v>6147.7003347240388</v>
      </c>
      <c r="M113" s="511"/>
    </row>
    <row r="114" spans="2:13" x14ac:dyDescent="0.25">
      <c r="B114" s="42" t="s">
        <v>0</v>
      </c>
      <c r="C114" s="139"/>
      <c r="D114" s="34"/>
      <c r="E114" s="139"/>
      <c r="F114" s="512">
        <f>SUM(F112:F113)</f>
        <v>94283106.141652644</v>
      </c>
      <c r="G114" s="139"/>
      <c r="H114" s="139"/>
      <c r="I114" s="512">
        <f>SUM(I112:I113)</f>
        <v>94289264.749976456</v>
      </c>
      <c r="J114" s="139"/>
      <c r="K114" s="512">
        <f>SUM(K112:K113)</f>
        <v>6158.6083238087595</v>
      </c>
      <c r="M114" s="511"/>
    </row>
    <row r="115" spans="2:13" x14ac:dyDescent="0.25">
      <c r="C115" s="139"/>
      <c r="D115" s="34"/>
      <c r="E115" s="139"/>
      <c r="F115" s="139"/>
      <c r="G115" s="139"/>
      <c r="H115" s="139"/>
      <c r="I115" s="139"/>
      <c r="J115" s="139"/>
      <c r="K115" s="510"/>
      <c r="M115" s="511"/>
    </row>
    <row r="116" spans="2:13" ht="13" x14ac:dyDescent="0.3">
      <c r="B116" s="61" t="s">
        <v>197</v>
      </c>
      <c r="C116" s="139"/>
      <c r="D116" s="34"/>
      <c r="E116" s="139"/>
      <c r="F116" s="139"/>
      <c r="G116" s="139"/>
      <c r="H116" s="139"/>
      <c r="I116" s="139"/>
      <c r="J116" s="139"/>
      <c r="K116" s="510"/>
      <c r="M116" s="511"/>
    </row>
    <row r="117" spans="2:13" x14ac:dyDescent="0.25">
      <c r="B117" s="42" t="s">
        <v>198</v>
      </c>
      <c r="C117" s="139"/>
      <c r="D117" s="34"/>
      <c r="E117" s="139"/>
      <c r="F117" s="139">
        <f>F15+F27</f>
        <v>93373535.169999987</v>
      </c>
      <c r="G117" s="139"/>
      <c r="H117" s="139"/>
      <c r="I117" s="139">
        <f>I15+I27</f>
        <v>115542872.56999999</v>
      </c>
      <c r="J117" s="139"/>
      <c r="K117" s="510">
        <f>I117-F117</f>
        <v>22169337.400000006</v>
      </c>
      <c r="L117" s="465">
        <f>K117/F117</f>
        <v>0.2374263474081551</v>
      </c>
      <c r="M117" s="511"/>
    </row>
    <row r="118" spans="2:13" x14ac:dyDescent="0.25">
      <c r="B118" s="42" t="s">
        <v>196</v>
      </c>
      <c r="C118" s="139"/>
      <c r="D118" s="34"/>
      <c r="E118" s="139"/>
      <c r="F118" s="139">
        <f>F57+F79</f>
        <v>19479056.628030054</v>
      </c>
      <c r="G118" s="139"/>
      <c r="H118" s="139"/>
      <c r="I118" s="139">
        <f>I57+I79</f>
        <v>21021209.463333469</v>
      </c>
      <c r="J118" s="139"/>
      <c r="K118" s="510">
        <f>I118-F118</f>
        <v>1542152.8353034146</v>
      </c>
      <c r="L118" s="465">
        <f>K118/F118</f>
        <v>7.9169790650142735E-2</v>
      </c>
      <c r="M118" s="511"/>
    </row>
    <row r="119" spans="2:13" x14ac:dyDescent="0.25">
      <c r="B119" s="42" t="s">
        <v>0</v>
      </c>
      <c r="C119" s="139"/>
      <c r="D119" s="34"/>
      <c r="E119" s="139"/>
      <c r="F119" s="512">
        <f>SUM(F117:F118)</f>
        <v>112852591.79803005</v>
      </c>
      <c r="G119" s="139"/>
      <c r="H119" s="139"/>
      <c r="I119" s="512">
        <f>SUM(I117:I118)</f>
        <v>136564082.03333345</v>
      </c>
      <c r="J119" s="139"/>
      <c r="K119" s="512">
        <f>SUM(K117:K118)</f>
        <v>23711490.235303421</v>
      </c>
      <c r="L119" s="465">
        <f>K119/F119</f>
        <v>0.21011028508533844</v>
      </c>
      <c r="M119" s="511"/>
    </row>
    <row r="120" spans="2:13" x14ac:dyDescent="0.25">
      <c r="C120" s="139"/>
      <c r="D120" s="34"/>
      <c r="E120" s="139"/>
      <c r="F120" s="139"/>
      <c r="G120" s="139"/>
      <c r="H120" s="139"/>
      <c r="I120" s="139"/>
      <c r="J120" s="139"/>
      <c r="K120" s="510"/>
      <c r="M120" s="511"/>
    </row>
    <row r="121" spans="2:13" ht="13" x14ac:dyDescent="0.3">
      <c r="B121" s="61" t="s">
        <v>199</v>
      </c>
      <c r="C121" s="139"/>
      <c r="D121" s="34"/>
      <c r="E121" s="139"/>
      <c r="F121" s="139"/>
      <c r="G121" s="139"/>
      <c r="H121" s="139"/>
      <c r="I121" s="139"/>
      <c r="J121" s="139"/>
      <c r="K121" s="510"/>
      <c r="M121" s="511"/>
    </row>
    <row r="122" spans="2:13" x14ac:dyDescent="0.25">
      <c r="B122" s="42" t="s">
        <v>198</v>
      </c>
      <c r="C122" s="139"/>
      <c r="D122" s="34">
        <f>D36</f>
        <v>234176518.05324447</v>
      </c>
      <c r="E122" s="139"/>
      <c r="F122" s="139">
        <f>F112+F117</f>
        <v>168001053.20988527</v>
      </c>
      <c r="G122" s="139"/>
      <c r="H122" s="139"/>
      <c r="I122" s="139">
        <f>I112+I117</f>
        <v>190170401.51787436</v>
      </c>
      <c r="J122" s="139"/>
      <c r="K122" s="510">
        <f>I122-F122</f>
        <v>22169348.307989091</v>
      </c>
      <c r="L122" s="465">
        <f>K122/F122</f>
        <v>0.13195957932652194</v>
      </c>
      <c r="M122" s="511"/>
    </row>
    <row r="123" spans="2:13" x14ac:dyDescent="0.25">
      <c r="B123" s="42" t="s">
        <v>196</v>
      </c>
      <c r="C123" s="139"/>
      <c r="D123" s="34">
        <f>D95</f>
        <v>86328991.912539363</v>
      </c>
      <c r="E123" s="139"/>
      <c r="F123" s="139">
        <f>F113+F118</f>
        <v>39134644.729797423</v>
      </c>
      <c r="G123" s="139"/>
      <c r="H123" s="139"/>
      <c r="I123" s="139">
        <f>I113+I118</f>
        <v>40682945.265435562</v>
      </c>
      <c r="J123" s="139"/>
      <c r="K123" s="510">
        <f>I123-F123</f>
        <v>1548300.5356381387</v>
      </c>
      <c r="L123" s="465">
        <f>K123/F123</f>
        <v>3.9563423823782681E-2</v>
      </c>
      <c r="M123" s="511"/>
    </row>
    <row r="124" spans="2:13" x14ac:dyDescent="0.25">
      <c r="B124" s="42" t="s">
        <v>0</v>
      </c>
      <c r="C124" s="139"/>
      <c r="D124" s="15">
        <f>SUM(D122:D123)</f>
        <v>320505509.96578383</v>
      </c>
      <c r="E124" s="139"/>
      <c r="F124" s="512">
        <f>SUM(F122:F123)</f>
        <v>207135697.93968269</v>
      </c>
      <c r="G124" s="139"/>
      <c r="H124" s="139"/>
      <c r="I124" s="512">
        <f>SUM(I122:I123)</f>
        <v>230853346.78330994</v>
      </c>
      <c r="J124" s="139"/>
      <c r="K124" s="512">
        <f>SUM(K122:K123)</f>
        <v>23717648.843627229</v>
      </c>
      <c r="L124" s="465">
        <f>K124/F124</f>
        <v>0.11450295183080292</v>
      </c>
      <c r="M124" s="511"/>
    </row>
    <row r="125" spans="2:13" x14ac:dyDescent="0.25">
      <c r="C125" s="139"/>
      <c r="D125" s="39"/>
      <c r="E125" s="139"/>
      <c r="F125" s="510"/>
      <c r="G125" s="139"/>
      <c r="H125" s="139"/>
      <c r="I125" s="510"/>
      <c r="J125" s="139"/>
      <c r="K125" s="510"/>
      <c r="M125" s="511"/>
    </row>
    <row r="126" spans="2:13" x14ac:dyDescent="0.25">
      <c r="B126" s="42" t="s">
        <v>180</v>
      </c>
      <c r="F126" s="42"/>
      <c r="G126" s="139"/>
      <c r="H126" s="139"/>
      <c r="I126" s="510"/>
      <c r="J126" s="139"/>
      <c r="K126" s="510"/>
      <c r="M126" s="511"/>
    </row>
    <row r="127" spans="2:13" ht="13" thickBot="1" x14ac:dyDescent="0.3">
      <c r="C127" s="139"/>
      <c r="D127" s="34"/>
      <c r="E127" s="139"/>
      <c r="F127" s="139"/>
      <c r="G127" s="139"/>
      <c r="H127" s="139"/>
      <c r="I127" s="139"/>
      <c r="J127" s="139"/>
      <c r="K127" s="139"/>
      <c r="M127" s="511"/>
    </row>
    <row r="128" spans="2:13" ht="13" thickBot="1" x14ac:dyDescent="0.3">
      <c r="B128" s="466" t="s">
        <v>14</v>
      </c>
      <c r="C128" s="513"/>
      <c r="D128" s="303">
        <v>0</v>
      </c>
      <c r="E128" s="303"/>
      <c r="F128" s="304">
        <v>-5.4303109645843506E-3</v>
      </c>
      <c r="G128" s="139"/>
      <c r="H128" s="139"/>
      <c r="I128" s="139"/>
      <c r="J128" s="139"/>
      <c r="K128" s="139"/>
      <c r="M128" s="511"/>
    </row>
    <row r="129" spans="2:13" x14ac:dyDescent="0.25">
      <c r="C129" s="139"/>
      <c r="D129" s="139"/>
      <c r="E129" s="139"/>
      <c r="F129" s="139"/>
      <c r="G129" s="139"/>
      <c r="H129" s="139"/>
      <c r="I129" s="139"/>
      <c r="J129" s="139"/>
      <c r="K129" s="139"/>
      <c r="M129" s="511"/>
    </row>
    <row r="130" spans="2:13" x14ac:dyDescent="0.25">
      <c r="F130" s="42"/>
      <c r="G130" s="139"/>
      <c r="H130" s="139"/>
      <c r="I130" s="139"/>
      <c r="J130" s="139"/>
      <c r="K130" s="139"/>
      <c r="M130" s="511"/>
    </row>
    <row r="131" spans="2:13" x14ac:dyDescent="0.25">
      <c r="C131" s="139"/>
      <c r="D131" s="139"/>
      <c r="E131" s="139"/>
      <c r="F131" s="139"/>
      <c r="G131" s="139"/>
      <c r="H131" s="139"/>
      <c r="I131" s="139"/>
      <c r="J131" s="139"/>
      <c r="K131" s="139"/>
      <c r="M131" s="511"/>
    </row>
    <row r="132" spans="2:13" x14ac:dyDescent="0.25">
      <c r="C132" s="139"/>
      <c r="D132" s="139"/>
      <c r="E132" s="139"/>
      <c r="F132" s="139"/>
      <c r="G132" s="139"/>
      <c r="H132" s="139"/>
      <c r="I132" s="139"/>
      <c r="J132" s="139"/>
      <c r="K132" s="139"/>
      <c r="M132" s="511"/>
    </row>
    <row r="133" spans="2:13" x14ac:dyDescent="0.25">
      <c r="B133" s="42" t="s">
        <v>299</v>
      </c>
      <c r="C133" s="139"/>
      <c r="D133" s="139"/>
      <c r="E133" s="139"/>
      <c r="F133" s="139"/>
      <c r="G133" s="139"/>
      <c r="H133" s="139"/>
      <c r="I133" s="139"/>
      <c r="J133" s="139"/>
      <c r="K133" s="139"/>
      <c r="M133" s="511"/>
    </row>
    <row r="134" spans="2:13" x14ac:dyDescent="0.25">
      <c r="C134" s="139"/>
      <c r="D134" s="139"/>
      <c r="E134" s="139"/>
      <c r="F134" s="139"/>
      <c r="G134" s="139"/>
      <c r="H134" s="139"/>
      <c r="I134" s="139"/>
      <c r="J134" s="139"/>
      <c r="K134" s="139"/>
      <c r="M134" s="511"/>
    </row>
    <row r="135" spans="2:13" x14ac:dyDescent="0.25">
      <c r="B135" s="469" t="s">
        <v>298</v>
      </c>
      <c r="C135" s="139"/>
      <c r="D135" s="139"/>
      <c r="E135" s="139"/>
      <c r="F135" s="139"/>
      <c r="G135" s="139"/>
      <c r="H135" s="139"/>
      <c r="I135" s="139"/>
      <c r="J135" s="139"/>
      <c r="K135" s="139"/>
      <c r="M135" s="511"/>
    </row>
    <row r="136" spans="2:13" x14ac:dyDescent="0.25">
      <c r="C136" s="139"/>
      <c r="D136" s="139"/>
      <c r="E136" s="139"/>
      <c r="F136" s="139"/>
      <c r="G136" s="139"/>
      <c r="H136" s="139"/>
      <c r="I136" s="139"/>
      <c r="J136" s="139"/>
      <c r="K136" s="139"/>
      <c r="M136" s="511"/>
    </row>
    <row r="137" spans="2:13" x14ac:dyDescent="0.25">
      <c r="C137" s="139"/>
      <c r="D137" s="139"/>
      <c r="E137" s="139"/>
      <c r="F137" s="139"/>
      <c r="G137" s="139"/>
      <c r="H137" s="139"/>
      <c r="I137" s="139"/>
      <c r="J137" s="139"/>
      <c r="K137" s="139"/>
      <c r="M137" s="511"/>
    </row>
    <row r="138" spans="2:13" x14ac:dyDescent="0.25">
      <c r="C138" s="139"/>
      <c r="D138" s="139"/>
      <c r="E138" s="139"/>
      <c r="F138" s="139"/>
      <c r="G138" s="139"/>
      <c r="H138" s="139"/>
      <c r="I138" s="139"/>
      <c r="J138" s="139"/>
      <c r="K138" s="139"/>
      <c r="M138" s="511"/>
    </row>
    <row r="139" spans="2:13" x14ac:dyDescent="0.25">
      <c r="C139" s="139"/>
      <c r="D139" s="139"/>
      <c r="E139" s="139"/>
      <c r="F139" s="139"/>
      <c r="G139" s="139"/>
      <c r="H139" s="139"/>
      <c r="I139" s="139"/>
      <c r="J139" s="139"/>
      <c r="K139" s="139"/>
      <c r="M139" s="511"/>
    </row>
    <row r="140" spans="2:13" x14ac:dyDescent="0.25">
      <c r="C140" s="139"/>
      <c r="D140" s="139"/>
      <c r="E140" s="139"/>
      <c r="F140" s="139"/>
      <c r="G140" s="139"/>
      <c r="H140" s="139"/>
      <c r="I140" s="139"/>
      <c r="J140" s="139"/>
      <c r="K140" s="139"/>
      <c r="M140" s="511"/>
    </row>
    <row r="141" spans="2:13" x14ac:dyDescent="0.25">
      <c r="C141" s="139"/>
      <c r="D141" s="139"/>
      <c r="E141" s="139"/>
      <c r="F141" s="139"/>
      <c r="G141" s="139"/>
      <c r="H141" s="139"/>
      <c r="I141" s="139"/>
      <c r="J141" s="139"/>
      <c r="K141" s="139"/>
      <c r="M141" s="511"/>
    </row>
    <row r="142" spans="2:13" x14ac:dyDescent="0.25">
      <c r="C142" s="139"/>
      <c r="D142" s="139"/>
      <c r="E142" s="139"/>
      <c r="F142" s="139"/>
      <c r="G142" s="139"/>
      <c r="H142" s="139"/>
      <c r="I142" s="139"/>
      <c r="J142" s="139"/>
      <c r="K142" s="139"/>
      <c r="M142" s="511"/>
    </row>
    <row r="143" spans="2:13" x14ac:dyDescent="0.25">
      <c r="C143" s="139"/>
      <c r="D143" s="139"/>
      <c r="E143" s="139"/>
      <c r="F143" s="139"/>
      <c r="G143" s="139"/>
      <c r="H143" s="139"/>
      <c r="I143" s="139"/>
      <c r="J143" s="139"/>
      <c r="K143" s="139"/>
      <c r="M143" s="511"/>
    </row>
    <row r="144" spans="2:13" x14ac:dyDescent="0.25">
      <c r="C144" s="139"/>
      <c r="D144" s="139"/>
      <c r="E144" s="139"/>
      <c r="F144" s="139"/>
      <c r="G144" s="139"/>
      <c r="H144" s="139"/>
      <c r="I144" s="139"/>
      <c r="J144" s="139"/>
      <c r="K144" s="139"/>
      <c r="M144" s="511"/>
    </row>
    <row r="145" spans="3:13" x14ac:dyDescent="0.25">
      <c r="C145" s="139"/>
      <c r="D145" s="139"/>
      <c r="E145" s="139"/>
      <c r="F145" s="139"/>
      <c r="G145" s="139"/>
      <c r="H145" s="139"/>
      <c r="I145" s="139"/>
      <c r="J145" s="139"/>
      <c r="K145" s="139"/>
      <c r="M145" s="511"/>
    </row>
    <row r="146" spans="3:13" x14ac:dyDescent="0.25">
      <c r="C146" s="139"/>
      <c r="D146" s="139"/>
      <c r="E146" s="139"/>
      <c r="F146" s="139"/>
      <c r="G146" s="139"/>
      <c r="H146" s="139"/>
      <c r="I146" s="139"/>
      <c r="J146" s="139"/>
      <c r="K146" s="139"/>
      <c r="M146" s="511"/>
    </row>
    <row r="147" spans="3:13" x14ac:dyDescent="0.25">
      <c r="C147" s="139"/>
      <c r="D147" s="139"/>
      <c r="E147" s="139"/>
      <c r="F147" s="139"/>
      <c r="G147" s="139"/>
      <c r="H147" s="139"/>
      <c r="I147" s="139"/>
      <c r="J147" s="139"/>
      <c r="K147" s="139"/>
      <c r="M147" s="511"/>
    </row>
    <row r="148" spans="3:13" x14ac:dyDescent="0.25">
      <c r="M148" s="511"/>
    </row>
    <row r="149" spans="3:13" x14ac:dyDescent="0.25">
      <c r="M149" s="511"/>
    </row>
  </sheetData>
  <mergeCells count="1">
    <mergeCell ref="K7:L7"/>
  </mergeCells>
  <printOptions horizontalCentered="1"/>
  <pageMargins left="0.5" right="0.5" top="1" bottom="1" header="0.75" footer="0.5"/>
  <pageSetup scale="73" fitToHeight="8" orientation="landscape" blackAndWhite="1" r:id="rId1"/>
  <headerFooter alignWithMargins="0">
    <oddFooter>&amp;RExhibit JDT-14
                   Page &amp;P of &amp;N</oddFooter>
  </headerFooter>
  <rowBreaks count="2" manualBreakCount="2">
    <brk id="44" min="1" max="16" man="1"/>
    <brk id="84" min="1" max="16" man="1"/>
  </rowBreaks>
  <customProperties>
    <customPr name="_pios_id" r:id="rId2"/>
  </customProperties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0"/>
  <sheetViews>
    <sheetView topLeftCell="A190" zoomScale="80" zoomScaleNormal="80" workbookViewId="0">
      <selection activeCell="B230" sqref="B230"/>
    </sheetView>
  </sheetViews>
  <sheetFormatPr defaultColWidth="9.1796875" defaultRowHeight="12.5" x14ac:dyDescent="0.25"/>
  <cols>
    <col min="1" max="1" width="2.453125" style="42" customWidth="1"/>
    <col min="2" max="2" width="31.7265625" style="42" customWidth="1"/>
    <col min="3" max="3" width="9.7265625" style="42" customWidth="1"/>
    <col min="4" max="4" width="12.7265625" style="34" bestFit="1" customWidth="1"/>
    <col min="5" max="5" width="10.453125" style="458" customWidth="1"/>
    <col min="6" max="6" width="13.26953125" style="174" customWidth="1"/>
    <col min="7" max="7" width="3" style="39" customWidth="1"/>
    <col min="8" max="8" width="10.453125" style="174" customWidth="1"/>
    <col min="9" max="9" width="13.26953125" style="174" customWidth="1"/>
    <col min="10" max="10" width="2.81640625" style="174" customWidth="1"/>
    <col min="11" max="11" width="13.1796875" style="174" customWidth="1"/>
    <col min="12" max="12" width="10.453125" style="481" customWidth="1"/>
    <col min="13" max="13" width="2.81640625" style="482" customWidth="1"/>
    <col min="14" max="14" width="2.1796875" style="474" customWidth="1"/>
    <col min="15" max="15" width="14.453125" style="42" bestFit="1" customWidth="1"/>
    <col min="16" max="16" width="2.81640625" style="42" customWidth="1"/>
    <col min="17" max="17" width="8.81640625" style="42" customWidth="1"/>
    <col min="18" max="16384" width="9.1796875" style="42"/>
  </cols>
  <sheetData>
    <row r="1" spans="1:17" x14ac:dyDescent="0.25">
      <c r="B1" s="59"/>
      <c r="C1" s="59"/>
      <c r="D1" s="117"/>
      <c r="E1" s="470"/>
      <c r="F1" s="141"/>
      <c r="G1" s="140"/>
      <c r="H1" s="141"/>
      <c r="I1" s="141"/>
      <c r="J1" s="141"/>
      <c r="K1" s="141"/>
      <c r="L1" s="471"/>
      <c r="M1" s="471"/>
      <c r="N1" s="472"/>
      <c r="O1" s="59"/>
      <c r="P1" s="59"/>
      <c r="Q1" s="59"/>
    </row>
    <row r="2" spans="1:17" ht="13" x14ac:dyDescent="0.3">
      <c r="B2" s="69" t="s">
        <v>13</v>
      </c>
      <c r="C2" s="69"/>
      <c r="D2" s="141"/>
      <c r="E2" s="141"/>
      <c r="F2" s="141"/>
      <c r="G2" s="141"/>
      <c r="H2" s="141"/>
      <c r="I2" s="141"/>
      <c r="J2" s="141"/>
      <c r="K2" s="141"/>
      <c r="L2" s="141"/>
      <c r="M2" s="471"/>
      <c r="N2" s="472"/>
      <c r="O2" s="59"/>
      <c r="P2" s="59"/>
      <c r="Q2" s="59"/>
    </row>
    <row r="3" spans="1:17" ht="13" x14ac:dyDescent="0.3">
      <c r="B3" s="400" t="s">
        <v>360</v>
      </c>
      <c r="C3" s="69"/>
      <c r="D3" s="141"/>
      <c r="E3" s="141"/>
      <c r="F3" s="141"/>
      <c r="G3" s="141"/>
      <c r="H3" s="141"/>
      <c r="I3" s="141"/>
      <c r="J3" s="141"/>
      <c r="K3" s="141"/>
      <c r="L3" s="141"/>
      <c r="M3" s="471"/>
      <c r="N3" s="472"/>
      <c r="O3" s="59"/>
      <c r="P3" s="59"/>
      <c r="Q3" s="59"/>
    </row>
    <row r="4" spans="1:17" ht="13" x14ac:dyDescent="0.3">
      <c r="B4" s="69" t="s">
        <v>200</v>
      </c>
      <c r="C4" s="69"/>
      <c r="D4" s="141"/>
      <c r="E4" s="141"/>
      <c r="F4" s="141"/>
      <c r="G4" s="141"/>
      <c r="H4" s="141"/>
      <c r="I4" s="141"/>
      <c r="J4" s="141"/>
      <c r="K4" s="141"/>
      <c r="L4" s="141"/>
      <c r="M4" s="471"/>
      <c r="N4" s="472"/>
      <c r="O4" s="59"/>
      <c r="P4" s="59"/>
      <c r="Q4" s="59"/>
    </row>
    <row r="5" spans="1:17" ht="13" x14ac:dyDescent="0.3">
      <c r="B5" s="69" t="s">
        <v>361</v>
      </c>
      <c r="C5" s="69"/>
      <c r="D5" s="117"/>
      <c r="E5" s="470"/>
      <c r="F5" s="141"/>
      <c r="G5" s="140"/>
      <c r="H5" s="141"/>
      <c r="I5" s="141"/>
      <c r="J5" s="141"/>
      <c r="K5" s="141"/>
      <c r="L5" s="471"/>
      <c r="M5" s="471"/>
      <c r="N5" s="472"/>
      <c r="O5" s="176"/>
      <c r="P5" s="59"/>
      <c r="Q5" s="59"/>
    </row>
    <row r="6" spans="1:17" s="45" customFormat="1" x14ac:dyDescent="0.25">
      <c r="B6" s="473"/>
      <c r="C6" s="176"/>
      <c r="D6" s="39"/>
      <c r="E6" s="79"/>
      <c r="F6" s="102"/>
      <c r="G6" s="39"/>
      <c r="H6" s="102"/>
      <c r="I6" s="102"/>
      <c r="J6" s="102"/>
      <c r="K6" s="102"/>
      <c r="L6" s="474"/>
      <c r="M6" s="155"/>
      <c r="N6" s="155"/>
    </row>
    <row r="7" spans="1:17" x14ac:dyDescent="0.25">
      <c r="B7" s="448"/>
      <c r="C7" s="70"/>
      <c r="D7" s="142" t="s">
        <v>119</v>
      </c>
      <c r="E7" s="71" t="s">
        <v>120</v>
      </c>
      <c r="F7" s="143"/>
      <c r="G7" s="142"/>
      <c r="H7" s="143" t="s">
        <v>28</v>
      </c>
      <c r="I7" s="143"/>
      <c r="J7" s="450"/>
      <c r="K7" s="535" t="s">
        <v>159</v>
      </c>
      <c r="L7" s="536"/>
      <c r="M7" s="155"/>
      <c r="N7" s="472"/>
      <c r="O7" s="44" t="s">
        <v>121</v>
      </c>
      <c r="Q7" s="81" t="s">
        <v>160</v>
      </c>
    </row>
    <row r="8" spans="1:17" x14ac:dyDescent="0.25">
      <c r="B8" s="453" t="s">
        <v>122</v>
      </c>
      <c r="C8" s="115" t="s">
        <v>123</v>
      </c>
      <c r="D8" s="115" t="s">
        <v>124</v>
      </c>
      <c r="E8" s="475" t="s">
        <v>112</v>
      </c>
      <c r="F8" s="124" t="s">
        <v>125</v>
      </c>
      <c r="G8" s="115"/>
      <c r="H8" s="124" t="s">
        <v>112</v>
      </c>
      <c r="I8" s="124" t="s">
        <v>125</v>
      </c>
      <c r="J8" s="124"/>
      <c r="K8" s="124" t="s">
        <v>161</v>
      </c>
      <c r="L8" s="454" t="s">
        <v>162</v>
      </c>
      <c r="M8" s="155"/>
      <c r="N8" s="455"/>
      <c r="O8" s="17" t="s">
        <v>163</v>
      </c>
      <c r="Q8" s="456" t="s">
        <v>102</v>
      </c>
    </row>
    <row r="9" spans="1:17" x14ac:dyDescent="0.25">
      <c r="A9" s="45"/>
      <c r="B9" s="73"/>
      <c r="C9" s="74"/>
      <c r="D9" s="39"/>
      <c r="E9" s="79"/>
      <c r="F9" s="102"/>
      <c r="G9" s="98"/>
      <c r="H9" s="102"/>
      <c r="I9" s="152"/>
      <c r="J9" s="152"/>
      <c r="K9" s="102"/>
      <c r="L9" s="476"/>
      <c r="M9" s="155"/>
      <c r="O9" s="45"/>
    </row>
    <row r="10" spans="1:17" ht="13" x14ac:dyDescent="0.3">
      <c r="B10" s="94" t="s">
        <v>201</v>
      </c>
      <c r="C10" s="165"/>
      <c r="D10" s="15"/>
      <c r="E10" s="166"/>
      <c r="F10" s="120"/>
      <c r="G10" s="144"/>
      <c r="H10" s="145"/>
      <c r="I10" s="167"/>
      <c r="J10" s="167"/>
      <c r="K10" s="120"/>
      <c r="L10" s="148"/>
      <c r="M10" s="155"/>
      <c r="N10" s="155"/>
    </row>
    <row r="11" spans="1:17" x14ac:dyDescent="0.25">
      <c r="B11" s="97"/>
      <c r="C11" s="45"/>
      <c r="D11" s="39"/>
      <c r="E11" s="79"/>
      <c r="F11" s="92"/>
      <c r="G11" s="98"/>
      <c r="H11" s="102"/>
      <c r="I11" s="100"/>
      <c r="J11" s="152"/>
      <c r="K11" s="92"/>
      <c r="L11" s="99"/>
      <c r="M11" s="155"/>
      <c r="N11" s="155"/>
      <c r="O11" s="129" t="s">
        <v>202</v>
      </c>
    </row>
    <row r="12" spans="1:17" x14ac:dyDescent="0.25">
      <c r="B12" s="73" t="s">
        <v>126</v>
      </c>
      <c r="C12" s="74" t="s">
        <v>127</v>
      </c>
      <c r="D12" s="75">
        <v>329.5178182456545</v>
      </c>
      <c r="E12" s="76">
        <v>548.57000000000005</v>
      </c>
      <c r="F12" s="92">
        <f>ROUND(D12*E12,2)</f>
        <v>180763.59</v>
      </c>
      <c r="H12" s="76">
        <v>595.08000000000004</v>
      </c>
      <c r="I12" s="100">
        <f>ROUND(D12*H12,2)</f>
        <v>196089.46</v>
      </c>
      <c r="J12" s="152"/>
      <c r="K12" s="92">
        <f>I12-F12</f>
        <v>15325.869999999995</v>
      </c>
      <c r="L12" s="99"/>
      <c r="M12" s="155"/>
      <c r="N12" s="155"/>
      <c r="O12" s="77">
        <v>673620.64769989415</v>
      </c>
      <c r="Q12" s="108">
        <f>H12/E12-1</f>
        <v>8.4784074958528466E-2</v>
      </c>
    </row>
    <row r="13" spans="1:17" x14ac:dyDescent="0.25">
      <c r="B13" s="97" t="s">
        <v>134</v>
      </c>
      <c r="C13" s="45" t="s">
        <v>132</v>
      </c>
      <c r="D13" s="75">
        <v>86412.906999999992</v>
      </c>
      <c r="E13" s="76">
        <v>1.21</v>
      </c>
      <c r="F13" s="92">
        <f>ROUND(D13*E13,2)</f>
        <v>104559.62</v>
      </c>
      <c r="H13" s="76">
        <v>1.3</v>
      </c>
      <c r="I13" s="100">
        <f>ROUND(D13*H13,2)</f>
        <v>112336.78</v>
      </c>
      <c r="J13" s="152"/>
      <c r="K13" s="92">
        <f>I13-F13</f>
        <v>7777.1600000000035</v>
      </c>
      <c r="L13" s="99"/>
      <c r="M13" s="155"/>
      <c r="N13" s="155"/>
      <c r="O13" s="130" t="s">
        <v>166</v>
      </c>
      <c r="Q13" s="108">
        <f>H13/E13-1</f>
        <v>7.4380165289256173E-2</v>
      </c>
    </row>
    <row r="14" spans="1:17" x14ac:dyDescent="0.25">
      <c r="B14" s="97" t="s">
        <v>131</v>
      </c>
      <c r="C14" s="45" t="s">
        <v>129</v>
      </c>
      <c r="D14" s="39">
        <f>D21</f>
        <v>16184434.068649083</v>
      </c>
      <c r="E14" s="78">
        <v>7.4700000000000001E-3</v>
      </c>
      <c r="F14" s="92">
        <f>E14*D14</f>
        <v>120897.72249280865</v>
      </c>
      <c r="H14" s="78">
        <v>7.0499999999999998E-3</v>
      </c>
      <c r="I14" s="100">
        <f>ROUND(D14*H14,2)</f>
        <v>114100.26</v>
      </c>
      <c r="J14" s="102"/>
      <c r="K14" s="92">
        <f>I14-F14</f>
        <v>-6797.462492808656</v>
      </c>
      <c r="L14" s="99"/>
      <c r="M14" s="155"/>
      <c r="N14" s="155"/>
      <c r="O14" s="119">
        <f>K21+K42-O12</f>
        <v>-138.8001927024452</v>
      </c>
      <c r="Q14" s="108">
        <f>H14/E14-1</f>
        <v>-5.6224899598393607E-2</v>
      </c>
    </row>
    <row r="15" spans="1:17" x14ac:dyDescent="0.25">
      <c r="B15" s="97" t="s">
        <v>141</v>
      </c>
      <c r="C15" s="45"/>
      <c r="D15" s="39"/>
      <c r="E15" s="107"/>
      <c r="F15" s="146">
        <v>0</v>
      </c>
      <c r="H15" s="79"/>
      <c r="I15" s="92">
        <f>F15</f>
        <v>0</v>
      </c>
      <c r="J15" s="102"/>
      <c r="K15" s="92">
        <f>I15-F15</f>
        <v>0</v>
      </c>
      <c r="L15" s="99"/>
      <c r="M15" s="155"/>
      <c r="N15" s="155"/>
      <c r="O15" s="121"/>
    </row>
    <row r="16" spans="1:17" x14ac:dyDescent="0.25">
      <c r="B16" s="97"/>
      <c r="C16" s="45"/>
      <c r="D16" s="39"/>
      <c r="E16" s="107"/>
      <c r="F16" s="92"/>
      <c r="H16" s="79"/>
      <c r="I16" s="100"/>
      <c r="J16" s="152"/>
      <c r="K16" s="92"/>
      <c r="L16" s="99"/>
      <c r="M16" s="155"/>
      <c r="N16" s="155"/>
      <c r="O16" s="83">
        <v>9.1027999999999998E-2</v>
      </c>
    </row>
    <row r="17" spans="2:17" x14ac:dyDescent="0.25">
      <c r="B17" s="97" t="s">
        <v>135</v>
      </c>
      <c r="C17" s="45"/>
      <c r="D17" s="39"/>
      <c r="E17" s="107"/>
      <c r="F17" s="92"/>
      <c r="H17" s="79"/>
      <c r="I17" s="100"/>
      <c r="J17" s="152"/>
      <c r="K17" s="92"/>
      <c r="L17" s="99"/>
      <c r="M17" s="155"/>
      <c r="N17" s="155"/>
      <c r="O17" s="131"/>
    </row>
    <row r="18" spans="2:17" x14ac:dyDescent="0.25">
      <c r="B18" s="97" t="s">
        <v>142</v>
      </c>
      <c r="C18" s="45" t="s">
        <v>129</v>
      </c>
      <c r="D18" s="75">
        <v>7617621.6729999995</v>
      </c>
      <c r="E18" s="78">
        <v>9.9360000000000004E-2</v>
      </c>
      <c r="F18" s="92">
        <f>ROUND(D18*E18,2)</f>
        <v>756886.89</v>
      </c>
      <c r="H18" s="79">
        <f>ROUND(E18*(1+$O$16),5)</f>
        <v>0.1084</v>
      </c>
      <c r="I18" s="100">
        <f>ROUND(D18*H18,2)</f>
        <v>825750.19</v>
      </c>
      <c r="J18" s="152"/>
      <c r="K18" s="92">
        <f>I18-F18</f>
        <v>68863.29999999993</v>
      </c>
      <c r="L18" s="99"/>
      <c r="M18" s="155"/>
      <c r="N18" s="155"/>
      <c r="P18" s="147"/>
      <c r="Q18" s="108">
        <f>H18/E18-1</f>
        <v>9.0982286634460507E-2</v>
      </c>
    </row>
    <row r="19" spans="2:17" x14ac:dyDescent="0.25">
      <c r="B19" s="97" t="s">
        <v>143</v>
      </c>
      <c r="C19" s="45" t="s">
        <v>129</v>
      </c>
      <c r="D19" s="75">
        <v>4021281.8230000003</v>
      </c>
      <c r="E19" s="78">
        <v>4.9169999999999998E-2</v>
      </c>
      <c r="F19" s="92">
        <f>ROUND(D19*E19,2)</f>
        <v>197726.43</v>
      </c>
      <c r="H19" s="79">
        <f>ROUND(E19*(1+$O$16),5)</f>
        <v>5.3650000000000003E-2</v>
      </c>
      <c r="I19" s="100">
        <f>ROUND(D19*H19,2)</f>
        <v>215741.77</v>
      </c>
      <c r="J19" s="152"/>
      <c r="K19" s="92">
        <f>I19-F19</f>
        <v>18015.339999999997</v>
      </c>
      <c r="L19" s="99"/>
      <c r="M19" s="155"/>
      <c r="N19" s="155"/>
      <c r="O19" s="107"/>
      <c r="P19" s="107"/>
      <c r="Q19" s="108">
        <f>H19/E19-1</f>
        <v>9.111246695139319E-2</v>
      </c>
    </row>
    <row r="20" spans="2:17" x14ac:dyDescent="0.25">
      <c r="B20" s="97" t="s">
        <v>144</v>
      </c>
      <c r="C20" s="45" t="s">
        <v>129</v>
      </c>
      <c r="D20" s="75">
        <v>4545530.572649084</v>
      </c>
      <c r="E20" s="78">
        <v>4.7039999999999998E-2</v>
      </c>
      <c r="F20" s="92">
        <f>ROUND(D20*E20,2)</f>
        <v>213821.76</v>
      </c>
      <c r="H20" s="79">
        <f>ROUND(E20*(1+$O$16),5)</f>
        <v>5.1319999999999998E-2</v>
      </c>
      <c r="I20" s="100">
        <f>ROUND(D20*H20,2)</f>
        <v>233276.63</v>
      </c>
      <c r="J20" s="152"/>
      <c r="K20" s="92">
        <f>I20-F20</f>
        <v>19454.869999999995</v>
      </c>
      <c r="L20" s="104"/>
      <c r="M20" s="155"/>
      <c r="N20" s="155"/>
      <c r="O20" s="107"/>
      <c r="P20" s="107"/>
      <c r="Q20" s="108">
        <f>H20/E20-1</f>
        <v>9.0986394557823091E-2</v>
      </c>
    </row>
    <row r="21" spans="2:17" x14ac:dyDescent="0.25">
      <c r="B21" s="73" t="s">
        <v>170</v>
      </c>
      <c r="C21" s="74"/>
      <c r="D21" s="15">
        <f>SUM(D18:D20)</f>
        <v>16184434.068649083</v>
      </c>
      <c r="E21" s="102"/>
      <c r="F21" s="156">
        <f>SUM(F12:F20)</f>
        <v>1574656.0124928085</v>
      </c>
      <c r="H21" s="102"/>
      <c r="I21" s="156">
        <f>SUM(I12:I20)</f>
        <v>1697295.0899999999</v>
      </c>
      <c r="J21" s="152"/>
      <c r="K21" s="156">
        <f>SUM(K12:K20)</f>
        <v>122639.07750719126</v>
      </c>
      <c r="L21" s="148">
        <f>K21/F21</f>
        <v>7.7883090995247678E-2</v>
      </c>
      <c r="M21" s="155"/>
      <c r="N21" s="155"/>
      <c r="O21" s="109"/>
      <c r="P21" s="307"/>
      <c r="Q21" s="135"/>
    </row>
    <row r="22" spans="2:17" ht="12.75" customHeight="1" x14ac:dyDescent="0.25">
      <c r="B22" s="73"/>
      <c r="C22" s="74"/>
      <c r="D22" s="39"/>
      <c r="E22" s="102"/>
      <c r="F22" s="100"/>
      <c r="H22" s="102"/>
      <c r="I22" s="100"/>
      <c r="J22" s="152"/>
      <c r="K22" s="92"/>
      <c r="L22" s="99"/>
      <c r="M22" s="155"/>
      <c r="N22" s="155"/>
      <c r="O22" s="136"/>
      <c r="P22" s="307"/>
      <c r="Q22" s="135"/>
    </row>
    <row r="23" spans="2:17" ht="12.75" customHeight="1" x14ac:dyDescent="0.25">
      <c r="B23" s="97" t="s">
        <v>167</v>
      </c>
      <c r="C23" s="74"/>
      <c r="D23" s="39"/>
      <c r="E23" s="102"/>
      <c r="F23" s="100"/>
      <c r="H23" s="102"/>
      <c r="I23" s="100"/>
      <c r="J23" s="152"/>
      <c r="K23" s="92"/>
      <c r="L23" s="99"/>
      <c r="M23" s="155"/>
      <c r="N23" s="155"/>
      <c r="O23" s="136"/>
      <c r="P23" s="307"/>
      <c r="Q23" s="135"/>
    </row>
    <row r="24" spans="2:17" x14ac:dyDescent="0.25">
      <c r="B24" s="97" t="s">
        <v>189</v>
      </c>
      <c r="C24" s="45" t="s">
        <v>129</v>
      </c>
      <c r="D24" s="149">
        <f>D21</f>
        <v>16184434.068649083</v>
      </c>
      <c r="E24" s="78">
        <v>0.2702</v>
      </c>
      <c r="F24" s="100">
        <f>D24*E24</f>
        <v>4373034.0853489824</v>
      </c>
      <c r="G24" s="150"/>
      <c r="H24" s="82">
        <f>E24</f>
        <v>0.2702</v>
      </c>
      <c r="I24" s="100">
        <f>$D24*H24</f>
        <v>4373034.0853489824</v>
      </c>
      <c r="J24" s="152"/>
      <c r="K24" s="92">
        <f>I24-F24</f>
        <v>0</v>
      </c>
      <c r="L24" s="99"/>
      <c r="M24" s="155"/>
      <c r="N24" s="134"/>
    </row>
    <row r="25" spans="2:17" x14ac:dyDescent="0.25">
      <c r="B25" s="97" t="s">
        <v>134</v>
      </c>
      <c r="C25" s="45" t="s">
        <v>132</v>
      </c>
      <c r="D25" s="149">
        <f>D13</f>
        <v>86412.906999999992</v>
      </c>
      <c r="E25" s="76">
        <v>1.05</v>
      </c>
      <c r="F25" s="100">
        <f>D25*E25</f>
        <v>90733.552349999998</v>
      </c>
      <c r="G25" s="150"/>
      <c r="H25" s="114">
        <f>E25</f>
        <v>1.05</v>
      </c>
      <c r="I25" s="100">
        <f>$D25*H25</f>
        <v>90733.552349999998</v>
      </c>
      <c r="J25" s="152"/>
      <c r="K25" s="92">
        <f>I25-F25</f>
        <v>0</v>
      </c>
      <c r="L25" s="104"/>
      <c r="M25" s="155"/>
      <c r="N25" s="155"/>
    </row>
    <row r="26" spans="2:17" x14ac:dyDescent="0.25">
      <c r="B26" s="73" t="s">
        <v>190</v>
      </c>
      <c r="C26" s="74"/>
      <c r="D26" s="45"/>
      <c r="E26" s="102"/>
      <c r="F26" s="156">
        <f>SUM(F24:F25)</f>
        <v>4463767.6376989819</v>
      </c>
      <c r="G26" s="45"/>
      <c r="H26" s="102"/>
      <c r="I26" s="156">
        <f>SUM(I24:I25)</f>
        <v>4463767.6376989819</v>
      </c>
      <c r="J26" s="102"/>
      <c r="K26" s="156">
        <f>SUM(K24:K25)</f>
        <v>0</v>
      </c>
      <c r="L26" s="148">
        <f>ROUND(K26/F26,5)</f>
        <v>0</v>
      </c>
      <c r="M26" s="155"/>
      <c r="N26" s="155"/>
      <c r="O26" s="136"/>
      <c r="P26" s="307"/>
      <c r="Q26" s="135"/>
    </row>
    <row r="27" spans="2:17" x14ac:dyDescent="0.25">
      <c r="B27" s="97"/>
      <c r="C27" s="45"/>
      <c r="D27" s="39"/>
      <c r="E27" s="102"/>
      <c r="F27" s="100"/>
      <c r="H27" s="102"/>
      <c r="I27" s="100"/>
      <c r="J27" s="152"/>
      <c r="K27" s="92"/>
      <c r="L27" s="104"/>
      <c r="M27" s="155"/>
      <c r="N27" s="155"/>
    </row>
    <row r="28" spans="2:17" x14ac:dyDescent="0.25">
      <c r="B28" s="97" t="s">
        <v>168</v>
      </c>
      <c r="C28" s="45"/>
      <c r="D28" s="39"/>
      <c r="E28" s="79"/>
      <c r="F28" s="156">
        <f>F21+F26</f>
        <v>6038423.6501917904</v>
      </c>
      <c r="H28" s="102"/>
      <c r="I28" s="156">
        <f>I21+I26</f>
        <v>6161062.7276989818</v>
      </c>
      <c r="J28" s="152"/>
      <c r="K28" s="156">
        <f>K21+K26</f>
        <v>122639.07750719126</v>
      </c>
      <c r="L28" s="148">
        <f>K28/F28</f>
        <v>2.0309783581232504E-2</v>
      </c>
      <c r="M28" s="155"/>
      <c r="N28" s="155"/>
    </row>
    <row r="29" spans="2:17" x14ac:dyDescent="0.25">
      <c r="B29" s="86"/>
      <c r="C29" s="87"/>
      <c r="D29" s="89"/>
      <c r="E29" s="157"/>
      <c r="F29" s="88"/>
      <c r="G29" s="89"/>
      <c r="H29" s="151"/>
      <c r="I29" s="88"/>
      <c r="J29" s="159"/>
      <c r="K29" s="88"/>
      <c r="L29" s="90"/>
      <c r="M29" s="155"/>
      <c r="N29" s="155"/>
    </row>
    <row r="30" spans="2:17" x14ac:dyDescent="0.25">
      <c r="B30" s="45"/>
      <c r="C30" s="45"/>
      <c r="D30" s="39"/>
      <c r="E30" s="79"/>
      <c r="F30" s="92"/>
      <c r="H30" s="102"/>
      <c r="I30" s="100"/>
      <c r="J30" s="152"/>
      <c r="K30" s="92"/>
      <c r="L30" s="93"/>
      <c r="M30" s="155"/>
      <c r="N30" s="155"/>
    </row>
    <row r="31" spans="2:17" ht="13" x14ac:dyDescent="0.3">
      <c r="B31" s="94" t="s">
        <v>203</v>
      </c>
      <c r="C31" s="165"/>
      <c r="D31" s="15"/>
      <c r="E31" s="166"/>
      <c r="F31" s="120"/>
      <c r="G31" s="144"/>
      <c r="H31" s="145"/>
      <c r="I31" s="167"/>
      <c r="J31" s="167"/>
      <c r="K31" s="120"/>
      <c r="L31" s="148"/>
      <c r="M31" s="155"/>
      <c r="N31" s="155"/>
      <c r="O31" s="153"/>
      <c r="P31" s="74"/>
      <c r="Q31" s="39"/>
    </row>
    <row r="32" spans="2:17" x14ac:dyDescent="0.25">
      <c r="B32" s="97"/>
      <c r="C32" s="45"/>
      <c r="D32" s="39"/>
      <c r="E32" s="79"/>
      <c r="F32" s="92"/>
      <c r="G32" s="98"/>
      <c r="H32" s="102"/>
      <c r="I32" s="100"/>
      <c r="J32" s="152"/>
      <c r="K32" s="92"/>
      <c r="L32" s="99"/>
      <c r="M32" s="155"/>
      <c r="N32" s="155"/>
      <c r="O32" s="45"/>
      <c r="P32" s="45"/>
      <c r="Q32" s="39"/>
    </row>
    <row r="33" spans="2:17" x14ac:dyDescent="0.25">
      <c r="B33" s="73" t="s">
        <v>126</v>
      </c>
      <c r="C33" s="74" t="s">
        <v>127</v>
      </c>
      <c r="D33" s="75">
        <v>1199.4001036779719</v>
      </c>
      <c r="E33" s="76">
        <v>877.69</v>
      </c>
      <c r="F33" s="92">
        <f>ROUND(D33*E33,2)</f>
        <v>1052701.48</v>
      </c>
      <c r="H33" s="76">
        <v>903.09</v>
      </c>
      <c r="I33" s="100">
        <f>ROUND(D33*H33,2)</f>
        <v>1083166.24</v>
      </c>
      <c r="J33" s="152"/>
      <c r="K33" s="92">
        <f>I33-F33</f>
        <v>30464.760000000009</v>
      </c>
      <c r="L33" s="99"/>
      <c r="M33" s="155"/>
      <c r="N33" s="155"/>
      <c r="O33" s="74"/>
      <c r="P33" s="74"/>
      <c r="Q33" s="108">
        <f>H33/E33-1</f>
        <v>2.8939602821041577E-2</v>
      </c>
    </row>
    <row r="34" spans="2:17" x14ac:dyDescent="0.25">
      <c r="B34" s="97" t="s">
        <v>134</v>
      </c>
      <c r="C34" s="45" t="s">
        <v>132</v>
      </c>
      <c r="D34" s="75">
        <v>697056</v>
      </c>
      <c r="E34" s="76">
        <v>1.21</v>
      </c>
      <c r="F34" s="92">
        <f>ROUND(D34*E34,2)</f>
        <v>843437.76</v>
      </c>
      <c r="H34" s="102">
        <f>$H$13</f>
        <v>1.3</v>
      </c>
      <c r="I34" s="100">
        <f>ROUND(D34*H34,2)</f>
        <v>906172.8</v>
      </c>
      <c r="J34" s="152"/>
      <c r="K34" s="92">
        <f>I34-F34</f>
        <v>62735.040000000037</v>
      </c>
      <c r="L34" s="99"/>
      <c r="M34" s="155"/>
      <c r="N34" s="155"/>
      <c r="O34" s="45"/>
      <c r="P34" s="45"/>
      <c r="Q34" s="108">
        <f>H34/E34-1</f>
        <v>7.4380165289256173E-2</v>
      </c>
    </row>
    <row r="35" spans="2:17" x14ac:dyDescent="0.25">
      <c r="B35" s="97" t="s">
        <v>141</v>
      </c>
      <c r="C35" s="45"/>
      <c r="D35" s="75"/>
      <c r="E35" s="76"/>
      <c r="F35" s="146">
        <v>12284.61</v>
      </c>
      <c r="H35" s="102"/>
      <c r="I35" s="100">
        <f>F35</f>
        <v>12284.61</v>
      </c>
      <c r="J35" s="152"/>
      <c r="K35" s="92">
        <f>I35-F35</f>
        <v>0</v>
      </c>
      <c r="L35" s="99"/>
      <c r="M35" s="155"/>
      <c r="N35" s="155"/>
      <c r="O35" s="45"/>
      <c r="P35" s="45"/>
      <c r="Q35" s="14"/>
    </row>
    <row r="36" spans="2:17" x14ac:dyDescent="0.25">
      <c r="B36" s="97"/>
      <c r="C36" s="45"/>
      <c r="D36" s="75"/>
      <c r="E36" s="78"/>
      <c r="F36" s="45"/>
      <c r="H36" s="79"/>
      <c r="I36" s="45"/>
      <c r="J36" s="102"/>
      <c r="K36" s="92"/>
      <c r="L36" s="99"/>
      <c r="M36" s="155"/>
      <c r="N36" s="155"/>
      <c r="O36" s="45"/>
      <c r="P36" s="45"/>
      <c r="Q36" s="39"/>
    </row>
    <row r="37" spans="2:17" x14ac:dyDescent="0.25">
      <c r="B37" s="97"/>
      <c r="C37" s="45"/>
      <c r="D37" s="75"/>
      <c r="E37" s="78"/>
      <c r="F37" s="92"/>
      <c r="H37" s="79"/>
      <c r="I37" s="100"/>
      <c r="J37" s="152"/>
      <c r="K37" s="92"/>
      <c r="L37" s="99"/>
      <c r="M37" s="155"/>
      <c r="N37" s="155"/>
      <c r="O37" s="45"/>
      <c r="P37" s="45"/>
      <c r="Q37" s="39"/>
    </row>
    <row r="38" spans="2:17" x14ac:dyDescent="0.25">
      <c r="B38" s="97" t="s">
        <v>135</v>
      </c>
      <c r="C38" s="45"/>
      <c r="D38" s="75"/>
      <c r="E38" s="78"/>
      <c r="F38" s="92"/>
      <c r="H38" s="79"/>
      <c r="I38" s="100"/>
      <c r="J38" s="152"/>
      <c r="K38" s="92"/>
      <c r="L38" s="99"/>
      <c r="M38" s="155"/>
      <c r="N38" s="155"/>
      <c r="O38" s="45"/>
      <c r="P38" s="45"/>
      <c r="Q38" s="39"/>
    </row>
    <row r="39" spans="2:17" x14ac:dyDescent="0.25">
      <c r="B39" s="97" t="s">
        <v>142</v>
      </c>
      <c r="C39" s="45" t="s">
        <v>129</v>
      </c>
      <c r="D39" s="75">
        <v>28123063.680000003</v>
      </c>
      <c r="E39" s="78">
        <v>9.9360000000000004E-2</v>
      </c>
      <c r="F39" s="92">
        <f>ROUND(D39*E39,2)</f>
        <v>2794307.61</v>
      </c>
      <c r="H39" s="79">
        <f>H18</f>
        <v>0.1084</v>
      </c>
      <c r="I39" s="100">
        <f>ROUND(D39*H39,2)</f>
        <v>3048540.1</v>
      </c>
      <c r="J39" s="152"/>
      <c r="K39" s="92">
        <f>I39-F39</f>
        <v>254232.49000000022</v>
      </c>
      <c r="L39" s="99"/>
      <c r="M39" s="155"/>
      <c r="N39" s="155"/>
      <c r="O39" s="45"/>
      <c r="P39" s="45"/>
      <c r="Q39" s="108">
        <f>H39/E39-1</f>
        <v>9.0982286634460507E-2</v>
      </c>
    </row>
    <row r="40" spans="2:17" x14ac:dyDescent="0.25">
      <c r="B40" s="97" t="s">
        <v>143</v>
      </c>
      <c r="C40" s="45" t="s">
        <v>129</v>
      </c>
      <c r="D40" s="75">
        <v>18732272.719999999</v>
      </c>
      <c r="E40" s="78">
        <v>4.9169999999999998E-2</v>
      </c>
      <c r="F40" s="92">
        <f>ROUND(D40*E40,2)</f>
        <v>921065.85</v>
      </c>
      <c r="H40" s="79">
        <f>H19</f>
        <v>5.3650000000000003E-2</v>
      </c>
      <c r="I40" s="100">
        <f>ROUND(D40*H40,2)</f>
        <v>1004986.43</v>
      </c>
      <c r="J40" s="152"/>
      <c r="K40" s="92">
        <f>I40-F40</f>
        <v>83920.580000000075</v>
      </c>
      <c r="L40" s="99"/>
      <c r="M40" s="155"/>
      <c r="N40" s="155"/>
      <c r="O40" s="45"/>
      <c r="P40" s="45"/>
      <c r="Q40" s="108">
        <f>H40/E40-1</f>
        <v>9.111246695139319E-2</v>
      </c>
    </row>
    <row r="41" spans="2:17" x14ac:dyDescent="0.25">
      <c r="B41" s="97" t="s">
        <v>145</v>
      </c>
      <c r="C41" s="45" t="s">
        <v>129</v>
      </c>
      <c r="D41" s="75">
        <v>27918200.734971084</v>
      </c>
      <c r="E41" s="78">
        <v>4.7039999999999998E-2</v>
      </c>
      <c r="F41" s="88">
        <f>ROUND(D41*E41,2)</f>
        <v>1313272.1599999999</v>
      </c>
      <c r="H41" s="79">
        <f>H20</f>
        <v>5.1319999999999998E-2</v>
      </c>
      <c r="I41" s="100">
        <f>ROUND(D41*H41,2)</f>
        <v>1432762.06</v>
      </c>
      <c r="J41" s="152"/>
      <c r="K41" s="92">
        <f>I41-F41</f>
        <v>119489.90000000014</v>
      </c>
      <c r="L41" s="104"/>
      <c r="M41" s="155"/>
      <c r="N41" s="155"/>
      <c r="O41" s="45"/>
      <c r="P41" s="45"/>
      <c r="Q41" s="108">
        <f>H41/E41-1</f>
        <v>9.0986394557823091E-2</v>
      </c>
    </row>
    <row r="42" spans="2:17" x14ac:dyDescent="0.25">
      <c r="B42" s="73" t="s">
        <v>170</v>
      </c>
      <c r="C42" s="74"/>
      <c r="D42" s="15">
        <f>SUM(D39:D41)</f>
        <v>74773537.134971082</v>
      </c>
      <c r="E42" s="76"/>
      <c r="F42" s="156">
        <f>SUM(F33:F41)</f>
        <v>6937069.4699999997</v>
      </c>
      <c r="H42" s="102"/>
      <c r="I42" s="156">
        <f>SUM(I33:I41)</f>
        <v>7487912.2400000002</v>
      </c>
      <c r="J42" s="152"/>
      <c r="K42" s="156">
        <f>SUM(K33:K41)</f>
        <v>550842.77000000048</v>
      </c>
      <c r="L42" s="148">
        <f>K42/F42</f>
        <v>7.9405687427835506E-2</v>
      </c>
      <c r="M42" s="155"/>
      <c r="N42" s="155"/>
      <c r="O42" s="45"/>
      <c r="P42" s="45"/>
      <c r="Q42" s="39"/>
    </row>
    <row r="43" spans="2:17" x14ac:dyDescent="0.25">
      <c r="B43" s="73"/>
      <c r="C43" s="74"/>
      <c r="D43" s="39"/>
      <c r="E43" s="76"/>
      <c r="F43" s="100"/>
      <c r="H43" s="102"/>
      <c r="I43" s="100"/>
      <c r="J43" s="152"/>
      <c r="K43" s="92"/>
      <c r="L43" s="99"/>
      <c r="M43" s="155"/>
      <c r="N43" s="155"/>
      <c r="O43" s="74"/>
      <c r="P43" s="45"/>
      <c r="Q43" s="39"/>
    </row>
    <row r="44" spans="2:17" x14ac:dyDescent="0.25">
      <c r="B44" s="97" t="s">
        <v>185</v>
      </c>
      <c r="C44" s="45" t="s">
        <v>129</v>
      </c>
      <c r="D44" s="149">
        <f>D42</f>
        <v>74773537.134971082</v>
      </c>
      <c r="E44" s="78">
        <v>6.9999999999999999E-4</v>
      </c>
      <c r="F44" s="100">
        <f>E44*D44</f>
        <v>52341.475994479755</v>
      </c>
      <c r="G44" s="150"/>
      <c r="H44" s="127">
        <v>1E-3</v>
      </c>
      <c r="I44" s="92">
        <f>H44*D44</f>
        <v>74773.537134971077</v>
      </c>
      <c r="J44" s="152"/>
      <c r="K44" s="92">
        <f>I44-F44</f>
        <v>22432.061140491322</v>
      </c>
      <c r="L44" s="99"/>
      <c r="M44" s="155"/>
      <c r="N44" s="155"/>
      <c r="O44" s="74"/>
      <c r="P44" s="74"/>
      <c r="Q44" s="39"/>
    </row>
    <row r="45" spans="2:17" x14ac:dyDescent="0.25">
      <c r="B45" s="73" t="s">
        <v>168</v>
      </c>
      <c r="C45" s="45"/>
      <c r="D45" s="39"/>
      <c r="E45" s="128"/>
      <c r="F45" s="156">
        <f>F44+F42</f>
        <v>6989410.9459944796</v>
      </c>
      <c r="G45" s="45"/>
      <c r="H45" s="102"/>
      <c r="I45" s="156">
        <f>I44+I42</f>
        <v>7562685.7771349717</v>
      </c>
      <c r="J45" s="102"/>
      <c r="K45" s="156">
        <f>K44+K42</f>
        <v>573274.83114049176</v>
      </c>
      <c r="L45" s="148">
        <f>ROUND(K45/F45,5)</f>
        <v>8.2019999999999996E-2</v>
      </c>
      <c r="M45" s="155"/>
      <c r="N45" s="155"/>
      <c r="O45" s="154"/>
      <c r="P45" s="45"/>
      <c r="Q45" s="150"/>
    </row>
    <row r="46" spans="2:17" x14ac:dyDescent="0.25">
      <c r="B46" s="86"/>
      <c r="C46" s="87"/>
      <c r="D46" s="89"/>
      <c r="E46" s="157"/>
      <c r="F46" s="88"/>
      <c r="G46" s="89"/>
      <c r="H46" s="151"/>
      <c r="I46" s="158"/>
      <c r="J46" s="159"/>
      <c r="K46" s="88"/>
      <c r="L46" s="90"/>
      <c r="M46" s="155"/>
      <c r="N46" s="155"/>
      <c r="O46" s="45"/>
      <c r="P46" s="45"/>
      <c r="Q46" s="39"/>
    </row>
    <row r="47" spans="2:17" x14ac:dyDescent="0.25">
      <c r="B47" s="45"/>
      <c r="C47" s="45"/>
      <c r="D47" s="39"/>
      <c r="E47" s="79"/>
      <c r="F47" s="92"/>
      <c r="H47" s="102"/>
      <c r="I47" s="100"/>
      <c r="J47" s="152"/>
      <c r="K47" s="92"/>
      <c r="L47" s="93"/>
      <c r="M47" s="155"/>
      <c r="N47" s="155"/>
      <c r="O47" s="45"/>
      <c r="P47" s="45"/>
      <c r="Q47" s="39"/>
    </row>
    <row r="48" spans="2:17" ht="13" x14ac:dyDescent="0.3">
      <c r="B48" s="94" t="s">
        <v>204</v>
      </c>
      <c r="C48" s="165"/>
      <c r="D48" s="15"/>
      <c r="E48" s="166"/>
      <c r="F48" s="120"/>
      <c r="G48" s="144"/>
      <c r="H48" s="145"/>
      <c r="I48" s="167"/>
      <c r="J48" s="167"/>
      <c r="K48" s="120"/>
      <c r="L48" s="148"/>
      <c r="M48" s="155"/>
      <c r="N48" s="155"/>
      <c r="O48" s="45"/>
      <c r="P48" s="45"/>
      <c r="Q48" s="39"/>
    </row>
    <row r="49" spans="2:17" x14ac:dyDescent="0.25">
      <c r="B49" s="97"/>
      <c r="C49" s="45"/>
      <c r="D49" s="39"/>
      <c r="E49" s="79"/>
      <c r="F49" s="92"/>
      <c r="G49" s="98"/>
      <c r="H49" s="102"/>
      <c r="I49" s="100"/>
      <c r="J49" s="152"/>
      <c r="K49" s="92"/>
      <c r="L49" s="99"/>
      <c r="M49" s="155"/>
      <c r="N49" s="155"/>
      <c r="O49" s="45"/>
      <c r="P49" s="45"/>
      <c r="Q49" s="39"/>
    </row>
    <row r="50" spans="2:17" x14ac:dyDescent="0.25">
      <c r="B50" s="73" t="s">
        <v>126</v>
      </c>
      <c r="C50" s="74" t="s">
        <v>127</v>
      </c>
      <c r="D50" s="39">
        <f>D33+D12</f>
        <v>1528.9179219236264</v>
      </c>
      <c r="E50" s="128"/>
      <c r="F50" s="92">
        <f>F12+F33</f>
        <v>1233465.07</v>
      </c>
      <c r="H50" s="102"/>
      <c r="I50" s="92">
        <f>I12+I33</f>
        <v>1279255.7</v>
      </c>
      <c r="J50" s="152"/>
      <c r="K50" s="92">
        <f>I50-F50</f>
        <v>45790.629999999888</v>
      </c>
      <c r="L50" s="99"/>
      <c r="M50" s="155"/>
      <c r="N50" s="155"/>
      <c r="O50" s="45"/>
      <c r="P50" s="45"/>
      <c r="Q50" s="108"/>
    </row>
    <row r="51" spans="2:17" x14ac:dyDescent="0.25">
      <c r="B51" s="97" t="s">
        <v>134</v>
      </c>
      <c r="C51" s="45" t="s">
        <v>132</v>
      </c>
      <c r="D51" s="39">
        <f>D34+D13</f>
        <v>783468.90700000001</v>
      </c>
      <c r="E51" s="128"/>
      <c r="F51" s="92">
        <f>F13+F34</f>
        <v>947997.38</v>
      </c>
      <c r="H51" s="102"/>
      <c r="I51" s="92">
        <f>I13+I34</f>
        <v>1018509.5800000001</v>
      </c>
      <c r="J51" s="152"/>
      <c r="K51" s="92">
        <f>I51-F51</f>
        <v>70512.20000000007</v>
      </c>
      <c r="L51" s="99"/>
      <c r="M51" s="155"/>
      <c r="N51" s="155"/>
      <c r="O51" s="45"/>
      <c r="P51" s="45"/>
      <c r="Q51" s="108"/>
    </row>
    <row r="52" spans="2:17" x14ac:dyDescent="0.25">
      <c r="B52" s="97" t="s">
        <v>131</v>
      </c>
      <c r="C52" s="45" t="s">
        <v>129</v>
      </c>
      <c r="D52" s="39">
        <f>D35+D14</f>
        <v>16184434.068649083</v>
      </c>
      <c r="E52" s="128"/>
      <c r="F52" s="92">
        <f>F14</f>
        <v>120897.72249280865</v>
      </c>
      <c r="H52" s="102"/>
      <c r="I52" s="92">
        <f>I14</f>
        <v>114100.26</v>
      </c>
      <c r="J52" s="152"/>
      <c r="K52" s="92">
        <f>I52-F52</f>
        <v>-6797.462492808656</v>
      </c>
      <c r="L52" s="99"/>
      <c r="M52" s="155"/>
      <c r="N52" s="155"/>
      <c r="O52" s="45"/>
      <c r="P52" s="45"/>
      <c r="Q52" s="108"/>
    </row>
    <row r="53" spans="2:17" x14ac:dyDescent="0.25">
      <c r="B53" s="97" t="s">
        <v>141</v>
      </c>
      <c r="C53" s="45"/>
      <c r="D53" s="14"/>
      <c r="E53" s="128"/>
      <c r="F53" s="100">
        <f>F15+F35</f>
        <v>12284.61</v>
      </c>
      <c r="H53" s="102"/>
      <c r="I53" s="100">
        <f>I15+I35</f>
        <v>12284.61</v>
      </c>
      <c r="J53" s="152"/>
      <c r="K53" s="92">
        <f>I53-F53</f>
        <v>0</v>
      </c>
      <c r="L53" s="99"/>
      <c r="M53" s="155"/>
      <c r="N53" s="155"/>
      <c r="O53" s="45"/>
      <c r="P53" s="45"/>
      <c r="Q53" s="39"/>
    </row>
    <row r="54" spans="2:17" x14ac:dyDescent="0.25">
      <c r="B54" s="97"/>
      <c r="C54" s="45"/>
      <c r="D54" s="39"/>
      <c r="E54" s="107"/>
      <c r="F54" s="45"/>
      <c r="H54" s="79"/>
      <c r="I54" s="45"/>
      <c r="J54" s="102"/>
      <c r="K54" s="92"/>
      <c r="L54" s="99"/>
      <c r="M54" s="155"/>
      <c r="N54" s="155"/>
      <c r="O54" s="45"/>
      <c r="P54" s="45"/>
      <c r="Q54" s="39"/>
    </row>
    <row r="55" spans="2:17" x14ac:dyDescent="0.25">
      <c r="B55" s="97" t="s">
        <v>135</v>
      </c>
      <c r="C55" s="45"/>
      <c r="D55" s="39"/>
      <c r="E55" s="107"/>
      <c r="F55" s="92"/>
      <c r="H55" s="79"/>
      <c r="I55" s="92"/>
      <c r="J55" s="152"/>
      <c r="K55" s="92"/>
      <c r="L55" s="99"/>
      <c r="M55" s="155"/>
      <c r="N55" s="155"/>
      <c r="O55" s="45"/>
      <c r="P55" s="45"/>
      <c r="Q55" s="39"/>
    </row>
    <row r="56" spans="2:17" x14ac:dyDescent="0.25">
      <c r="B56" s="97" t="s">
        <v>142</v>
      </c>
      <c r="C56" s="45" t="s">
        <v>129</v>
      </c>
      <c r="D56" s="39">
        <f>D39+D18</f>
        <v>35740685.353</v>
      </c>
      <c r="E56" s="107"/>
      <c r="F56" s="92">
        <f>F18+F39</f>
        <v>3551194.5</v>
      </c>
      <c r="H56" s="107"/>
      <c r="I56" s="92">
        <f>I18+I39</f>
        <v>3874290.29</v>
      </c>
      <c r="J56" s="152"/>
      <c r="K56" s="92">
        <f>I56-F56</f>
        <v>323095.79000000004</v>
      </c>
      <c r="L56" s="99"/>
      <c r="M56" s="155"/>
      <c r="N56" s="155"/>
      <c r="O56" s="45"/>
      <c r="P56" s="45"/>
      <c r="Q56" s="39"/>
    </row>
    <row r="57" spans="2:17" x14ac:dyDescent="0.25">
      <c r="B57" s="97" t="s">
        <v>143</v>
      </c>
      <c r="C57" s="45" t="s">
        <v>129</v>
      </c>
      <c r="D57" s="39">
        <f>D40+D19</f>
        <v>22753554.542999998</v>
      </c>
      <c r="E57" s="107"/>
      <c r="F57" s="92">
        <f>F19+F40</f>
        <v>1118792.28</v>
      </c>
      <c r="H57" s="107"/>
      <c r="I57" s="92">
        <f>I19+I40</f>
        <v>1220728.2</v>
      </c>
      <c r="J57" s="152"/>
      <c r="K57" s="92">
        <f>I57-F57</f>
        <v>101935.91999999993</v>
      </c>
      <c r="L57" s="99"/>
      <c r="M57" s="155"/>
      <c r="N57" s="155"/>
      <c r="O57" s="45"/>
      <c r="P57" s="45"/>
      <c r="Q57" s="39"/>
    </row>
    <row r="58" spans="2:17" x14ac:dyDescent="0.25">
      <c r="B58" s="97" t="s">
        <v>144</v>
      </c>
      <c r="C58" s="45" t="s">
        <v>129</v>
      </c>
      <c r="D58" s="39">
        <f>D41+D20</f>
        <v>32463731.307620168</v>
      </c>
      <c r="E58" s="107"/>
      <c r="F58" s="88">
        <f>F20+F41</f>
        <v>1527093.92</v>
      </c>
      <c r="H58" s="79"/>
      <c r="I58" s="88">
        <f>I20+I41</f>
        <v>1666038.69</v>
      </c>
      <c r="J58" s="152"/>
      <c r="K58" s="92">
        <f>I58-F58</f>
        <v>138944.77000000002</v>
      </c>
      <c r="L58" s="104"/>
      <c r="M58" s="155"/>
      <c r="N58" s="155"/>
      <c r="O58" s="45"/>
      <c r="P58" s="45"/>
      <c r="Q58" s="39"/>
    </row>
    <row r="59" spans="2:17" x14ac:dyDescent="0.25">
      <c r="B59" s="73" t="s">
        <v>170</v>
      </c>
      <c r="C59" s="74"/>
      <c r="D59" s="15">
        <f>SUM(D56:D58)</f>
        <v>90957971.203620166</v>
      </c>
      <c r="E59" s="102"/>
      <c r="F59" s="156">
        <f>SUM(F50:F58)</f>
        <v>8511725.4824928083</v>
      </c>
      <c r="H59" s="102"/>
      <c r="I59" s="156">
        <f>SUM(I50:I58)</f>
        <v>9185207.3300000001</v>
      </c>
      <c r="J59" s="152"/>
      <c r="K59" s="156">
        <f>SUM(K50:K58)</f>
        <v>673481.84750719136</v>
      </c>
      <c r="L59" s="148">
        <f>K59/F59</f>
        <v>7.9124009449368468E-2</v>
      </c>
      <c r="M59" s="155"/>
      <c r="N59" s="155"/>
      <c r="O59" s="45"/>
      <c r="P59" s="45"/>
      <c r="Q59" s="39"/>
    </row>
    <row r="60" spans="2:17" x14ac:dyDescent="0.25">
      <c r="B60" s="73"/>
      <c r="C60" s="74"/>
      <c r="D60" s="39"/>
      <c r="E60" s="102"/>
      <c r="F60" s="100"/>
      <c r="H60" s="102"/>
      <c r="I60" s="100"/>
      <c r="J60" s="152"/>
      <c r="K60" s="92"/>
      <c r="L60" s="99"/>
      <c r="M60" s="155"/>
      <c r="N60" s="155"/>
      <c r="O60" s="45"/>
      <c r="P60" s="45"/>
      <c r="Q60" s="39"/>
    </row>
    <row r="61" spans="2:17" x14ac:dyDescent="0.25">
      <c r="B61" s="97" t="s">
        <v>167</v>
      </c>
      <c r="C61" s="74"/>
      <c r="D61" s="39"/>
      <c r="E61" s="102"/>
      <c r="F61" s="100"/>
      <c r="H61" s="102"/>
      <c r="I61" s="100"/>
      <c r="J61" s="152"/>
      <c r="K61" s="92"/>
      <c r="L61" s="99"/>
      <c r="M61" s="155"/>
      <c r="N61" s="155"/>
      <c r="O61" s="45"/>
      <c r="P61" s="45"/>
      <c r="Q61" s="39"/>
    </row>
    <row r="62" spans="2:17" x14ac:dyDescent="0.25">
      <c r="B62" s="97" t="s">
        <v>189</v>
      </c>
      <c r="C62" s="74"/>
      <c r="D62" s="39">
        <f>D24</f>
        <v>16184434.068649083</v>
      </c>
      <c r="E62" s="102"/>
      <c r="F62" s="100">
        <f>F24</f>
        <v>4373034.0853489824</v>
      </c>
      <c r="H62" s="102"/>
      <c r="I62" s="100">
        <f>I24</f>
        <v>4373034.0853489824</v>
      </c>
      <c r="J62" s="152"/>
      <c r="K62" s="92">
        <f>I62-F62</f>
        <v>0</v>
      </c>
      <c r="L62" s="99"/>
      <c r="M62" s="155"/>
      <c r="N62" s="155"/>
      <c r="O62" s="45"/>
      <c r="P62" s="45"/>
      <c r="Q62" s="39"/>
    </row>
    <row r="63" spans="2:17" x14ac:dyDescent="0.25">
      <c r="B63" s="97" t="s">
        <v>134</v>
      </c>
      <c r="C63" s="74"/>
      <c r="D63" s="39">
        <f>D25</f>
        <v>86412.906999999992</v>
      </c>
      <c r="E63" s="102"/>
      <c r="F63" s="100">
        <f>F25</f>
        <v>90733.552349999998</v>
      </c>
      <c r="H63" s="102"/>
      <c r="I63" s="100">
        <f>I25</f>
        <v>90733.552349999998</v>
      </c>
      <c r="J63" s="152"/>
      <c r="K63" s="92">
        <f>I63-F63</f>
        <v>0</v>
      </c>
      <c r="L63" s="99"/>
      <c r="M63" s="155"/>
      <c r="N63" s="155"/>
      <c r="O63" s="45"/>
      <c r="P63" s="45"/>
      <c r="Q63" s="39"/>
    </row>
    <row r="64" spans="2:17" x14ac:dyDescent="0.25">
      <c r="B64" s="97" t="s">
        <v>185</v>
      </c>
      <c r="C64" s="45" t="s">
        <v>129</v>
      </c>
      <c r="D64" s="39">
        <f>D44</f>
        <v>74773537.134971082</v>
      </c>
      <c r="E64" s="102"/>
      <c r="F64" s="100">
        <f>F44</f>
        <v>52341.475994479755</v>
      </c>
      <c r="H64" s="102"/>
      <c r="I64" s="100">
        <f>I44</f>
        <v>74773.537134971077</v>
      </c>
      <c r="J64" s="152"/>
      <c r="K64" s="92">
        <f>I64-F64</f>
        <v>22432.061140491322</v>
      </c>
      <c r="L64" s="99"/>
      <c r="M64" s="155"/>
      <c r="N64" s="155"/>
      <c r="O64" s="45"/>
      <c r="P64" s="45"/>
      <c r="Q64" s="39"/>
    </row>
    <row r="65" spans="1:17" x14ac:dyDescent="0.25">
      <c r="B65" s="73" t="s">
        <v>190</v>
      </c>
      <c r="C65" s="74"/>
      <c r="D65" s="39"/>
      <c r="E65" s="102"/>
      <c r="F65" s="156">
        <f>SUM(F62:F64)</f>
        <v>4516109.1136934618</v>
      </c>
      <c r="H65" s="102"/>
      <c r="I65" s="156">
        <f>SUM(I62:I64)</f>
        <v>4538541.1748339534</v>
      </c>
      <c r="J65" s="152"/>
      <c r="K65" s="156">
        <f>SUM(K62:K64)</f>
        <v>22432.061140491322</v>
      </c>
      <c r="L65" s="148">
        <f>K65/F65</f>
        <v>4.9671211602204737E-3</v>
      </c>
      <c r="M65" s="155"/>
      <c r="N65" s="155"/>
      <c r="O65" s="45"/>
      <c r="P65" s="45"/>
      <c r="Q65" s="39"/>
    </row>
    <row r="66" spans="1:17" x14ac:dyDescent="0.25">
      <c r="B66" s="73"/>
      <c r="C66" s="74"/>
      <c r="D66" s="39"/>
      <c r="E66" s="102"/>
      <c r="F66" s="100"/>
      <c r="H66" s="102"/>
      <c r="I66" s="100"/>
      <c r="J66" s="152"/>
      <c r="K66" s="92"/>
      <c r="L66" s="99"/>
      <c r="M66" s="155"/>
      <c r="N66" s="155"/>
      <c r="O66" s="45"/>
      <c r="P66" s="45"/>
      <c r="Q66" s="39"/>
    </row>
    <row r="67" spans="1:17" x14ac:dyDescent="0.25">
      <c r="B67" s="97" t="s">
        <v>168</v>
      </c>
      <c r="C67" s="45"/>
      <c r="D67" s="39"/>
      <c r="E67" s="102"/>
      <c r="F67" s="156">
        <f>F59+F65</f>
        <v>13027834.596186269</v>
      </c>
      <c r="H67" s="102"/>
      <c r="I67" s="156">
        <f>I59+I65</f>
        <v>13723748.504833953</v>
      </c>
      <c r="J67" s="152"/>
      <c r="K67" s="156">
        <f>K59+K65</f>
        <v>695913.90864768263</v>
      </c>
      <c r="L67" s="148">
        <f>K67/F67</f>
        <v>5.3417465773736676E-2</v>
      </c>
      <c r="M67" s="155"/>
      <c r="N67" s="155"/>
    </row>
    <row r="68" spans="1:17" x14ac:dyDescent="0.25">
      <c r="B68" s="86"/>
      <c r="C68" s="87"/>
      <c r="D68" s="89"/>
      <c r="E68" s="157"/>
      <c r="F68" s="88"/>
      <c r="G68" s="89"/>
      <c r="H68" s="151"/>
      <c r="I68" s="158"/>
      <c r="J68" s="159"/>
      <c r="K68" s="88"/>
      <c r="L68" s="90"/>
      <c r="M68" s="155"/>
      <c r="N68" s="155"/>
    </row>
    <row r="69" spans="1:17" x14ac:dyDescent="0.25">
      <c r="A69" s="45"/>
      <c r="B69" s="45"/>
      <c r="C69" s="45"/>
      <c r="D69" s="39"/>
      <c r="E69" s="79"/>
      <c r="F69" s="92"/>
      <c r="H69" s="102"/>
      <c r="I69" s="100"/>
      <c r="J69" s="152"/>
      <c r="K69" s="92"/>
      <c r="L69" s="93"/>
      <c r="M69" s="155"/>
      <c r="N69" s="155"/>
      <c r="O69" s="45"/>
    </row>
    <row r="70" spans="1:17" ht="13" x14ac:dyDescent="0.3">
      <c r="B70" s="94" t="s">
        <v>205</v>
      </c>
      <c r="C70" s="165"/>
      <c r="D70" s="15"/>
      <c r="E70" s="166"/>
      <c r="F70" s="120"/>
      <c r="G70" s="15"/>
      <c r="H70" s="145"/>
      <c r="I70" s="156"/>
      <c r="J70" s="167"/>
      <c r="K70" s="120"/>
      <c r="L70" s="170"/>
      <c r="M70" s="155"/>
      <c r="N70" s="155"/>
      <c r="O70" s="45"/>
    </row>
    <row r="71" spans="1:17" x14ac:dyDescent="0.25">
      <c r="B71" s="97"/>
      <c r="C71" s="45"/>
      <c r="D71" s="39"/>
      <c r="E71" s="79"/>
      <c r="F71" s="92"/>
      <c r="G71" s="98"/>
      <c r="H71" s="102"/>
      <c r="I71" s="100"/>
      <c r="J71" s="152"/>
      <c r="K71" s="92"/>
      <c r="L71" s="99"/>
      <c r="M71" s="155"/>
      <c r="N71" s="155"/>
      <c r="O71" s="129" t="s">
        <v>206</v>
      </c>
    </row>
    <row r="72" spans="1:17" x14ac:dyDescent="0.25">
      <c r="B72" s="73" t="s">
        <v>126</v>
      </c>
      <c r="C72" s="74" t="s">
        <v>127</v>
      </c>
      <c r="D72" s="75">
        <v>2661.5565121011946</v>
      </c>
      <c r="E72" s="76">
        <v>139.36000000000001</v>
      </c>
      <c r="F72" s="92">
        <f>ROUND(D72*E72,2)</f>
        <v>370914.52</v>
      </c>
      <c r="H72" s="76">
        <v>148.82</v>
      </c>
      <c r="I72" s="100">
        <f>ROUND(D72*H72,2)</f>
        <v>396092.84</v>
      </c>
      <c r="J72" s="152"/>
      <c r="K72" s="92">
        <f>I72-F72</f>
        <v>25178.320000000007</v>
      </c>
      <c r="L72" s="99"/>
      <c r="M72" s="155"/>
      <c r="N72" s="155"/>
      <c r="O72" s="77">
        <v>0</v>
      </c>
      <c r="Q72" s="108">
        <f>H72/E72-1</f>
        <v>6.7881745120550896E-2</v>
      </c>
    </row>
    <row r="73" spans="1:17" x14ac:dyDescent="0.25">
      <c r="B73" s="97" t="s">
        <v>134</v>
      </c>
      <c r="C73" s="45" t="s">
        <v>132</v>
      </c>
      <c r="D73" s="75">
        <v>82401.308999999994</v>
      </c>
      <c r="E73" s="76">
        <v>1.22</v>
      </c>
      <c r="F73" s="92">
        <f>ROUND(D73*E73,2)</f>
        <v>100529.60000000001</v>
      </c>
      <c r="H73" s="76">
        <v>1.35</v>
      </c>
      <c r="I73" s="100">
        <f>ROUND(D73*H73,2)</f>
        <v>111241.77</v>
      </c>
      <c r="J73" s="152"/>
      <c r="K73" s="92">
        <f>I73-F73</f>
        <v>10712.169999999998</v>
      </c>
      <c r="L73" s="99"/>
      <c r="M73" s="155"/>
      <c r="N73" s="155"/>
      <c r="O73" s="130" t="s">
        <v>166</v>
      </c>
      <c r="Q73" s="108">
        <f>H73/E73-1</f>
        <v>0.10655737704918034</v>
      </c>
    </row>
    <row r="74" spans="1:17" x14ac:dyDescent="0.25">
      <c r="B74" s="97" t="s">
        <v>131</v>
      </c>
      <c r="C74" s="45" t="s">
        <v>129</v>
      </c>
      <c r="D74" s="39">
        <f>D80</f>
        <v>9397200.2729263548</v>
      </c>
      <c r="E74" s="78">
        <v>9.0699999999999999E-3</v>
      </c>
      <c r="F74" s="92">
        <f>ROUND(D74*E74,2)</f>
        <v>85232.61</v>
      </c>
      <c r="H74" s="78">
        <v>1.222E-2</v>
      </c>
      <c r="I74" s="100">
        <f>ROUND(D80*H74,2)</f>
        <v>114833.79</v>
      </c>
      <c r="J74" s="152"/>
      <c r="K74" s="92">
        <f>I74-F74</f>
        <v>29601.179999999993</v>
      </c>
      <c r="L74" s="99"/>
      <c r="M74" s="155"/>
      <c r="N74" s="155"/>
      <c r="O74" s="119">
        <f>K80+K99-O72</f>
        <v>-13.35000000004311</v>
      </c>
      <c r="Q74" s="108">
        <f>H74/E74-1</f>
        <v>0.34729878721058438</v>
      </c>
    </row>
    <row r="75" spans="1:17" x14ac:dyDescent="0.25">
      <c r="B75" s="97" t="s">
        <v>141</v>
      </c>
      <c r="C75" s="45"/>
      <c r="D75" s="39"/>
      <c r="E75" s="78"/>
      <c r="F75" s="146">
        <v>35297.54</v>
      </c>
      <c r="H75" s="79"/>
      <c r="I75" s="100">
        <f>F75</f>
        <v>35297.54</v>
      </c>
      <c r="J75" s="477"/>
      <c r="K75" s="92">
        <f>I75-F75</f>
        <v>0</v>
      </c>
      <c r="L75" s="99"/>
      <c r="M75" s="155"/>
      <c r="N75" s="155"/>
      <c r="O75" s="131"/>
    </row>
    <row r="76" spans="1:17" x14ac:dyDescent="0.25">
      <c r="B76" s="97"/>
      <c r="C76" s="45"/>
      <c r="D76" s="39"/>
      <c r="E76" s="78"/>
      <c r="F76" s="92"/>
      <c r="H76" s="79"/>
      <c r="I76" s="100"/>
      <c r="J76" s="152"/>
      <c r="K76" s="92"/>
      <c r="L76" s="99"/>
      <c r="M76" s="155"/>
      <c r="N76" s="155"/>
      <c r="O76" s="83">
        <v>-4.6291544442305613E-2</v>
      </c>
      <c r="P76" s="307"/>
      <c r="Q76" s="307"/>
    </row>
    <row r="77" spans="1:17" x14ac:dyDescent="0.25">
      <c r="B77" s="97" t="s">
        <v>135</v>
      </c>
      <c r="C77" s="45"/>
      <c r="D77" s="39"/>
      <c r="E77" s="78"/>
      <c r="F77" s="92"/>
      <c r="H77" s="79"/>
      <c r="I77" s="100"/>
      <c r="J77" s="152"/>
      <c r="K77" s="92"/>
      <c r="L77" s="99"/>
      <c r="M77" s="155"/>
      <c r="N77" s="155"/>
      <c r="O77" s="133"/>
      <c r="P77" s="44"/>
      <c r="Q77" s="307"/>
    </row>
    <row r="78" spans="1:17" x14ac:dyDescent="0.25">
      <c r="B78" s="97" t="s">
        <v>146</v>
      </c>
      <c r="C78" s="45" t="s">
        <v>129</v>
      </c>
      <c r="D78" s="75">
        <v>2054251.2670000002</v>
      </c>
      <c r="E78" s="78">
        <v>0.19273999999999999</v>
      </c>
      <c r="F78" s="92">
        <f>ROUND(D78*E78,2)</f>
        <v>395936.39</v>
      </c>
      <c r="H78" s="79">
        <f>ROUND(E78*(1+$O$76),5)</f>
        <v>0.18382000000000001</v>
      </c>
      <c r="I78" s="100">
        <f>ROUND(D78*H78,2)</f>
        <v>377612.47</v>
      </c>
      <c r="J78" s="152"/>
      <c r="K78" s="92">
        <f>I78-F78</f>
        <v>-18323.920000000042</v>
      </c>
      <c r="L78" s="99"/>
      <c r="M78" s="155"/>
      <c r="N78" s="155"/>
      <c r="P78" s="307"/>
      <c r="Q78" s="108">
        <f>H78/E78-1</f>
        <v>-4.6279962643976269E-2</v>
      </c>
    </row>
    <row r="79" spans="1:17" ht="12.75" customHeight="1" x14ac:dyDescent="0.25">
      <c r="B79" s="97" t="s">
        <v>147</v>
      </c>
      <c r="C79" s="45" t="s">
        <v>129</v>
      </c>
      <c r="D79" s="75">
        <v>7342949.0059263539</v>
      </c>
      <c r="E79" s="78">
        <v>0.13664000000000001</v>
      </c>
      <c r="F79" s="92">
        <f>ROUND(D79*E79,2)</f>
        <v>1003340.55</v>
      </c>
      <c r="H79" s="79">
        <f>ROUND(E79*(1+$O$76),5)</f>
        <v>0.13031000000000001</v>
      </c>
      <c r="I79" s="100">
        <f>ROUND(D79*H79,2)</f>
        <v>956859.68</v>
      </c>
      <c r="J79" s="152"/>
      <c r="K79" s="92">
        <f>I79-F79</f>
        <v>-46480.869999999995</v>
      </c>
      <c r="L79" s="99"/>
      <c r="M79" s="155"/>
      <c r="N79" s="155"/>
      <c r="O79" s="133"/>
      <c r="P79" s="307"/>
      <c r="Q79" s="108">
        <f>H79/E79-1</f>
        <v>-4.6326112412177989E-2</v>
      </c>
    </row>
    <row r="80" spans="1:17" ht="12.75" customHeight="1" x14ac:dyDescent="0.25">
      <c r="B80" s="73" t="s">
        <v>170</v>
      </c>
      <c r="C80" s="45" t="s">
        <v>129</v>
      </c>
      <c r="D80" s="15">
        <f>SUM(D78:D79)</f>
        <v>9397200.2729263548</v>
      </c>
      <c r="E80" s="78"/>
      <c r="F80" s="156">
        <f>SUM(F72:F79)</f>
        <v>1991251.21</v>
      </c>
      <c r="H80" s="102"/>
      <c r="I80" s="156">
        <f>SUM(I72:I79)</f>
        <v>1991938.09</v>
      </c>
      <c r="J80" s="152"/>
      <c r="K80" s="156">
        <f>SUM(K72:K79)</f>
        <v>686.879999999961</v>
      </c>
      <c r="L80" s="148">
        <f>K80/F80</f>
        <v>3.4494894293119399E-4</v>
      </c>
      <c r="M80" s="155"/>
      <c r="N80" s="155"/>
      <c r="O80" s="109"/>
      <c r="P80" s="307"/>
      <c r="Q80" s="135"/>
    </row>
    <row r="81" spans="1:17" x14ac:dyDescent="0.25">
      <c r="B81" s="73"/>
      <c r="C81" s="74"/>
      <c r="D81" s="39"/>
      <c r="E81" s="78"/>
      <c r="F81" s="100"/>
      <c r="H81" s="102"/>
      <c r="I81" s="100"/>
      <c r="J81" s="152"/>
      <c r="K81" s="92"/>
      <c r="L81" s="104"/>
      <c r="M81" s="155"/>
      <c r="N81" s="134"/>
      <c r="O81" s="136"/>
      <c r="P81" s="307"/>
      <c r="Q81" s="135"/>
    </row>
    <row r="82" spans="1:17" x14ac:dyDescent="0.25">
      <c r="B82" s="97" t="s">
        <v>167</v>
      </c>
      <c r="C82" s="74"/>
      <c r="D82" s="39"/>
      <c r="E82" s="78"/>
      <c r="F82" s="100"/>
      <c r="H82" s="102"/>
      <c r="I82" s="100"/>
      <c r="J82" s="152"/>
      <c r="K82" s="92"/>
      <c r="L82" s="104"/>
      <c r="M82" s="155"/>
      <c r="N82" s="155"/>
    </row>
    <row r="83" spans="1:17" x14ac:dyDescent="0.25">
      <c r="B83" s="97" t="s">
        <v>189</v>
      </c>
      <c r="C83" s="45" t="s">
        <v>129</v>
      </c>
      <c r="D83" s="149">
        <f>D80</f>
        <v>9397200.2729263548</v>
      </c>
      <c r="E83" s="78">
        <v>0.26795999999999998</v>
      </c>
      <c r="F83" s="100">
        <f>+D83*E83</f>
        <v>2518073.785133346</v>
      </c>
      <c r="G83" s="150"/>
      <c r="H83" s="82">
        <f>E83</f>
        <v>0.26795999999999998</v>
      </c>
      <c r="I83" s="100">
        <f>+D83*H83</f>
        <v>2518073.785133346</v>
      </c>
      <c r="J83" s="152"/>
      <c r="K83" s="92">
        <f>I83-F83</f>
        <v>0</v>
      </c>
      <c r="L83" s="99"/>
      <c r="M83" s="155"/>
      <c r="N83" s="155"/>
      <c r="O83" s="136"/>
      <c r="P83" s="307"/>
      <c r="Q83" s="135"/>
    </row>
    <row r="84" spans="1:17" x14ac:dyDescent="0.25">
      <c r="B84" s="97" t="s">
        <v>134</v>
      </c>
      <c r="C84" s="45" t="s">
        <v>132</v>
      </c>
      <c r="D84" s="149">
        <f>D73</f>
        <v>82401.308999999994</v>
      </c>
      <c r="E84" s="76">
        <v>1.05</v>
      </c>
      <c r="F84" s="100">
        <f>D84*E84</f>
        <v>86521.374450000003</v>
      </c>
      <c r="G84" s="150"/>
      <c r="H84" s="114">
        <f>E84</f>
        <v>1.05</v>
      </c>
      <c r="I84" s="100">
        <f>D84*H84</f>
        <v>86521.374450000003</v>
      </c>
      <c r="J84" s="152"/>
      <c r="K84" s="92">
        <f>I84-F84</f>
        <v>0</v>
      </c>
      <c r="L84" s="104"/>
      <c r="M84" s="155"/>
      <c r="N84" s="155"/>
    </row>
    <row r="85" spans="1:17" x14ac:dyDescent="0.25">
      <c r="B85" s="73" t="s">
        <v>190</v>
      </c>
      <c r="C85" s="74"/>
      <c r="D85" s="45"/>
      <c r="E85" s="102"/>
      <c r="F85" s="156">
        <f>SUM(F83:F84)</f>
        <v>2604595.159583346</v>
      </c>
      <c r="G85" s="45"/>
      <c r="H85" s="102"/>
      <c r="I85" s="156">
        <f>SUM(I83:I84)</f>
        <v>2604595.159583346</v>
      </c>
      <c r="J85" s="102"/>
      <c r="K85" s="156">
        <f>SUM(K83:K84)</f>
        <v>0</v>
      </c>
      <c r="L85" s="148">
        <f>ROUND(K85/F85,5)</f>
        <v>0</v>
      </c>
      <c r="M85" s="155"/>
      <c r="N85" s="155"/>
    </row>
    <row r="86" spans="1:17" x14ac:dyDescent="0.25">
      <c r="B86" s="97"/>
      <c r="C86" s="45"/>
      <c r="D86" s="39"/>
      <c r="E86" s="79"/>
      <c r="F86" s="100"/>
      <c r="H86" s="102"/>
      <c r="I86" s="100"/>
      <c r="J86" s="152"/>
      <c r="K86" s="92"/>
      <c r="L86" s="104"/>
      <c r="M86" s="155"/>
      <c r="N86" s="155"/>
    </row>
    <row r="87" spans="1:17" s="45" customFormat="1" x14ac:dyDescent="0.25">
      <c r="B87" s="97" t="s">
        <v>168</v>
      </c>
      <c r="D87" s="39"/>
      <c r="E87" s="102"/>
      <c r="F87" s="156">
        <f>F85+F80</f>
        <v>4595846.3695833459</v>
      </c>
      <c r="G87" s="39"/>
      <c r="H87" s="102"/>
      <c r="I87" s="156">
        <f>I85+I80</f>
        <v>4596533.2495833458</v>
      </c>
      <c r="J87" s="152"/>
      <c r="K87" s="156">
        <f>K85+K80</f>
        <v>686.879999999961</v>
      </c>
      <c r="L87" s="148">
        <f>K87/F87</f>
        <v>1.4945669301435607E-4</v>
      </c>
      <c r="M87" s="155"/>
      <c r="N87" s="155"/>
    </row>
    <row r="88" spans="1:17" x14ac:dyDescent="0.25">
      <c r="A88" s="45"/>
      <c r="B88" s="86"/>
      <c r="C88" s="87"/>
      <c r="D88" s="89"/>
      <c r="E88" s="160"/>
      <c r="F88" s="88"/>
      <c r="G88" s="89"/>
      <c r="H88" s="151"/>
      <c r="I88" s="158"/>
      <c r="J88" s="159"/>
      <c r="K88" s="88"/>
      <c r="L88" s="464"/>
      <c r="M88" s="155"/>
      <c r="N88" s="155"/>
    </row>
    <row r="89" spans="1:17" s="45" customFormat="1" x14ac:dyDescent="0.25">
      <c r="D89" s="39"/>
      <c r="E89" s="161"/>
      <c r="F89" s="92"/>
      <c r="G89" s="39"/>
      <c r="H89" s="102"/>
      <c r="I89" s="100"/>
      <c r="J89" s="152"/>
      <c r="K89" s="92"/>
      <c r="L89" s="162"/>
      <c r="M89" s="155"/>
      <c r="N89" s="155"/>
    </row>
    <row r="90" spans="1:17" ht="13" x14ac:dyDescent="0.3">
      <c r="A90" s="45"/>
      <c r="B90" s="94" t="s">
        <v>207</v>
      </c>
      <c r="C90" s="165"/>
      <c r="D90" s="15"/>
      <c r="E90" s="166"/>
      <c r="F90" s="120"/>
      <c r="G90" s="15"/>
      <c r="H90" s="145"/>
      <c r="I90" s="156"/>
      <c r="J90" s="167"/>
      <c r="K90" s="120"/>
      <c r="L90" s="170"/>
      <c r="M90" s="155"/>
      <c r="N90" s="155"/>
    </row>
    <row r="91" spans="1:17" x14ac:dyDescent="0.25">
      <c r="A91" s="45"/>
      <c r="B91" s="97"/>
      <c r="C91" s="45"/>
      <c r="D91" s="39"/>
      <c r="E91" s="79"/>
      <c r="F91" s="92"/>
      <c r="G91" s="98"/>
      <c r="H91" s="102"/>
      <c r="I91" s="100"/>
      <c r="J91" s="152"/>
      <c r="K91" s="92"/>
      <c r="L91" s="99"/>
      <c r="M91" s="155"/>
      <c r="N91" s="155"/>
    </row>
    <row r="92" spans="1:17" x14ac:dyDescent="0.25">
      <c r="A92" s="45"/>
      <c r="B92" s="73" t="s">
        <v>126</v>
      </c>
      <c r="C92" s="74" t="s">
        <v>127</v>
      </c>
      <c r="D92" s="75">
        <v>22.033330326537975</v>
      </c>
      <c r="E92" s="76">
        <v>443.44</v>
      </c>
      <c r="F92" s="92">
        <f>ROUND(D92*E92,2)</f>
        <v>9770.4599999999991</v>
      </c>
      <c r="H92" s="76">
        <v>457.76</v>
      </c>
      <c r="I92" s="100">
        <f>ROUND(D92*H92,2)</f>
        <v>10085.98</v>
      </c>
      <c r="J92" s="152"/>
      <c r="K92" s="92">
        <f>I92-F92</f>
        <v>315.52000000000044</v>
      </c>
      <c r="L92" s="99"/>
      <c r="M92" s="155"/>
      <c r="N92" s="155"/>
      <c r="Q92" s="108">
        <f>H92/E92-1</f>
        <v>3.2292982139635606E-2</v>
      </c>
    </row>
    <row r="93" spans="1:17" x14ac:dyDescent="0.25">
      <c r="A93" s="45"/>
      <c r="B93" s="97" t="s">
        <v>134</v>
      </c>
      <c r="C93" s="45" t="s">
        <v>132</v>
      </c>
      <c r="D93" s="75">
        <v>9750</v>
      </c>
      <c r="E93" s="76">
        <v>1.22</v>
      </c>
      <c r="F93" s="92">
        <f>ROUND(D93*E93,2)</f>
        <v>11895</v>
      </c>
      <c r="H93" s="102">
        <f>H73</f>
        <v>1.35</v>
      </c>
      <c r="I93" s="100">
        <f>ROUND(D93*H93,2)</f>
        <v>13162.5</v>
      </c>
      <c r="J93" s="152"/>
      <c r="K93" s="92">
        <f>I93-F93</f>
        <v>1267.5</v>
      </c>
      <c r="L93" s="99"/>
      <c r="M93" s="155"/>
      <c r="N93" s="155"/>
      <c r="Q93" s="108">
        <f>H93/E93-1</f>
        <v>0.10655737704918034</v>
      </c>
    </row>
    <row r="94" spans="1:17" x14ac:dyDescent="0.25">
      <c r="A94" s="45"/>
      <c r="B94" s="97" t="s">
        <v>141</v>
      </c>
      <c r="C94" s="45"/>
      <c r="D94" s="75"/>
      <c r="E94" s="78"/>
      <c r="F94" s="146">
        <v>0</v>
      </c>
      <c r="H94" s="79"/>
      <c r="I94" s="100">
        <f>F94</f>
        <v>0</v>
      </c>
      <c r="J94" s="477"/>
      <c r="K94" s="92">
        <f>I94-F94</f>
        <v>0</v>
      </c>
      <c r="L94" s="99"/>
      <c r="M94" s="155"/>
      <c r="N94" s="155"/>
    </row>
    <row r="95" spans="1:17" x14ac:dyDescent="0.25">
      <c r="A95" s="45"/>
      <c r="B95" s="97"/>
      <c r="C95" s="45"/>
      <c r="D95" s="75"/>
      <c r="E95" s="78"/>
      <c r="F95" s="92"/>
      <c r="H95" s="79"/>
      <c r="I95" s="100"/>
      <c r="J95" s="152"/>
      <c r="K95" s="92"/>
      <c r="L95" s="99"/>
      <c r="M95" s="155"/>
      <c r="N95" s="155"/>
    </row>
    <row r="96" spans="1:17" x14ac:dyDescent="0.25">
      <c r="A96" s="45"/>
      <c r="B96" s="97" t="s">
        <v>135</v>
      </c>
      <c r="C96" s="45"/>
      <c r="D96" s="75"/>
      <c r="E96" s="78"/>
      <c r="F96" s="92"/>
      <c r="H96" s="79"/>
      <c r="I96" s="100"/>
      <c r="J96" s="152"/>
      <c r="K96" s="92"/>
      <c r="L96" s="99"/>
      <c r="M96" s="155"/>
      <c r="N96" s="155"/>
    </row>
    <row r="97" spans="1:17" x14ac:dyDescent="0.25">
      <c r="A97" s="45"/>
      <c r="B97" s="97" t="s">
        <v>146</v>
      </c>
      <c r="C97" s="45" t="s">
        <v>129</v>
      </c>
      <c r="D97" s="75">
        <v>23011.74</v>
      </c>
      <c r="E97" s="78">
        <v>0.19273999999999999</v>
      </c>
      <c r="F97" s="92">
        <f>ROUND(D97*E97,2)</f>
        <v>4435.28</v>
      </c>
      <c r="H97" s="79">
        <f>H78</f>
        <v>0.18382000000000001</v>
      </c>
      <c r="I97" s="100">
        <f>ROUND(D97*H97,2)</f>
        <v>4230.0200000000004</v>
      </c>
      <c r="J97" s="152"/>
      <c r="K97" s="92">
        <f>I97-F97</f>
        <v>-205.25999999999931</v>
      </c>
      <c r="L97" s="99"/>
      <c r="M97" s="155"/>
      <c r="N97" s="155"/>
      <c r="Q97" s="108">
        <f>H97/E97-1</f>
        <v>-4.6279962643976269E-2</v>
      </c>
    </row>
    <row r="98" spans="1:17" x14ac:dyDescent="0.25">
      <c r="A98" s="45"/>
      <c r="B98" s="97" t="s">
        <v>147</v>
      </c>
      <c r="C98" s="45" t="s">
        <v>129</v>
      </c>
      <c r="D98" s="75">
        <v>328276.40999999997</v>
      </c>
      <c r="E98" s="78">
        <v>0.13664000000000001</v>
      </c>
      <c r="F98" s="92">
        <f>ROUND(D98*E98,2)</f>
        <v>44855.69</v>
      </c>
      <c r="H98" s="79">
        <f>H79</f>
        <v>0.13031000000000001</v>
      </c>
      <c r="I98" s="100">
        <f>ROUND(D98*H98,2)</f>
        <v>42777.7</v>
      </c>
      <c r="J98" s="152"/>
      <c r="K98" s="92">
        <f>I98-F98</f>
        <v>-2077.9900000000052</v>
      </c>
      <c r="L98" s="99"/>
      <c r="M98" s="155"/>
      <c r="N98" s="155"/>
      <c r="Q98" s="108">
        <f>H98/E98-1</f>
        <v>-4.6326112412177989E-2</v>
      </c>
    </row>
    <row r="99" spans="1:17" x14ac:dyDescent="0.25">
      <c r="A99" s="45"/>
      <c r="B99" s="73" t="s">
        <v>170</v>
      </c>
      <c r="C99" s="45" t="s">
        <v>129</v>
      </c>
      <c r="D99" s="15">
        <f>SUM(D97:D98)</f>
        <v>351288.14999999997</v>
      </c>
      <c r="E99" s="78"/>
      <c r="F99" s="156">
        <f>SUM(F92:F98)</f>
        <v>70956.429999999993</v>
      </c>
      <c r="H99" s="102"/>
      <c r="I99" s="156">
        <f>SUM(I92:I98)</f>
        <v>70256.2</v>
      </c>
      <c r="J99" s="152"/>
      <c r="K99" s="156">
        <f>SUM(K92:K98)</f>
        <v>-700.23000000000411</v>
      </c>
      <c r="L99" s="148"/>
      <c r="M99" s="155"/>
      <c r="N99" s="155"/>
    </row>
    <row r="100" spans="1:17" x14ac:dyDescent="0.25">
      <c r="A100" s="45"/>
      <c r="B100" s="73"/>
      <c r="C100" s="74"/>
      <c r="D100" s="39"/>
      <c r="E100" s="78"/>
      <c r="F100" s="100"/>
      <c r="H100" s="102"/>
      <c r="I100" s="100"/>
      <c r="J100" s="152"/>
      <c r="K100" s="92"/>
      <c r="L100" s="104"/>
      <c r="M100" s="155"/>
      <c r="N100" s="155"/>
    </row>
    <row r="101" spans="1:17" x14ac:dyDescent="0.25">
      <c r="A101" s="45"/>
      <c r="B101" s="97" t="s">
        <v>185</v>
      </c>
      <c r="C101" s="45" t="s">
        <v>129</v>
      </c>
      <c r="D101" s="149">
        <f>D99</f>
        <v>351288.14999999997</v>
      </c>
      <c r="E101" s="78">
        <v>6.9999999999999999E-4</v>
      </c>
      <c r="F101" s="100">
        <f>E101*D101</f>
        <v>245.90170499999996</v>
      </c>
      <c r="G101" s="150"/>
      <c r="H101" s="127">
        <v>1E-3</v>
      </c>
      <c r="I101" s="92">
        <f>H101*D101</f>
        <v>351.28814999999997</v>
      </c>
      <c r="J101" s="152"/>
      <c r="K101" s="92">
        <f>I101-F101</f>
        <v>105.38644500000001</v>
      </c>
      <c r="L101" s="99"/>
      <c r="M101" s="155"/>
      <c r="N101" s="155"/>
    </row>
    <row r="102" spans="1:17" x14ac:dyDescent="0.25">
      <c r="A102" s="45"/>
      <c r="B102" s="73" t="s">
        <v>168</v>
      </c>
      <c r="C102" s="45"/>
      <c r="D102" s="39"/>
      <c r="E102" s="128"/>
      <c r="F102" s="156">
        <f>F101+F99</f>
        <v>71202.33170499999</v>
      </c>
      <c r="G102" s="156"/>
      <c r="H102" s="102"/>
      <c r="I102" s="156">
        <f>I101+I99</f>
        <v>70607.48814999999</v>
      </c>
      <c r="J102" s="102"/>
      <c r="K102" s="156">
        <f>K101+K99</f>
        <v>-594.84355500000413</v>
      </c>
      <c r="L102" s="170"/>
      <c r="M102" s="155"/>
      <c r="N102" s="155"/>
    </row>
    <row r="103" spans="1:17" x14ac:dyDescent="0.25">
      <c r="A103" s="45"/>
      <c r="B103" s="86"/>
      <c r="C103" s="87"/>
      <c r="D103" s="89"/>
      <c r="E103" s="157"/>
      <c r="F103" s="88"/>
      <c r="G103" s="89"/>
      <c r="H103" s="151"/>
      <c r="I103" s="158"/>
      <c r="J103" s="159"/>
      <c r="K103" s="88"/>
      <c r="L103" s="90"/>
      <c r="M103" s="155"/>
      <c r="N103" s="155"/>
    </row>
    <row r="104" spans="1:17" s="45" customFormat="1" x14ac:dyDescent="0.25">
      <c r="D104" s="39"/>
      <c r="E104" s="161"/>
      <c r="F104" s="92"/>
      <c r="G104" s="39"/>
      <c r="H104" s="102"/>
      <c r="I104" s="100"/>
      <c r="J104" s="152"/>
      <c r="K104" s="92"/>
      <c r="L104" s="162"/>
      <c r="M104" s="155"/>
      <c r="N104" s="155"/>
    </row>
    <row r="105" spans="1:17" ht="13" x14ac:dyDescent="0.3">
      <c r="A105" s="45"/>
      <c r="B105" s="94" t="s">
        <v>208</v>
      </c>
      <c r="C105" s="165"/>
      <c r="D105" s="15"/>
      <c r="E105" s="166"/>
      <c r="F105" s="120"/>
      <c r="G105" s="15"/>
      <c r="H105" s="145"/>
      <c r="I105" s="156"/>
      <c r="J105" s="167"/>
      <c r="K105" s="120"/>
      <c r="L105" s="170"/>
      <c r="M105" s="155"/>
      <c r="N105" s="155"/>
    </row>
    <row r="106" spans="1:17" x14ac:dyDescent="0.25">
      <c r="A106" s="45"/>
      <c r="B106" s="97"/>
      <c r="C106" s="45"/>
      <c r="D106" s="39"/>
      <c r="E106" s="79"/>
      <c r="F106" s="92"/>
      <c r="G106" s="98"/>
      <c r="H106" s="102"/>
      <c r="I106" s="100"/>
      <c r="J106" s="152"/>
      <c r="K106" s="92"/>
      <c r="L106" s="99"/>
      <c r="M106" s="155"/>
      <c r="N106" s="155"/>
    </row>
    <row r="107" spans="1:17" x14ac:dyDescent="0.25">
      <c r="A107" s="45"/>
      <c r="B107" s="73" t="s">
        <v>126</v>
      </c>
      <c r="C107" s="74" t="s">
        <v>127</v>
      </c>
      <c r="D107" s="39">
        <f>D72+D92</f>
        <v>2683.5898424277325</v>
      </c>
      <c r="E107" s="128"/>
      <c r="F107" s="92">
        <f>F72+F92</f>
        <v>380684.98000000004</v>
      </c>
      <c r="H107" s="128"/>
      <c r="I107" s="92">
        <f>I72+I92</f>
        <v>406178.82</v>
      </c>
      <c r="J107" s="152"/>
      <c r="K107" s="92">
        <f>I107-F107</f>
        <v>25493.839999999967</v>
      </c>
      <c r="L107" s="99"/>
      <c r="M107" s="155"/>
      <c r="N107" s="155"/>
    </row>
    <row r="108" spans="1:17" x14ac:dyDescent="0.25">
      <c r="A108" s="45"/>
      <c r="B108" s="97" t="s">
        <v>134</v>
      </c>
      <c r="C108" s="45" t="s">
        <v>132</v>
      </c>
      <c r="D108" s="39">
        <f>D73+D93</f>
        <v>92151.308999999994</v>
      </c>
      <c r="E108" s="128"/>
      <c r="F108" s="92">
        <f>F73+F93</f>
        <v>112424.6</v>
      </c>
      <c r="H108" s="128"/>
      <c r="I108" s="92">
        <f>I73+I93</f>
        <v>124404.27</v>
      </c>
      <c r="J108" s="152"/>
      <c r="K108" s="92">
        <f>I108-F108</f>
        <v>11979.669999999998</v>
      </c>
      <c r="L108" s="99"/>
      <c r="M108" s="155"/>
      <c r="N108" s="155"/>
    </row>
    <row r="109" spans="1:17" x14ac:dyDescent="0.25">
      <c r="A109" s="45"/>
      <c r="B109" s="97" t="s">
        <v>131</v>
      </c>
      <c r="C109" s="45" t="s">
        <v>129</v>
      </c>
      <c r="D109" s="39">
        <f>D74</f>
        <v>9397200.2729263548</v>
      </c>
      <c r="E109" s="107"/>
      <c r="F109" s="92">
        <f>F74</f>
        <v>85232.61</v>
      </c>
      <c r="H109" s="107"/>
      <c r="I109" s="92">
        <f>I74</f>
        <v>114833.79</v>
      </c>
      <c r="J109" s="152"/>
      <c r="K109" s="92">
        <f>I109-F109</f>
        <v>29601.179999999993</v>
      </c>
      <c r="L109" s="99"/>
      <c r="M109" s="155"/>
      <c r="N109" s="155"/>
    </row>
    <row r="110" spans="1:17" x14ac:dyDescent="0.25">
      <c r="A110" s="45"/>
      <c r="B110" s="97" t="s">
        <v>141</v>
      </c>
      <c r="C110" s="45"/>
      <c r="D110" s="39"/>
      <c r="E110" s="107"/>
      <c r="F110" s="100">
        <f>F75+F94</f>
        <v>35297.54</v>
      </c>
      <c r="H110" s="79"/>
      <c r="I110" s="100">
        <f>I75+I94</f>
        <v>35297.54</v>
      </c>
      <c r="J110" s="477"/>
      <c r="K110" s="92">
        <f>I110-F110</f>
        <v>0</v>
      </c>
      <c r="L110" s="99"/>
      <c r="M110" s="155"/>
      <c r="N110" s="155"/>
    </row>
    <row r="111" spans="1:17" x14ac:dyDescent="0.25">
      <c r="A111" s="45"/>
      <c r="B111" s="97"/>
      <c r="C111" s="45"/>
      <c r="D111" s="39"/>
      <c r="E111" s="107"/>
      <c r="F111" s="92"/>
      <c r="H111" s="79"/>
      <c r="I111" s="92"/>
      <c r="J111" s="152"/>
      <c r="K111" s="92"/>
      <c r="L111" s="99"/>
      <c r="M111" s="155"/>
      <c r="N111" s="155"/>
    </row>
    <row r="112" spans="1:17" x14ac:dyDescent="0.25">
      <c r="A112" s="45"/>
      <c r="B112" s="97" t="s">
        <v>135</v>
      </c>
      <c r="C112" s="45"/>
      <c r="D112" s="39"/>
      <c r="E112" s="107"/>
      <c r="F112" s="92"/>
      <c r="H112" s="79"/>
      <c r="I112" s="92"/>
      <c r="J112" s="152"/>
      <c r="K112" s="92"/>
      <c r="L112" s="99"/>
      <c r="M112" s="155"/>
      <c r="N112" s="155"/>
    </row>
    <row r="113" spans="1:15" x14ac:dyDescent="0.25">
      <c r="A113" s="45"/>
      <c r="B113" s="97" t="s">
        <v>146</v>
      </c>
      <c r="C113" s="45" t="s">
        <v>129</v>
      </c>
      <c r="D113" s="39">
        <f>D78+D97</f>
        <v>2077263.0070000002</v>
      </c>
      <c r="E113" s="107"/>
      <c r="F113" s="92">
        <f>F78+F97</f>
        <v>400371.67000000004</v>
      </c>
      <c r="H113" s="79"/>
      <c r="I113" s="92">
        <f>I78+I97</f>
        <v>381842.49</v>
      </c>
      <c r="J113" s="152"/>
      <c r="K113" s="92">
        <f>I113-F113</f>
        <v>-18529.180000000051</v>
      </c>
      <c r="L113" s="99"/>
      <c r="M113" s="155"/>
      <c r="N113" s="155"/>
    </row>
    <row r="114" spans="1:15" x14ac:dyDescent="0.25">
      <c r="A114" s="45"/>
      <c r="B114" s="97" t="s">
        <v>147</v>
      </c>
      <c r="C114" s="45" t="s">
        <v>129</v>
      </c>
      <c r="D114" s="39">
        <f>D79+D98</f>
        <v>7671225.415926354</v>
      </c>
      <c r="E114" s="107"/>
      <c r="F114" s="92">
        <f>F79+F98</f>
        <v>1048196.24</v>
      </c>
      <c r="H114" s="79"/>
      <c r="I114" s="92">
        <f>I79+I98</f>
        <v>999637.38</v>
      </c>
      <c r="J114" s="152"/>
      <c r="K114" s="92">
        <f>I114-F114</f>
        <v>-48558.859999999986</v>
      </c>
      <c r="L114" s="99"/>
      <c r="M114" s="155"/>
      <c r="N114" s="155"/>
    </row>
    <row r="115" spans="1:15" x14ac:dyDescent="0.25">
      <c r="A115" s="45"/>
      <c r="B115" s="73" t="s">
        <v>170</v>
      </c>
      <c r="C115" s="45" t="s">
        <v>129</v>
      </c>
      <c r="D115" s="15">
        <f>SUM(D113:D114)</f>
        <v>9748488.4229263552</v>
      </c>
      <c r="E115" s="79"/>
      <c r="F115" s="156">
        <f>SUM(F107:F114)</f>
        <v>2062207.6400000001</v>
      </c>
      <c r="H115" s="102"/>
      <c r="I115" s="156">
        <f>SUM(I107:I114)</f>
        <v>2062194.29</v>
      </c>
      <c r="J115" s="152"/>
      <c r="K115" s="156">
        <f>SUM(K107:K114)</f>
        <v>-13.35000000007858</v>
      </c>
      <c r="L115" s="148">
        <f>K115/F115</f>
        <v>-6.4736449138936273E-6</v>
      </c>
      <c r="M115" s="155"/>
      <c r="N115" s="155"/>
    </row>
    <row r="116" spans="1:15" x14ac:dyDescent="0.25">
      <c r="A116" s="45"/>
      <c r="B116" s="73"/>
      <c r="C116" s="74"/>
      <c r="D116" s="39"/>
      <c r="E116" s="79"/>
      <c r="F116" s="100"/>
      <c r="H116" s="102"/>
      <c r="I116" s="100"/>
      <c r="J116" s="152"/>
      <c r="K116" s="92"/>
      <c r="L116" s="104"/>
      <c r="M116" s="155"/>
      <c r="N116" s="155"/>
    </row>
    <row r="117" spans="1:15" x14ac:dyDescent="0.25">
      <c r="A117" s="45"/>
      <c r="B117" s="97" t="s">
        <v>167</v>
      </c>
      <c r="C117" s="74"/>
      <c r="D117" s="39"/>
      <c r="E117" s="79"/>
      <c r="F117" s="100"/>
      <c r="H117" s="102"/>
      <c r="I117" s="100"/>
      <c r="J117" s="152"/>
      <c r="K117" s="92"/>
      <c r="L117" s="104"/>
      <c r="M117" s="155"/>
      <c r="N117" s="155"/>
    </row>
    <row r="118" spans="1:15" x14ac:dyDescent="0.25">
      <c r="A118" s="45"/>
      <c r="B118" s="97" t="s">
        <v>189</v>
      </c>
      <c r="C118" s="45" t="s">
        <v>129</v>
      </c>
      <c r="D118" s="149">
        <f>D115</f>
        <v>9748488.4229263552</v>
      </c>
      <c r="E118" s="107"/>
      <c r="F118" s="100">
        <f>F83</f>
        <v>2518073.785133346</v>
      </c>
      <c r="G118" s="150"/>
      <c r="H118" s="107"/>
      <c r="I118" s="100">
        <f>I83</f>
        <v>2518073.785133346</v>
      </c>
      <c r="J118" s="152"/>
      <c r="K118" s="92">
        <f>I118-F118</f>
        <v>0</v>
      </c>
      <c r="L118" s="99"/>
      <c r="M118" s="155"/>
      <c r="N118" s="155"/>
    </row>
    <row r="119" spans="1:15" x14ac:dyDescent="0.25">
      <c r="A119" s="45"/>
      <c r="B119" s="97" t="s">
        <v>134</v>
      </c>
      <c r="C119" s="45" t="s">
        <v>132</v>
      </c>
      <c r="D119" s="149">
        <f>D108</f>
        <v>92151.308999999994</v>
      </c>
      <c r="E119" s="128"/>
      <c r="F119" s="100">
        <f>F84</f>
        <v>86521.374450000003</v>
      </c>
      <c r="G119" s="150"/>
      <c r="H119" s="128"/>
      <c r="I119" s="100">
        <f>I84</f>
        <v>86521.374450000003</v>
      </c>
      <c r="J119" s="152"/>
      <c r="K119" s="92">
        <f>I119-F119</f>
        <v>0</v>
      </c>
      <c r="L119" s="104"/>
      <c r="M119" s="155"/>
      <c r="N119" s="155"/>
    </row>
    <row r="120" spans="1:15" x14ac:dyDescent="0.25">
      <c r="A120" s="45"/>
      <c r="B120" s="97" t="s">
        <v>185</v>
      </c>
      <c r="C120" s="45" t="s">
        <v>129</v>
      </c>
      <c r="D120" s="149">
        <f>D118</f>
        <v>9748488.4229263552</v>
      </c>
      <c r="E120" s="128"/>
      <c r="F120" s="100">
        <f>F101</f>
        <v>245.90170499999996</v>
      </c>
      <c r="G120" s="150"/>
      <c r="H120" s="128"/>
      <c r="I120" s="100">
        <f>I101</f>
        <v>351.28814999999997</v>
      </c>
      <c r="J120" s="152"/>
      <c r="K120" s="92">
        <f>I120-F120</f>
        <v>105.38644500000001</v>
      </c>
      <c r="L120" s="104"/>
      <c r="M120" s="155"/>
      <c r="N120" s="155"/>
    </row>
    <row r="121" spans="1:15" x14ac:dyDescent="0.25">
      <c r="A121" s="45"/>
      <c r="B121" s="73" t="s">
        <v>190</v>
      </c>
      <c r="C121" s="74"/>
      <c r="D121" s="45"/>
      <c r="E121" s="102"/>
      <c r="F121" s="156">
        <f>SUM(F118:F120)</f>
        <v>2604841.0612883461</v>
      </c>
      <c r="G121" s="45"/>
      <c r="H121" s="102"/>
      <c r="I121" s="156">
        <f>SUM(I118:I120)</f>
        <v>2604946.4477333459</v>
      </c>
      <c r="J121" s="102"/>
      <c r="K121" s="156">
        <f>SUM(K118:K120)</f>
        <v>105.38644500000001</v>
      </c>
      <c r="L121" s="148">
        <f>ROUND(K121/F121,5)</f>
        <v>4.0000000000000003E-5</v>
      </c>
      <c r="M121" s="155"/>
      <c r="N121" s="155"/>
    </row>
    <row r="122" spans="1:15" x14ac:dyDescent="0.25">
      <c r="A122" s="45"/>
      <c r="B122" s="73"/>
      <c r="C122" s="74"/>
      <c r="D122" s="45"/>
      <c r="E122" s="102"/>
      <c r="F122" s="100"/>
      <c r="G122" s="45"/>
      <c r="H122" s="102"/>
      <c r="I122" s="100"/>
      <c r="J122" s="102"/>
      <c r="K122" s="100"/>
      <c r="L122" s="99"/>
      <c r="M122" s="155"/>
      <c r="N122" s="155"/>
    </row>
    <row r="123" spans="1:15" x14ac:dyDescent="0.25">
      <c r="A123" s="45"/>
      <c r="B123" s="73" t="s">
        <v>168</v>
      </c>
      <c r="C123" s="74"/>
      <c r="D123" s="45"/>
      <c r="E123" s="102"/>
      <c r="F123" s="156">
        <f>F115+F121</f>
        <v>4667048.7012883462</v>
      </c>
      <c r="G123" s="45"/>
      <c r="H123" s="102"/>
      <c r="I123" s="156">
        <f>I115+I121</f>
        <v>4667140.7377333455</v>
      </c>
      <c r="J123" s="102"/>
      <c r="K123" s="156">
        <f>K115+K121</f>
        <v>92.036444999921429</v>
      </c>
      <c r="L123" s="148">
        <f>ROUND(K123/F123,5)</f>
        <v>2.0000000000000002E-5</v>
      </c>
      <c r="M123" s="155"/>
      <c r="N123" s="155"/>
    </row>
    <row r="124" spans="1:15" x14ac:dyDescent="0.25">
      <c r="A124" s="45"/>
      <c r="B124" s="86"/>
      <c r="C124" s="87"/>
      <c r="D124" s="89"/>
      <c r="E124" s="157"/>
      <c r="F124" s="88"/>
      <c r="G124" s="89"/>
      <c r="H124" s="151"/>
      <c r="I124" s="158"/>
      <c r="J124" s="159"/>
      <c r="K124" s="88"/>
      <c r="L124" s="464"/>
      <c r="M124" s="155"/>
      <c r="N124" s="155"/>
    </row>
    <row r="125" spans="1:15" s="45" customFormat="1" x14ac:dyDescent="0.25">
      <c r="D125" s="39"/>
      <c r="E125" s="161"/>
      <c r="F125" s="92"/>
      <c r="G125" s="39"/>
      <c r="H125" s="102"/>
      <c r="I125" s="100"/>
      <c r="J125" s="152"/>
      <c r="K125" s="92"/>
      <c r="L125" s="162"/>
      <c r="M125" s="155"/>
      <c r="N125" s="155"/>
    </row>
    <row r="126" spans="1:15" s="45" customFormat="1" x14ac:dyDescent="0.25">
      <c r="D126" s="39"/>
      <c r="E126" s="79"/>
      <c r="F126" s="92"/>
      <c r="G126" s="39"/>
      <c r="H126" s="102"/>
      <c r="I126" s="100"/>
      <c r="J126" s="152"/>
      <c r="K126" s="92"/>
      <c r="L126" s="162"/>
      <c r="M126" s="155"/>
      <c r="N126" s="155"/>
    </row>
    <row r="127" spans="1:15" ht="13" x14ac:dyDescent="0.3">
      <c r="B127" s="94" t="s">
        <v>209</v>
      </c>
      <c r="C127" s="165"/>
      <c r="D127" s="15"/>
      <c r="E127" s="166"/>
      <c r="F127" s="120"/>
      <c r="G127" s="15"/>
      <c r="H127" s="145"/>
      <c r="I127" s="156"/>
      <c r="J127" s="167"/>
      <c r="K127" s="120"/>
      <c r="L127" s="148"/>
      <c r="M127" s="155"/>
      <c r="N127" s="155"/>
      <c r="O127" s="45"/>
    </row>
    <row r="128" spans="1:15" x14ac:dyDescent="0.25">
      <c r="B128" s="97"/>
      <c r="C128" s="45"/>
      <c r="D128" s="39"/>
      <c r="E128" s="79"/>
      <c r="F128" s="92"/>
      <c r="H128" s="102"/>
      <c r="I128" s="100"/>
      <c r="J128" s="152"/>
      <c r="K128" s="92"/>
      <c r="L128" s="99"/>
      <c r="M128" s="155"/>
      <c r="N128" s="155"/>
      <c r="O128" s="112" t="s">
        <v>210</v>
      </c>
    </row>
    <row r="129" spans="2:17" x14ac:dyDescent="0.25">
      <c r="B129" s="73" t="s">
        <v>126</v>
      </c>
      <c r="C129" s="74" t="s">
        <v>127</v>
      </c>
      <c r="D129" s="75">
        <v>60.025001175986063</v>
      </c>
      <c r="E129" s="76">
        <v>557.39</v>
      </c>
      <c r="F129" s="92">
        <f>ROUND(D129*E129,2)</f>
        <v>33457.339999999997</v>
      </c>
      <c r="H129" s="76">
        <v>606.5</v>
      </c>
      <c r="I129" s="100">
        <f>ROUND(D129*H129,2)</f>
        <v>36405.160000000003</v>
      </c>
      <c r="J129" s="152"/>
      <c r="K129" s="92">
        <f>I129-F129</f>
        <v>2947.820000000007</v>
      </c>
      <c r="L129" s="168"/>
      <c r="M129" s="155"/>
      <c r="N129" s="155"/>
      <c r="O129" s="77">
        <v>1096573.8883582607</v>
      </c>
      <c r="Q129" s="108">
        <f>H129/E129-1</f>
        <v>8.8107070453363079E-2</v>
      </c>
    </row>
    <row r="130" spans="2:17" x14ac:dyDescent="0.25">
      <c r="B130" s="97" t="s">
        <v>134</v>
      </c>
      <c r="C130" s="45" t="s">
        <v>132</v>
      </c>
      <c r="D130" s="75">
        <v>0</v>
      </c>
      <c r="E130" s="76">
        <v>1.38</v>
      </c>
      <c r="F130" s="92">
        <f>ROUND(D130*E130,2)</f>
        <v>0</v>
      </c>
      <c r="H130" s="76">
        <v>1.45</v>
      </c>
      <c r="I130" s="100">
        <f>ROUND(D130*H130,2)</f>
        <v>0</v>
      </c>
      <c r="J130" s="152"/>
      <c r="K130" s="92">
        <f>I130-F130</f>
        <v>0</v>
      </c>
      <c r="L130" s="168"/>
      <c r="M130" s="155"/>
      <c r="N130" s="155"/>
      <c r="O130" s="130" t="s">
        <v>166</v>
      </c>
      <c r="Q130" s="108">
        <f>H130/E130-1</f>
        <v>5.0724637681159424E-2</v>
      </c>
    </row>
    <row r="131" spans="2:17" x14ac:dyDescent="0.25">
      <c r="B131" s="97" t="s">
        <v>131</v>
      </c>
      <c r="C131" s="45"/>
      <c r="D131" s="39">
        <f>D141</f>
        <v>23337042.118500695</v>
      </c>
      <c r="E131" s="78">
        <v>5.94E-3</v>
      </c>
      <c r="F131" s="92">
        <f>ROUND(D131*E131,2)</f>
        <v>138622.03</v>
      </c>
      <c r="H131" s="78">
        <v>8.43E-3</v>
      </c>
      <c r="I131" s="92">
        <f>ROUND(D131*H131,2)</f>
        <v>196731.27</v>
      </c>
      <c r="J131" s="152"/>
      <c r="K131" s="92">
        <f>I131-F131</f>
        <v>58109.239999999991</v>
      </c>
      <c r="L131" s="168"/>
      <c r="M131" s="155"/>
      <c r="N131" s="155"/>
      <c r="O131" s="119">
        <f>+K141+K164-O129</f>
        <v>-0.11835826118476689</v>
      </c>
      <c r="Q131" s="108">
        <f>H131/E131-1</f>
        <v>0.41919191919191912</v>
      </c>
    </row>
    <row r="132" spans="2:17" x14ac:dyDescent="0.25">
      <c r="B132" s="97" t="s">
        <v>141</v>
      </c>
      <c r="C132" s="45"/>
      <c r="D132" s="39"/>
      <c r="E132" s="76"/>
      <c r="F132" s="146">
        <v>34827.85</v>
      </c>
      <c r="H132" s="79" t="s">
        <v>148</v>
      </c>
      <c r="I132" s="100">
        <f>F132</f>
        <v>34827.85</v>
      </c>
      <c r="J132" s="152"/>
      <c r="K132" s="92">
        <f>I132-F132</f>
        <v>0</v>
      </c>
      <c r="L132" s="168"/>
      <c r="M132" s="155"/>
      <c r="N132" s="155"/>
      <c r="O132" s="478"/>
    </row>
    <row r="133" spans="2:17" x14ac:dyDescent="0.25">
      <c r="B133" s="97"/>
      <c r="C133" s="45"/>
      <c r="D133" s="39"/>
      <c r="E133" s="76"/>
      <c r="F133" s="92"/>
      <c r="H133" s="79"/>
      <c r="I133" s="100"/>
      <c r="J133" s="152"/>
      <c r="K133" s="138"/>
      <c r="L133" s="168"/>
      <c r="M133" s="155"/>
      <c r="N133" s="155"/>
      <c r="O133" s="83">
        <v>0.260434</v>
      </c>
    </row>
    <row r="134" spans="2:17" x14ac:dyDescent="0.25">
      <c r="B134" s="97" t="s">
        <v>135</v>
      </c>
      <c r="C134" s="45"/>
      <c r="D134" s="39"/>
      <c r="E134" s="76"/>
      <c r="F134" s="92"/>
      <c r="H134" s="79"/>
      <c r="I134" s="100"/>
      <c r="J134" s="152"/>
      <c r="K134" s="138"/>
      <c r="L134" s="168"/>
      <c r="M134" s="155"/>
      <c r="N134" s="155"/>
      <c r="O134" s="163"/>
      <c r="P134" s="307"/>
      <c r="Q134" s="307"/>
    </row>
    <row r="135" spans="2:17" x14ac:dyDescent="0.25">
      <c r="B135" s="97" t="s">
        <v>142</v>
      </c>
      <c r="C135" s="45" t="s">
        <v>129</v>
      </c>
      <c r="D135" s="75">
        <v>1500625.1839999999</v>
      </c>
      <c r="E135" s="78">
        <v>0.1391</v>
      </c>
      <c r="F135" s="92">
        <f t="shared" ref="F135:F140" si="0">ROUND(D135*E135,2)</f>
        <v>208736.96</v>
      </c>
      <c r="H135" s="79">
        <f t="shared" ref="H135:H140" si="1">ROUND(E135*(1+$O$133),5)</f>
        <v>0.17533000000000001</v>
      </c>
      <c r="I135" s="100">
        <f t="shared" ref="I135:I140" si="2">ROUND(D135*H135,2)</f>
        <v>263104.61</v>
      </c>
      <c r="J135" s="152"/>
      <c r="K135" s="92">
        <f t="shared" ref="K135:K140" si="3">I135-F135</f>
        <v>54367.649999999994</v>
      </c>
      <c r="L135" s="168"/>
      <c r="M135" s="155"/>
      <c r="N135" s="155"/>
      <c r="O135" s="138"/>
      <c r="P135" s="44"/>
      <c r="Q135" s="108">
        <f t="shared" ref="Q135:Q140" si="4">H135/E135-1</f>
        <v>0.26046010064701663</v>
      </c>
    </row>
    <row r="136" spans="2:17" x14ac:dyDescent="0.25">
      <c r="B136" s="97" t="s">
        <v>143</v>
      </c>
      <c r="C136" s="45" t="s">
        <v>129</v>
      </c>
      <c r="D136" s="75">
        <v>1470839.4029999999</v>
      </c>
      <c r="E136" s="78">
        <v>8.4059999999999996E-2</v>
      </c>
      <c r="F136" s="92">
        <f t="shared" si="0"/>
        <v>123638.76</v>
      </c>
      <c r="H136" s="79">
        <f t="shared" si="1"/>
        <v>0.10595</v>
      </c>
      <c r="I136" s="100">
        <f t="shared" si="2"/>
        <v>155835.43</v>
      </c>
      <c r="J136" s="152"/>
      <c r="K136" s="92">
        <f t="shared" si="3"/>
        <v>32196.67</v>
      </c>
      <c r="L136" s="168"/>
      <c r="M136" s="155"/>
      <c r="N136" s="155"/>
      <c r="O136" s="138"/>
      <c r="P136" s="45"/>
      <c r="Q136" s="108">
        <f t="shared" si="4"/>
        <v>0.26040923150130868</v>
      </c>
    </row>
    <row r="137" spans="2:17" x14ac:dyDescent="0.25">
      <c r="B137" s="97" t="s">
        <v>145</v>
      </c>
      <c r="C137" s="45" t="s">
        <v>129</v>
      </c>
      <c r="D137" s="75">
        <v>2603460.2510000002</v>
      </c>
      <c r="E137" s="78">
        <v>5.3490000000000003E-2</v>
      </c>
      <c r="F137" s="92">
        <f t="shared" si="0"/>
        <v>139259.09</v>
      </c>
      <c r="H137" s="79">
        <f t="shared" si="1"/>
        <v>6.7419999999999994E-2</v>
      </c>
      <c r="I137" s="100">
        <f t="shared" si="2"/>
        <v>175525.29</v>
      </c>
      <c r="J137" s="152"/>
      <c r="K137" s="92">
        <f t="shared" si="3"/>
        <v>36266.200000000012</v>
      </c>
      <c r="L137" s="99"/>
      <c r="M137" s="155"/>
      <c r="N137" s="155"/>
      <c r="O137" s="74"/>
      <c r="P137" s="74"/>
      <c r="Q137" s="108">
        <f t="shared" si="4"/>
        <v>0.26042250888016438</v>
      </c>
    </row>
    <row r="138" spans="2:17" x14ac:dyDescent="0.25">
      <c r="B138" s="97" t="s">
        <v>16</v>
      </c>
      <c r="C138" s="45" t="s">
        <v>129</v>
      </c>
      <c r="D138" s="75">
        <v>3197116.5289999996</v>
      </c>
      <c r="E138" s="78">
        <v>3.4299999999999997E-2</v>
      </c>
      <c r="F138" s="92">
        <f t="shared" si="0"/>
        <v>109661.1</v>
      </c>
      <c r="H138" s="79">
        <f t="shared" si="1"/>
        <v>4.3229999999999998E-2</v>
      </c>
      <c r="I138" s="100">
        <f t="shared" si="2"/>
        <v>138211.35</v>
      </c>
      <c r="J138" s="152"/>
      <c r="K138" s="92">
        <f t="shared" si="3"/>
        <v>28550.25</v>
      </c>
      <c r="L138" s="99"/>
      <c r="M138" s="155"/>
      <c r="N138" s="155"/>
      <c r="O138" s="45"/>
      <c r="P138" s="45"/>
      <c r="Q138" s="108">
        <f t="shared" si="4"/>
        <v>0.2603498542274052</v>
      </c>
    </row>
    <row r="139" spans="2:17" x14ac:dyDescent="0.25">
      <c r="B139" s="97" t="s">
        <v>15</v>
      </c>
      <c r="C139" s="45" t="s">
        <v>129</v>
      </c>
      <c r="D139" s="75">
        <v>3739136.7420000001</v>
      </c>
      <c r="E139" s="78">
        <v>2.4680000000000001E-2</v>
      </c>
      <c r="F139" s="92">
        <f t="shared" si="0"/>
        <v>92281.89</v>
      </c>
      <c r="H139" s="79">
        <f t="shared" si="1"/>
        <v>3.1109999999999999E-2</v>
      </c>
      <c r="I139" s="100">
        <f t="shared" si="2"/>
        <v>116324.54</v>
      </c>
      <c r="J139" s="152"/>
      <c r="K139" s="92">
        <f t="shared" si="3"/>
        <v>24042.649999999994</v>
      </c>
      <c r="L139" s="99"/>
      <c r="M139" s="155"/>
      <c r="N139" s="155"/>
      <c r="P139" s="45"/>
      <c r="Q139" s="108">
        <f t="shared" si="4"/>
        <v>0.26053484602917343</v>
      </c>
    </row>
    <row r="140" spans="2:17" x14ac:dyDescent="0.25">
      <c r="B140" s="97" t="s">
        <v>149</v>
      </c>
      <c r="C140" s="45" t="s">
        <v>129</v>
      </c>
      <c r="D140" s="75">
        <v>10825864.009500694</v>
      </c>
      <c r="E140" s="78">
        <v>1.9029999999999998E-2</v>
      </c>
      <c r="F140" s="92">
        <f t="shared" si="0"/>
        <v>206016.19</v>
      </c>
      <c r="H140" s="79">
        <f t="shared" si="1"/>
        <v>2.3990000000000001E-2</v>
      </c>
      <c r="I140" s="100">
        <f t="shared" si="2"/>
        <v>259712.48</v>
      </c>
      <c r="J140" s="152"/>
      <c r="K140" s="92">
        <f t="shared" si="3"/>
        <v>53696.290000000008</v>
      </c>
      <c r="L140" s="99"/>
      <c r="M140" s="155"/>
      <c r="N140" s="155"/>
      <c r="O140" s="45"/>
      <c r="P140" s="74"/>
      <c r="Q140" s="108">
        <f t="shared" si="4"/>
        <v>0.26064109301103544</v>
      </c>
    </row>
    <row r="141" spans="2:17" x14ac:dyDescent="0.25">
      <c r="B141" s="73" t="s">
        <v>170</v>
      </c>
      <c r="C141" s="45" t="s">
        <v>129</v>
      </c>
      <c r="D141" s="15">
        <f>SUM(D135:D140)</f>
        <v>23337042.118500695</v>
      </c>
      <c r="E141" s="78"/>
      <c r="F141" s="156">
        <f>SUM(F129:F140)</f>
        <v>1086501.21</v>
      </c>
      <c r="H141" s="102"/>
      <c r="I141" s="156">
        <f>SUM(I129:I140)</f>
        <v>1376677.9799999997</v>
      </c>
      <c r="J141" s="152"/>
      <c r="K141" s="156">
        <f>I141-F141</f>
        <v>290176.76999999979</v>
      </c>
      <c r="L141" s="148">
        <f>K141/F141</f>
        <v>0.26707450238366492</v>
      </c>
      <c r="M141" s="155"/>
      <c r="N141" s="155"/>
      <c r="O141" s="45"/>
      <c r="P141" s="93"/>
      <c r="Q141" s="465"/>
    </row>
    <row r="142" spans="2:17" x14ac:dyDescent="0.25">
      <c r="B142" s="73"/>
      <c r="C142" s="74"/>
      <c r="D142" s="39"/>
      <c r="E142" s="78"/>
      <c r="F142" s="92"/>
      <c r="H142" s="102"/>
      <c r="I142" s="100"/>
      <c r="J142" s="152"/>
      <c r="K142" s="92"/>
      <c r="L142" s="104"/>
      <c r="M142" s="155"/>
      <c r="N142" s="134"/>
      <c r="O142" s="164"/>
      <c r="P142" s="45"/>
      <c r="Q142" s="39"/>
    </row>
    <row r="143" spans="2:17" x14ac:dyDescent="0.25">
      <c r="B143" s="97" t="s">
        <v>167</v>
      </c>
      <c r="C143" s="74"/>
      <c r="D143" s="39"/>
      <c r="E143" s="78"/>
      <c r="F143" s="92"/>
      <c r="H143" s="102"/>
      <c r="I143" s="100"/>
      <c r="J143" s="152"/>
      <c r="K143" s="92"/>
      <c r="L143" s="104"/>
      <c r="M143" s="155"/>
      <c r="N143" s="155"/>
      <c r="O143" s="74"/>
      <c r="P143" s="74"/>
      <c r="Q143" s="45"/>
    </row>
    <row r="144" spans="2:17" x14ac:dyDescent="0.25">
      <c r="B144" s="97" t="s">
        <v>189</v>
      </c>
      <c r="C144" s="45" t="s">
        <v>129</v>
      </c>
      <c r="D144" s="149">
        <f>D141</f>
        <v>23337042.118500695</v>
      </c>
      <c r="E144" s="78">
        <v>0.27044000000000001</v>
      </c>
      <c r="F144" s="100">
        <f>+E144*D144</f>
        <v>6311269.6705273278</v>
      </c>
      <c r="G144" s="150"/>
      <c r="H144" s="82">
        <f>E144</f>
        <v>0.27044000000000001</v>
      </c>
      <c r="I144" s="100">
        <f>+H144*D144</f>
        <v>6311269.6705273278</v>
      </c>
      <c r="J144" s="152"/>
      <c r="K144" s="92">
        <f>I144-F144</f>
        <v>0</v>
      </c>
      <c r="L144" s="99"/>
      <c r="M144" s="155"/>
      <c r="N144" s="155"/>
      <c r="O144" s="45"/>
      <c r="P144" s="45"/>
      <c r="Q144" s="45"/>
    </row>
    <row r="145" spans="1:17" x14ac:dyDescent="0.25">
      <c r="B145" s="97" t="s">
        <v>134</v>
      </c>
      <c r="C145" s="45" t="s">
        <v>132</v>
      </c>
      <c r="D145" s="149">
        <f>D130</f>
        <v>0</v>
      </c>
      <c r="E145" s="76">
        <v>1.05</v>
      </c>
      <c r="F145" s="100">
        <f>D145*E145</f>
        <v>0</v>
      </c>
      <c r="G145" s="150"/>
      <c r="H145" s="114">
        <f>E145</f>
        <v>1.05</v>
      </c>
      <c r="I145" s="100">
        <f>D145*H145</f>
        <v>0</v>
      </c>
      <c r="J145" s="152"/>
      <c r="K145" s="92">
        <f>I145-F145</f>
        <v>0</v>
      </c>
      <c r="L145" s="104"/>
      <c r="M145" s="155"/>
      <c r="N145" s="155"/>
      <c r="O145" s="74"/>
      <c r="P145" s="74"/>
      <c r="Q145" s="45"/>
    </row>
    <row r="146" spans="1:17" x14ac:dyDescent="0.25">
      <c r="B146" s="73" t="s">
        <v>190</v>
      </c>
      <c r="C146" s="74"/>
      <c r="D146" s="45"/>
      <c r="E146" s="102"/>
      <c r="F146" s="156">
        <f>SUM(F144:F145)</f>
        <v>6311269.6705273278</v>
      </c>
      <c r="G146" s="45"/>
      <c r="H146" s="102"/>
      <c r="I146" s="156">
        <f>SUM(I144:I145)</f>
        <v>6311269.6705273278</v>
      </c>
      <c r="J146" s="156"/>
      <c r="K146" s="156">
        <f>I146-F146</f>
        <v>0</v>
      </c>
      <c r="L146" s="148">
        <f>ROUND(K146/F146,5)</f>
        <v>0</v>
      </c>
      <c r="M146" s="155"/>
      <c r="N146" s="155"/>
      <c r="O146" s="45"/>
      <c r="P146" s="45"/>
      <c r="Q146" s="45"/>
    </row>
    <row r="147" spans="1:17" x14ac:dyDescent="0.25">
      <c r="B147" s="97"/>
      <c r="C147" s="45"/>
      <c r="D147" s="39"/>
      <c r="E147" s="102"/>
      <c r="F147" s="100"/>
      <c r="H147" s="102"/>
      <c r="I147" s="100"/>
      <c r="J147" s="100"/>
      <c r="K147" s="92"/>
      <c r="L147" s="104"/>
      <c r="M147" s="155"/>
      <c r="N147" s="155"/>
      <c r="O147" s="74"/>
      <c r="P147" s="45"/>
      <c r="Q147" s="39"/>
    </row>
    <row r="148" spans="1:17" x14ac:dyDescent="0.25">
      <c r="B148" s="97" t="s">
        <v>168</v>
      </c>
      <c r="C148" s="45"/>
      <c r="D148" s="39"/>
      <c r="E148" s="102"/>
      <c r="F148" s="156">
        <f>F141+F146</f>
        <v>7397770.8805273278</v>
      </c>
      <c r="H148" s="102"/>
      <c r="I148" s="156">
        <f>I141+I146</f>
        <v>7687947.6505273273</v>
      </c>
      <c r="J148" s="152"/>
      <c r="K148" s="156">
        <f>K141+K146</f>
        <v>290176.76999999979</v>
      </c>
      <c r="L148" s="148">
        <f>K148/F148</f>
        <v>3.9224892834112131E-2</v>
      </c>
      <c r="M148" s="155"/>
      <c r="N148" s="155"/>
      <c r="O148" s="45"/>
      <c r="P148" s="45"/>
      <c r="Q148" s="39"/>
    </row>
    <row r="149" spans="1:17" x14ac:dyDescent="0.25">
      <c r="A149" s="45"/>
      <c r="B149" s="86"/>
      <c r="C149" s="87"/>
      <c r="D149" s="89"/>
      <c r="E149" s="157"/>
      <c r="F149" s="88"/>
      <c r="G149" s="89"/>
      <c r="H149" s="151"/>
      <c r="I149" s="158"/>
      <c r="J149" s="159"/>
      <c r="K149" s="88"/>
      <c r="L149" s="464"/>
      <c r="M149" s="155"/>
      <c r="N149" s="155"/>
      <c r="O149" s="74"/>
      <c r="P149" s="45"/>
      <c r="Q149" s="39"/>
    </row>
    <row r="150" spans="1:17" x14ac:dyDescent="0.25">
      <c r="A150" s="45"/>
      <c r="B150" s="45"/>
      <c r="C150" s="45"/>
      <c r="D150" s="39"/>
      <c r="E150" s="79"/>
      <c r="F150" s="92"/>
      <c r="H150" s="102"/>
      <c r="I150" s="100"/>
      <c r="J150" s="152"/>
      <c r="K150" s="92"/>
      <c r="L150" s="162"/>
      <c r="M150" s="155"/>
      <c r="N150" s="155"/>
      <c r="O150" s="45"/>
      <c r="P150" s="45"/>
      <c r="Q150" s="39"/>
    </row>
    <row r="151" spans="1:17" ht="13" x14ac:dyDescent="0.3">
      <c r="A151" s="45"/>
      <c r="B151" s="94" t="s">
        <v>211</v>
      </c>
      <c r="C151" s="165"/>
      <c r="D151" s="15"/>
      <c r="E151" s="166"/>
      <c r="F151" s="120"/>
      <c r="G151" s="15"/>
      <c r="H151" s="145"/>
      <c r="I151" s="156"/>
      <c r="J151" s="167"/>
      <c r="K151" s="120"/>
      <c r="L151" s="148"/>
      <c r="M151" s="155"/>
      <c r="N151" s="155"/>
      <c r="O151" s="45"/>
      <c r="P151" s="45"/>
      <c r="Q151" s="39"/>
    </row>
    <row r="152" spans="1:17" x14ac:dyDescent="0.25">
      <c r="A152" s="45"/>
      <c r="B152" s="97"/>
      <c r="C152" s="45"/>
      <c r="D152" s="39"/>
      <c r="E152" s="79"/>
      <c r="F152" s="92"/>
      <c r="H152" s="102"/>
      <c r="I152" s="100"/>
      <c r="J152" s="152"/>
      <c r="K152" s="92"/>
      <c r="L152" s="99"/>
      <c r="M152" s="155"/>
      <c r="N152" s="155"/>
      <c r="O152" s="45"/>
      <c r="P152" s="45"/>
      <c r="Q152" s="39"/>
    </row>
    <row r="153" spans="1:17" x14ac:dyDescent="0.25">
      <c r="A153" s="45"/>
      <c r="B153" s="73" t="s">
        <v>126</v>
      </c>
      <c r="C153" s="74" t="s">
        <v>127</v>
      </c>
      <c r="D153" s="75">
        <v>118.76667017913593</v>
      </c>
      <c r="E153" s="76">
        <v>891.83</v>
      </c>
      <c r="F153" s="92">
        <f>ROUND(D153*E153,2)</f>
        <v>105919.67999999999</v>
      </c>
      <c r="H153" s="76">
        <v>918.31</v>
      </c>
      <c r="I153" s="100">
        <f>ROUND(D153*H153,2)</f>
        <v>109064.62</v>
      </c>
      <c r="J153" s="152"/>
      <c r="K153" s="92">
        <f>I153-F153</f>
        <v>3144.9400000000023</v>
      </c>
      <c r="L153" s="168"/>
      <c r="M153" s="155"/>
      <c r="N153" s="155"/>
      <c r="O153" s="45"/>
      <c r="P153" s="45"/>
      <c r="Q153" s="108">
        <f>H153/E153-1</f>
        <v>2.9691757397710239E-2</v>
      </c>
    </row>
    <row r="154" spans="1:17" x14ac:dyDescent="0.25">
      <c r="A154" s="45"/>
      <c r="B154" s="97" t="s">
        <v>134</v>
      </c>
      <c r="C154" s="45" t="s">
        <v>132</v>
      </c>
      <c r="D154" s="75">
        <v>308558</v>
      </c>
      <c r="E154" s="76">
        <v>1.38</v>
      </c>
      <c r="F154" s="92">
        <f>ROUND(D154*E154,2)</f>
        <v>425810.04</v>
      </c>
      <c r="H154" s="102">
        <f>H130</f>
        <v>1.45</v>
      </c>
      <c r="I154" s="100">
        <f>ROUND(D154*H154,2)</f>
        <v>447409.1</v>
      </c>
      <c r="J154" s="152"/>
      <c r="K154" s="92">
        <f>I154-F154</f>
        <v>21599.059999999998</v>
      </c>
      <c r="L154" s="168"/>
      <c r="M154" s="155"/>
      <c r="N154" s="155"/>
      <c r="Q154" s="108">
        <f>H154/E154-1</f>
        <v>5.0724637681159424E-2</v>
      </c>
    </row>
    <row r="155" spans="1:17" x14ac:dyDescent="0.25">
      <c r="A155" s="45"/>
      <c r="B155" s="97" t="s">
        <v>141</v>
      </c>
      <c r="C155" s="45"/>
      <c r="D155" s="75"/>
      <c r="E155" s="76"/>
      <c r="F155" s="146">
        <v>0</v>
      </c>
      <c r="H155" s="102"/>
      <c r="I155" s="100">
        <f>F155</f>
        <v>0</v>
      </c>
      <c r="J155" s="152"/>
      <c r="K155" s="138"/>
      <c r="L155" s="168"/>
      <c r="M155" s="155"/>
      <c r="N155" s="155"/>
    </row>
    <row r="156" spans="1:17" x14ac:dyDescent="0.25">
      <c r="A156" s="45"/>
      <c r="B156" s="97"/>
      <c r="C156" s="45"/>
      <c r="D156" s="75"/>
      <c r="E156" s="78"/>
      <c r="F156" s="92"/>
      <c r="H156" s="107"/>
      <c r="I156" s="100"/>
      <c r="J156" s="152"/>
      <c r="K156" s="138"/>
      <c r="L156" s="168"/>
      <c r="M156" s="155"/>
      <c r="N156" s="155"/>
    </row>
    <row r="157" spans="1:17" x14ac:dyDescent="0.25">
      <c r="A157" s="45"/>
      <c r="B157" s="97" t="s">
        <v>135</v>
      </c>
      <c r="C157" s="45"/>
      <c r="D157" s="75"/>
      <c r="E157" s="76"/>
      <c r="F157" s="92"/>
      <c r="H157" s="79"/>
      <c r="I157" s="100"/>
      <c r="J157" s="152"/>
      <c r="K157" s="138"/>
      <c r="L157" s="168"/>
      <c r="M157" s="155"/>
      <c r="N157" s="155"/>
    </row>
    <row r="158" spans="1:17" x14ac:dyDescent="0.25">
      <c r="A158" s="45"/>
      <c r="B158" s="97" t="s">
        <v>142</v>
      </c>
      <c r="C158" s="45" t="s">
        <v>129</v>
      </c>
      <c r="D158" s="75">
        <v>3000000</v>
      </c>
      <c r="E158" s="78">
        <v>0.1391</v>
      </c>
      <c r="F158" s="92">
        <f t="shared" ref="F158:F163" si="5">ROUND(D158*E158,2)</f>
        <v>417300</v>
      </c>
      <c r="H158" s="79">
        <f t="shared" ref="H158:H163" si="6">H135</f>
        <v>0.17533000000000001</v>
      </c>
      <c r="I158" s="100">
        <f t="shared" ref="I158:I163" si="7">ROUND(D158*H158,2)</f>
        <v>525990</v>
      </c>
      <c r="J158" s="152"/>
      <c r="K158" s="92">
        <f t="shared" ref="K158:K163" si="8">I158-F158</f>
        <v>108690</v>
      </c>
      <c r="L158" s="479"/>
      <c r="M158" s="155"/>
      <c r="N158" s="155"/>
      <c r="Q158" s="108">
        <f t="shared" ref="Q158:Q163" si="9">H158/E158-1</f>
        <v>0.26046010064701663</v>
      </c>
    </row>
    <row r="159" spans="1:17" x14ac:dyDescent="0.25">
      <c r="A159" s="45"/>
      <c r="B159" s="97" t="s">
        <v>143</v>
      </c>
      <c r="C159" s="45" t="s">
        <v>129</v>
      </c>
      <c r="D159" s="75">
        <v>3000000</v>
      </c>
      <c r="E159" s="78">
        <v>8.4059999999999996E-2</v>
      </c>
      <c r="F159" s="92">
        <f t="shared" si="5"/>
        <v>252180</v>
      </c>
      <c r="H159" s="79">
        <f t="shared" si="6"/>
        <v>0.10595</v>
      </c>
      <c r="I159" s="100">
        <f t="shared" si="7"/>
        <v>317850</v>
      </c>
      <c r="J159" s="152"/>
      <c r="K159" s="92">
        <f t="shared" si="8"/>
        <v>65670</v>
      </c>
      <c r="L159" s="479"/>
      <c r="M159" s="155"/>
      <c r="N159" s="155"/>
      <c r="Q159" s="108">
        <f t="shared" si="9"/>
        <v>0.26040923150130868</v>
      </c>
    </row>
    <row r="160" spans="1:17" x14ac:dyDescent="0.25">
      <c r="A160" s="45"/>
      <c r="B160" s="97" t="s">
        <v>145</v>
      </c>
      <c r="C160" s="45" t="s">
        <v>129</v>
      </c>
      <c r="D160" s="75">
        <v>5983755.4799999995</v>
      </c>
      <c r="E160" s="78">
        <v>5.3490000000000003E-2</v>
      </c>
      <c r="F160" s="92">
        <f t="shared" si="5"/>
        <v>320071.08</v>
      </c>
      <c r="H160" s="79">
        <f t="shared" si="6"/>
        <v>6.7419999999999994E-2</v>
      </c>
      <c r="I160" s="100">
        <f t="shared" si="7"/>
        <v>403424.79</v>
      </c>
      <c r="J160" s="152"/>
      <c r="K160" s="92">
        <f t="shared" si="8"/>
        <v>83353.709999999963</v>
      </c>
      <c r="L160" s="479"/>
      <c r="M160" s="155"/>
      <c r="N160" s="155"/>
      <c r="Q160" s="108">
        <f t="shared" si="9"/>
        <v>0.26042250888016438</v>
      </c>
    </row>
    <row r="161" spans="1:17" x14ac:dyDescent="0.25">
      <c r="A161" s="45"/>
      <c r="B161" s="97" t="s">
        <v>16</v>
      </c>
      <c r="C161" s="45" t="s">
        <v>129</v>
      </c>
      <c r="D161" s="75">
        <v>11737512.85</v>
      </c>
      <c r="E161" s="78">
        <v>3.4299999999999997E-2</v>
      </c>
      <c r="F161" s="92">
        <f t="shared" si="5"/>
        <v>402596.69</v>
      </c>
      <c r="H161" s="79">
        <f t="shared" si="6"/>
        <v>4.3229999999999998E-2</v>
      </c>
      <c r="I161" s="100">
        <f t="shared" si="7"/>
        <v>507412.68</v>
      </c>
      <c r="J161" s="152"/>
      <c r="K161" s="92">
        <f t="shared" si="8"/>
        <v>104815.98999999999</v>
      </c>
      <c r="L161" s="479"/>
      <c r="M161" s="155"/>
      <c r="N161" s="155"/>
      <c r="Q161" s="108">
        <f t="shared" si="9"/>
        <v>0.2603498542274052</v>
      </c>
    </row>
    <row r="162" spans="1:17" x14ac:dyDescent="0.25">
      <c r="A162" s="45"/>
      <c r="B162" s="97" t="s">
        <v>15</v>
      </c>
      <c r="C162" s="45" t="s">
        <v>129</v>
      </c>
      <c r="D162" s="75">
        <v>26253607.010000002</v>
      </c>
      <c r="E162" s="78">
        <v>2.4680000000000001E-2</v>
      </c>
      <c r="F162" s="92">
        <f t="shared" si="5"/>
        <v>647939.02</v>
      </c>
      <c r="H162" s="79">
        <f t="shared" si="6"/>
        <v>3.1109999999999999E-2</v>
      </c>
      <c r="I162" s="100">
        <f t="shared" si="7"/>
        <v>816749.71</v>
      </c>
      <c r="J162" s="152"/>
      <c r="K162" s="92">
        <f t="shared" si="8"/>
        <v>168810.68999999994</v>
      </c>
      <c r="L162" s="479"/>
      <c r="M162" s="155"/>
      <c r="N162" s="155"/>
      <c r="Q162" s="108">
        <f t="shared" si="9"/>
        <v>0.26053484602917343</v>
      </c>
    </row>
    <row r="163" spans="1:17" x14ac:dyDescent="0.25">
      <c r="A163" s="45"/>
      <c r="B163" s="97" t="s">
        <v>149</v>
      </c>
      <c r="C163" s="45" t="s">
        <v>129</v>
      </c>
      <c r="D163" s="75">
        <v>50466253.034701243</v>
      </c>
      <c r="E163" s="78">
        <v>1.9029999999999998E-2</v>
      </c>
      <c r="F163" s="92">
        <f t="shared" si="5"/>
        <v>960372.8</v>
      </c>
      <c r="H163" s="79">
        <f t="shared" si="6"/>
        <v>2.3990000000000001E-2</v>
      </c>
      <c r="I163" s="100">
        <f t="shared" si="7"/>
        <v>1210685.4099999999</v>
      </c>
      <c r="J163" s="152"/>
      <c r="K163" s="92">
        <f t="shared" si="8"/>
        <v>250312.60999999987</v>
      </c>
      <c r="L163" s="479"/>
      <c r="M163" s="155"/>
      <c r="N163" s="155"/>
      <c r="Q163" s="108">
        <f t="shared" si="9"/>
        <v>0.26064109301103544</v>
      </c>
    </row>
    <row r="164" spans="1:17" x14ac:dyDescent="0.25">
      <c r="A164" s="45"/>
      <c r="B164" s="73" t="s">
        <v>170</v>
      </c>
      <c r="C164" s="45"/>
      <c r="D164" s="15">
        <f>SUM(D158:D163)</f>
        <v>100441128.37470125</v>
      </c>
      <c r="E164" s="78"/>
      <c r="F164" s="156">
        <f>SUM(F153:F163)</f>
        <v>3532189.3099999996</v>
      </c>
      <c r="H164" s="79"/>
      <c r="I164" s="156">
        <f>SUM(I153:I163)</f>
        <v>4338586.3099999996</v>
      </c>
      <c r="J164" s="152"/>
      <c r="K164" s="156">
        <f>SUM(K153:K163)</f>
        <v>806396.99999999977</v>
      </c>
      <c r="L164" s="148">
        <f>K164/F164</f>
        <v>0.22829948488802823</v>
      </c>
      <c r="M164" s="155"/>
      <c r="N164" s="155"/>
    </row>
    <row r="165" spans="1:17" x14ac:dyDescent="0.25">
      <c r="A165" s="45"/>
      <c r="B165" s="97"/>
      <c r="C165" s="74"/>
      <c r="D165" s="39"/>
      <c r="E165" s="78"/>
      <c r="F165" s="92"/>
      <c r="H165" s="102"/>
      <c r="I165" s="100"/>
      <c r="J165" s="152"/>
      <c r="K165" s="92"/>
      <c r="L165" s="104"/>
      <c r="M165" s="155"/>
      <c r="N165" s="155"/>
    </row>
    <row r="166" spans="1:17" x14ac:dyDescent="0.25">
      <c r="A166" s="45"/>
      <c r="B166" s="73" t="s">
        <v>185</v>
      </c>
      <c r="C166" s="45" t="s">
        <v>129</v>
      </c>
      <c r="D166" s="149">
        <f>D164</f>
        <v>100441128.37470125</v>
      </c>
      <c r="E166" s="78">
        <v>6.9999999999999999E-4</v>
      </c>
      <c r="F166" s="100">
        <f>+E166*D166</f>
        <v>70308.789862290869</v>
      </c>
      <c r="G166" s="150"/>
      <c r="H166" s="127">
        <v>1E-3</v>
      </c>
      <c r="I166" s="100">
        <f>+H166*D166</f>
        <v>100441.12837470125</v>
      </c>
      <c r="J166" s="152"/>
      <c r="K166" s="92">
        <f>I166-F166</f>
        <v>30132.338512410381</v>
      </c>
      <c r="L166" s="99"/>
      <c r="M166" s="155"/>
      <c r="N166" s="155"/>
    </row>
    <row r="167" spans="1:17" x14ac:dyDescent="0.25">
      <c r="A167" s="45"/>
      <c r="B167" s="97" t="s">
        <v>168</v>
      </c>
      <c r="C167" s="45"/>
      <c r="D167" s="39"/>
      <c r="E167" s="102"/>
      <c r="F167" s="156">
        <f>F166+F164</f>
        <v>3602498.0998622905</v>
      </c>
      <c r="H167" s="102"/>
      <c r="I167" s="156">
        <f>I166+I164</f>
        <v>4439027.438374701</v>
      </c>
      <c r="J167" s="152"/>
      <c r="K167" s="156">
        <f>K166+K164</f>
        <v>836529.33851241018</v>
      </c>
      <c r="L167" s="148">
        <f>K167/F167</f>
        <v>0.23220812761688547</v>
      </c>
      <c r="M167" s="155"/>
      <c r="N167" s="155"/>
      <c r="O167" s="91"/>
    </row>
    <row r="168" spans="1:17" s="45" customFormat="1" x14ac:dyDescent="0.25">
      <c r="B168" s="86"/>
      <c r="C168" s="87"/>
      <c r="D168" s="89"/>
      <c r="E168" s="157"/>
      <c r="F168" s="88"/>
      <c r="G168" s="89"/>
      <c r="H168" s="151"/>
      <c r="I168" s="158"/>
      <c r="J168" s="159"/>
      <c r="K168" s="88"/>
      <c r="L168" s="464"/>
      <c r="M168" s="155"/>
      <c r="N168" s="155"/>
    </row>
    <row r="169" spans="1:17" s="45" customFormat="1" x14ac:dyDescent="0.25">
      <c r="D169" s="39"/>
      <c r="E169" s="79"/>
      <c r="F169" s="92"/>
      <c r="G169" s="39"/>
      <c r="H169" s="102"/>
      <c r="I169" s="100"/>
      <c r="J169" s="152"/>
      <c r="K169" s="92"/>
      <c r="L169" s="162"/>
      <c r="M169" s="155"/>
      <c r="N169" s="155"/>
    </row>
    <row r="170" spans="1:17" ht="13" x14ac:dyDescent="0.3">
      <c r="A170" s="45"/>
      <c r="B170" s="94" t="s">
        <v>212</v>
      </c>
      <c r="C170" s="165"/>
      <c r="D170" s="15"/>
      <c r="E170" s="166"/>
      <c r="F170" s="120"/>
      <c r="G170" s="15"/>
      <c r="H170" s="145"/>
      <c r="I170" s="156"/>
      <c r="J170" s="167"/>
      <c r="K170" s="120"/>
      <c r="L170" s="148"/>
      <c r="M170" s="155"/>
      <c r="N170" s="155"/>
    </row>
    <row r="171" spans="1:17" x14ac:dyDescent="0.25">
      <c r="A171" s="45"/>
      <c r="B171" s="97"/>
      <c r="C171" s="45"/>
      <c r="D171" s="39"/>
      <c r="E171" s="79"/>
      <c r="F171" s="92"/>
      <c r="H171" s="102"/>
      <c r="I171" s="100"/>
      <c r="J171" s="152"/>
      <c r="K171" s="92"/>
      <c r="L171" s="99"/>
      <c r="M171" s="155"/>
      <c r="N171" s="155"/>
    </row>
    <row r="172" spans="1:17" x14ac:dyDescent="0.25">
      <c r="A172" s="45"/>
      <c r="B172" s="73" t="s">
        <v>126</v>
      </c>
      <c r="C172" s="74" t="s">
        <v>127</v>
      </c>
      <c r="D172" s="39">
        <f>D153+D129</f>
        <v>178.79167135512199</v>
      </c>
      <c r="E172" s="128"/>
      <c r="F172" s="92">
        <f>F153+F129</f>
        <v>139377.01999999999</v>
      </c>
      <c r="H172" s="128"/>
      <c r="I172" s="92">
        <f>I153+I129</f>
        <v>145469.78</v>
      </c>
      <c r="J172" s="152"/>
      <c r="K172" s="100">
        <f>I172-F172</f>
        <v>6092.7600000000093</v>
      </c>
      <c r="L172" s="168"/>
      <c r="M172" s="155"/>
      <c r="N172" s="155"/>
    </row>
    <row r="173" spans="1:17" x14ac:dyDescent="0.25">
      <c r="A173" s="45"/>
      <c r="B173" s="97" t="s">
        <v>134</v>
      </c>
      <c r="C173" s="45" t="s">
        <v>132</v>
      </c>
      <c r="D173" s="39">
        <f>D154+D130</f>
        <v>308558</v>
      </c>
      <c r="E173" s="128"/>
      <c r="F173" s="92">
        <f>F154+F130</f>
        <v>425810.04</v>
      </c>
      <c r="H173" s="128"/>
      <c r="I173" s="92">
        <f>I154+I130</f>
        <v>447409.1</v>
      </c>
      <c r="J173" s="152"/>
      <c r="K173" s="100">
        <f>I173-F173</f>
        <v>21599.059999999998</v>
      </c>
      <c r="L173" s="168"/>
      <c r="M173" s="155"/>
      <c r="N173" s="155"/>
    </row>
    <row r="174" spans="1:17" x14ac:dyDescent="0.25">
      <c r="A174" s="45"/>
      <c r="B174" s="97" t="s">
        <v>131</v>
      </c>
      <c r="C174" s="45"/>
      <c r="D174" s="14"/>
      <c r="E174" s="128"/>
      <c r="F174" s="92">
        <f>F131</f>
        <v>138622.03</v>
      </c>
      <c r="H174" s="128"/>
      <c r="I174" s="92">
        <f>I131</f>
        <v>196731.27</v>
      </c>
      <c r="J174" s="152"/>
      <c r="K174" s="100">
        <f>I174-F174</f>
        <v>58109.239999999991</v>
      </c>
      <c r="L174" s="168"/>
      <c r="M174" s="155"/>
      <c r="N174" s="155"/>
    </row>
    <row r="175" spans="1:17" x14ac:dyDescent="0.25">
      <c r="A175" s="45"/>
      <c r="B175" s="97" t="s">
        <v>141</v>
      </c>
      <c r="C175" s="45"/>
      <c r="D175" s="14"/>
      <c r="E175" s="128"/>
      <c r="F175" s="100">
        <f>F155+F132</f>
        <v>34827.85</v>
      </c>
      <c r="H175" s="102"/>
      <c r="I175" s="100">
        <f>I155+I132</f>
        <v>34827.85</v>
      </c>
      <c r="J175" s="152"/>
      <c r="K175" s="100">
        <f>I175-F175</f>
        <v>0</v>
      </c>
      <c r="L175" s="168"/>
      <c r="M175" s="155"/>
      <c r="N175" s="155"/>
    </row>
    <row r="176" spans="1:17" x14ac:dyDescent="0.25">
      <c r="A176" s="45"/>
      <c r="B176" s="97"/>
      <c r="C176" s="45"/>
      <c r="D176" s="39"/>
      <c r="E176" s="102"/>
      <c r="F176" s="169"/>
      <c r="H176" s="79"/>
      <c r="I176" s="169"/>
      <c r="J176" s="152"/>
      <c r="K176" s="100"/>
      <c r="L176" s="168"/>
      <c r="M176" s="155"/>
      <c r="N176" s="155"/>
    </row>
    <row r="177" spans="1:16" ht="12" customHeight="1" x14ac:dyDescent="0.25">
      <c r="A177" s="45"/>
      <c r="B177" s="97" t="s">
        <v>135</v>
      </c>
      <c r="C177" s="45"/>
      <c r="D177" s="39"/>
      <c r="E177" s="102"/>
      <c r="F177" s="92"/>
      <c r="H177" s="79"/>
      <c r="I177" s="92"/>
      <c r="J177" s="152"/>
      <c r="K177" s="100"/>
      <c r="L177" s="168"/>
      <c r="M177" s="155"/>
      <c r="N177" s="155"/>
    </row>
    <row r="178" spans="1:16" x14ac:dyDescent="0.25">
      <c r="A178" s="45"/>
      <c r="B178" s="97" t="s">
        <v>142</v>
      </c>
      <c r="C178" s="45" t="s">
        <v>129</v>
      </c>
      <c r="D178" s="39">
        <f t="shared" ref="D178:D183" si="10">D158+D135</f>
        <v>4500625.1840000004</v>
      </c>
      <c r="E178" s="107"/>
      <c r="F178" s="92">
        <f t="shared" ref="F178:F183" si="11">F158+F135</f>
        <v>626036.96</v>
      </c>
      <c r="H178" s="107"/>
      <c r="I178" s="92">
        <f t="shared" ref="I178:I183" si="12">I158+I135</f>
        <v>789094.61</v>
      </c>
      <c r="J178" s="152"/>
      <c r="K178" s="100">
        <f t="shared" ref="K178:K183" si="13">I178-F178</f>
        <v>163057.65000000002</v>
      </c>
      <c r="L178" s="168"/>
      <c r="M178" s="155"/>
      <c r="N178" s="155"/>
    </row>
    <row r="179" spans="1:16" x14ac:dyDescent="0.25">
      <c r="A179" s="45"/>
      <c r="B179" s="97" t="s">
        <v>143</v>
      </c>
      <c r="C179" s="45" t="s">
        <v>129</v>
      </c>
      <c r="D179" s="39">
        <f t="shared" si="10"/>
        <v>4470839.4029999999</v>
      </c>
      <c r="E179" s="107"/>
      <c r="F179" s="92">
        <f t="shared" si="11"/>
        <v>375818.76</v>
      </c>
      <c r="H179" s="107"/>
      <c r="I179" s="92">
        <f t="shared" si="12"/>
        <v>473685.43</v>
      </c>
      <c r="J179" s="152"/>
      <c r="K179" s="100">
        <f t="shared" si="13"/>
        <v>97866.669999999984</v>
      </c>
      <c r="L179" s="168"/>
      <c r="M179" s="155"/>
      <c r="N179" s="155"/>
    </row>
    <row r="180" spans="1:16" x14ac:dyDescent="0.25">
      <c r="A180" s="45"/>
      <c r="B180" s="97" t="s">
        <v>145</v>
      </c>
      <c r="C180" s="45" t="s">
        <v>129</v>
      </c>
      <c r="D180" s="39">
        <f t="shared" si="10"/>
        <v>8587215.7309999987</v>
      </c>
      <c r="E180" s="107"/>
      <c r="F180" s="92">
        <f t="shared" si="11"/>
        <v>459330.17000000004</v>
      </c>
      <c r="H180" s="107"/>
      <c r="I180" s="92">
        <f t="shared" si="12"/>
        <v>578950.07999999996</v>
      </c>
      <c r="J180" s="152"/>
      <c r="K180" s="100">
        <f t="shared" si="13"/>
        <v>119619.90999999992</v>
      </c>
      <c r="L180" s="99"/>
      <c r="M180" s="155"/>
      <c r="N180" s="155"/>
    </row>
    <row r="181" spans="1:16" x14ac:dyDescent="0.25">
      <c r="A181" s="45"/>
      <c r="B181" s="97" t="s">
        <v>16</v>
      </c>
      <c r="C181" s="45" t="s">
        <v>129</v>
      </c>
      <c r="D181" s="39">
        <f t="shared" si="10"/>
        <v>14934629.378999999</v>
      </c>
      <c r="E181" s="107"/>
      <c r="F181" s="92">
        <f t="shared" si="11"/>
        <v>512257.79000000004</v>
      </c>
      <c r="H181" s="107"/>
      <c r="I181" s="92">
        <f t="shared" si="12"/>
        <v>645624.03</v>
      </c>
      <c r="J181" s="152"/>
      <c r="K181" s="100">
        <f t="shared" si="13"/>
        <v>133366.24</v>
      </c>
      <c r="L181" s="99"/>
      <c r="M181" s="155"/>
      <c r="N181" s="155"/>
    </row>
    <row r="182" spans="1:16" x14ac:dyDescent="0.25">
      <c r="A182" s="45"/>
      <c r="B182" s="97" t="s">
        <v>15</v>
      </c>
      <c r="C182" s="45" t="s">
        <v>129</v>
      </c>
      <c r="D182" s="39">
        <f t="shared" si="10"/>
        <v>29992743.752</v>
      </c>
      <c r="E182" s="107"/>
      <c r="F182" s="92">
        <f t="shared" si="11"/>
        <v>740220.91</v>
      </c>
      <c r="H182" s="107"/>
      <c r="I182" s="92">
        <f t="shared" si="12"/>
        <v>933074.25</v>
      </c>
      <c r="J182" s="152"/>
      <c r="K182" s="100">
        <f t="shared" si="13"/>
        <v>192853.33999999997</v>
      </c>
      <c r="L182" s="99"/>
      <c r="M182" s="155"/>
      <c r="N182" s="155"/>
    </row>
    <row r="183" spans="1:16" x14ac:dyDescent="0.25">
      <c r="A183" s="45"/>
      <c r="B183" s="97" t="s">
        <v>149</v>
      </c>
      <c r="C183" s="45" t="s">
        <v>129</v>
      </c>
      <c r="D183" s="39">
        <f t="shared" si="10"/>
        <v>61292117.04420194</v>
      </c>
      <c r="E183" s="107"/>
      <c r="F183" s="92">
        <f t="shared" si="11"/>
        <v>1166388.99</v>
      </c>
      <c r="H183" s="107"/>
      <c r="I183" s="92">
        <f t="shared" si="12"/>
        <v>1470397.89</v>
      </c>
      <c r="J183" s="152"/>
      <c r="K183" s="100">
        <f t="shared" si="13"/>
        <v>304008.89999999991</v>
      </c>
      <c r="L183" s="99"/>
      <c r="M183" s="155"/>
      <c r="N183" s="155"/>
    </row>
    <row r="184" spans="1:16" x14ac:dyDescent="0.25">
      <c r="A184" s="45"/>
      <c r="B184" s="73" t="s">
        <v>170</v>
      </c>
      <c r="C184" s="45" t="s">
        <v>129</v>
      </c>
      <c r="D184" s="15">
        <f>SUM(D178:D183)</f>
        <v>123778170.49320194</v>
      </c>
      <c r="E184" s="79"/>
      <c r="F184" s="120">
        <f>SUM(F172:F183)</f>
        <v>4618690.5200000005</v>
      </c>
      <c r="H184" s="102"/>
      <c r="I184" s="120">
        <f>SUM(I172:I183)</f>
        <v>5715264.2899999991</v>
      </c>
      <c r="J184" s="152"/>
      <c r="K184" s="120">
        <f>SUM(K172:K183)</f>
        <v>1096573.7699999998</v>
      </c>
      <c r="L184" s="148">
        <f>K184/F184</f>
        <v>0.2374209237989818</v>
      </c>
      <c r="M184" s="155"/>
      <c r="N184" s="155"/>
      <c r="P184" s="93"/>
    </row>
    <row r="185" spans="1:16" x14ac:dyDescent="0.25">
      <c r="A185" s="45"/>
      <c r="B185" s="73"/>
      <c r="C185" s="74"/>
      <c r="D185" s="39"/>
      <c r="E185" s="79"/>
      <c r="F185" s="92"/>
      <c r="H185" s="102"/>
      <c r="I185" s="100"/>
      <c r="J185" s="152"/>
      <c r="K185" s="92"/>
      <c r="L185" s="104"/>
      <c r="M185" s="155"/>
      <c r="N185" s="155"/>
    </row>
    <row r="186" spans="1:16" x14ac:dyDescent="0.25">
      <c r="A186" s="45"/>
      <c r="B186" s="97" t="s">
        <v>167</v>
      </c>
      <c r="C186" s="74"/>
      <c r="D186" s="39"/>
      <c r="E186" s="79"/>
      <c r="F186" s="92"/>
      <c r="H186" s="102"/>
      <c r="I186" s="100"/>
      <c r="J186" s="152"/>
      <c r="K186" s="92"/>
      <c r="L186" s="104"/>
      <c r="M186" s="155"/>
      <c r="N186" s="155"/>
    </row>
    <row r="187" spans="1:16" x14ac:dyDescent="0.25">
      <c r="A187" s="45"/>
      <c r="B187" s="97" t="s">
        <v>189</v>
      </c>
      <c r="C187" s="74"/>
      <c r="D187" s="39"/>
      <c r="E187" s="79"/>
      <c r="F187" s="92">
        <f>F144</f>
        <v>6311269.6705273278</v>
      </c>
      <c r="H187" s="102"/>
      <c r="I187" s="92">
        <f>I144</f>
        <v>6311269.6705273278</v>
      </c>
      <c r="J187" s="152"/>
      <c r="K187" s="100">
        <f>I187-F187</f>
        <v>0</v>
      </c>
      <c r="L187" s="104"/>
      <c r="M187" s="155"/>
      <c r="N187" s="155"/>
    </row>
    <row r="188" spans="1:16" x14ac:dyDescent="0.25">
      <c r="A188" s="45"/>
      <c r="B188" s="97" t="s">
        <v>134</v>
      </c>
      <c r="C188" s="74"/>
      <c r="D188" s="39"/>
      <c r="E188" s="79"/>
      <c r="F188" s="92">
        <f>F145</f>
        <v>0</v>
      </c>
      <c r="H188" s="102"/>
      <c r="I188" s="92">
        <f>I145</f>
        <v>0</v>
      </c>
      <c r="J188" s="152"/>
      <c r="K188" s="100">
        <f>I188-F188</f>
        <v>0</v>
      </c>
      <c r="L188" s="104"/>
      <c r="M188" s="155"/>
      <c r="N188" s="155"/>
    </row>
    <row r="189" spans="1:16" x14ac:dyDescent="0.25">
      <c r="A189" s="45"/>
      <c r="B189" s="97" t="s">
        <v>185</v>
      </c>
      <c r="C189" s="45" t="s">
        <v>129</v>
      </c>
      <c r="D189" s="39">
        <f>D166</f>
        <v>100441128.37470125</v>
      </c>
      <c r="E189" s="107"/>
      <c r="F189" s="100">
        <f>F166</f>
        <v>70308.789862290869</v>
      </c>
      <c r="G189" s="150"/>
      <c r="H189" s="107"/>
      <c r="I189" s="100">
        <f>I166</f>
        <v>100441.12837470125</v>
      </c>
      <c r="J189" s="152"/>
      <c r="K189" s="100">
        <f>I189-F189</f>
        <v>30132.338512410381</v>
      </c>
      <c r="L189" s="99"/>
      <c r="M189" s="155"/>
      <c r="N189" s="155"/>
    </row>
    <row r="190" spans="1:16" x14ac:dyDescent="0.25">
      <c r="A190" s="45"/>
      <c r="B190" s="73" t="s">
        <v>190</v>
      </c>
      <c r="C190" s="45"/>
      <c r="D190" s="150"/>
      <c r="E190" s="107"/>
      <c r="F190" s="156">
        <f>SUM(F187:F189)</f>
        <v>6381578.4603896188</v>
      </c>
      <c r="G190" s="150"/>
      <c r="H190" s="107"/>
      <c r="I190" s="156">
        <f>SUM(I187:I189)</f>
        <v>6411710.7989020292</v>
      </c>
      <c r="J190" s="156"/>
      <c r="K190" s="156">
        <f>SUM(K187:K189)</f>
        <v>30132.338512410381</v>
      </c>
      <c r="L190" s="148">
        <f>K190/F190</f>
        <v>4.7217688694797758E-3</v>
      </c>
      <c r="M190" s="155"/>
      <c r="N190" s="155"/>
    </row>
    <row r="191" spans="1:16" x14ac:dyDescent="0.25">
      <c r="A191" s="45"/>
      <c r="B191" s="73"/>
      <c r="C191" s="45"/>
      <c r="D191" s="150"/>
      <c r="E191" s="107"/>
      <c r="F191" s="100"/>
      <c r="G191" s="150"/>
      <c r="H191" s="107"/>
      <c r="I191" s="100"/>
      <c r="J191" s="152"/>
      <c r="K191" s="92"/>
      <c r="L191" s="99"/>
      <c r="M191" s="155"/>
      <c r="N191" s="155"/>
    </row>
    <row r="192" spans="1:16" x14ac:dyDescent="0.25">
      <c r="A192" s="45"/>
      <c r="B192" s="73" t="s">
        <v>168</v>
      </c>
      <c r="C192" s="74"/>
      <c r="D192" s="92"/>
      <c r="E192" s="102"/>
      <c r="F192" s="120">
        <f>F184+F190</f>
        <v>11000268.980389619</v>
      </c>
      <c r="G192" s="45"/>
      <c r="H192" s="102"/>
      <c r="I192" s="120">
        <f>I184+I190</f>
        <v>12126975.088902028</v>
      </c>
      <c r="J192" s="102"/>
      <c r="K192" s="120">
        <f>K184+K190</f>
        <v>1126706.1085124102</v>
      </c>
      <c r="L192" s="170">
        <f>ROUND(K192/F192,5)</f>
        <v>0.10242999999999999</v>
      </c>
      <c r="M192" s="155"/>
      <c r="N192" s="155"/>
    </row>
    <row r="193" spans="1:15" x14ac:dyDescent="0.25">
      <c r="A193" s="45"/>
      <c r="B193" s="86"/>
      <c r="C193" s="87"/>
      <c r="D193" s="89"/>
      <c r="E193" s="151"/>
      <c r="F193" s="158"/>
      <c r="G193" s="89"/>
      <c r="H193" s="151"/>
      <c r="I193" s="158"/>
      <c r="J193" s="159"/>
      <c r="K193" s="88"/>
      <c r="L193" s="90"/>
      <c r="M193" s="155"/>
      <c r="N193" s="155"/>
    </row>
    <row r="194" spans="1:15" x14ac:dyDescent="0.25">
      <c r="A194" s="45"/>
      <c r="B194" s="45"/>
      <c r="C194" s="45"/>
      <c r="D194" s="39"/>
      <c r="E194" s="79"/>
      <c r="F194" s="92"/>
      <c r="H194" s="102"/>
      <c r="I194" s="100"/>
      <c r="J194" s="152"/>
      <c r="K194" s="92"/>
      <c r="L194" s="162"/>
      <c r="M194" s="155"/>
      <c r="N194" s="155"/>
    </row>
    <row r="195" spans="1:15" ht="13" x14ac:dyDescent="0.3">
      <c r="B195" s="61" t="s">
        <v>213</v>
      </c>
      <c r="C195" s="45"/>
      <c r="D195" s="39"/>
      <c r="E195" s="79"/>
      <c r="F195" s="102"/>
      <c r="H195" s="79"/>
      <c r="I195" s="102"/>
      <c r="J195" s="102"/>
      <c r="K195" s="102"/>
      <c r="L195" s="108"/>
      <c r="M195" s="155"/>
      <c r="N195" s="155"/>
      <c r="O195" s="121"/>
    </row>
    <row r="196" spans="1:15" x14ac:dyDescent="0.25">
      <c r="C196" s="45"/>
      <c r="D196" s="115" t="s">
        <v>129</v>
      </c>
      <c r="E196" s="79"/>
      <c r="F196" s="125" t="s">
        <v>120</v>
      </c>
      <c r="G196" s="34"/>
      <c r="H196" s="42"/>
      <c r="I196" s="125" t="s">
        <v>28</v>
      </c>
      <c r="J196" s="91"/>
      <c r="K196" s="125" t="s">
        <v>103</v>
      </c>
      <c r="L196" s="108"/>
      <c r="M196" s="155"/>
      <c r="N196" s="155"/>
      <c r="O196" s="121"/>
    </row>
    <row r="197" spans="1:15" ht="13" x14ac:dyDescent="0.3">
      <c r="B197" s="61" t="s">
        <v>194</v>
      </c>
      <c r="C197" s="45"/>
      <c r="D197" s="39"/>
      <c r="E197" s="79"/>
      <c r="F197" s="171"/>
      <c r="G197" s="171"/>
      <c r="H197" s="171"/>
      <c r="I197" s="171"/>
      <c r="J197" s="171"/>
      <c r="K197" s="171"/>
      <c r="L197" s="108"/>
      <c r="M197" s="155"/>
      <c r="N197" s="155"/>
      <c r="O197" s="121"/>
    </row>
    <row r="198" spans="1:15" x14ac:dyDescent="0.25">
      <c r="B198" s="42" t="s">
        <v>214</v>
      </c>
      <c r="C198" s="45"/>
      <c r="D198" s="39"/>
      <c r="E198" s="79"/>
      <c r="F198" s="171">
        <f>F26+F44</f>
        <v>4516109.1136934618</v>
      </c>
      <c r="G198" s="171"/>
      <c r="H198" s="171"/>
      <c r="I198" s="171">
        <f>I26+I44</f>
        <v>4538541.1748339534</v>
      </c>
      <c r="J198" s="171"/>
      <c r="K198" s="171">
        <f>I198-F198</f>
        <v>22432.061140491627</v>
      </c>
      <c r="L198" s="108"/>
      <c r="M198" s="155"/>
      <c r="N198" s="155"/>
      <c r="O198" s="121"/>
    </row>
    <row r="199" spans="1:15" x14ac:dyDescent="0.25">
      <c r="B199" s="42" t="s">
        <v>215</v>
      </c>
      <c r="C199" s="45"/>
      <c r="D199" s="39"/>
      <c r="E199" s="79"/>
      <c r="F199" s="171">
        <f>F85+F101</f>
        <v>2604841.0612883461</v>
      </c>
      <c r="G199" s="171"/>
      <c r="H199" s="171"/>
      <c r="I199" s="171">
        <f>I85+I101</f>
        <v>2604946.4477333459</v>
      </c>
      <c r="J199" s="171"/>
      <c r="K199" s="171">
        <f>I199-F199</f>
        <v>105.38644499983639</v>
      </c>
      <c r="L199" s="108"/>
      <c r="M199" s="155"/>
      <c r="N199" s="155"/>
      <c r="O199" s="121"/>
    </row>
    <row r="200" spans="1:15" x14ac:dyDescent="0.25">
      <c r="B200" s="42" t="s">
        <v>216</v>
      </c>
      <c r="C200" s="45"/>
      <c r="D200" s="39"/>
      <c r="E200" s="79"/>
      <c r="F200" s="171">
        <f>F146+F166</f>
        <v>6381578.4603896188</v>
      </c>
      <c r="G200" s="171"/>
      <c r="H200" s="171"/>
      <c r="I200" s="171">
        <f>I146+I166</f>
        <v>6411710.7989020292</v>
      </c>
      <c r="J200" s="171"/>
      <c r="K200" s="171">
        <f>I200-F200</f>
        <v>30132.33851241041</v>
      </c>
      <c r="L200" s="108"/>
      <c r="M200" s="155"/>
      <c r="N200" s="155"/>
      <c r="O200" s="121"/>
    </row>
    <row r="201" spans="1:15" x14ac:dyDescent="0.25">
      <c r="B201" s="42" t="s">
        <v>0</v>
      </c>
      <c r="C201" s="45"/>
      <c r="D201" s="39"/>
      <c r="E201" s="79"/>
      <c r="F201" s="480">
        <f>SUM(F198:F200)</f>
        <v>13502528.635371428</v>
      </c>
      <c r="G201" s="171"/>
      <c r="H201" s="171"/>
      <c r="I201" s="480">
        <f>SUM(I198:I200)</f>
        <v>13555198.421469329</v>
      </c>
      <c r="J201" s="171"/>
      <c r="K201" s="480">
        <f>SUM(K198:K200)</f>
        <v>52669.786097901873</v>
      </c>
      <c r="L201" s="108"/>
      <c r="M201" s="155"/>
      <c r="N201" s="155"/>
      <c r="O201" s="121"/>
    </row>
    <row r="202" spans="1:15" x14ac:dyDescent="0.25">
      <c r="C202" s="45"/>
      <c r="D202" s="39"/>
      <c r="E202" s="79"/>
      <c r="F202" s="171"/>
      <c r="G202" s="171"/>
      <c r="H202" s="171"/>
      <c r="I202" s="171"/>
      <c r="J202" s="171"/>
      <c r="K202" s="171"/>
      <c r="L202" s="108"/>
      <c r="M202" s="155"/>
      <c r="N202" s="155"/>
      <c r="O202" s="121"/>
    </row>
    <row r="203" spans="1:15" ht="13" x14ac:dyDescent="0.3">
      <c r="B203" s="61" t="s">
        <v>197</v>
      </c>
      <c r="C203" s="45"/>
      <c r="D203" s="39"/>
      <c r="E203" s="79"/>
      <c r="F203" s="171"/>
      <c r="G203" s="171"/>
      <c r="H203" s="171"/>
      <c r="I203" s="171"/>
      <c r="J203" s="171"/>
      <c r="K203" s="171"/>
      <c r="L203" s="108"/>
      <c r="M203" s="155"/>
      <c r="N203" s="155"/>
      <c r="O203" s="121"/>
    </row>
    <row r="204" spans="1:15" x14ac:dyDescent="0.25">
      <c r="B204" s="42" t="s">
        <v>214</v>
      </c>
      <c r="C204" s="45"/>
      <c r="D204" s="39"/>
      <c r="E204" s="79"/>
      <c r="F204" s="171">
        <f>F21+F42</f>
        <v>8511725.4824928083</v>
      </c>
      <c r="G204" s="171"/>
      <c r="H204" s="171"/>
      <c r="I204" s="171">
        <f>I21+I42</f>
        <v>9185207.3300000001</v>
      </c>
      <c r="J204" s="171"/>
      <c r="K204" s="171">
        <f>I204-F204</f>
        <v>673481.84750719182</v>
      </c>
      <c r="L204" s="108"/>
      <c r="M204" s="155"/>
      <c r="N204" s="155"/>
      <c r="O204" s="121"/>
    </row>
    <row r="205" spans="1:15" x14ac:dyDescent="0.25">
      <c r="B205" s="42" t="s">
        <v>215</v>
      </c>
      <c r="C205" s="45"/>
      <c r="D205" s="39"/>
      <c r="E205" s="79"/>
      <c r="F205" s="171">
        <f>F80+F99</f>
        <v>2062207.64</v>
      </c>
      <c r="G205" s="171"/>
      <c r="H205" s="171"/>
      <c r="I205" s="171">
        <f>I80+I99</f>
        <v>2062194.29</v>
      </c>
      <c r="J205" s="171"/>
      <c r="K205" s="171">
        <f>I205-F205</f>
        <v>-13.349999999860302</v>
      </c>
      <c r="L205" s="108"/>
      <c r="M205" s="155"/>
      <c r="N205" s="155"/>
      <c r="O205" s="121"/>
    </row>
    <row r="206" spans="1:15" x14ac:dyDescent="0.25">
      <c r="B206" s="42" t="s">
        <v>216</v>
      </c>
      <c r="C206" s="45"/>
      <c r="D206" s="39"/>
      <c r="E206" s="79"/>
      <c r="F206" s="171">
        <f>F141+F164</f>
        <v>4618690.5199999996</v>
      </c>
      <c r="G206" s="171"/>
      <c r="H206" s="171"/>
      <c r="I206" s="171">
        <f>I141+I164</f>
        <v>5715264.2899999991</v>
      </c>
      <c r="J206" s="171"/>
      <c r="K206" s="171">
        <f>I206-F206</f>
        <v>1096573.7699999996</v>
      </c>
      <c r="L206" s="108"/>
      <c r="M206" s="155"/>
      <c r="N206" s="155"/>
      <c r="O206" s="121"/>
    </row>
    <row r="207" spans="1:15" x14ac:dyDescent="0.25">
      <c r="B207" s="42" t="s">
        <v>0</v>
      </c>
      <c r="C207" s="45"/>
      <c r="D207" s="39"/>
      <c r="E207" s="79"/>
      <c r="F207" s="480">
        <f>SUM(F204:F206)</f>
        <v>15192623.642492808</v>
      </c>
      <c r="G207" s="171"/>
      <c r="H207" s="171"/>
      <c r="I207" s="480">
        <f>SUM(I204:I206)</f>
        <v>16962665.91</v>
      </c>
      <c r="J207" s="171"/>
      <c r="K207" s="480">
        <f>SUM(K204:K206)</f>
        <v>1770042.2675071915</v>
      </c>
      <c r="L207" s="108"/>
      <c r="M207" s="155"/>
      <c r="N207" s="155"/>
      <c r="O207" s="121"/>
    </row>
    <row r="208" spans="1:15" x14ac:dyDescent="0.25">
      <c r="C208" s="45"/>
      <c r="D208" s="39"/>
      <c r="E208" s="79"/>
      <c r="F208" s="171"/>
      <c r="G208" s="171"/>
      <c r="H208" s="171"/>
      <c r="I208" s="171"/>
      <c r="J208" s="171"/>
      <c r="K208" s="171"/>
      <c r="L208" s="108"/>
      <c r="M208" s="155"/>
      <c r="N208" s="155"/>
      <c r="O208" s="121"/>
    </row>
    <row r="209" spans="2:15" ht="13" x14ac:dyDescent="0.3">
      <c r="B209" s="61" t="s">
        <v>199</v>
      </c>
      <c r="C209" s="45"/>
      <c r="D209" s="39"/>
      <c r="E209" s="79"/>
      <c r="F209" s="171"/>
      <c r="G209" s="171"/>
      <c r="H209" s="171"/>
      <c r="I209" s="171"/>
      <c r="J209" s="171"/>
      <c r="K209" s="171"/>
      <c r="L209" s="108"/>
      <c r="M209" s="155"/>
      <c r="N209" s="155"/>
      <c r="O209" s="121"/>
    </row>
    <row r="210" spans="2:15" x14ac:dyDescent="0.25">
      <c r="B210" s="42" t="s">
        <v>214</v>
      </c>
      <c r="C210" s="45"/>
      <c r="D210" s="39">
        <f>D59</f>
        <v>90957971.203620166</v>
      </c>
      <c r="E210" s="79"/>
      <c r="F210" s="171">
        <f>F198+F204</f>
        <v>13027834.596186269</v>
      </c>
      <c r="G210" s="171"/>
      <c r="H210" s="171"/>
      <c r="I210" s="171">
        <f>I198+I204</f>
        <v>13723748.504833953</v>
      </c>
      <c r="J210" s="171"/>
      <c r="K210" s="171">
        <f>I210-F210</f>
        <v>695913.90864768438</v>
      </c>
      <c r="L210" s="108"/>
      <c r="M210" s="155"/>
      <c r="N210" s="155"/>
      <c r="O210" s="121"/>
    </row>
    <row r="211" spans="2:15" x14ac:dyDescent="0.25">
      <c r="B211" s="42" t="s">
        <v>215</v>
      </c>
      <c r="C211" s="45"/>
      <c r="D211" s="39">
        <f>D115</f>
        <v>9748488.4229263552</v>
      </c>
      <c r="E211" s="79"/>
      <c r="F211" s="171">
        <f>F199+F205</f>
        <v>4667048.7012883462</v>
      </c>
      <c r="G211" s="171"/>
      <c r="H211" s="171"/>
      <c r="I211" s="171">
        <f>I199+I205</f>
        <v>4667140.7377333455</v>
      </c>
      <c r="J211" s="171"/>
      <c r="K211" s="171">
        <f>I211-F211</f>
        <v>92.036444999277592</v>
      </c>
      <c r="L211" s="108"/>
      <c r="M211" s="155"/>
      <c r="N211" s="155"/>
      <c r="O211" s="121"/>
    </row>
    <row r="212" spans="2:15" x14ac:dyDescent="0.25">
      <c r="B212" s="42" t="s">
        <v>216</v>
      </c>
      <c r="C212" s="45"/>
      <c r="D212" s="39">
        <f>D184</f>
        <v>123778170.49320194</v>
      </c>
      <c r="E212" s="79"/>
      <c r="F212" s="171">
        <f>F200+F206</f>
        <v>11000268.980389617</v>
      </c>
      <c r="G212" s="171"/>
      <c r="H212" s="171"/>
      <c r="I212" s="171">
        <f>I200+I206</f>
        <v>12126975.088902028</v>
      </c>
      <c r="J212" s="171"/>
      <c r="K212" s="171">
        <f>I212-F212</f>
        <v>1126706.1085124109</v>
      </c>
      <c r="L212" s="108"/>
      <c r="M212" s="155"/>
      <c r="N212" s="155"/>
      <c r="O212" s="121"/>
    </row>
    <row r="213" spans="2:15" x14ac:dyDescent="0.25">
      <c r="B213" s="42" t="s">
        <v>0</v>
      </c>
      <c r="C213" s="45"/>
      <c r="D213" s="15">
        <f>SUM(D210:D212)</f>
        <v>224484630.11974847</v>
      </c>
      <c r="E213" s="79"/>
      <c r="F213" s="480">
        <f>SUM(F210:F212)</f>
        <v>28695152.277864233</v>
      </c>
      <c r="G213" s="171"/>
      <c r="H213" s="171"/>
      <c r="I213" s="480">
        <f>SUM(I210:I212)</f>
        <v>30517864.331469327</v>
      </c>
      <c r="J213" s="171"/>
      <c r="K213" s="480">
        <f>SUM(K210:K212)</f>
        <v>1822712.0536050946</v>
      </c>
      <c r="L213" s="108"/>
      <c r="M213" s="155"/>
      <c r="N213" s="155"/>
      <c r="O213" s="121"/>
    </row>
    <row r="214" spans="2:15" x14ac:dyDescent="0.25">
      <c r="C214" s="45"/>
      <c r="D214" s="39"/>
      <c r="E214" s="79"/>
      <c r="F214" s="171"/>
      <c r="G214" s="171"/>
      <c r="H214" s="171"/>
      <c r="I214" s="171"/>
      <c r="J214" s="171"/>
      <c r="K214" s="171"/>
      <c r="L214" s="108"/>
      <c r="M214" s="155"/>
      <c r="N214" s="155"/>
      <c r="O214" s="121"/>
    </row>
    <row r="215" spans="2:15" ht="13" x14ac:dyDescent="0.3">
      <c r="B215" s="61" t="s">
        <v>217</v>
      </c>
      <c r="E215" s="34"/>
      <c r="F215" s="173"/>
      <c r="G215" s="172"/>
      <c r="H215" s="173"/>
      <c r="I215" s="173"/>
      <c r="J215" s="173"/>
      <c r="K215" s="173"/>
      <c r="O215" s="91"/>
    </row>
    <row r="216" spans="2:15" x14ac:dyDescent="0.25">
      <c r="B216" s="174" t="s">
        <v>0</v>
      </c>
      <c r="D216" s="2">
        <f>'Rate Design Res (PLR)'!D13+'Rate Design Res (PLR)'!D24+'Rate Design Res (PLR)'!D37+'Rate Design C&amp;I (PLR)'!D36+'Rate Design C&amp;I (PLR)'!D95+'Rate Design Int &amp; Trans (PLR)'!D59+'Rate Design Int &amp; Trans (PLR)'!D115+'Rate Design Int &amp; Trans (PLR)'!D184</f>
        <v>1154247841.2448504</v>
      </c>
      <c r="E216" s="39"/>
      <c r="F216" s="483">
        <f>'Rate Design Res (PLR)'!F18+'Rate Design Res (PLR)'!F29+'Rate Design Res (PLR)'!F41+'Rate Design C&amp;I (PLR)'!F41+'Rate Design C&amp;I (PLR)'!F105+'Rate Design Int &amp; Trans (PLR)'!F67+'Rate Design Int &amp; Trans (PLR)'!F123+'Rate Design Int &amp; Trans (PLR)'!F192</f>
        <v>749083007.88678718</v>
      </c>
      <c r="G216" s="171"/>
      <c r="H216" s="173"/>
      <c r="I216" s="483">
        <f>'Rate Design Res (PLR)'!I18+'Rate Design Res (PLR)'!I29+'Rate Design Res (PLR)'!I41+'Rate Design C&amp;I (PLR)'!I41+'Rate Design C&amp;I (PLR)'!I105+'Rate Design Int &amp; Trans (PLR)'!I67+'Rate Design Int &amp; Trans (PLR)'!I123+'Rate Design Int &amp; Trans (PLR)'!I192</f>
        <v>824359601.32531404</v>
      </c>
      <c r="J216" s="173"/>
      <c r="K216" s="173">
        <f>I216-F216</f>
        <v>75276593.438526869</v>
      </c>
      <c r="L216" s="484">
        <f>K216/F216</f>
        <v>0.10049165799513612</v>
      </c>
      <c r="O216" s="91"/>
    </row>
    <row r="217" spans="2:15" x14ac:dyDescent="0.25">
      <c r="B217" s="174" t="s">
        <v>218</v>
      </c>
      <c r="D217" s="2">
        <v>37056427.854413897</v>
      </c>
      <c r="E217" s="39"/>
      <c r="F217" s="485">
        <v>1718916.583166973</v>
      </c>
      <c r="G217" s="171"/>
      <c r="H217" s="173"/>
      <c r="I217" s="485">
        <v>1757519.5213237838</v>
      </c>
      <c r="J217" s="173"/>
      <c r="K217" s="173">
        <f>I217-F217</f>
        <v>38602.938156810822</v>
      </c>
      <c r="L217" s="484">
        <f>K217/F217</f>
        <v>2.2457714664482348E-2</v>
      </c>
      <c r="O217" s="91"/>
    </row>
    <row r="218" spans="2:15" x14ac:dyDescent="0.25">
      <c r="B218" s="174" t="s">
        <v>219</v>
      </c>
      <c r="E218" s="39"/>
      <c r="F218" s="485">
        <v>5310380.6899999985</v>
      </c>
      <c r="G218" s="171"/>
      <c r="H218" s="173"/>
      <c r="I218" s="485">
        <v>4571729.2999999989</v>
      </c>
      <c r="J218" s="173"/>
      <c r="K218" s="173">
        <f>I218-F218</f>
        <v>-738651.38999999966</v>
      </c>
      <c r="L218" s="484">
        <f>K218/F218</f>
        <v>-0.13909575096771448</v>
      </c>
      <c r="O218" s="91"/>
    </row>
    <row r="219" spans="2:15" x14ac:dyDescent="0.25">
      <c r="B219" s="174" t="s">
        <v>220</v>
      </c>
      <c r="D219" s="15">
        <f>SUM(D216:D218)</f>
        <v>1191304269.0992644</v>
      </c>
      <c r="E219" s="39"/>
      <c r="F219" s="480">
        <f>SUM(F216:F218)</f>
        <v>756112305.15995419</v>
      </c>
      <c r="G219" s="171"/>
      <c r="H219" s="173"/>
      <c r="I219" s="480">
        <f>SUM(I216:I218)</f>
        <v>830688850.1466378</v>
      </c>
      <c r="J219" s="173"/>
      <c r="K219" s="480">
        <f>SUM(K216:K218)</f>
        <v>74576544.986683682</v>
      </c>
      <c r="L219" s="484">
        <f>K219/F219</f>
        <v>9.863157162996726E-2</v>
      </c>
      <c r="O219" s="91"/>
    </row>
    <row r="220" spans="2:15" x14ac:dyDescent="0.25">
      <c r="B220" s="174"/>
      <c r="D220" s="2"/>
      <c r="E220" s="39"/>
      <c r="F220" s="486"/>
      <c r="G220" s="171"/>
      <c r="H220" s="173"/>
      <c r="I220" s="486"/>
      <c r="J220" s="173"/>
      <c r="K220" s="486"/>
      <c r="L220" s="484"/>
    </row>
    <row r="221" spans="2:15" x14ac:dyDescent="0.25">
      <c r="B221" s="42" t="s">
        <v>180</v>
      </c>
      <c r="E221" s="39"/>
      <c r="F221" s="171"/>
      <c r="G221" s="171"/>
      <c r="H221" s="173"/>
      <c r="I221" s="171"/>
      <c r="J221" s="173"/>
      <c r="K221" s="171"/>
    </row>
    <row r="222" spans="2:15" ht="13" thickBot="1" x14ac:dyDescent="0.3">
      <c r="F222" s="171"/>
      <c r="G222" s="171"/>
      <c r="H222" s="173"/>
      <c r="I222" s="171"/>
      <c r="J222" s="173"/>
      <c r="K222" s="171"/>
    </row>
    <row r="223" spans="2:15" x14ac:dyDescent="0.25">
      <c r="B223" s="487" t="s">
        <v>14</v>
      </c>
      <c r="C223" s="488"/>
      <c r="D223" s="489">
        <v>0</v>
      </c>
      <c r="E223" s="490"/>
      <c r="F223" s="491">
        <v>2.1263562142848969E-2</v>
      </c>
      <c r="G223" s="171"/>
      <c r="H223" s="173"/>
      <c r="I223" s="173"/>
      <c r="J223" s="173"/>
      <c r="K223" s="173"/>
    </row>
    <row r="224" spans="2:15" ht="13" thickBot="1" x14ac:dyDescent="0.3">
      <c r="B224" s="492" t="s">
        <v>14</v>
      </c>
      <c r="C224" s="493"/>
      <c r="D224" s="305">
        <v>0</v>
      </c>
      <c r="E224" s="494"/>
      <c r="F224" s="495">
        <v>1.1254310607910156E-2</v>
      </c>
    </row>
    <row r="226" spans="2:4" x14ac:dyDescent="0.25">
      <c r="D226" s="458"/>
    </row>
    <row r="228" spans="2:4" x14ac:dyDescent="0.25">
      <c r="B228" s="42" t="s">
        <v>299</v>
      </c>
    </row>
    <row r="230" spans="2:4" x14ac:dyDescent="0.25">
      <c r="B230" s="469" t="s">
        <v>298</v>
      </c>
    </row>
  </sheetData>
  <mergeCells count="1">
    <mergeCell ref="K7:L7"/>
  </mergeCells>
  <printOptions horizontalCentered="1"/>
  <pageMargins left="0.5" right="0.5" top="1" bottom="1" header="0.75" footer="0.5"/>
  <pageSetup scale="74" fitToHeight="2" orientation="landscape" blackAndWhite="1" r:id="rId1"/>
  <headerFooter alignWithMargins="0">
    <oddFooter>&amp;RExhibit JDT-14
                   Page &amp;P of &amp;N</oddFooter>
  </headerFooter>
  <rowBreaks count="5" manualBreakCount="5">
    <brk id="46" max="16383" man="1"/>
    <brk id="88" min="1" max="16" man="1"/>
    <brk id="125" min="1" max="16" man="1"/>
    <brk id="167" min="1" max="16" man="1"/>
    <brk id="194" min="1" max="16" man="1"/>
  </rowBreaks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zoomScale="90" zoomScaleNormal="90" workbookViewId="0">
      <selection activeCell="O34" sqref="O34"/>
    </sheetView>
  </sheetViews>
  <sheetFormatPr defaultRowHeight="14.5" x14ac:dyDescent="0.35"/>
  <sheetData/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37"/>
  <sheetViews>
    <sheetView zoomScale="90" zoomScaleNormal="90" workbookViewId="0">
      <pane xSplit="3" ySplit="9" topLeftCell="I10" activePane="bottomRight" state="frozenSplit"/>
      <selection activeCell="F9" sqref="F9"/>
      <selection pane="topRight" activeCell="F9" sqref="F9"/>
      <selection pane="bottomLeft" activeCell="F9" sqref="F9"/>
      <selection pane="bottomRight" activeCell="N29" sqref="N29"/>
    </sheetView>
  </sheetViews>
  <sheetFormatPr defaultRowHeight="14.5" x14ac:dyDescent="0.35"/>
  <cols>
    <col min="1" max="1" width="2.81640625" customWidth="1"/>
    <col min="2" max="2" width="37.54296875" customWidth="1"/>
    <col min="3" max="3" width="8.453125" bestFit="1" customWidth="1"/>
    <col min="4" max="4" width="15" bestFit="1" customWidth="1"/>
    <col min="5" max="5" width="14.54296875" bestFit="1" customWidth="1"/>
    <col min="6" max="6" width="10.54296875" bestFit="1" customWidth="1"/>
    <col min="7" max="7" width="15" customWidth="1"/>
    <col min="8" max="9" width="14.54296875" bestFit="1" customWidth="1"/>
    <col min="10" max="11" width="13.26953125" bestFit="1" customWidth="1"/>
    <col min="12" max="12" width="12.1796875" bestFit="1" customWidth="1"/>
    <col min="13" max="13" width="13.26953125" bestFit="1" customWidth="1"/>
    <col min="14" max="14" width="14" bestFit="1" customWidth="1"/>
    <col min="15" max="15" width="12.81640625" bestFit="1" customWidth="1"/>
    <col min="16" max="17" width="13.26953125" bestFit="1" customWidth="1"/>
    <col min="18" max="18" width="16.1796875" bestFit="1" customWidth="1"/>
    <col min="19" max="19" width="13.26953125" bestFit="1" customWidth="1"/>
    <col min="20" max="20" width="7.81640625" bestFit="1" customWidth="1"/>
    <col min="21" max="21" width="13.7265625" bestFit="1" customWidth="1"/>
  </cols>
  <sheetData>
    <row r="1" spans="2:20" x14ac:dyDescent="0.35">
      <c r="B1" s="390" t="s">
        <v>13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</row>
    <row r="2" spans="2:20" x14ac:dyDescent="0.35">
      <c r="B2" s="390" t="s">
        <v>319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</row>
    <row r="3" spans="2:20" x14ac:dyDescent="0.35">
      <c r="B3" s="391" t="s">
        <v>238</v>
      </c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</row>
    <row r="4" spans="2:20" x14ac:dyDescent="0.35">
      <c r="B4" s="391" t="s">
        <v>320</v>
      </c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</row>
    <row r="5" spans="2:20" x14ac:dyDescent="0.35">
      <c r="F5" s="515"/>
      <c r="N5" s="515"/>
      <c r="Q5" s="515"/>
    </row>
    <row r="6" spans="2:20" x14ac:dyDescent="0.35">
      <c r="F6" s="515"/>
      <c r="G6" s="182" t="s">
        <v>239</v>
      </c>
      <c r="N6" s="515"/>
      <c r="Q6" s="515"/>
    </row>
    <row r="7" spans="2:20" x14ac:dyDescent="0.35">
      <c r="B7" s="182"/>
      <c r="C7" s="182"/>
      <c r="D7" s="182" t="s">
        <v>221</v>
      </c>
      <c r="E7" s="182" t="s">
        <v>221</v>
      </c>
      <c r="F7" s="182" t="s">
        <v>321</v>
      </c>
      <c r="G7" s="182" t="s">
        <v>129</v>
      </c>
      <c r="H7" s="515"/>
      <c r="I7" s="182"/>
      <c r="J7" s="182"/>
      <c r="K7" s="182"/>
      <c r="L7" s="182"/>
      <c r="M7" s="182"/>
      <c r="N7" s="182"/>
      <c r="O7" s="182"/>
      <c r="P7" s="182"/>
      <c r="Q7" s="182"/>
      <c r="R7" s="183" t="s">
        <v>322</v>
      </c>
      <c r="S7" s="183" t="s">
        <v>150</v>
      </c>
      <c r="T7" s="182"/>
    </row>
    <row r="8" spans="2:20" x14ac:dyDescent="0.35">
      <c r="B8" s="182"/>
      <c r="C8" s="182" t="s">
        <v>12</v>
      </c>
      <c r="D8" s="182" t="s">
        <v>11</v>
      </c>
      <c r="E8" s="182" t="s">
        <v>323</v>
      </c>
      <c r="F8" s="182" t="s">
        <v>12</v>
      </c>
      <c r="G8" s="183" t="s">
        <v>324</v>
      </c>
      <c r="H8" s="515" t="s">
        <v>323</v>
      </c>
      <c r="I8" s="182" t="s">
        <v>325</v>
      </c>
      <c r="J8" s="182" t="s">
        <v>326</v>
      </c>
      <c r="K8" s="182" t="s">
        <v>327</v>
      </c>
      <c r="L8" s="182" t="s">
        <v>150</v>
      </c>
      <c r="M8" s="182" t="s">
        <v>116</v>
      </c>
      <c r="N8" s="182" t="s">
        <v>117</v>
      </c>
      <c r="O8" s="182" t="s">
        <v>232</v>
      </c>
      <c r="P8" s="182" t="s">
        <v>328</v>
      </c>
      <c r="Q8" s="182" t="s">
        <v>118</v>
      </c>
      <c r="R8" s="182" t="s">
        <v>241</v>
      </c>
      <c r="S8" s="182" t="s">
        <v>6</v>
      </c>
      <c r="T8" s="182" t="s">
        <v>102</v>
      </c>
    </row>
    <row r="9" spans="2:20" ht="16.5" x14ac:dyDescent="0.35">
      <c r="B9" s="516" t="s">
        <v>8</v>
      </c>
      <c r="C9" s="516" t="s">
        <v>7</v>
      </c>
      <c r="D9" s="516" t="s">
        <v>242</v>
      </c>
      <c r="E9" s="516" t="s">
        <v>243</v>
      </c>
      <c r="F9" s="516" t="s">
        <v>244</v>
      </c>
      <c r="G9" s="392" t="s">
        <v>329</v>
      </c>
      <c r="H9" s="516" t="s">
        <v>6</v>
      </c>
      <c r="I9" s="516" t="s">
        <v>6</v>
      </c>
      <c r="J9" s="516" t="s">
        <v>6</v>
      </c>
      <c r="K9" s="516" t="s">
        <v>6</v>
      </c>
      <c r="L9" s="516" t="s">
        <v>6</v>
      </c>
      <c r="M9" s="516" t="s">
        <v>6</v>
      </c>
      <c r="N9" s="516" t="s">
        <v>6</v>
      </c>
      <c r="O9" s="516" t="s">
        <v>6</v>
      </c>
      <c r="P9" s="516" t="s">
        <v>6</v>
      </c>
      <c r="Q9" s="516" t="s">
        <v>6</v>
      </c>
      <c r="R9" s="185" t="s">
        <v>245</v>
      </c>
      <c r="S9" s="516" t="s">
        <v>103</v>
      </c>
      <c r="T9" s="516" t="s">
        <v>103</v>
      </c>
    </row>
    <row r="10" spans="2:20" x14ac:dyDescent="0.35">
      <c r="B10" s="182" t="s">
        <v>104</v>
      </c>
      <c r="C10" s="182" t="s">
        <v>105</v>
      </c>
      <c r="D10" s="186" t="s">
        <v>106</v>
      </c>
      <c r="E10" s="187" t="s">
        <v>107</v>
      </c>
      <c r="F10" s="182" t="s">
        <v>246</v>
      </c>
      <c r="G10" s="182" t="s">
        <v>247</v>
      </c>
      <c r="H10" s="182" t="s">
        <v>248</v>
      </c>
      <c r="I10" s="182" t="s">
        <v>108</v>
      </c>
      <c r="J10" s="182" t="s">
        <v>109</v>
      </c>
      <c r="K10" s="182" t="s">
        <v>110</v>
      </c>
      <c r="L10" s="187" t="s">
        <v>249</v>
      </c>
      <c r="M10" s="182" t="s">
        <v>250</v>
      </c>
      <c r="N10" s="187" t="s">
        <v>251</v>
      </c>
      <c r="O10" s="187" t="s">
        <v>252</v>
      </c>
      <c r="P10" s="187" t="s">
        <v>253</v>
      </c>
      <c r="Q10" s="182" t="s">
        <v>254</v>
      </c>
      <c r="R10" s="188" t="s">
        <v>330</v>
      </c>
      <c r="S10" s="182" t="s">
        <v>331</v>
      </c>
      <c r="T10" s="182" t="s">
        <v>332</v>
      </c>
    </row>
    <row r="11" spans="2:20" x14ac:dyDescent="0.35">
      <c r="B11" t="s">
        <v>5</v>
      </c>
      <c r="C11" s="515" t="s">
        <v>255</v>
      </c>
      <c r="D11" s="518">
        <v>609248315.15931809</v>
      </c>
      <c r="E11" s="194">
        <v>363968434.35868043</v>
      </c>
      <c r="F11" s="190">
        <f t="shared" ref="F11:F16" si="0">(E11)/D11</f>
        <v>0.59740572981888818</v>
      </c>
      <c r="G11" s="518">
        <v>593523065</v>
      </c>
      <c r="H11" s="191">
        <f>F11*G11</f>
        <v>354574079.81066841</v>
      </c>
      <c r="I11" s="194">
        <v>275038588.31999999</v>
      </c>
      <c r="J11" s="194">
        <v>15538433.84</v>
      </c>
      <c r="K11" s="194">
        <v>14042755.717900001</v>
      </c>
      <c r="L11" s="189">
        <f>'Sch. 129'!G9</f>
        <v>2166359.18725</v>
      </c>
      <c r="M11" s="194">
        <v>14019014.795300001</v>
      </c>
      <c r="N11" s="194">
        <v>1863662.4240999999</v>
      </c>
      <c r="O11" s="194">
        <v>-813126.59904999996</v>
      </c>
      <c r="P11" s="194">
        <v>9894029.4900000002</v>
      </c>
      <c r="Q11" s="194">
        <v>13401750.807699999</v>
      </c>
      <c r="R11" s="192">
        <f t="shared" ref="R11:R23" si="1">SUM(H11:Q11)</f>
        <v>699725547.79386854</v>
      </c>
      <c r="S11" s="189">
        <f>'Sch. 129'!I9</f>
        <v>-290826.30184999993</v>
      </c>
      <c r="T11" s="193">
        <f>S11/R11</f>
        <v>-4.1562910310611407E-4</v>
      </c>
    </row>
    <row r="12" spans="2:20" x14ac:dyDescent="0.35">
      <c r="B12" t="s">
        <v>256</v>
      </c>
      <c r="C12" s="515">
        <v>16</v>
      </c>
      <c r="D12" s="518">
        <v>9386</v>
      </c>
      <c r="E12" s="194">
        <v>5552.56</v>
      </c>
      <c r="F12" s="190">
        <f t="shared" si="0"/>
        <v>0.59157894736842109</v>
      </c>
      <c r="G12" s="518">
        <v>7068</v>
      </c>
      <c r="H12" s="191">
        <f t="shared" ref="H12:H23" si="2">F12*G12</f>
        <v>4181.2800000000007</v>
      </c>
      <c r="I12" s="194">
        <v>3275.31</v>
      </c>
      <c r="J12" s="194">
        <v>185.04</v>
      </c>
      <c r="K12" s="194">
        <v>167.22888</v>
      </c>
      <c r="L12" s="189"/>
      <c r="M12" s="194">
        <v>166.94616000000002</v>
      </c>
      <c r="N12" s="194">
        <v>22.193519999999999</v>
      </c>
      <c r="O12" s="194">
        <v>-9.6831599999999991</v>
      </c>
      <c r="P12" s="194"/>
      <c r="Q12" s="194">
        <v>159.59544</v>
      </c>
      <c r="R12" s="192">
        <f t="shared" si="1"/>
        <v>8147.9108400000005</v>
      </c>
      <c r="S12" s="189"/>
      <c r="T12" s="193">
        <f t="shared" ref="T12:T24" si="3">S12/R12</f>
        <v>0</v>
      </c>
    </row>
    <row r="13" spans="2:20" x14ac:dyDescent="0.35">
      <c r="B13" t="s">
        <v>257</v>
      </c>
      <c r="C13" s="515">
        <v>31</v>
      </c>
      <c r="D13" s="518">
        <v>234140158.08963937</v>
      </c>
      <c r="E13" s="194">
        <v>115517786.53999999</v>
      </c>
      <c r="F13" s="190">
        <f t="shared" si="0"/>
        <v>0.49337024234763949</v>
      </c>
      <c r="G13" s="518">
        <v>239205994</v>
      </c>
      <c r="H13" s="191">
        <f t="shared" si="2"/>
        <v>118017119.23078799</v>
      </c>
      <c r="I13" s="194">
        <v>108987034.98999999</v>
      </c>
      <c r="J13" s="194">
        <v>6252844.6799999997</v>
      </c>
      <c r="K13" s="194">
        <v>5659613.8180400003</v>
      </c>
      <c r="L13" s="189">
        <f>'Sch. 129'!G11</f>
        <v>736754.46152000001</v>
      </c>
      <c r="M13" s="194">
        <v>6063871.9479</v>
      </c>
      <c r="N13" s="194">
        <v>846789.21876000008</v>
      </c>
      <c r="O13" s="194">
        <v>-351632.81117999996</v>
      </c>
      <c r="P13" s="194">
        <v>3800983.25</v>
      </c>
      <c r="Q13" s="194">
        <v>5913172.1716799997</v>
      </c>
      <c r="R13" s="192">
        <f t="shared" si="1"/>
        <v>255926550.95750803</v>
      </c>
      <c r="S13" s="189">
        <f>'Sch. 129'!I11</f>
        <v>-98074.457539999974</v>
      </c>
      <c r="T13" s="193">
        <f>S13/R13</f>
        <v>-3.8321329761632848E-4</v>
      </c>
    </row>
    <row r="14" spans="2:20" x14ac:dyDescent="0.35">
      <c r="B14" t="s">
        <v>258</v>
      </c>
      <c r="C14" s="515">
        <v>41</v>
      </c>
      <c r="D14" s="518">
        <v>65836657.463465497</v>
      </c>
      <c r="E14" s="194">
        <v>16636904.087507829</v>
      </c>
      <c r="F14" s="190">
        <f t="shared" si="0"/>
        <v>0.25269970755638815</v>
      </c>
      <c r="G14" s="518">
        <v>65344289</v>
      </c>
      <c r="H14" s="191">
        <f t="shared" si="2"/>
        <v>16512482.720780112</v>
      </c>
      <c r="I14" s="194">
        <v>27489667.879999999</v>
      </c>
      <c r="J14" s="194">
        <v>1700911.84</v>
      </c>
      <c r="K14" s="194">
        <v>1546045.8777400001</v>
      </c>
      <c r="L14" s="189">
        <f>'Sch. 129'!G14</f>
        <v>97362.990609999993</v>
      </c>
      <c r="M14" s="194">
        <v>569148.75718999992</v>
      </c>
      <c r="N14" s="194">
        <v>86907.904370000004</v>
      </c>
      <c r="O14" s="194">
        <v>-36592.80184</v>
      </c>
      <c r="P14" s="194">
        <v>-1314904.9200000002</v>
      </c>
      <c r="Q14" s="194">
        <v>735123.25124999997</v>
      </c>
      <c r="R14" s="192">
        <f t="shared" si="1"/>
        <v>47386153.500100121</v>
      </c>
      <c r="S14" s="189">
        <f>'Sch. 129'!I14</f>
        <v>-13068.857799999998</v>
      </c>
      <c r="T14" s="193">
        <f t="shared" si="3"/>
        <v>-2.7579486484321597E-4</v>
      </c>
    </row>
    <row r="15" spans="2:20" x14ac:dyDescent="0.35">
      <c r="B15" t="s">
        <v>4</v>
      </c>
      <c r="C15" s="515">
        <v>85</v>
      </c>
      <c r="D15" s="518">
        <v>16184434.068649083</v>
      </c>
      <c r="E15" s="194">
        <v>1697295.0899999999</v>
      </c>
      <c r="F15" s="190">
        <f t="shared" si="0"/>
        <v>0.1048720692240846</v>
      </c>
      <c r="G15" s="518">
        <v>12905331</v>
      </c>
      <c r="H15" s="191">
        <f t="shared" si="2"/>
        <v>1353408.7659917248</v>
      </c>
      <c r="I15" s="194">
        <v>5086645.29</v>
      </c>
      <c r="J15" s="194">
        <v>334893.34000000003</v>
      </c>
      <c r="K15" s="194">
        <v>265462.65867000003</v>
      </c>
      <c r="L15" s="189">
        <f>'Sch. 129'!G21</f>
        <v>9581.4161242689534</v>
      </c>
      <c r="M15" s="194">
        <v>60396.949079999999</v>
      </c>
      <c r="N15" s="194">
        <v>10453.31811</v>
      </c>
      <c r="O15" s="194">
        <v>-3484.4393700000001</v>
      </c>
      <c r="P15" s="194"/>
      <c r="Q15" s="194">
        <v>86594.771009999997</v>
      </c>
      <c r="R15" s="192">
        <f t="shared" si="1"/>
        <v>7203952.0696159946</v>
      </c>
      <c r="S15" s="189">
        <f>'Sch. 129'!I21</f>
        <v>-1098.3474980758208</v>
      </c>
      <c r="T15" s="193">
        <f t="shared" si="3"/>
        <v>-1.5246457603574368E-4</v>
      </c>
    </row>
    <row r="16" spans="2:20" x14ac:dyDescent="0.35">
      <c r="B16" t="s">
        <v>259</v>
      </c>
      <c r="C16" s="515">
        <v>86</v>
      </c>
      <c r="D16" s="518">
        <v>9397200.2729263548</v>
      </c>
      <c r="E16" s="194">
        <v>1991938.09</v>
      </c>
      <c r="F16" s="190">
        <f t="shared" si="0"/>
        <v>0.21197144172172638</v>
      </c>
      <c r="G16" s="518">
        <v>5474059</v>
      </c>
      <c r="H16" s="191">
        <f t="shared" si="2"/>
        <v>1160344.1782997919</v>
      </c>
      <c r="I16" s="194">
        <v>2281235.8400000003</v>
      </c>
      <c r="J16" s="194">
        <v>142216.04999999999</v>
      </c>
      <c r="K16" s="194">
        <v>112601.39363000001</v>
      </c>
      <c r="L16" s="189">
        <f>'Sch. 129'!G23</f>
        <v>7171.0172899999998</v>
      </c>
      <c r="M16" s="194">
        <v>41876.551350000002</v>
      </c>
      <c r="N16" s="194">
        <v>6678.3519799999995</v>
      </c>
      <c r="O16" s="194">
        <v>-1806.43947</v>
      </c>
      <c r="P16" s="194">
        <v>-97595.959999999992</v>
      </c>
      <c r="Q16" s="194">
        <v>46310.539140000001</v>
      </c>
      <c r="R16" s="192">
        <f t="shared" si="1"/>
        <v>3699031.5222197911</v>
      </c>
      <c r="S16" s="189">
        <f>'Sch. 129'!I23</f>
        <v>-1040.0712100000001</v>
      </c>
      <c r="T16" s="193">
        <f t="shared" si="3"/>
        <v>-2.8117392451304464E-4</v>
      </c>
    </row>
    <row r="17" spans="2:21" x14ac:dyDescent="0.35">
      <c r="B17" t="s">
        <v>260</v>
      </c>
      <c r="C17" s="515">
        <v>87</v>
      </c>
      <c r="D17" s="518">
        <v>23337042.118500695</v>
      </c>
      <c r="E17" s="194">
        <v>1376677.9799999997</v>
      </c>
      <c r="F17" s="190">
        <f>(E17)/D17</f>
        <v>5.8991108342244594E-2</v>
      </c>
      <c r="G17" s="518">
        <v>15704929</v>
      </c>
      <c r="H17" s="191">
        <f t="shared" si="2"/>
        <v>926451.16814625903</v>
      </c>
      <c r="I17" s="194">
        <v>6235013.8600000003</v>
      </c>
      <c r="J17" s="194">
        <v>407542.91</v>
      </c>
      <c r="K17" s="194">
        <v>323050.38953000004</v>
      </c>
      <c r="L17" s="189">
        <f>'Sch. 129'!G33</f>
        <v>4631.9117010946147</v>
      </c>
      <c r="M17" s="194">
        <v>37691.829600000005</v>
      </c>
      <c r="N17" s="194">
        <v>6753.1194699999996</v>
      </c>
      <c r="O17" s="194">
        <v>-2198.6900599999999</v>
      </c>
      <c r="P17" s="194"/>
      <c r="Q17" s="194">
        <v>58736.434459999997</v>
      </c>
      <c r="R17" s="192">
        <f t="shared" si="1"/>
        <v>7997672.9328473546</v>
      </c>
      <c r="S17" s="189">
        <f>'Sch. 129'!I33</f>
        <v>-401.5995043863486</v>
      </c>
      <c r="T17" s="193">
        <f t="shared" si="3"/>
        <v>-5.0214544625466447E-5</v>
      </c>
    </row>
    <row r="18" spans="2:21" x14ac:dyDescent="0.35">
      <c r="B18" t="s">
        <v>261</v>
      </c>
      <c r="C18" s="515" t="s">
        <v>262</v>
      </c>
      <c r="D18" s="518">
        <v>36359.963605097219</v>
      </c>
      <c r="E18" s="194">
        <v>25086.03</v>
      </c>
      <c r="F18" s="190">
        <f>(E18)/D18</f>
        <v>0.68993550907964185</v>
      </c>
      <c r="G18" s="518">
        <v>35407</v>
      </c>
      <c r="H18" s="191">
        <f t="shared" si="2"/>
        <v>24428.546569982878</v>
      </c>
      <c r="I18" s="194"/>
      <c r="J18" s="194"/>
      <c r="K18" s="194"/>
      <c r="L18" s="189">
        <f>'Sch. 129'!G12</f>
        <v>109.05355999999999</v>
      </c>
      <c r="M18" s="194">
        <v>897.56745000000001</v>
      </c>
      <c r="N18" s="194">
        <v>125.34078000000001</v>
      </c>
      <c r="O18" s="194">
        <v>-52.048290000000001</v>
      </c>
      <c r="P18" s="194">
        <v>543.14</v>
      </c>
      <c r="Q18" s="194">
        <v>875.26103999999998</v>
      </c>
      <c r="R18" s="192">
        <f t="shared" si="1"/>
        <v>26926.861109982878</v>
      </c>
      <c r="S18" s="189">
        <f>'Sch. 129'!I12</f>
        <v>-14.516869999999983</v>
      </c>
      <c r="T18" s="193">
        <f t="shared" si="3"/>
        <v>-5.3912225196638282E-4</v>
      </c>
    </row>
    <row r="19" spans="2:21" x14ac:dyDescent="0.35">
      <c r="B19" t="s">
        <v>263</v>
      </c>
      <c r="C19" s="515" t="s">
        <v>264</v>
      </c>
      <c r="D19" s="518">
        <v>20492334.449073859</v>
      </c>
      <c r="E19" s="194">
        <v>4384305.3758256389</v>
      </c>
      <c r="F19" s="190">
        <f t="shared" ref="F19:F24" si="4">(E19)/D19</f>
        <v>0.21394855655519449</v>
      </c>
      <c r="G19" s="518">
        <v>23476127</v>
      </c>
      <c r="H19" s="191">
        <f>F19*G19</f>
        <v>5022683.4851564281</v>
      </c>
      <c r="I19" s="194"/>
      <c r="J19" s="194"/>
      <c r="K19" s="194"/>
      <c r="L19" s="189">
        <f>'Sch. 129'!G15</f>
        <v>34979.429230000002</v>
      </c>
      <c r="M19" s="194">
        <v>204477.06616999998</v>
      </c>
      <c r="N19" s="194">
        <v>31223.248910000002</v>
      </c>
      <c r="O19" s="194">
        <v>-13146.631119999998</v>
      </c>
      <c r="P19" s="194">
        <v>-414554.9</v>
      </c>
      <c r="Q19" s="194">
        <v>264106.42874999996</v>
      </c>
      <c r="R19" s="192">
        <f t="shared" si="1"/>
        <v>5129768.1270964267</v>
      </c>
      <c r="S19" s="189">
        <f>'Sch. 129'!I15</f>
        <v>-4695.225400000003</v>
      </c>
      <c r="T19" s="193">
        <f t="shared" si="3"/>
        <v>-9.1528998653933591E-4</v>
      </c>
    </row>
    <row r="20" spans="2:21" x14ac:dyDescent="0.35">
      <c r="B20" t="s">
        <v>265</v>
      </c>
      <c r="C20" s="515" t="s">
        <v>3</v>
      </c>
      <c r="D20" s="518">
        <v>74773537.134971082</v>
      </c>
      <c r="E20" s="194">
        <v>7487912.2400000002</v>
      </c>
      <c r="F20" s="190">
        <f t="shared" si="4"/>
        <v>0.10014120672777367</v>
      </c>
      <c r="G20" s="518">
        <v>73189608</v>
      </c>
      <c r="H20" s="191">
        <f t="shared" si="2"/>
        <v>7329295.6650527176</v>
      </c>
      <c r="I20" s="194"/>
      <c r="J20" s="194"/>
      <c r="K20" s="194"/>
      <c r="L20" s="189">
        <f>'Sch. 129'!G39</f>
        <v>49742.147542432962</v>
      </c>
      <c r="M20" s="194">
        <v>342527.36544000002</v>
      </c>
      <c r="N20" s="194">
        <v>59283.582479999997</v>
      </c>
      <c r="O20" s="194">
        <v>-19761.194159999999</v>
      </c>
      <c r="P20" s="194"/>
      <c r="Q20" s="194">
        <v>491102.26967999997</v>
      </c>
      <c r="R20" s="192">
        <f t="shared" si="1"/>
        <v>8252189.8360351501</v>
      </c>
      <c r="S20" s="189">
        <f>'Sch. 129'!I39</f>
        <v>-5679.8349065699767</v>
      </c>
      <c r="T20" s="193">
        <f t="shared" si="3"/>
        <v>-6.8828214321580762E-4</v>
      </c>
    </row>
    <row r="21" spans="2:21" x14ac:dyDescent="0.35">
      <c r="B21" t="s">
        <v>266</v>
      </c>
      <c r="C21" s="515" t="s">
        <v>267</v>
      </c>
      <c r="D21" s="518">
        <v>351288.14999999997</v>
      </c>
      <c r="E21" s="194">
        <v>70256.2</v>
      </c>
      <c r="F21" s="190">
        <f t="shared" si="4"/>
        <v>0.19999592926775356</v>
      </c>
      <c r="G21" s="518">
        <v>1264081</v>
      </c>
      <c r="H21" s="191">
        <f t="shared" si="2"/>
        <v>252811.05426471119</v>
      </c>
      <c r="I21" s="194"/>
      <c r="J21" s="194"/>
      <c r="K21" s="194"/>
      <c r="L21" s="189">
        <f>'Sch. 129'!G24</f>
        <v>1655.9461099999999</v>
      </c>
      <c r="M21" s="194">
        <v>9670.2196500000009</v>
      </c>
      <c r="N21" s="194">
        <v>1542.1788199999999</v>
      </c>
      <c r="O21" s="194">
        <v>-417.14672999999999</v>
      </c>
      <c r="P21" s="194">
        <v>-18603.28</v>
      </c>
      <c r="Q21" s="194">
        <v>10694.125260000001</v>
      </c>
      <c r="R21" s="192">
        <f t="shared" si="1"/>
        <v>257353.09737471116</v>
      </c>
      <c r="S21" s="189">
        <f>'Sch. 129'!I24</f>
        <v>-240.17538999999988</v>
      </c>
      <c r="T21" s="193">
        <f t="shared" si="3"/>
        <v>-9.3325237757018245E-4</v>
      </c>
    </row>
    <row r="22" spans="2:21" x14ac:dyDescent="0.35">
      <c r="B22" t="s">
        <v>268</v>
      </c>
      <c r="C22" s="515" t="s">
        <v>2</v>
      </c>
      <c r="D22" s="518">
        <v>100441128.37470125</v>
      </c>
      <c r="E22" s="194">
        <v>4338586.3099999996</v>
      </c>
      <c r="F22" s="190">
        <f>(E22)/D22</f>
        <v>4.3195316303244434E-2</v>
      </c>
      <c r="G22" s="518">
        <v>103552854</v>
      </c>
      <c r="H22" s="191">
        <f t="shared" si="2"/>
        <v>4472998.2826336902</v>
      </c>
      <c r="I22" s="194"/>
      <c r="J22" s="194"/>
      <c r="K22" s="194"/>
      <c r="L22" s="189">
        <f>'Sch. 129'!G48</f>
        <v>24669.087208213292</v>
      </c>
      <c r="M22" s="194">
        <v>248526.84960000002</v>
      </c>
      <c r="N22" s="194">
        <v>44527.727220000001</v>
      </c>
      <c r="O22" s="194">
        <v>-14497.399559999998</v>
      </c>
      <c r="P22" s="194"/>
      <c r="Q22" s="194">
        <v>387287.67395999999</v>
      </c>
      <c r="R22" s="192">
        <f t="shared" si="1"/>
        <v>5163512.221061904</v>
      </c>
      <c r="S22" s="189">
        <f>'Sch. 129'!I48</f>
        <v>-1867.4141944586745</v>
      </c>
      <c r="T22" s="193">
        <f t="shared" si="3"/>
        <v>-3.6165580994299083E-4</v>
      </c>
    </row>
    <row r="23" spans="2:21" x14ac:dyDescent="0.35">
      <c r="B23" t="s">
        <v>269</v>
      </c>
      <c r="D23" s="518">
        <v>37056427.854413897</v>
      </c>
      <c r="E23" s="194">
        <v>1757519.5213237838</v>
      </c>
      <c r="F23" s="195">
        <f t="shared" si="4"/>
        <v>4.7428195945617584E-2</v>
      </c>
      <c r="G23" s="518">
        <v>36802368</v>
      </c>
      <c r="H23" s="191">
        <f t="shared" si="2"/>
        <v>1745469.9207667264</v>
      </c>
      <c r="I23" s="194"/>
      <c r="J23" s="194"/>
      <c r="K23" s="194"/>
      <c r="L23" s="189"/>
      <c r="M23" s="194">
        <v>43426.794240000003</v>
      </c>
      <c r="N23" s="194">
        <v>7728.4972800000005</v>
      </c>
      <c r="O23" s="194">
        <v>-2576.1657599999999</v>
      </c>
      <c r="P23" s="194"/>
      <c r="Q23" s="194">
        <v>34226.202239999999</v>
      </c>
      <c r="R23" s="192">
        <f t="shared" si="1"/>
        <v>1828275.2487667263</v>
      </c>
      <c r="S23" s="189"/>
      <c r="T23" s="193">
        <f t="shared" si="3"/>
        <v>0</v>
      </c>
    </row>
    <row r="24" spans="2:21" x14ac:dyDescent="0.35">
      <c r="B24" t="s">
        <v>0</v>
      </c>
      <c r="D24" s="196">
        <f>SUM(D11:D23)</f>
        <v>1191304269.0992641</v>
      </c>
      <c r="E24" s="197">
        <f>SUM(E11:E23)</f>
        <v>519258254.38333762</v>
      </c>
      <c r="F24" s="190">
        <f t="shared" si="4"/>
        <v>0.43587374598761802</v>
      </c>
      <c r="G24" s="196">
        <f>SUM(G11:G23)</f>
        <v>1170485180</v>
      </c>
      <c r="H24" s="197">
        <f>SUM(H11:H23)</f>
        <v>511395754.10911852</v>
      </c>
      <c r="I24" s="197">
        <f t="shared" ref="I24:K24" si="5">SUM(I11:I23)</f>
        <v>425121461.49000001</v>
      </c>
      <c r="J24" s="197">
        <f t="shared" si="5"/>
        <v>24377027.699999999</v>
      </c>
      <c r="K24" s="197">
        <f t="shared" si="5"/>
        <v>21949697.084390003</v>
      </c>
      <c r="L24" s="197">
        <f>SUM(L11:L23)</f>
        <v>3133016.6481460095</v>
      </c>
      <c r="M24" s="197">
        <f>SUM(M11:M23)</f>
        <v>21641693.639130004</v>
      </c>
      <c r="N24" s="197">
        <f>SUM(N11:N23)</f>
        <v>2965697.1058</v>
      </c>
      <c r="O24" s="197">
        <f>SUM(O11:O23)</f>
        <v>-1259302.0497500002</v>
      </c>
      <c r="P24" s="197">
        <f t="shared" ref="P24:R24" si="6">SUM(P11:P23)</f>
        <v>11849896.82</v>
      </c>
      <c r="Q24" s="197">
        <f t="shared" si="6"/>
        <v>21430139.531609997</v>
      </c>
      <c r="R24" s="198">
        <f t="shared" si="6"/>
        <v>1042605082.0784448</v>
      </c>
      <c r="S24" s="197">
        <f>SUM(S11:S23)</f>
        <v>-417006.80216349073</v>
      </c>
      <c r="T24" s="199">
        <f t="shared" si="3"/>
        <v>-3.9996620900042328E-4</v>
      </c>
      <c r="U24" s="191"/>
    </row>
    <row r="25" spans="2:21" x14ac:dyDescent="0.35">
      <c r="D25" s="200"/>
      <c r="E25" s="191"/>
      <c r="G25" s="200"/>
      <c r="L25" s="191"/>
      <c r="O25" s="191"/>
      <c r="P25" s="191"/>
      <c r="R25" s="191"/>
      <c r="T25" s="201"/>
    </row>
    <row r="26" spans="2:21" s="206" customFormat="1" x14ac:dyDescent="0.35">
      <c r="B26" s="202" t="s">
        <v>270</v>
      </c>
      <c r="C26" s="203"/>
      <c r="D26" s="204"/>
      <c r="E26" s="205"/>
      <c r="S26" s="207"/>
      <c r="T26" s="208"/>
    </row>
    <row r="27" spans="2:21" s="206" customFormat="1" x14ac:dyDescent="0.35">
      <c r="B27" s="209" t="s">
        <v>5</v>
      </c>
      <c r="C27" s="393" t="s">
        <v>333</v>
      </c>
      <c r="D27" s="211">
        <f>D11+D12</f>
        <v>609257701.15931809</v>
      </c>
      <c r="E27" s="210">
        <f>E11+E12</f>
        <v>363973986.91868043</v>
      </c>
      <c r="F27" s="190">
        <f t="shared" ref="F27:F34" si="7">(E27)/D27</f>
        <v>0.5974056400536214</v>
      </c>
      <c r="G27" s="301">
        <f>G11+G12</f>
        <v>593530133</v>
      </c>
      <c r="H27" s="210">
        <f>H11+H12</f>
        <v>354578261.09066838</v>
      </c>
      <c r="I27" s="210">
        <f t="shared" ref="I27:Q27" si="8">I11+I12</f>
        <v>275041863.63</v>
      </c>
      <c r="J27" s="210">
        <f t="shared" si="8"/>
        <v>15538618.879999999</v>
      </c>
      <c r="K27" s="210">
        <f t="shared" si="8"/>
        <v>14042922.94678</v>
      </c>
      <c r="L27" s="210">
        <f t="shared" si="8"/>
        <v>2166359.18725</v>
      </c>
      <c r="M27" s="210">
        <f t="shared" si="8"/>
        <v>14019181.741460001</v>
      </c>
      <c r="N27" s="210">
        <f t="shared" si="8"/>
        <v>1863684.6176199999</v>
      </c>
      <c r="O27" s="210">
        <f t="shared" si="8"/>
        <v>-813136.28220999998</v>
      </c>
      <c r="P27" s="210">
        <f t="shared" si="8"/>
        <v>9894029.4900000002</v>
      </c>
      <c r="Q27" s="210">
        <f t="shared" si="8"/>
        <v>13401910.403139999</v>
      </c>
      <c r="R27" s="210">
        <f>R11+R12</f>
        <v>699733695.70470858</v>
      </c>
      <c r="S27" s="191">
        <f>SUM(S11:S12)</f>
        <v>-290826.30184999993</v>
      </c>
      <c r="T27" s="193">
        <f t="shared" ref="T27:T34" si="9">S27/R27</f>
        <v>-4.156242633950991E-4</v>
      </c>
      <c r="U27" s="212"/>
    </row>
    <row r="28" spans="2:21" s="206" customFormat="1" x14ac:dyDescent="0.35">
      <c r="B28" s="213" t="s">
        <v>25</v>
      </c>
      <c r="C28" s="393" t="s">
        <v>334</v>
      </c>
      <c r="D28" s="211">
        <f>D13+D18</f>
        <v>234176518.05324447</v>
      </c>
      <c r="E28" s="210">
        <f>E13+E18</f>
        <v>115542872.56999999</v>
      </c>
      <c r="F28" s="190">
        <f t="shared" si="7"/>
        <v>0.49340076251252968</v>
      </c>
      <c r="G28" s="301">
        <f t="shared" ref="G28:Q32" si="10">G13+G18</f>
        <v>239241401</v>
      </c>
      <c r="H28" s="210">
        <f t="shared" si="10"/>
        <v>118041547.77735798</v>
      </c>
      <c r="I28" s="210">
        <f t="shared" si="10"/>
        <v>108987034.98999999</v>
      </c>
      <c r="J28" s="210">
        <f t="shared" si="10"/>
        <v>6252844.6799999997</v>
      </c>
      <c r="K28" s="210">
        <f t="shared" si="10"/>
        <v>5659613.8180400003</v>
      </c>
      <c r="L28" s="210">
        <f t="shared" si="10"/>
        <v>736863.51508000004</v>
      </c>
      <c r="M28" s="210">
        <f t="shared" si="10"/>
        <v>6064769.51535</v>
      </c>
      <c r="N28" s="210">
        <f t="shared" si="10"/>
        <v>846914.55954000005</v>
      </c>
      <c r="O28" s="210">
        <f t="shared" si="10"/>
        <v>-351684.85946999997</v>
      </c>
      <c r="P28" s="210">
        <f t="shared" si="10"/>
        <v>3801526.39</v>
      </c>
      <c r="Q28" s="210">
        <f t="shared" si="10"/>
        <v>5914047.4327199999</v>
      </c>
      <c r="R28" s="210">
        <f>R13+R18</f>
        <v>255953477.818618</v>
      </c>
      <c r="S28" s="191">
        <f>SUM(S13,S18)</f>
        <v>-98088.974409999981</v>
      </c>
      <c r="T28" s="193">
        <f t="shared" si="9"/>
        <v>-3.8322969957654162E-4</v>
      </c>
    </row>
    <row r="29" spans="2:21" s="206" customFormat="1" x14ac:dyDescent="0.35">
      <c r="B29" s="209" t="s">
        <v>24</v>
      </c>
      <c r="C29" s="393" t="s">
        <v>335</v>
      </c>
      <c r="D29" s="211">
        <f t="shared" ref="D29:E32" si="11">D14+D19</f>
        <v>86328991.912539363</v>
      </c>
      <c r="E29" s="210">
        <f t="shared" si="11"/>
        <v>21021209.463333469</v>
      </c>
      <c r="F29" s="190">
        <f t="shared" si="7"/>
        <v>0.24350115757902321</v>
      </c>
      <c r="G29" s="301">
        <f t="shared" si="10"/>
        <v>88820416</v>
      </c>
      <c r="H29" s="210">
        <f t="shared" si="10"/>
        <v>21535166.20593654</v>
      </c>
      <c r="I29" s="210">
        <f t="shared" si="10"/>
        <v>27489667.879999999</v>
      </c>
      <c r="J29" s="210">
        <f t="shared" si="10"/>
        <v>1700911.84</v>
      </c>
      <c r="K29" s="210">
        <f t="shared" si="10"/>
        <v>1546045.8777400001</v>
      </c>
      <c r="L29" s="210">
        <f t="shared" si="10"/>
        <v>132342.41983999999</v>
      </c>
      <c r="M29" s="210">
        <f t="shared" si="10"/>
        <v>773625.82335999992</v>
      </c>
      <c r="N29" s="210">
        <f t="shared" si="10"/>
        <v>118131.15328</v>
      </c>
      <c r="O29" s="210">
        <f t="shared" si="10"/>
        <v>-49739.432959999998</v>
      </c>
      <c r="P29" s="210">
        <f t="shared" si="10"/>
        <v>-1729459.8200000003</v>
      </c>
      <c r="Q29" s="210">
        <f t="shared" si="10"/>
        <v>999229.67999999993</v>
      </c>
      <c r="R29" s="210">
        <f>R14+R19</f>
        <v>52515921.62719655</v>
      </c>
      <c r="S29" s="191">
        <f>SUM(S14,S19)</f>
        <v>-17764.083200000001</v>
      </c>
      <c r="T29" s="193">
        <f t="shared" si="9"/>
        <v>-3.3826090544701533E-4</v>
      </c>
    </row>
    <row r="30" spans="2:21" s="206" customFormat="1" x14ac:dyDescent="0.35">
      <c r="B30" s="209" t="s">
        <v>4</v>
      </c>
      <c r="C30" s="393" t="s">
        <v>336</v>
      </c>
      <c r="D30" s="211">
        <f t="shared" si="11"/>
        <v>90957971.203620166</v>
      </c>
      <c r="E30" s="210">
        <f t="shared" si="11"/>
        <v>9185207.3300000001</v>
      </c>
      <c r="F30" s="190">
        <f t="shared" si="7"/>
        <v>0.10098298377211853</v>
      </c>
      <c r="G30" s="301">
        <f t="shared" si="10"/>
        <v>86094939</v>
      </c>
      <c r="H30" s="210">
        <f t="shared" si="10"/>
        <v>8682704.4310444426</v>
      </c>
      <c r="I30" s="210">
        <f t="shared" si="10"/>
        <v>5086645.29</v>
      </c>
      <c r="J30" s="210">
        <f t="shared" si="10"/>
        <v>334893.34000000003</v>
      </c>
      <c r="K30" s="210">
        <f t="shared" si="10"/>
        <v>265462.65867000003</v>
      </c>
      <c r="L30" s="210">
        <f t="shared" si="10"/>
        <v>59323.563666701913</v>
      </c>
      <c r="M30" s="210">
        <f t="shared" si="10"/>
        <v>402924.31452000001</v>
      </c>
      <c r="N30" s="210">
        <f t="shared" si="10"/>
        <v>69736.900590000005</v>
      </c>
      <c r="O30" s="210">
        <f t="shared" si="10"/>
        <v>-23245.633529999999</v>
      </c>
      <c r="P30" s="210">
        <f t="shared" si="10"/>
        <v>0</v>
      </c>
      <c r="Q30" s="210">
        <f t="shared" si="10"/>
        <v>577697.04068999994</v>
      </c>
      <c r="R30" s="210">
        <f>R15+R20</f>
        <v>15456141.905651145</v>
      </c>
      <c r="S30" s="191">
        <f>SUM(S15,S20)</f>
        <v>-6778.1824046457978</v>
      </c>
      <c r="T30" s="193">
        <f t="shared" si="9"/>
        <v>-4.3854297185040261E-4</v>
      </c>
    </row>
    <row r="31" spans="2:21" s="206" customFormat="1" x14ac:dyDescent="0.35">
      <c r="B31" s="209" t="s">
        <v>43</v>
      </c>
      <c r="C31" s="393" t="s">
        <v>337</v>
      </c>
      <c r="D31" s="211">
        <f t="shared" si="11"/>
        <v>9748488.4229263552</v>
      </c>
      <c r="E31" s="210">
        <f t="shared" si="11"/>
        <v>2062194.29</v>
      </c>
      <c r="F31" s="190">
        <f t="shared" si="7"/>
        <v>0.2115399024478668</v>
      </c>
      <c r="G31" s="301">
        <f t="shared" si="10"/>
        <v>6738140</v>
      </c>
      <c r="H31" s="210">
        <f t="shared" si="10"/>
        <v>1413155.2325645031</v>
      </c>
      <c r="I31" s="210">
        <f t="shared" si="10"/>
        <v>2281235.8400000003</v>
      </c>
      <c r="J31" s="210">
        <f t="shared" si="10"/>
        <v>142216.04999999999</v>
      </c>
      <c r="K31" s="210">
        <f t="shared" si="10"/>
        <v>112601.39363000001</v>
      </c>
      <c r="L31" s="210">
        <f t="shared" si="10"/>
        <v>8826.9634000000005</v>
      </c>
      <c r="M31" s="210">
        <f t="shared" si="10"/>
        <v>51546.771000000001</v>
      </c>
      <c r="N31" s="210">
        <f t="shared" si="10"/>
        <v>8220.5307999999986</v>
      </c>
      <c r="O31" s="210">
        <f t="shared" si="10"/>
        <v>-2223.5862000000002</v>
      </c>
      <c r="P31" s="210">
        <f t="shared" si="10"/>
        <v>-116199.23999999999</v>
      </c>
      <c r="Q31" s="210">
        <f t="shared" si="10"/>
        <v>57004.664400000001</v>
      </c>
      <c r="R31" s="210">
        <f>R16+R21</f>
        <v>3956384.6195945023</v>
      </c>
      <c r="S31" s="191">
        <f>SUM(S16,S21)</f>
        <v>-1280.2465999999999</v>
      </c>
      <c r="T31" s="193">
        <f t="shared" si="9"/>
        <v>-3.2359002551456058E-4</v>
      </c>
    </row>
    <row r="32" spans="2:21" s="206" customFormat="1" x14ac:dyDescent="0.35">
      <c r="B32" s="214" t="s">
        <v>338</v>
      </c>
      <c r="C32" s="393" t="s">
        <v>339</v>
      </c>
      <c r="D32" s="211">
        <f t="shared" si="11"/>
        <v>123778170.49320194</v>
      </c>
      <c r="E32" s="210">
        <f t="shared" si="11"/>
        <v>5715264.2899999991</v>
      </c>
      <c r="F32" s="190">
        <f t="shared" si="7"/>
        <v>4.6173442919920107E-2</v>
      </c>
      <c r="G32" s="301">
        <f t="shared" si="10"/>
        <v>119257783</v>
      </c>
      <c r="H32" s="210">
        <f t="shared" si="10"/>
        <v>5399449.4507799493</v>
      </c>
      <c r="I32" s="210">
        <f t="shared" si="10"/>
        <v>6235013.8600000003</v>
      </c>
      <c r="J32" s="210">
        <f t="shared" si="10"/>
        <v>407542.91</v>
      </c>
      <c r="K32" s="210">
        <f t="shared" si="10"/>
        <v>323050.38953000004</v>
      </c>
      <c r="L32" s="210">
        <f t="shared" si="10"/>
        <v>29300.998909307906</v>
      </c>
      <c r="M32" s="210">
        <f t="shared" si="10"/>
        <v>286218.67920000001</v>
      </c>
      <c r="N32" s="210">
        <f t="shared" si="10"/>
        <v>51280.846689999998</v>
      </c>
      <c r="O32" s="210">
        <f t="shared" si="10"/>
        <v>-16696.089619999999</v>
      </c>
      <c r="P32" s="210">
        <f t="shared" si="10"/>
        <v>0</v>
      </c>
      <c r="Q32" s="210">
        <f t="shared" si="10"/>
        <v>446024.10842</v>
      </c>
      <c r="R32" s="210">
        <f>R17+R22</f>
        <v>13161185.153909259</v>
      </c>
      <c r="S32" s="191">
        <f>SUM(S17,S22)</f>
        <v>-2269.0136988450231</v>
      </c>
      <c r="T32" s="193">
        <f t="shared" si="9"/>
        <v>-1.7240192826943547E-4</v>
      </c>
    </row>
    <row r="33" spans="2:20" s="206" customFormat="1" x14ac:dyDescent="0.35">
      <c r="B33" s="214" t="s">
        <v>269</v>
      </c>
      <c r="C33" s="209"/>
      <c r="D33" s="211">
        <f>D23</f>
        <v>37056427.854413897</v>
      </c>
      <c r="E33" s="210">
        <f>E23</f>
        <v>1757519.5213237838</v>
      </c>
      <c r="F33" s="190">
        <f t="shared" si="7"/>
        <v>4.7428195945617584E-2</v>
      </c>
      <c r="G33" s="301">
        <f>G23</f>
        <v>36802368</v>
      </c>
      <c r="H33" s="210">
        <f>H23</f>
        <v>1745469.9207667264</v>
      </c>
      <c r="I33" s="210">
        <f t="shared" ref="I33:Q33" si="12">I23</f>
        <v>0</v>
      </c>
      <c r="J33" s="210">
        <f t="shared" si="12"/>
        <v>0</v>
      </c>
      <c r="K33" s="210">
        <f t="shared" si="12"/>
        <v>0</v>
      </c>
      <c r="L33" s="210">
        <f t="shared" si="12"/>
        <v>0</v>
      </c>
      <c r="M33" s="210">
        <f t="shared" si="12"/>
        <v>43426.794240000003</v>
      </c>
      <c r="N33" s="210">
        <f t="shared" si="12"/>
        <v>7728.4972800000005</v>
      </c>
      <c r="O33" s="210">
        <f t="shared" si="12"/>
        <v>-2576.1657599999999</v>
      </c>
      <c r="P33" s="210">
        <f t="shared" si="12"/>
        <v>0</v>
      </c>
      <c r="Q33" s="210">
        <f t="shared" si="12"/>
        <v>34226.202239999999</v>
      </c>
      <c r="R33" s="210">
        <f>R23</f>
        <v>1828275.2487667263</v>
      </c>
      <c r="S33" s="191">
        <f>S23</f>
        <v>0</v>
      </c>
      <c r="T33" s="193">
        <f t="shared" si="9"/>
        <v>0</v>
      </c>
    </row>
    <row r="34" spans="2:20" s="206" customFormat="1" x14ac:dyDescent="0.35">
      <c r="B34" s="214" t="s">
        <v>0</v>
      </c>
      <c r="C34" s="214"/>
      <c r="D34" s="217">
        <f>SUM(D27:D33)</f>
        <v>1191304269.0992644</v>
      </c>
      <c r="E34" s="215">
        <f>SUM(E27:E33)</f>
        <v>519258254.38333774</v>
      </c>
      <c r="F34" s="216">
        <f t="shared" si="7"/>
        <v>0.43587374598761802</v>
      </c>
      <c r="G34" s="302">
        <f>SUM(G27:G33)</f>
        <v>1170485180</v>
      </c>
      <c r="H34" s="215">
        <f>SUM(H27:H33)</f>
        <v>511395754.10911858</v>
      </c>
      <c r="I34" s="215">
        <f t="shared" ref="I34:Q34" si="13">SUM(I27:I33)</f>
        <v>425121461.49000001</v>
      </c>
      <c r="J34" s="215">
        <f t="shared" si="13"/>
        <v>24377027.699999999</v>
      </c>
      <c r="K34" s="215">
        <f t="shared" si="13"/>
        <v>21949697.084390003</v>
      </c>
      <c r="L34" s="215">
        <f t="shared" si="13"/>
        <v>3133016.6481460095</v>
      </c>
      <c r="M34" s="215">
        <f t="shared" si="13"/>
        <v>21641693.639130007</v>
      </c>
      <c r="N34" s="215">
        <f t="shared" si="13"/>
        <v>2965697.1058</v>
      </c>
      <c r="O34" s="215">
        <f t="shared" si="13"/>
        <v>-1259302.0497499998</v>
      </c>
      <c r="P34" s="215">
        <f t="shared" si="13"/>
        <v>11849896.82</v>
      </c>
      <c r="Q34" s="215">
        <f t="shared" si="13"/>
        <v>21430139.531610001</v>
      </c>
      <c r="R34" s="215">
        <f>SUM(R27:R33)</f>
        <v>1042605082.0784447</v>
      </c>
      <c r="S34" s="197">
        <f>SUM(S27:S33)</f>
        <v>-417006.80216349068</v>
      </c>
      <c r="T34" s="199">
        <f t="shared" si="9"/>
        <v>-3.9996620900042328E-4</v>
      </c>
    </row>
    <row r="35" spans="2:20" s="206" customFormat="1" x14ac:dyDescent="0.35">
      <c r="B35" s="218"/>
      <c r="C35" s="218"/>
      <c r="D35" s="218"/>
      <c r="E35" s="218"/>
      <c r="F35" s="218"/>
      <c r="I35" s="219"/>
      <c r="L35" s="218"/>
      <c r="N35" s="218"/>
      <c r="O35" s="218"/>
      <c r="P35" s="218"/>
      <c r="Q35" s="218"/>
      <c r="R35" s="218"/>
      <c r="S35" s="220"/>
    </row>
    <row r="36" spans="2:20" ht="16.5" x14ac:dyDescent="0.35">
      <c r="B36" t="s">
        <v>340</v>
      </c>
      <c r="D36" s="200"/>
      <c r="E36" s="200"/>
      <c r="H36" s="221"/>
      <c r="L36" s="200"/>
      <c r="O36" s="200"/>
      <c r="P36" s="200"/>
      <c r="R36" s="200"/>
    </row>
    <row r="37" spans="2:20" ht="16.5" x14ac:dyDescent="0.35">
      <c r="B37" t="s">
        <v>341</v>
      </c>
    </row>
  </sheetData>
  <printOptions horizontalCentered="1"/>
  <pageMargins left="0.45" right="0.45" top="0.75" bottom="0.75" header="0.3" footer="0.3"/>
  <pageSetup paperSize="5" scale="63" orientation="landscape" blackAndWhite="1" r:id="rId1"/>
  <headerFooter>
    <oddFooter>&amp;L&amp;F 
&amp;A&amp;C&amp;P&amp;R&amp;D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4"/>
  <sheetViews>
    <sheetView zoomScale="90" zoomScaleNormal="90" workbookViewId="0">
      <selection activeCell="G17" sqref="G17"/>
    </sheetView>
  </sheetViews>
  <sheetFormatPr defaultColWidth="9.1796875" defaultRowHeight="14.5" x14ac:dyDescent="0.35"/>
  <cols>
    <col min="1" max="1" width="2.1796875" style="222" customWidth="1"/>
    <col min="2" max="2" width="2.453125" style="222" customWidth="1"/>
    <col min="3" max="3" width="33" style="222" customWidth="1"/>
    <col min="4" max="5" width="11.81640625" style="222" customWidth="1"/>
    <col min="6" max="6" width="2.7265625" style="234" customWidth="1"/>
    <col min="7" max="8" width="11.81640625" style="222" customWidth="1"/>
    <col min="9" max="16384" width="9.1796875" style="222"/>
  </cols>
  <sheetData>
    <row r="1" spans="2:8" x14ac:dyDescent="0.35">
      <c r="B1" s="394" t="s">
        <v>13</v>
      </c>
      <c r="C1" s="394"/>
      <c r="D1" s="394"/>
      <c r="E1" s="394"/>
      <c r="F1" s="394"/>
      <c r="G1" s="394"/>
      <c r="H1" s="394"/>
    </row>
    <row r="2" spans="2:8" x14ac:dyDescent="0.35">
      <c r="B2" s="394" t="str">
        <f>'Rate Impacts Sch 129'!B2</f>
        <v>2022 Gas Schedule 129 Low Income Program Filing</v>
      </c>
      <c r="C2" s="394"/>
      <c r="D2" s="394"/>
      <c r="E2" s="394"/>
      <c r="F2" s="394"/>
      <c r="G2" s="394"/>
      <c r="H2" s="394"/>
    </row>
    <row r="3" spans="2:8" x14ac:dyDescent="0.35">
      <c r="B3" s="390" t="s">
        <v>271</v>
      </c>
      <c r="C3" s="390"/>
      <c r="D3" s="390"/>
      <c r="E3" s="390"/>
      <c r="F3" s="390"/>
      <c r="G3" s="390"/>
      <c r="H3" s="390"/>
    </row>
    <row r="4" spans="2:8" x14ac:dyDescent="0.35">
      <c r="B4" s="390" t="str">
        <f>'Rate Impacts Sch 129'!B4</f>
        <v>Proposed Rates Effective October 1, 2022</v>
      </c>
      <c r="C4" s="390"/>
      <c r="D4" s="390"/>
      <c r="E4" s="390"/>
      <c r="F4" s="390"/>
      <c r="G4" s="390"/>
      <c r="H4" s="390"/>
    </row>
    <row r="6" spans="2:8" x14ac:dyDescent="0.35">
      <c r="G6" s="395" t="s">
        <v>342</v>
      </c>
      <c r="H6" s="395"/>
    </row>
    <row r="7" spans="2:8" x14ac:dyDescent="0.35">
      <c r="D7" s="223" t="s">
        <v>272</v>
      </c>
      <c r="E7" s="223"/>
      <c r="F7" s="224"/>
      <c r="G7" s="223" t="s">
        <v>343</v>
      </c>
      <c r="H7" s="223"/>
    </row>
    <row r="8" spans="2:8" ht="16.5" x14ac:dyDescent="0.35">
      <c r="D8" s="517" t="s">
        <v>273</v>
      </c>
      <c r="E8" s="517" t="s">
        <v>111</v>
      </c>
      <c r="F8" s="225"/>
      <c r="G8" s="517" t="s">
        <v>112</v>
      </c>
      <c r="H8" s="517" t="s">
        <v>111</v>
      </c>
    </row>
    <row r="9" spans="2:8" x14ac:dyDescent="0.35">
      <c r="B9" s="222" t="s">
        <v>274</v>
      </c>
      <c r="D9" s="226">
        <v>64</v>
      </c>
      <c r="E9" s="227"/>
      <c r="F9" s="228"/>
      <c r="G9" s="226">
        <v>64</v>
      </c>
      <c r="H9" s="227"/>
    </row>
    <row r="10" spans="2:8" x14ac:dyDescent="0.35">
      <c r="D10" s="226"/>
      <c r="E10" s="227"/>
      <c r="F10" s="228"/>
      <c r="G10" s="226"/>
      <c r="H10" s="227"/>
    </row>
    <row r="11" spans="2:8" x14ac:dyDescent="0.35">
      <c r="B11" s="222" t="s">
        <v>275</v>
      </c>
      <c r="D11" s="226"/>
      <c r="E11" s="227"/>
      <c r="F11" s="228"/>
      <c r="G11" s="226"/>
      <c r="H11" s="227"/>
    </row>
    <row r="12" spans="2:8" x14ac:dyDescent="0.35">
      <c r="C12" s="222" t="s">
        <v>344</v>
      </c>
      <c r="D12" s="521">
        <v>11.52</v>
      </c>
      <c r="E12" s="227">
        <f>D12</f>
        <v>11.52</v>
      </c>
      <c r="F12" s="229"/>
      <c r="G12" s="230">
        <f>$D$12</f>
        <v>11.52</v>
      </c>
      <c r="H12" s="227">
        <f>G12</f>
        <v>11.52</v>
      </c>
    </row>
    <row r="13" spans="2:8" x14ac:dyDescent="0.35">
      <c r="C13" s="222" t="s">
        <v>1</v>
      </c>
      <c r="D13" s="232">
        <f>SUM(D12:D12)</f>
        <v>11.52</v>
      </c>
      <c r="E13" s="232">
        <f>SUM(E12:E12)</f>
        <v>11.52</v>
      </c>
      <c r="F13" s="229"/>
      <c r="G13" s="232">
        <f>SUM(G12:G12)</f>
        <v>11.52</v>
      </c>
      <c r="H13" s="232">
        <f>SUM(H12:H12)</f>
        <v>11.52</v>
      </c>
    </row>
    <row r="14" spans="2:8" x14ac:dyDescent="0.35">
      <c r="D14" s="233"/>
      <c r="E14" s="227"/>
      <c r="F14" s="229"/>
      <c r="G14" s="230"/>
      <c r="H14" s="227"/>
    </row>
    <row r="15" spans="2:8" x14ac:dyDescent="0.35">
      <c r="B15" s="222" t="s">
        <v>276</v>
      </c>
      <c r="E15" s="227"/>
      <c r="H15" s="227"/>
    </row>
    <row r="16" spans="2:8" x14ac:dyDescent="0.35">
      <c r="C16" s="222" t="s">
        <v>345</v>
      </c>
      <c r="D16" s="522">
        <v>0.41964000000000001</v>
      </c>
      <c r="E16" s="227"/>
      <c r="F16" s="236"/>
      <c r="G16" s="237">
        <f>$D$16</f>
        <v>0.41964000000000001</v>
      </c>
      <c r="H16" s="227"/>
    </row>
    <row r="17" spans="2:8" x14ac:dyDescent="0.35">
      <c r="C17" s="222" t="s">
        <v>346</v>
      </c>
      <c r="D17" s="523">
        <f>'Sch. 129'!$E$9</f>
        <v>3.65E-3</v>
      </c>
      <c r="E17" s="227"/>
      <c r="F17" s="236"/>
      <c r="G17" s="235">
        <f>'Sch. 129'!$F$9</f>
        <v>3.16E-3</v>
      </c>
      <c r="H17" s="227"/>
    </row>
    <row r="18" spans="2:8" x14ac:dyDescent="0.35">
      <c r="C18" s="222" t="s">
        <v>347</v>
      </c>
      <c r="D18" s="522">
        <f>'Margin Revenue'!H10</f>
        <v>2.3620000000000002E-2</v>
      </c>
      <c r="E18" s="227"/>
      <c r="F18" s="236"/>
      <c r="G18" s="238">
        <f>$D$18</f>
        <v>2.3620000000000002E-2</v>
      </c>
      <c r="H18" s="227"/>
    </row>
    <row r="19" spans="2:8" x14ac:dyDescent="0.35">
      <c r="C19" s="222" t="s">
        <v>348</v>
      </c>
      <c r="D19" s="522">
        <v>3.14E-3</v>
      </c>
      <c r="E19" s="227"/>
      <c r="F19" s="236"/>
      <c r="G19" s="237">
        <f>$D$19</f>
        <v>3.14E-3</v>
      </c>
      <c r="H19" s="227"/>
    </row>
    <row r="20" spans="2:8" x14ac:dyDescent="0.35">
      <c r="C20" s="222" t="s">
        <v>349</v>
      </c>
      <c r="D20" s="522">
        <v>-1.3699999999999999E-3</v>
      </c>
      <c r="E20" s="227"/>
      <c r="F20" s="236"/>
      <c r="G20" s="238">
        <f>$D$20</f>
        <v>-1.3699999999999999E-3</v>
      </c>
      <c r="H20" s="227"/>
    </row>
    <row r="21" spans="2:8" x14ac:dyDescent="0.35">
      <c r="C21" s="222" t="s">
        <v>350</v>
      </c>
      <c r="D21" s="522">
        <v>1.6670000000000001E-2</v>
      </c>
      <c r="E21" s="227"/>
      <c r="F21" s="236"/>
      <c r="G21" s="238">
        <f>$D$21</f>
        <v>1.6670000000000001E-2</v>
      </c>
      <c r="H21" s="227"/>
    </row>
    <row r="22" spans="2:8" x14ac:dyDescent="0.35">
      <c r="C22" s="222" t="s">
        <v>351</v>
      </c>
      <c r="D22" s="523">
        <v>2.2579999999999999E-2</v>
      </c>
      <c r="E22" s="227"/>
      <c r="F22" s="236"/>
      <c r="G22" s="238">
        <f>$D$22</f>
        <v>2.2579999999999999E-2</v>
      </c>
      <c r="H22" s="227"/>
    </row>
    <row r="23" spans="2:8" x14ac:dyDescent="0.35">
      <c r="C23" s="222" t="s">
        <v>1</v>
      </c>
      <c r="D23" s="239">
        <f>SUM(D16:D22)</f>
        <v>0.48793000000000003</v>
      </c>
      <c r="E23" s="227">
        <f>ROUND(D23*D$9,2)</f>
        <v>31.23</v>
      </c>
      <c r="F23" s="236"/>
      <c r="G23" s="239">
        <f>SUM(G16:G22)</f>
        <v>0.48744000000000004</v>
      </c>
      <c r="H23" s="227">
        <f>ROUND(G23*G$9,2)</f>
        <v>31.2</v>
      </c>
    </row>
    <row r="25" spans="2:8" x14ac:dyDescent="0.35">
      <c r="C25" s="222" t="s">
        <v>352</v>
      </c>
      <c r="D25" s="522">
        <v>2.366E-2</v>
      </c>
      <c r="E25" s="227">
        <f>ROUND(D25*D$9,2)</f>
        <v>1.51</v>
      </c>
      <c r="F25" s="236"/>
      <c r="G25" s="240">
        <f>$D$25</f>
        <v>2.366E-2</v>
      </c>
      <c r="H25" s="227">
        <f>ROUND(G25*G$9,2)</f>
        <v>1.51</v>
      </c>
    </row>
    <row r="26" spans="2:8" x14ac:dyDescent="0.35">
      <c r="D26" s="237"/>
      <c r="E26" s="227"/>
      <c r="F26" s="236"/>
      <c r="G26" s="237"/>
      <c r="H26" s="227"/>
    </row>
    <row r="27" spans="2:8" x14ac:dyDescent="0.35">
      <c r="C27" s="222" t="s">
        <v>353</v>
      </c>
      <c r="D27" s="522">
        <v>0.46339999999999998</v>
      </c>
      <c r="E27" s="227"/>
      <c r="F27" s="236"/>
      <c r="G27" s="238">
        <f>$D$27</f>
        <v>0.46339999999999998</v>
      </c>
      <c r="H27" s="227"/>
    </row>
    <row r="28" spans="2:8" x14ac:dyDescent="0.35">
      <c r="C28" s="222" t="s">
        <v>354</v>
      </c>
      <c r="D28" s="522">
        <v>2.6179999999999998E-2</v>
      </c>
      <c r="E28" s="227"/>
      <c r="F28" s="236"/>
      <c r="G28" s="238">
        <f>$D$28</f>
        <v>2.6179999999999998E-2</v>
      </c>
      <c r="H28" s="227"/>
    </row>
    <row r="29" spans="2:8" x14ac:dyDescent="0.35">
      <c r="C29" s="222" t="s">
        <v>1</v>
      </c>
      <c r="D29" s="239">
        <f>SUM(D27:D28)</f>
        <v>0.48957999999999996</v>
      </c>
      <c r="E29" s="227">
        <f>ROUND(D29*D$9,2)</f>
        <v>31.33</v>
      </c>
      <c r="F29" s="236"/>
      <c r="G29" s="239">
        <f>SUM(G27:G28)</f>
        <v>0.48957999999999996</v>
      </c>
      <c r="H29" s="227">
        <f>ROUND(G29*G$9,2)</f>
        <v>31.33</v>
      </c>
    </row>
    <row r="30" spans="2:8" x14ac:dyDescent="0.35">
      <c r="C30" s="222" t="s">
        <v>277</v>
      </c>
      <c r="D30" s="239">
        <f>D23+D25+D29</f>
        <v>1.0011699999999999</v>
      </c>
      <c r="E30" s="241">
        <f>SUM(E23,E25,E29)</f>
        <v>64.069999999999993</v>
      </c>
      <c r="F30" s="242"/>
      <c r="G30" s="239">
        <f>G23+G25+G29</f>
        <v>1.00068</v>
      </c>
      <c r="H30" s="241">
        <f>SUM(H23,H25,H29)</f>
        <v>64.039999999999992</v>
      </c>
    </row>
    <row r="31" spans="2:8" x14ac:dyDescent="0.35">
      <c r="E31" s="227"/>
      <c r="H31" s="227"/>
    </row>
    <row r="32" spans="2:8" x14ac:dyDescent="0.35">
      <c r="B32" s="222" t="s">
        <v>278</v>
      </c>
      <c r="D32" s="230"/>
      <c r="E32" s="227">
        <f>E13+E30</f>
        <v>75.589999999999989</v>
      </c>
      <c r="F32" s="231"/>
      <c r="G32" s="230"/>
      <c r="H32" s="227">
        <f>H13+H30</f>
        <v>75.559999999999988</v>
      </c>
    </row>
    <row r="33" spans="2:8" x14ac:dyDescent="0.35">
      <c r="B33" s="222" t="s">
        <v>279</v>
      </c>
      <c r="D33" s="230"/>
      <c r="E33" s="227"/>
      <c r="F33" s="231"/>
      <c r="G33" s="230"/>
      <c r="H33" s="227">
        <f>H32-$E32</f>
        <v>-3.0000000000001137E-2</v>
      </c>
    </row>
    <row r="34" spans="2:8" x14ac:dyDescent="0.35">
      <c r="B34" s="222" t="s">
        <v>280</v>
      </c>
      <c r="D34" s="243"/>
      <c r="E34" s="243"/>
      <c r="F34" s="244"/>
      <c r="G34" s="243"/>
      <c r="H34" s="245">
        <f>H33/$E32</f>
        <v>-3.9687789390132478E-4</v>
      </c>
    </row>
    <row r="35" spans="2:8" x14ac:dyDescent="0.35">
      <c r="E35" s="227"/>
    </row>
    <row r="36" spans="2:8" x14ac:dyDescent="0.35">
      <c r="B36" s="222" t="s">
        <v>281</v>
      </c>
      <c r="D36" s="237">
        <f>D23+D25</f>
        <v>0.51158999999999999</v>
      </c>
      <c r="E36" s="227"/>
      <c r="F36" s="242"/>
      <c r="G36" s="237">
        <f>G23+G25</f>
        <v>0.5111</v>
      </c>
    </row>
    <row r="38" spans="2:8" ht="16.5" x14ac:dyDescent="0.35">
      <c r="B38" s="246" t="s">
        <v>355</v>
      </c>
    </row>
    <row r="39" spans="2:8" x14ac:dyDescent="0.35">
      <c r="C39" s="246"/>
      <c r="D39" s="246"/>
      <c r="E39" s="246"/>
      <c r="F39" s="247"/>
      <c r="G39" s="247"/>
      <c r="H39" s="247"/>
    </row>
    <row r="44" spans="2:8" ht="14.25" customHeight="1" x14ac:dyDescent="0.35"/>
  </sheetData>
  <printOptions horizontalCentered="1"/>
  <pageMargins left="0.5" right="0.5" top="1" bottom="1" header="0.5" footer="0.5"/>
  <pageSetup scale="73" orientation="landscape" blackAndWhite="1" r:id="rId1"/>
  <headerFooter alignWithMargins="0">
    <oddFooter>&amp;L&amp;F  
&amp;A&amp;C&amp;P&amp;R&amp;D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9"/>
  <sheetViews>
    <sheetView zoomScale="90" zoomScaleNormal="90" workbookViewId="0">
      <selection activeCell="I11" sqref="I11"/>
    </sheetView>
  </sheetViews>
  <sheetFormatPr defaultRowHeight="14.5" x14ac:dyDescent="0.35"/>
  <cols>
    <col min="1" max="1" width="2.81640625" customWidth="1"/>
    <col min="2" max="2" width="37.81640625" customWidth="1"/>
    <col min="3" max="3" width="9.1796875" bestFit="1" customWidth="1"/>
    <col min="4" max="5" width="20.453125" bestFit="1" customWidth="1"/>
    <col min="6" max="6" width="13.453125" bestFit="1" customWidth="1"/>
    <col min="7" max="7" width="2.54296875" customWidth="1"/>
    <col min="8" max="9" width="20.453125" bestFit="1" customWidth="1"/>
    <col min="10" max="10" width="13.453125" bestFit="1" customWidth="1"/>
    <col min="11" max="11" width="2.54296875" customWidth="1"/>
    <col min="12" max="12" width="11.1796875" bestFit="1" customWidth="1"/>
    <col min="13" max="14" width="9.1796875" customWidth="1"/>
  </cols>
  <sheetData>
    <row r="1" spans="2:14" x14ac:dyDescent="0.35">
      <c r="B1" s="526" t="s">
        <v>13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</row>
    <row r="2" spans="2:14" x14ac:dyDescent="0.35">
      <c r="B2" s="526" t="str">
        <f>'Rate Impacts Sch 129'!B2</f>
        <v>2022 Gas Schedule 129 Low Income Program Filing</v>
      </c>
      <c r="C2" s="526"/>
      <c r="D2" s="526"/>
      <c r="E2" s="526"/>
      <c r="F2" s="526"/>
      <c r="G2" s="526"/>
      <c r="H2" s="526"/>
      <c r="I2" s="526"/>
      <c r="J2" s="526"/>
      <c r="K2" s="526"/>
      <c r="L2" s="526"/>
    </row>
    <row r="3" spans="2:14" x14ac:dyDescent="0.35">
      <c r="B3" s="527" t="s">
        <v>282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</row>
    <row r="4" spans="2:14" x14ac:dyDescent="0.35">
      <c r="B4" s="527" t="str">
        <f>'Rate Impacts Sch 129'!B4</f>
        <v>Proposed Rates Effective October 1, 2022</v>
      </c>
      <c r="C4" s="527"/>
      <c r="D4" s="527"/>
      <c r="E4" s="527"/>
      <c r="F4" s="527"/>
      <c r="G4" s="527"/>
      <c r="H4" s="527"/>
      <c r="I4" s="527"/>
      <c r="J4" s="527"/>
      <c r="K4" s="527"/>
      <c r="L4" s="527"/>
    </row>
    <row r="5" spans="2:14" x14ac:dyDescent="0.35">
      <c r="B5" s="515"/>
      <c r="C5" s="515"/>
      <c r="D5" s="515"/>
      <c r="E5" s="515"/>
      <c r="F5" s="515"/>
      <c r="G5" s="515"/>
      <c r="H5" s="515"/>
      <c r="I5" s="515"/>
      <c r="J5" s="515"/>
      <c r="K5" s="515"/>
      <c r="L5" s="515"/>
    </row>
    <row r="6" spans="2:14" ht="16.5" x14ac:dyDescent="0.35">
      <c r="D6" s="528" t="s">
        <v>357</v>
      </c>
      <c r="E6" s="528"/>
      <c r="F6" s="528"/>
      <c r="G6" s="515"/>
      <c r="H6" s="528" t="s">
        <v>152</v>
      </c>
      <c r="I6" s="528"/>
      <c r="J6" s="528"/>
    </row>
    <row r="7" spans="2:14" x14ac:dyDescent="0.35">
      <c r="B7" s="182"/>
      <c r="C7" s="182"/>
      <c r="D7" s="182" t="s">
        <v>239</v>
      </c>
      <c r="E7" s="248" t="s">
        <v>239</v>
      </c>
      <c r="F7" s="182"/>
      <c r="G7" s="182"/>
      <c r="H7" s="182" t="s">
        <v>239</v>
      </c>
      <c r="I7" s="248" t="s">
        <v>239</v>
      </c>
      <c r="J7" s="182"/>
      <c r="K7" s="182"/>
      <c r="L7" s="182"/>
    </row>
    <row r="8" spans="2:14" x14ac:dyDescent="0.35">
      <c r="B8" s="182"/>
      <c r="C8" s="182" t="s">
        <v>12</v>
      </c>
      <c r="D8" s="182" t="s">
        <v>283</v>
      </c>
      <c r="E8" s="182" t="s">
        <v>6</v>
      </c>
      <c r="F8" s="182" t="s">
        <v>284</v>
      </c>
      <c r="G8" s="182"/>
      <c r="H8" s="182" t="s">
        <v>283</v>
      </c>
      <c r="I8" s="182" t="s">
        <v>6</v>
      </c>
      <c r="J8" s="182" t="s">
        <v>284</v>
      </c>
      <c r="K8" s="182"/>
      <c r="L8" s="182" t="s">
        <v>0</v>
      </c>
    </row>
    <row r="9" spans="2:14" x14ac:dyDescent="0.35">
      <c r="B9" s="516" t="s">
        <v>8</v>
      </c>
      <c r="C9" s="516" t="s">
        <v>7</v>
      </c>
      <c r="D9" s="184" t="s">
        <v>356</v>
      </c>
      <c r="E9" s="249" t="str">
        <f>D9</f>
        <v>Oct. 2022 - Sept. 2023</v>
      </c>
      <c r="F9" s="516" t="s">
        <v>285</v>
      </c>
      <c r="G9" s="182"/>
      <c r="H9" s="249" t="str">
        <f>D9</f>
        <v>Oct. 2022 - Sept. 2023</v>
      </c>
      <c r="I9" s="249" t="str">
        <f>D9</f>
        <v>Oct. 2022 - Sept. 2023</v>
      </c>
      <c r="J9" s="516" t="s">
        <v>285</v>
      </c>
      <c r="K9" s="182"/>
      <c r="L9" s="516" t="s">
        <v>286</v>
      </c>
      <c r="N9" s="250" t="s">
        <v>287</v>
      </c>
    </row>
    <row r="10" spans="2:14" x14ac:dyDescent="0.35">
      <c r="B10" s="182" t="s">
        <v>104</v>
      </c>
      <c r="C10" s="182" t="s">
        <v>105</v>
      </c>
      <c r="D10" s="182" t="s">
        <v>106</v>
      </c>
      <c r="E10" s="182" t="s">
        <v>107</v>
      </c>
      <c r="F10" s="186" t="s">
        <v>288</v>
      </c>
      <c r="G10" s="182"/>
      <c r="H10" s="182" t="s">
        <v>153</v>
      </c>
      <c r="I10" s="182" t="s">
        <v>154</v>
      </c>
      <c r="J10" s="186" t="s">
        <v>289</v>
      </c>
      <c r="K10" s="186"/>
      <c r="L10" s="187" t="s">
        <v>290</v>
      </c>
    </row>
    <row r="11" spans="2:14" x14ac:dyDescent="0.35">
      <c r="B11" t="s">
        <v>5</v>
      </c>
      <c r="C11" s="515" t="s">
        <v>255</v>
      </c>
      <c r="D11" s="251">
        <f>'Rate Impacts Sch 129'!G11</f>
        <v>593523065</v>
      </c>
      <c r="E11" s="252">
        <f>'Rate Impacts Sch 129'!R11</f>
        <v>699725547.79386854</v>
      </c>
      <c r="F11" s="253">
        <f>E11/D11</f>
        <v>1.178935729808358</v>
      </c>
      <c r="G11" s="190"/>
      <c r="H11" s="251">
        <f>'Rate Impacts Sch 129'!G11</f>
        <v>593523065</v>
      </c>
      <c r="I11" s="252">
        <f>SUM('Rate Impacts Sch 129'!R11:S11)</f>
        <v>699434721.49201858</v>
      </c>
      <c r="J11" s="253">
        <f>I11/H11</f>
        <v>1.1784457298083582</v>
      </c>
      <c r="K11" s="254"/>
      <c r="L11" s="193">
        <f>(I11-E11)/E11</f>
        <v>-4.1562910310605883E-4</v>
      </c>
      <c r="N11" s="255">
        <f>L11-'Rate Impacts Sch 129'!T11</f>
        <v>5.5240100688136451E-17</v>
      </c>
    </row>
    <row r="12" spans="2:14" x14ac:dyDescent="0.35">
      <c r="B12" t="s">
        <v>256</v>
      </c>
      <c r="C12" s="515">
        <v>16</v>
      </c>
      <c r="D12" s="251">
        <f>'Rate Impacts Sch 129'!G12</f>
        <v>7068</v>
      </c>
      <c r="E12" s="252">
        <f>'Rate Impacts Sch 129'!R12</f>
        <v>8147.9108400000005</v>
      </c>
      <c r="F12" s="253">
        <f t="shared" ref="F12:F23" si="0">E12/D12</f>
        <v>1.1527887436332769</v>
      </c>
      <c r="G12" s="190"/>
      <c r="H12" s="251">
        <f>'Rate Impacts Sch 129'!G12</f>
        <v>7068</v>
      </c>
      <c r="I12" s="252">
        <f>SUM('Rate Impacts Sch 129'!R12:S12)</f>
        <v>8147.9108400000005</v>
      </c>
      <c r="J12" s="253">
        <f t="shared" ref="J12:J23" si="1">I12/H12</f>
        <v>1.1527887436332769</v>
      </c>
      <c r="K12" s="254"/>
      <c r="L12" s="193">
        <f t="shared" ref="L12:L23" si="2">(I12-E12)/E12</f>
        <v>0</v>
      </c>
      <c r="N12" s="255">
        <f>L12-'Rate Impacts Sch 129'!T12</f>
        <v>0</v>
      </c>
    </row>
    <row r="13" spans="2:14" x14ac:dyDescent="0.35">
      <c r="B13" t="s">
        <v>257</v>
      </c>
      <c r="C13" s="515">
        <v>31</v>
      </c>
      <c r="D13" s="251">
        <f>'Rate Impacts Sch 129'!G13</f>
        <v>239205994</v>
      </c>
      <c r="E13" s="252">
        <f>'Rate Impacts Sch 129'!R13</f>
        <v>255926550.95750803</v>
      </c>
      <c r="F13" s="253">
        <f t="shared" si="0"/>
        <v>1.0699002423723045</v>
      </c>
      <c r="G13" s="190"/>
      <c r="H13" s="251">
        <f>'Rate Impacts Sch 129'!G13</f>
        <v>239205994</v>
      </c>
      <c r="I13" s="252">
        <f>SUM('Rate Impacts Sch 129'!R13:S13)</f>
        <v>255828476.49996802</v>
      </c>
      <c r="J13" s="253">
        <f t="shared" si="1"/>
        <v>1.0694902423723045</v>
      </c>
      <c r="K13" s="254"/>
      <c r="L13" s="193">
        <f t="shared" si="2"/>
        <v>-3.8321329761634984E-4</v>
      </c>
      <c r="N13" s="255">
        <f>L13-'Rate Impacts Sch 129'!T13</f>
        <v>-2.1358782797964437E-17</v>
      </c>
    </row>
    <row r="14" spans="2:14" x14ac:dyDescent="0.35">
      <c r="B14" t="s">
        <v>258</v>
      </c>
      <c r="C14" s="515">
        <v>41</v>
      </c>
      <c r="D14" s="251">
        <f>'Rate Impacts Sch 129'!G14</f>
        <v>65344289</v>
      </c>
      <c r="E14" s="252">
        <f>'Rate Impacts Sch 129'!R14</f>
        <v>47386153.500100121</v>
      </c>
      <c r="F14" s="253">
        <f t="shared" si="0"/>
        <v>0.72517666387188207</v>
      </c>
      <c r="G14" s="190"/>
      <c r="H14" s="251">
        <f>'Rate Impacts Sch 129'!G14</f>
        <v>65344289</v>
      </c>
      <c r="I14" s="252">
        <f>SUM('Rate Impacts Sch 129'!R14:S14)</f>
        <v>47373084.642300121</v>
      </c>
      <c r="J14" s="253">
        <f t="shared" si="1"/>
        <v>0.72497666387188209</v>
      </c>
      <c r="K14" s="254"/>
      <c r="L14" s="193">
        <f t="shared" si="2"/>
        <v>-2.7579486484320367E-4</v>
      </c>
      <c r="N14" s="255">
        <f>L14-'Rate Impacts Sch 129'!T14</f>
        <v>1.2305694657710475E-17</v>
      </c>
    </row>
    <row r="15" spans="2:14" x14ac:dyDescent="0.35">
      <c r="B15" t="s">
        <v>4</v>
      </c>
      <c r="C15" s="515">
        <v>85</v>
      </c>
      <c r="D15" s="251">
        <f>'Rate Impacts Sch 129'!G15</f>
        <v>12905331</v>
      </c>
      <c r="E15" s="252">
        <f>'Rate Impacts Sch 129'!R15</f>
        <v>7203952.0696159946</v>
      </c>
      <c r="F15" s="253">
        <f t="shared" si="0"/>
        <v>0.55821521118799622</v>
      </c>
      <c r="G15" s="190"/>
      <c r="H15" s="251">
        <f>'Rate Impacts Sch 129'!G15</f>
        <v>12905331</v>
      </c>
      <c r="I15" s="252">
        <f>SUM('Rate Impacts Sch 129'!R15:S15)</f>
        <v>7202853.7221179185</v>
      </c>
      <c r="J15" s="253">
        <f t="shared" si="1"/>
        <v>0.55813010314248568</v>
      </c>
      <c r="K15" s="254"/>
      <c r="L15" s="193">
        <f t="shared" si="2"/>
        <v>-1.5246457603577363E-4</v>
      </c>
      <c r="N15" s="255">
        <f>L15-'Rate Impacts Sch 129'!T15</f>
        <v>-2.995108501491206E-17</v>
      </c>
    </row>
    <row r="16" spans="2:14" x14ac:dyDescent="0.35">
      <c r="B16" t="s">
        <v>259</v>
      </c>
      <c r="C16" s="515">
        <v>86</v>
      </c>
      <c r="D16" s="251">
        <f>'Rate Impacts Sch 129'!G16</f>
        <v>5474059</v>
      </c>
      <c r="E16" s="252">
        <f>'Rate Impacts Sch 129'!R16</f>
        <v>3699031.5222197911</v>
      </c>
      <c r="F16" s="253">
        <f t="shared" si="0"/>
        <v>0.67573833643732939</v>
      </c>
      <c r="G16" s="190"/>
      <c r="H16" s="251">
        <f>'Rate Impacts Sch 129'!G16</f>
        <v>5474059</v>
      </c>
      <c r="I16" s="252">
        <f>SUM('Rate Impacts Sch 129'!R16:S16)</f>
        <v>3697991.4510097909</v>
      </c>
      <c r="J16" s="253">
        <f>I16/H16</f>
        <v>0.67554833643732937</v>
      </c>
      <c r="K16" s="254"/>
      <c r="L16" s="193">
        <f t="shared" si="2"/>
        <v>-2.811739245130982E-4</v>
      </c>
      <c r="N16" s="255">
        <f>L16-'Rate Impacts Sch 129'!T16</f>
        <v>-5.3559587320783919E-17</v>
      </c>
    </row>
    <row r="17" spans="2:14" x14ac:dyDescent="0.35">
      <c r="B17" t="s">
        <v>260</v>
      </c>
      <c r="C17" s="515">
        <v>87</v>
      </c>
      <c r="D17" s="251">
        <f>'Rate Impacts Sch 129'!G17</f>
        <v>15704929</v>
      </c>
      <c r="E17" s="252">
        <f>'Rate Impacts Sch 129'!R17</f>
        <v>7997672.9328473546</v>
      </c>
      <c r="F17" s="253">
        <f t="shared" si="0"/>
        <v>0.50924604198130119</v>
      </c>
      <c r="G17" s="190"/>
      <c r="H17" s="251">
        <f>'Rate Impacts Sch 129'!G17</f>
        <v>15704929</v>
      </c>
      <c r="I17" s="252">
        <f>SUM('Rate Impacts Sch 129'!R17:S17)</f>
        <v>7997271.3333429685</v>
      </c>
      <c r="J17" s="253">
        <f t="shared" si="1"/>
        <v>0.50922047042320084</v>
      </c>
      <c r="K17" s="254"/>
      <c r="L17" s="193">
        <f t="shared" si="2"/>
        <v>-5.0214544625432213E-5</v>
      </c>
      <c r="N17" s="255">
        <f>L17-'Rate Impacts Sch 129'!T17</f>
        <v>3.4233683596229803E-17</v>
      </c>
    </row>
    <row r="18" spans="2:14" x14ac:dyDescent="0.35">
      <c r="B18" t="s">
        <v>261</v>
      </c>
      <c r="C18" s="515" t="s">
        <v>262</v>
      </c>
      <c r="D18" s="251">
        <f>'Rate Impacts Sch 129'!G18</f>
        <v>35407</v>
      </c>
      <c r="E18" s="252">
        <f>'Rate Impacts Sch 129'!R18</f>
        <v>26926.861109982878</v>
      </c>
      <c r="F18" s="253">
        <f t="shared" si="0"/>
        <v>0.76049541361829232</v>
      </c>
      <c r="G18" s="190"/>
      <c r="H18" s="251">
        <f>'Rate Impacts Sch 129'!G18</f>
        <v>35407</v>
      </c>
      <c r="I18" s="252">
        <f>SUM('Rate Impacts Sch 129'!R18:S18)</f>
        <v>26912.344239982878</v>
      </c>
      <c r="J18" s="253">
        <f t="shared" si="1"/>
        <v>0.7600854136182924</v>
      </c>
      <c r="K18" s="254"/>
      <c r="L18" s="193">
        <f t="shared" si="2"/>
        <v>-5.3912225196636385E-4</v>
      </c>
      <c r="N18" s="255">
        <f>L18-'Rate Impacts Sch 129'!T18</f>
        <v>1.8973538018496328E-17</v>
      </c>
    </row>
    <row r="19" spans="2:14" x14ac:dyDescent="0.35">
      <c r="B19" t="s">
        <v>263</v>
      </c>
      <c r="C19" s="515" t="s">
        <v>264</v>
      </c>
      <c r="D19" s="251">
        <f>'Rate Impacts Sch 129'!G19</f>
        <v>23476127</v>
      </c>
      <c r="E19" s="252">
        <f>'Rate Impacts Sch 129'!R19</f>
        <v>5129768.1270964267</v>
      </c>
      <c r="F19" s="253">
        <f t="shared" si="0"/>
        <v>0.21850998365686242</v>
      </c>
      <c r="G19" s="190"/>
      <c r="H19" s="251">
        <f>'Rate Impacts Sch 129'!G19</f>
        <v>23476127</v>
      </c>
      <c r="I19" s="252">
        <f>SUM('Rate Impacts Sch 129'!R19:S19)</f>
        <v>5125072.9016964268</v>
      </c>
      <c r="J19" s="253">
        <f t="shared" si="1"/>
        <v>0.21830998365686244</v>
      </c>
      <c r="K19" s="254"/>
      <c r="L19" s="193">
        <f t="shared" si="2"/>
        <v>-9.1528998653931184E-4</v>
      </c>
      <c r="N19" s="255">
        <f>L19-'Rate Impacts Sch 129'!T19</f>
        <v>2.4069288229178198E-17</v>
      </c>
    </row>
    <row r="20" spans="2:14" x14ac:dyDescent="0.35">
      <c r="B20" t="s">
        <v>265</v>
      </c>
      <c r="C20" s="515" t="s">
        <v>3</v>
      </c>
      <c r="D20" s="251">
        <f>'Rate Impacts Sch 129'!G20</f>
        <v>73189608</v>
      </c>
      <c r="E20" s="252">
        <f>'Rate Impacts Sch 129'!R20</f>
        <v>8252189.8360351501</v>
      </c>
      <c r="F20" s="253">
        <f t="shared" si="0"/>
        <v>0.11275084074825419</v>
      </c>
      <c r="G20" s="190"/>
      <c r="H20" s="251">
        <f>'Rate Impacts Sch 129'!G20</f>
        <v>73189608</v>
      </c>
      <c r="I20" s="252">
        <f>SUM('Rate Impacts Sch 129'!R20:S20)</f>
        <v>8246510.0011285804</v>
      </c>
      <c r="J20" s="253">
        <f t="shared" si="1"/>
        <v>0.11267323635793459</v>
      </c>
      <c r="K20" s="254"/>
      <c r="L20" s="193">
        <f t="shared" si="2"/>
        <v>-6.8828214321577184E-4</v>
      </c>
      <c r="N20" s="255">
        <f>L20-'Rate Impacts Sch 129'!T20</f>
        <v>3.5778671692021646E-17</v>
      </c>
    </row>
    <row r="21" spans="2:14" x14ac:dyDescent="0.35">
      <c r="B21" t="s">
        <v>266</v>
      </c>
      <c r="C21" s="515" t="s">
        <v>267</v>
      </c>
      <c r="D21" s="251">
        <f>'Rate Impacts Sch 129'!G21</f>
        <v>1264081</v>
      </c>
      <c r="E21" s="252">
        <f>'Rate Impacts Sch 129'!R21</f>
        <v>257353.09737471116</v>
      </c>
      <c r="F21" s="253">
        <f t="shared" si="0"/>
        <v>0.2035890875463765</v>
      </c>
      <c r="G21" s="190"/>
      <c r="H21" s="251">
        <f>'Rate Impacts Sch 129'!G21</f>
        <v>1264081</v>
      </c>
      <c r="I21" s="252">
        <f>SUM('Rate Impacts Sch 129'!R21:S21)</f>
        <v>257112.92198471117</v>
      </c>
      <c r="J21" s="253">
        <f t="shared" si="1"/>
        <v>0.20339908754637651</v>
      </c>
      <c r="K21" s="254"/>
      <c r="L21" s="193">
        <f t="shared" si="2"/>
        <v>-9.332523775701419E-4</v>
      </c>
      <c r="N21" s="255">
        <f>L21-'Rate Impacts Sch 129'!T21</f>
        <v>4.0549161250957866E-17</v>
      </c>
    </row>
    <row r="22" spans="2:14" x14ac:dyDescent="0.35">
      <c r="B22" t="s">
        <v>268</v>
      </c>
      <c r="C22" s="515" t="s">
        <v>2</v>
      </c>
      <c r="D22" s="251">
        <f>'Rate Impacts Sch 129'!G22</f>
        <v>103552854</v>
      </c>
      <c r="E22" s="252">
        <f>'Rate Impacts Sch 129'!R22</f>
        <v>5163512.221061904</v>
      </c>
      <c r="F22" s="253">
        <f t="shared" si="0"/>
        <v>4.9863543317327633E-2</v>
      </c>
      <c r="G22" s="190"/>
      <c r="H22" s="251">
        <f>'Rate Impacts Sch 129'!G22</f>
        <v>103552854</v>
      </c>
      <c r="I22" s="252">
        <f>SUM('Rate Impacts Sch 129'!R22:S22)</f>
        <v>5161644.8068674449</v>
      </c>
      <c r="J22" s="253">
        <f t="shared" si="1"/>
        <v>4.9845509877182573E-2</v>
      </c>
      <c r="K22" s="254"/>
      <c r="L22" s="193">
        <f t="shared" si="2"/>
        <v>-3.6165580994307241E-4</v>
      </c>
      <c r="N22" s="255">
        <f>L22-'Rate Impacts Sch 129'!T22</f>
        <v>-8.1586213479534209E-17</v>
      </c>
    </row>
    <row r="23" spans="2:14" x14ac:dyDescent="0.35">
      <c r="B23" t="s">
        <v>269</v>
      </c>
      <c r="C23" s="515"/>
      <c r="D23" s="251">
        <f>'Rate Impacts Sch 129'!G23</f>
        <v>36802368</v>
      </c>
      <c r="E23" s="252">
        <f>'Rate Impacts Sch 129'!R23</f>
        <v>1828275.2487667263</v>
      </c>
      <c r="F23" s="253">
        <f t="shared" si="0"/>
        <v>4.9678195945617586E-2</v>
      </c>
      <c r="G23" s="256"/>
      <c r="H23" s="251">
        <f>'Rate Impacts Sch 129'!G23</f>
        <v>36802368</v>
      </c>
      <c r="I23" s="252">
        <f>SUM('Rate Impacts Sch 129'!R23:S23)</f>
        <v>1828275.2487667263</v>
      </c>
      <c r="J23" s="253">
        <f t="shared" si="1"/>
        <v>4.9678195945617586E-2</v>
      </c>
      <c r="K23" s="254"/>
      <c r="L23" s="193">
        <f t="shared" si="2"/>
        <v>0</v>
      </c>
      <c r="M23" s="257"/>
      <c r="N23" s="255">
        <f>L23-'Rate Impacts Sch 129'!T23</f>
        <v>0</v>
      </c>
    </row>
    <row r="24" spans="2:14" x14ac:dyDescent="0.35">
      <c r="B24" t="s">
        <v>0</v>
      </c>
      <c r="D24" s="258">
        <f>SUM(D11:D23)</f>
        <v>1170485180</v>
      </c>
      <c r="E24" s="197">
        <f>SUM(E11:E23)</f>
        <v>1042605082.0784448</v>
      </c>
      <c r="F24" s="259">
        <f>E24/D24</f>
        <v>0.89074607683494533</v>
      </c>
      <c r="G24" s="256"/>
      <c r="H24" s="258">
        <f>SUM(H11:H23)</f>
        <v>1170485180</v>
      </c>
      <c r="I24" s="197">
        <f>SUM(I11:I23)</f>
        <v>1042188075.2762812</v>
      </c>
      <c r="J24" s="259">
        <f>I24/H24</f>
        <v>0.89038980850341154</v>
      </c>
      <c r="K24" s="260"/>
      <c r="L24" s="199">
        <f>(I24-E24)/E24</f>
        <v>-3.9996620900052899E-4</v>
      </c>
      <c r="M24" s="261"/>
      <c r="N24" s="255">
        <f>L24-'Rate Impacts Sch 129'!T24</f>
        <v>-1.0570971181733668E-16</v>
      </c>
    </row>
    <row r="25" spans="2:14" s="206" customFormat="1" x14ac:dyDescent="0.35">
      <c r="B25" s="214"/>
      <c r="C25" s="396"/>
      <c r="D25" s="396"/>
      <c r="E25" s="396"/>
      <c r="F25" s="268"/>
      <c r="G25" s="397"/>
      <c r="H25" s="396"/>
      <c r="I25" s="396"/>
      <c r="J25" s="268"/>
      <c r="K25" s="268"/>
      <c r="L25" s="398"/>
      <c r="M25" s="219"/>
      <c r="N25" s="255"/>
    </row>
    <row r="26" spans="2:14" x14ac:dyDescent="0.35">
      <c r="F26" s="262"/>
      <c r="G26" s="257"/>
      <c r="J26" s="262"/>
      <c r="K26" s="260"/>
      <c r="L26" s="263"/>
      <c r="M26" s="257"/>
      <c r="N26" s="255"/>
    </row>
    <row r="27" spans="2:14" s="206" customFormat="1" x14ac:dyDescent="0.35">
      <c r="B27" s="202" t="s">
        <v>270</v>
      </c>
      <c r="C27" s="203"/>
      <c r="D27" s="203"/>
      <c r="E27" s="203"/>
      <c r="F27" s="264"/>
      <c r="G27" s="219"/>
      <c r="H27" s="203"/>
      <c r="I27" s="203"/>
      <c r="J27" s="264"/>
      <c r="K27" s="264"/>
      <c r="L27" s="265"/>
      <c r="M27" s="219"/>
      <c r="N27" s="255"/>
    </row>
    <row r="28" spans="2:14" s="206" customFormat="1" x14ac:dyDescent="0.35">
      <c r="B28" s="209" t="s">
        <v>5</v>
      </c>
      <c r="C28" s="393" t="s">
        <v>333</v>
      </c>
      <c r="D28" s="211">
        <f>D11+D12</f>
        <v>593530133</v>
      </c>
      <c r="E28" s="210">
        <f>E11+E12</f>
        <v>699733695.70470858</v>
      </c>
      <c r="F28" s="266">
        <f>E28/D28</f>
        <v>1.1789354184393339</v>
      </c>
      <c r="G28" s="267"/>
      <c r="H28" s="211">
        <f>H11+H12</f>
        <v>593530133</v>
      </c>
      <c r="I28" s="210">
        <f>I11+I12</f>
        <v>699442869.40285861</v>
      </c>
      <c r="J28" s="266">
        <f>I28/H28</f>
        <v>1.1784454242744549</v>
      </c>
      <c r="K28" s="268"/>
      <c r="L28" s="193">
        <f>(I28-E28)/E28</f>
        <v>-4.1562426339504386E-4</v>
      </c>
      <c r="M28" s="212"/>
      <c r="N28" s="255">
        <f>L28-'Rate Impacts Sch 129'!T27</f>
        <v>5.5240100688136451E-17</v>
      </c>
    </row>
    <row r="29" spans="2:14" s="206" customFormat="1" x14ac:dyDescent="0.35">
      <c r="B29" s="213" t="s">
        <v>25</v>
      </c>
      <c r="C29" s="393" t="s">
        <v>334</v>
      </c>
      <c r="D29" s="211">
        <f t="shared" ref="D29:E33" si="3">D13+D18</f>
        <v>239241401</v>
      </c>
      <c r="E29" s="210">
        <f t="shared" si="3"/>
        <v>255953477.818618</v>
      </c>
      <c r="F29" s="266">
        <f t="shared" ref="F29:F34" si="4">E29/D29</f>
        <v>1.0698544513983097</v>
      </c>
      <c r="G29" s="267"/>
      <c r="H29" s="211">
        <f t="shared" ref="H29:I33" si="5">H13+H18</f>
        <v>239241401</v>
      </c>
      <c r="I29" s="210">
        <f t="shared" si="5"/>
        <v>255855388.844208</v>
      </c>
      <c r="J29" s="266">
        <f t="shared" ref="J29:J34" si="6">I29/H29</f>
        <v>1.0694444513983097</v>
      </c>
      <c r="K29" s="268"/>
      <c r="L29" s="193">
        <f t="shared" ref="L29:L35" si="7">(I29-E29)/E29</f>
        <v>-3.8322969957653175E-4</v>
      </c>
      <c r="M29" s="219"/>
      <c r="N29" s="255">
        <f>L29-'Rate Impacts Sch 129'!T28</f>
        <v>9.8662397696180903E-18</v>
      </c>
    </row>
    <row r="30" spans="2:14" s="206" customFormat="1" x14ac:dyDescent="0.35">
      <c r="B30" s="209" t="s">
        <v>24</v>
      </c>
      <c r="C30" s="393" t="s">
        <v>335</v>
      </c>
      <c r="D30" s="211">
        <f t="shared" si="3"/>
        <v>88820416</v>
      </c>
      <c r="E30" s="210">
        <f t="shared" si="3"/>
        <v>52515921.62719655</v>
      </c>
      <c r="F30" s="266">
        <f t="shared" si="4"/>
        <v>0.59125957738361135</v>
      </c>
      <c r="G30" s="267"/>
      <c r="H30" s="211">
        <f t="shared" si="5"/>
        <v>88820416</v>
      </c>
      <c r="I30" s="210">
        <f t="shared" si="5"/>
        <v>52498157.54399655</v>
      </c>
      <c r="J30" s="266">
        <f t="shared" si="6"/>
        <v>0.59105957738361137</v>
      </c>
      <c r="K30" s="268"/>
      <c r="L30" s="193">
        <f t="shared" si="7"/>
        <v>-3.3826090544701967E-4</v>
      </c>
      <c r="M30" s="219"/>
      <c r="N30" s="255">
        <f>L30-'Rate Impacts Sch 129'!T29</f>
        <v>-4.3368086899420177E-18</v>
      </c>
    </row>
    <row r="31" spans="2:14" s="206" customFormat="1" x14ac:dyDescent="0.35">
      <c r="B31" s="209" t="s">
        <v>4</v>
      </c>
      <c r="C31" s="393" t="s">
        <v>336</v>
      </c>
      <c r="D31" s="211">
        <f t="shared" si="3"/>
        <v>86094939</v>
      </c>
      <c r="E31" s="210">
        <f t="shared" si="3"/>
        <v>15456141.905651145</v>
      </c>
      <c r="F31" s="266">
        <f t="shared" si="4"/>
        <v>0.17952439580276774</v>
      </c>
      <c r="G31" s="267"/>
      <c r="H31" s="211">
        <f t="shared" si="5"/>
        <v>86094939</v>
      </c>
      <c r="I31" s="210">
        <f t="shared" si="5"/>
        <v>15449363.7232465</v>
      </c>
      <c r="J31" s="266">
        <f t="shared" si="6"/>
        <v>0.17944566664071276</v>
      </c>
      <c r="K31" s="268"/>
      <c r="L31" s="193">
        <f t="shared" si="7"/>
        <v>-4.3854297185033723E-4</v>
      </c>
      <c r="M31" s="219"/>
      <c r="N31" s="255">
        <f>L31-'Rate Impacts Sch 129'!T30</f>
        <v>6.5377391000875917E-17</v>
      </c>
    </row>
    <row r="32" spans="2:14" s="206" customFormat="1" x14ac:dyDescent="0.35">
      <c r="B32" s="209" t="s">
        <v>43</v>
      </c>
      <c r="C32" s="393" t="s">
        <v>337</v>
      </c>
      <c r="D32" s="211">
        <f t="shared" si="3"/>
        <v>6738140</v>
      </c>
      <c r="E32" s="210">
        <f t="shared" si="3"/>
        <v>3956384.6195945023</v>
      </c>
      <c r="F32" s="266">
        <f t="shared" si="4"/>
        <v>0.58716272140301362</v>
      </c>
      <c r="G32" s="267"/>
      <c r="H32" s="211">
        <f t="shared" si="5"/>
        <v>6738140</v>
      </c>
      <c r="I32" s="210">
        <f t="shared" si="5"/>
        <v>3955104.3729945021</v>
      </c>
      <c r="J32" s="266">
        <f t="shared" si="6"/>
        <v>0.5869727214030136</v>
      </c>
      <c r="K32" s="268"/>
      <c r="L32" s="193">
        <f t="shared" si="7"/>
        <v>-3.2359002551460801E-4</v>
      </c>
      <c r="M32" s="219"/>
      <c r="N32" s="255">
        <f>L32-'Rate Impacts Sch 129'!T31</f>
        <v>-4.7433845046240819E-17</v>
      </c>
    </row>
    <row r="33" spans="2:14" s="206" customFormat="1" x14ac:dyDescent="0.35">
      <c r="B33" s="214" t="s">
        <v>338</v>
      </c>
      <c r="C33" s="393" t="s">
        <v>339</v>
      </c>
      <c r="D33" s="211">
        <f t="shared" si="3"/>
        <v>119257783</v>
      </c>
      <c r="E33" s="210">
        <f t="shared" si="3"/>
        <v>13161185.153909259</v>
      </c>
      <c r="F33" s="266">
        <f t="shared" si="4"/>
        <v>0.11035912980127476</v>
      </c>
      <c r="G33" s="267"/>
      <c r="H33" s="211">
        <f t="shared" si="5"/>
        <v>119257783</v>
      </c>
      <c r="I33" s="210">
        <f t="shared" si="5"/>
        <v>13158916.140210412</v>
      </c>
      <c r="J33" s="266">
        <f t="shared" si="6"/>
        <v>0.11034010367449487</v>
      </c>
      <c r="K33" s="268"/>
      <c r="L33" s="193">
        <f t="shared" si="7"/>
        <v>-1.7240192826951744E-4</v>
      </c>
      <c r="M33" s="219"/>
      <c r="N33" s="255">
        <f>L33-'Rate Impacts Sch 129'!T32</f>
        <v>-8.1965684239904135E-17</v>
      </c>
    </row>
    <row r="34" spans="2:14" s="206" customFormat="1" x14ac:dyDescent="0.35">
      <c r="B34" s="214" t="s">
        <v>269</v>
      </c>
      <c r="C34" s="393"/>
      <c r="D34" s="211">
        <f>D23</f>
        <v>36802368</v>
      </c>
      <c r="E34" s="210">
        <f>E23</f>
        <v>1828275.2487667263</v>
      </c>
      <c r="F34" s="266">
        <f t="shared" si="4"/>
        <v>4.9678195945617586E-2</v>
      </c>
      <c r="G34" s="267"/>
      <c r="H34" s="211">
        <f>H23</f>
        <v>36802368</v>
      </c>
      <c r="I34" s="210">
        <f>I23</f>
        <v>1828275.2487667263</v>
      </c>
      <c r="J34" s="266">
        <f t="shared" si="6"/>
        <v>4.9678195945617586E-2</v>
      </c>
      <c r="K34" s="268"/>
      <c r="L34" s="193">
        <f t="shared" si="7"/>
        <v>0</v>
      </c>
      <c r="M34" s="219"/>
      <c r="N34" s="255">
        <f>L34-'Rate Impacts Sch 129'!T33</f>
        <v>0</v>
      </c>
    </row>
    <row r="35" spans="2:14" s="206" customFormat="1" x14ac:dyDescent="0.35">
      <c r="B35" s="214" t="s">
        <v>0</v>
      </c>
      <c r="C35" s="214"/>
      <c r="D35" s="269">
        <f>SUM(D28:D34)</f>
        <v>1170485180</v>
      </c>
      <c r="E35" s="270">
        <f>SUM(E28:E34)</f>
        <v>1042605082.0784447</v>
      </c>
      <c r="F35" s="271">
        <f>E35/D35</f>
        <v>0.89074607683494522</v>
      </c>
      <c r="G35" s="267"/>
      <c r="H35" s="269">
        <f>SUM(H28:H34)</f>
        <v>1170485180</v>
      </c>
      <c r="I35" s="270">
        <f>SUM(I28:I34)</f>
        <v>1042188075.2762814</v>
      </c>
      <c r="J35" s="271">
        <f>I35/H35</f>
        <v>0.89038980850341165</v>
      </c>
      <c r="K35" s="268"/>
      <c r="L35" s="199">
        <f t="shared" si="7"/>
        <v>-3.9996620900030033E-4</v>
      </c>
      <c r="M35" s="219"/>
      <c r="N35" s="255">
        <f>L35-'Rate Impacts Sch 129'!T34</f>
        <v>1.229485263598562E-16</v>
      </c>
    </row>
    <row r="36" spans="2:14" s="206" customFormat="1" x14ac:dyDescent="0.35">
      <c r="B36" s="214"/>
      <c r="C36" s="214"/>
      <c r="D36" s="214"/>
      <c r="E36" s="214"/>
      <c r="F36" s="210"/>
      <c r="G36" s="267"/>
      <c r="H36" s="214"/>
      <c r="I36" s="214"/>
      <c r="J36" s="210"/>
      <c r="K36" s="268"/>
      <c r="L36" s="399"/>
      <c r="M36" s="219"/>
      <c r="N36" s="255"/>
    </row>
    <row r="37" spans="2:14" ht="16.5" x14ac:dyDescent="0.35">
      <c r="B37" s="209" t="s">
        <v>358</v>
      </c>
      <c r="F37" s="200"/>
      <c r="I37" s="221"/>
      <c r="K37" s="257"/>
    </row>
    <row r="38" spans="2:14" x14ac:dyDescent="0.35">
      <c r="F38" s="200"/>
    </row>
    <row r="39" spans="2:14" x14ac:dyDescent="0.35">
      <c r="B39" s="272"/>
    </row>
  </sheetData>
  <mergeCells count="6">
    <mergeCell ref="B1:L1"/>
    <mergeCell ref="B2:L2"/>
    <mergeCell ref="B3:L3"/>
    <mergeCell ref="B4:L4"/>
    <mergeCell ref="D6:F6"/>
    <mergeCell ref="H6:J6"/>
  </mergeCells>
  <printOptions horizontalCentered="1"/>
  <pageMargins left="0.7" right="0.7" top="0.75" bottom="0.75" header="0.3" footer="0.3"/>
  <pageSetup scale="73" orientation="landscape" blackAndWhite="1" r:id="rId1"/>
  <headerFooter>
    <oddFooter>&amp;L&amp;F 
&amp;A&amp;C&amp;P&amp;R&amp;D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zoomScale="90" zoomScaleNormal="90" workbookViewId="0">
      <pane ySplit="8" topLeftCell="A9" activePane="bottomLeft" state="frozen"/>
      <selection activeCell="F9" sqref="F9"/>
      <selection pane="bottomLeft" activeCell="F9" sqref="F9"/>
    </sheetView>
  </sheetViews>
  <sheetFormatPr defaultColWidth="9.1796875" defaultRowHeight="14.5" x14ac:dyDescent="0.35"/>
  <cols>
    <col min="1" max="1" width="3.54296875" style="222" customWidth="1"/>
    <col min="2" max="2" width="19.81640625" style="222" customWidth="1"/>
    <col min="3" max="3" width="8.7265625" style="222" bestFit="1" customWidth="1"/>
    <col min="4" max="4" width="18.54296875" style="222" bestFit="1" customWidth="1"/>
    <col min="5" max="5" width="13.7265625" style="222" customWidth="1"/>
    <col min="6" max="6" width="13.7265625" style="291" customWidth="1"/>
    <col min="7" max="9" width="14.453125" style="222" customWidth="1"/>
    <col min="10" max="10" width="8.26953125" style="222" customWidth="1"/>
    <col min="11" max="11" width="11.81640625" style="222" bestFit="1" customWidth="1"/>
    <col min="12" max="12" width="11.26953125" style="222" bestFit="1" customWidth="1"/>
    <col min="13" max="13" width="10.54296875" style="222" customWidth="1"/>
    <col min="14" max="16384" width="9.1796875" style="222"/>
  </cols>
  <sheetData>
    <row r="1" spans="1:10" ht="15" customHeight="1" x14ac:dyDescent="0.35">
      <c r="A1" s="529" t="s">
        <v>13</v>
      </c>
      <c r="B1" s="529"/>
      <c r="C1" s="529"/>
      <c r="D1" s="529"/>
      <c r="E1" s="529"/>
      <c r="F1" s="529"/>
      <c r="G1" s="529"/>
      <c r="H1" s="529"/>
      <c r="I1" s="529"/>
      <c r="J1" s="529"/>
    </row>
    <row r="2" spans="1:10" ht="15" customHeight="1" x14ac:dyDescent="0.35">
      <c r="A2" s="529" t="s">
        <v>291</v>
      </c>
      <c r="B2" s="529"/>
      <c r="C2" s="529"/>
      <c r="D2" s="529"/>
      <c r="E2" s="529"/>
      <c r="F2" s="529"/>
      <c r="G2" s="529"/>
      <c r="H2" s="529"/>
      <c r="I2" s="529"/>
      <c r="J2" s="529"/>
    </row>
    <row r="3" spans="1:10" ht="15" customHeight="1" x14ac:dyDescent="0.35">
      <c r="A3" s="529" t="s">
        <v>292</v>
      </c>
      <c r="B3" s="529"/>
      <c r="C3" s="529"/>
      <c r="D3" s="529"/>
      <c r="E3" s="529"/>
      <c r="F3" s="529"/>
      <c r="G3" s="529"/>
      <c r="H3" s="529"/>
      <c r="I3" s="529"/>
      <c r="J3" s="529"/>
    </row>
    <row r="4" spans="1:10" ht="15" customHeight="1" x14ac:dyDescent="0.35">
      <c r="A4" s="530" t="s">
        <v>320</v>
      </c>
      <c r="B4" s="530"/>
      <c r="C4" s="530"/>
      <c r="D4" s="530"/>
      <c r="E4" s="530"/>
      <c r="F4" s="530"/>
      <c r="G4" s="530"/>
      <c r="H4" s="530"/>
      <c r="I4" s="530"/>
      <c r="J4" s="530"/>
    </row>
    <row r="6" spans="1:10" x14ac:dyDescent="0.35">
      <c r="D6" s="248" t="s">
        <v>239</v>
      </c>
      <c r="E6" s="514"/>
      <c r="F6" s="306"/>
      <c r="G6" s="514" t="s">
        <v>239</v>
      </c>
      <c r="H6" s="514" t="s">
        <v>239</v>
      </c>
      <c r="I6" s="514" t="s">
        <v>240</v>
      </c>
    </row>
    <row r="7" spans="1:10" x14ac:dyDescent="0.35">
      <c r="C7" s="514" t="s">
        <v>12</v>
      </c>
      <c r="D7" s="248" t="s">
        <v>283</v>
      </c>
      <c r="E7" s="514" t="s">
        <v>120</v>
      </c>
      <c r="F7" s="306" t="s">
        <v>28</v>
      </c>
      <c r="G7" s="514" t="s">
        <v>6</v>
      </c>
      <c r="H7" s="514" t="s">
        <v>6</v>
      </c>
      <c r="I7" s="514" t="s">
        <v>6</v>
      </c>
      <c r="J7" s="248" t="s">
        <v>102</v>
      </c>
    </row>
    <row r="8" spans="1:10" x14ac:dyDescent="0.35">
      <c r="A8" s="531" t="s">
        <v>27</v>
      </c>
      <c r="B8" s="531"/>
      <c r="C8" s="517" t="s">
        <v>7</v>
      </c>
      <c r="D8" s="273" t="str">
        <f>'Rate Impacts Sch 129'!$R$7</f>
        <v>12ME Sept. 2023</v>
      </c>
      <c r="E8" s="517" t="s">
        <v>293</v>
      </c>
      <c r="F8" s="274" t="s">
        <v>12</v>
      </c>
      <c r="G8" s="517" t="s">
        <v>272</v>
      </c>
      <c r="H8" s="517" t="s">
        <v>152</v>
      </c>
      <c r="I8" s="517" t="s">
        <v>103</v>
      </c>
      <c r="J8" s="185" t="s">
        <v>103</v>
      </c>
    </row>
    <row r="9" spans="1:10" x14ac:dyDescent="0.35">
      <c r="A9" s="222" t="s">
        <v>5</v>
      </c>
      <c r="C9" s="514" t="s">
        <v>26</v>
      </c>
      <c r="D9" s="518">
        <v>593523065</v>
      </c>
      <c r="E9" s="275">
        <v>3.65E-3</v>
      </c>
      <c r="F9" s="299">
        <f>Rates!$J$9</f>
        <v>3.16E-3</v>
      </c>
      <c r="G9" s="262">
        <f>D9*(E9)</f>
        <v>2166359.18725</v>
      </c>
      <c r="H9" s="262">
        <f>D9*(F9)</f>
        <v>1875532.8854</v>
      </c>
      <c r="I9" s="276">
        <f>H9-G9</f>
        <v>-290826.30184999993</v>
      </c>
      <c r="J9" s="243">
        <f>I9/G9</f>
        <v>-0.13424657534246573</v>
      </c>
    </row>
    <row r="10" spans="1:10" x14ac:dyDescent="0.35">
      <c r="C10" s="514"/>
      <c r="D10" s="518"/>
      <c r="E10" s="275"/>
      <c r="F10" s="299"/>
      <c r="G10" s="262"/>
      <c r="H10" s="262"/>
      <c r="I10" s="276"/>
    </row>
    <row r="11" spans="1:10" x14ac:dyDescent="0.35">
      <c r="A11" s="222" t="s">
        <v>25</v>
      </c>
      <c r="C11" s="514">
        <v>31</v>
      </c>
      <c r="D11" s="519">
        <v>239205994</v>
      </c>
      <c r="E11" s="275">
        <v>3.0799999999999998E-3</v>
      </c>
      <c r="F11" s="299">
        <f>Rates!$J$11</f>
        <v>2.6700000000000001E-3</v>
      </c>
      <c r="G11" s="262">
        <f>D11*(E11)</f>
        <v>736754.46152000001</v>
      </c>
      <c r="H11" s="262">
        <f>D11*(F11)</f>
        <v>638680.00398000004</v>
      </c>
      <c r="I11" s="276">
        <f t="shared" ref="I11:I47" si="0">H11-G11</f>
        <v>-98074.457539999974</v>
      </c>
      <c r="J11" s="243">
        <f t="shared" ref="J11:J12" si="1">I11/G11</f>
        <v>-0.13311688311688308</v>
      </c>
    </row>
    <row r="12" spans="1:10" x14ac:dyDescent="0.35">
      <c r="A12" s="222" t="s">
        <v>25</v>
      </c>
      <c r="C12" s="514" t="s">
        <v>262</v>
      </c>
      <c r="D12" s="519">
        <v>35407</v>
      </c>
      <c r="E12" s="275">
        <v>3.0799999999999998E-3</v>
      </c>
      <c r="F12" s="299">
        <f>F11</f>
        <v>2.6700000000000001E-3</v>
      </c>
      <c r="G12" s="262">
        <f>D12*(E12)</f>
        <v>109.05355999999999</v>
      </c>
      <c r="H12" s="262">
        <f>D12*(F12)</f>
        <v>94.536690000000007</v>
      </c>
      <c r="I12" s="276">
        <f t="shared" si="0"/>
        <v>-14.516869999999983</v>
      </c>
      <c r="J12" s="243">
        <f t="shared" si="1"/>
        <v>-0.13311688311688297</v>
      </c>
    </row>
    <row r="13" spans="1:10" x14ac:dyDescent="0.35">
      <c r="C13" s="514"/>
      <c r="D13" s="518"/>
      <c r="E13" s="275"/>
      <c r="F13" s="299"/>
      <c r="G13" s="262"/>
      <c r="H13" s="262"/>
      <c r="I13" s="276"/>
    </row>
    <row r="14" spans="1:10" x14ac:dyDescent="0.35">
      <c r="A14" s="222" t="s">
        <v>24</v>
      </c>
      <c r="C14" s="514">
        <v>41</v>
      </c>
      <c r="D14" s="519">
        <v>65344289</v>
      </c>
      <c r="E14" s="275">
        <v>1.49E-3</v>
      </c>
      <c r="F14" s="299">
        <f>Rates!$J$13</f>
        <v>1.2899999999999999E-3</v>
      </c>
      <c r="G14" s="262">
        <f>D14*(E14)</f>
        <v>97362.990609999993</v>
      </c>
      <c r="H14" s="262">
        <f>D14*(F14)</f>
        <v>84294.132809999996</v>
      </c>
      <c r="I14" s="276">
        <f t="shared" si="0"/>
        <v>-13068.857799999998</v>
      </c>
      <c r="J14" s="243">
        <f t="shared" ref="J14:J15" si="2">I14/G14</f>
        <v>-0.13422818791946309</v>
      </c>
    </row>
    <row r="15" spans="1:10" x14ac:dyDescent="0.35">
      <c r="A15" s="222" t="s">
        <v>24</v>
      </c>
      <c r="C15" s="514" t="s">
        <v>264</v>
      </c>
      <c r="D15" s="520">
        <v>23476127</v>
      </c>
      <c r="E15" s="275">
        <v>1.49E-3</v>
      </c>
      <c r="F15" s="299">
        <f>F14</f>
        <v>1.2899999999999999E-3</v>
      </c>
      <c r="G15" s="262">
        <f>D15*(E15)</f>
        <v>34979.429230000002</v>
      </c>
      <c r="H15" s="262">
        <f>D15*(F15)</f>
        <v>30284.203829999999</v>
      </c>
      <c r="I15" s="276">
        <f t="shared" si="0"/>
        <v>-4695.225400000003</v>
      </c>
      <c r="J15" s="243">
        <f t="shared" si="2"/>
        <v>-0.13422818791946317</v>
      </c>
    </row>
    <row r="16" spans="1:10" x14ac:dyDescent="0.35">
      <c r="C16" s="514"/>
      <c r="D16" s="518"/>
      <c r="E16" s="275"/>
      <c r="F16" s="299"/>
      <c r="G16" s="262"/>
      <c r="H16" s="262"/>
      <c r="I16" s="276"/>
    </row>
    <row r="17" spans="1:10" x14ac:dyDescent="0.35">
      <c r="A17" s="222" t="s">
        <v>4</v>
      </c>
      <c r="C17" s="514">
        <v>85</v>
      </c>
      <c r="D17" s="518"/>
      <c r="E17" s="275"/>
      <c r="F17" s="299"/>
      <c r="G17" s="262"/>
      <c r="H17" s="262"/>
      <c r="I17" s="276"/>
    </row>
    <row r="18" spans="1:10" x14ac:dyDescent="0.35">
      <c r="B18" s="222" t="s">
        <v>19</v>
      </c>
      <c r="C18" s="514"/>
      <c r="D18" s="518">
        <v>6074227.1682685129</v>
      </c>
      <c r="E18" s="278">
        <v>1.0300000000000001E-3</v>
      </c>
      <c r="F18" s="300">
        <f>Rates!$J$16</f>
        <v>9.1E-4</v>
      </c>
      <c r="G18" s="262">
        <f t="shared" ref="G18:G47" si="3">D18*(E18)</f>
        <v>6256.4539833165691</v>
      </c>
      <c r="H18" s="262">
        <f t="shared" ref="H18:H47" si="4">D18*(F18)</f>
        <v>5527.5467231243465</v>
      </c>
      <c r="I18" s="276">
        <f t="shared" si="0"/>
        <v>-728.90726019222257</v>
      </c>
      <c r="J18" s="243">
        <f t="shared" ref="J18:J21" si="5">I18/G18</f>
        <v>-0.11650485436893218</v>
      </c>
    </row>
    <row r="19" spans="1:10" x14ac:dyDescent="0.35">
      <c r="B19" s="222" t="s">
        <v>18</v>
      </c>
      <c r="C19" s="514"/>
      <c r="D19" s="518">
        <v>3206536.1538112881</v>
      </c>
      <c r="E19" s="278">
        <v>6.3000000000000003E-4</v>
      </c>
      <c r="F19" s="300">
        <f>Rates!$J$17</f>
        <v>5.5999999999999995E-4</v>
      </c>
      <c r="G19" s="262">
        <f t="shared" si="3"/>
        <v>2020.1177769011115</v>
      </c>
      <c r="H19" s="262">
        <f t="shared" si="4"/>
        <v>1795.6602461343211</v>
      </c>
      <c r="I19" s="276">
        <f t="shared" si="0"/>
        <v>-224.45753076679034</v>
      </c>
      <c r="J19" s="243">
        <f t="shared" si="5"/>
        <v>-0.1111111111111112</v>
      </c>
    </row>
    <row r="20" spans="1:10" x14ac:dyDescent="0.35">
      <c r="B20" s="222" t="s">
        <v>23</v>
      </c>
      <c r="C20" s="514"/>
      <c r="D20" s="518">
        <v>3624567.677920199</v>
      </c>
      <c r="E20" s="278">
        <v>3.6000000000000002E-4</v>
      </c>
      <c r="F20" s="300">
        <f>Rates!$J$18</f>
        <v>3.2000000000000003E-4</v>
      </c>
      <c r="G20" s="262">
        <f t="shared" si="3"/>
        <v>1304.8443640512717</v>
      </c>
      <c r="H20" s="262">
        <f t="shared" si="4"/>
        <v>1159.8616569344638</v>
      </c>
      <c r="I20" s="276">
        <f t="shared" si="0"/>
        <v>-144.98270711680789</v>
      </c>
      <c r="J20" s="243">
        <f t="shared" si="5"/>
        <v>-0.11111111111111105</v>
      </c>
    </row>
    <row r="21" spans="1:10" x14ac:dyDescent="0.35">
      <c r="B21" s="222" t="s">
        <v>0</v>
      </c>
      <c r="C21" s="514"/>
      <c r="D21" s="279">
        <f>SUM(D18:D20)</f>
        <v>12905331</v>
      </c>
      <c r="E21" s="275"/>
      <c r="F21" s="299"/>
      <c r="G21" s="280">
        <f>SUM(G18:G20)</f>
        <v>9581.4161242689534</v>
      </c>
      <c r="H21" s="280">
        <f t="shared" ref="H21:I21" si="6">SUM(H18:H20)</f>
        <v>8483.0686261931314</v>
      </c>
      <c r="I21" s="280">
        <f t="shared" si="6"/>
        <v>-1098.3474980758208</v>
      </c>
      <c r="J21" s="281">
        <f t="shared" si="5"/>
        <v>-0.11463310682163103</v>
      </c>
    </row>
    <row r="22" spans="1:10" x14ac:dyDescent="0.35">
      <c r="C22" s="514"/>
      <c r="D22" s="277"/>
      <c r="E22" s="275"/>
      <c r="F22" s="299"/>
      <c r="G22" s="262"/>
      <c r="H22" s="262"/>
      <c r="I22" s="276"/>
    </row>
    <row r="23" spans="1:10" x14ac:dyDescent="0.35">
      <c r="A23" s="222" t="s">
        <v>4</v>
      </c>
      <c r="C23" s="514">
        <v>86</v>
      </c>
      <c r="D23" s="519">
        <v>5474059</v>
      </c>
      <c r="E23" s="275">
        <v>1.31E-3</v>
      </c>
      <c r="F23" s="299">
        <f>Rates!$J$21</f>
        <v>1.1199999999999999E-3</v>
      </c>
      <c r="G23" s="262">
        <f t="shared" si="3"/>
        <v>7171.0172899999998</v>
      </c>
      <c r="H23" s="262">
        <f t="shared" si="4"/>
        <v>6130.9460799999997</v>
      </c>
      <c r="I23" s="276">
        <f t="shared" si="0"/>
        <v>-1040.0712100000001</v>
      </c>
      <c r="J23" s="243">
        <f t="shared" ref="J23:J24" si="7">I23/G23</f>
        <v>-0.14503816793893132</v>
      </c>
    </row>
    <row r="24" spans="1:10" x14ac:dyDescent="0.35">
      <c r="A24" s="222" t="s">
        <v>4</v>
      </c>
      <c r="C24" s="514" t="s">
        <v>267</v>
      </c>
      <c r="D24" s="520">
        <v>1264081</v>
      </c>
      <c r="E24" s="275">
        <v>1.31E-3</v>
      </c>
      <c r="F24" s="299">
        <f>F23</f>
        <v>1.1199999999999999E-3</v>
      </c>
      <c r="G24" s="262">
        <f t="shared" si="3"/>
        <v>1655.9461099999999</v>
      </c>
      <c r="H24" s="262">
        <f t="shared" si="4"/>
        <v>1415.77072</v>
      </c>
      <c r="I24" s="276">
        <f t="shared" si="0"/>
        <v>-240.17538999999988</v>
      </c>
      <c r="J24" s="243">
        <f t="shared" si="7"/>
        <v>-0.14503816793893123</v>
      </c>
    </row>
    <row r="25" spans="1:10" x14ac:dyDescent="0.35">
      <c r="C25" s="514"/>
      <c r="D25" s="518"/>
      <c r="E25" s="275"/>
      <c r="F25" s="299"/>
      <c r="G25" s="262"/>
      <c r="H25" s="262"/>
      <c r="I25" s="276"/>
    </row>
    <row r="26" spans="1:10" x14ac:dyDescent="0.35">
      <c r="A26" s="222" t="s">
        <v>4</v>
      </c>
      <c r="C26" s="514">
        <v>87</v>
      </c>
      <c r="D26" s="518"/>
      <c r="E26" s="275"/>
      <c r="F26" s="299"/>
      <c r="G26" s="262"/>
      <c r="H26" s="262"/>
      <c r="I26" s="276"/>
    </row>
    <row r="27" spans="1:10" x14ac:dyDescent="0.35">
      <c r="B27" s="222" t="s">
        <v>19</v>
      </c>
      <c r="C27" s="514"/>
      <c r="D27" s="518">
        <v>1009862.8545409689</v>
      </c>
      <c r="E27" s="278">
        <v>1.0300000000000001E-3</v>
      </c>
      <c r="F27" s="300">
        <f>Rates!$J$24</f>
        <v>9.1E-4</v>
      </c>
      <c r="G27" s="262">
        <f t="shared" si="3"/>
        <v>1040.1587401771981</v>
      </c>
      <c r="H27" s="262">
        <f t="shared" si="4"/>
        <v>918.97519763228172</v>
      </c>
      <c r="I27" s="276">
        <f t="shared" si="0"/>
        <v>-121.18354254491635</v>
      </c>
      <c r="J27" s="243">
        <f t="shared" ref="J27:J33" si="8">I27/G27</f>
        <v>-0.11650485436893211</v>
      </c>
    </row>
    <row r="28" spans="1:10" x14ac:dyDescent="0.35">
      <c r="B28" s="222" t="s">
        <v>18</v>
      </c>
      <c r="C28" s="514"/>
      <c r="D28" s="518">
        <v>989818.17306680267</v>
      </c>
      <c r="E28" s="278">
        <v>6.3000000000000003E-4</v>
      </c>
      <c r="F28" s="300">
        <f>Rates!$J$25</f>
        <v>5.5999999999999995E-4</v>
      </c>
      <c r="G28" s="262">
        <f t="shared" si="3"/>
        <v>623.58544903208576</v>
      </c>
      <c r="H28" s="262">
        <f t="shared" si="4"/>
        <v>554.29817691740948</v>
      </c>
      <c r="I28" s="276">
        <f t="shared" si="0"/>
        <v>-69.287272114676284</v>
      </c>
      <c r="J28" s="243">
        <f t="shared" si="8"/>
        <v>-0.11111111111111126</v>
      </c>
    </row>
    <row r="29" spans="1:10" x14ac:dyDescent="0.35">
      <c r="B29" s="222" t="s">
        <v>17</v>
      </c>
      <c r="C29" s="514"/>
      <c r="D29" s="518">
        <v>1752028.3071290955</v>
      </c>
      <c r="E29" s="278">
        <v>4.0999999999999999E-4</v>
      </c>
      <c r="F29" s="300">
        <f>Rates!$J$26</f>
        <v>3.6999999999999999E-4</v>
      </c>
      <c r="G29" s="262">
        <f t="shared" si="3"/>
        <v>718.33160592292916</v>
      </c>
      <c r="H29" s="262">
        <f t="shared" si="4"/>
        <v>648.25047363776537</v>
      </c>
      <c r="I29" s="276">
        <f t="shared" si="0"/>
        <v>-70.08113228516379</v>
      </c>
      <c r="J29" s="243">
        <f t="shared" si="8"/>
        <v>-9.7560975609756059E-2</v>
      </c>
    </row>
    <row r="30" spans="1:10" x14ac:dyDescent="0.35">
      <c r="B30" s="222" t="s">
        <v>16</v>
      </c>
      <c r="C30" s="514"/>
      <c r="D30" s="518">
        <v>2151536.0788960704</v>
      </c>
      <c r="E30" s="278">
        <v>2.7E-4</v>
      </c>
      <c r="F30" s="300">
        <f>Rates!$J$27</f>
        <v>2.5000000000000001E-4</v>
      </c>
      <c r="G30" s="262">
        <f t="shared" si="3"/>
        <v>580.91474130193899</v>
      </c>
      <c r="H30" s="262">
        <f t="shared" si="4"/>
        <v>537.88401972401755</v>
      </c>
      <c r="I30" s="276">
        <f t="shared" si="0"/>
        <v>-43.03072157792144</v>
      </c>
      <c r="J30" s="243">
        <f t="shared" si="8"/>
        <v>-7.4074074074074125E-2</v>
      </c>
    </row>
    <row r="31" spans="1:10" x14ac:dyDescent="0.35">
      <c r="B31" s="222" t="s">
        <v>15</v>
      </c>
      <c r="C31" s="514"/>
      <c r="D31" s="518">
        <v>2516294.7710433323</v>
      </c>
      <c r="E31" s="278">
        <v>2.0000000000000001E-4</v>
      </c>
      <c r="F31" s="300">
        <f>Rates!$J$28</f>
        <v>1.9000000000000001E-4</v>
      </c>
      <c r="G31" s="262">
        <f t="shared" si="3"/>
        <v>503.25895420866647</v>
      </c>
      <c r="H31" s="262">
        <f t="shared" si="4"/>
        <v>478.09600649823318</v>
      </c>
      <c r="I31" s="276">
        <f t="shared" si="0"/>
        <v>-25.162947710433286</v>
      </c>
      <c r="J31" s="243">
        <f t="shared" si="8"/>
        <v>-4.9999999999999926E-2</v>
      </c>
    </row>
    <row r="32" spans="1:10" x14ac:dyDescent="0.35">
      <c r="B32" s="222" t="s">
        <v>21</v>
      </c>
      <c r="C32" s="514"/>
      <c r="D32" s="518">
        <v>7285388.8153237263</v>
      </c>
      <c r="E32" s="278">
        <v>1.6000000000000001E-4</v>
      </c>
      <c r="F32" s="300">
        <f>Rates!$J$29</f>
        <v>1.4999999999999999E-4</v>
      </c>
      <c r="G32" s="262">
        <f t="shared" si="3"/>
        <v>1165.6622104517962</v>
      </c>
      <c r="H32" s="262">
        <f t="shared" si="4"/>
        <v>1092.8083222985588</v>
      </c>
      <c r="I32" s="276">
        <f t="shared" si="0"/>
        <v>-72.853888153237449</v>
      </c>
      <c r="J32" s="243">
        <f t="shared" si="8"/>
        <v>-6.2500000000000153E-2</v>
      </c>
    </row>
    <row r="33" spans="1:10" x14ac:dyDescent="0.35">
      <c r="B33" s="222" t="s">
        <v>0</v>
      </c>
      <c r="C33" s="514"/>
      <c r="D33" s="279">
        <f>SUM(D27:D32)</f>
        <v>15704928.999999996</v>
      </c>
      <c r="E33" s="275"/>
      <c r="F33" s="299"/>
      <c r="G33" s="280">
        <f>SUM(G27:G32)</f>
        <v>4631.9117010946147</v>
      </c>
      <c r="H33" s="280">
        <f t="shared" ref="H33:I33" si="9">SUM(H27:H32)</f>
        <v>4230.3121967082661</v>
      </c>
      <c r="I33" s="280">
        <f t="shared" si="9"/>
        <v>-401.5995043863486</v>
      </c>
      <c r="J33" s="281">
        <f t="shared" si="8"/>
        <v>-8.6702754780805191E-2</v>
      </c>
    </row>
    <row r="34" spans="1:10" x14ac:dyDescent="0.35">
      <c r="C34" s="514"/>
      <c r="D34" s="282"/>
      <c r="E34" s="275"/>
      <c r="F34" s="299"/>
      <c r="G34" s="262"/>
      <c r="H34" s="262"/>
      <c r="I34" s="276"/>
      <c r="J34" s="283"/>
    </row>
    <row r="35" spans="1:10" x14ac:dyDescent="0.35">
      <c r="A35" s="222" t="s">
        <v>22</v>
      </c>
      <c r="C35" s="514" t="s">
        <v>3</v>
      </c>
      <c r="D35" s="282"/>
      <c r="E35" s="275"/>
      <c r="F35" s="299"/>
      <c r="G35" s="262"/>
      <c r="H35" s="262"/>
      <c r="I35" s="276"/>
      <c r="J35" s="283"/>
    </row>
    <row r="36" spans="1:10" x14ac:dyDescent="0.35">
      <c r="B36" s="222" t="s">
        <v>19</v>
      </c>
      <c r="C36" s="514"/>
      <c r="D36" s="519">
        <v>27527332.333935779</v>
      </c>
      <c r="E36" s="278">
        <v>1.0300000000000001E-3</v>
      </c>
      <c r="F36" s="300">
        <f>F18</f>
        <v>9.1E-4</v>
      </c>
      <c r="G36" s="262">
        <f t="shared" si="3"/>
        <v>28353.152303953855</v>
      </c>
      <c r="H36" s="262">
        <f t="shared" si="4"/>
        <v>25049.872423881559</v>
      </c>
      <c r="I36" s="276">
        <f t="shared" si="0"/>
        <v>-3303.2798800722958</v>
      </c>
      <c r="J36" s="243">
        <f t="shared" ref="J36:J39" si="10">I36/G36</f>
        <v>-0.11650485436893211</v>
      </c>
    </row>
    <row r="37" spans="1:10" x14ac:dyDescent="0.35">
      <c r="B37" s="222" t="s">
        <v>18</v>
      </c>
      <c r="C37" s="514"/>
      <c r="D37" s="519">
        <v>18335466.661837008</v>
      </c>
      <c r="E37" s="278">
        <v>6.3000000000000003E-4</v>
      </c>
      <c r="F37" s="300">
        <f t="shared" ref="F37:F38" si="11">F19</f>
        <v>5.5999999999999995E-4</v>
      </c>
      <c r="G37" s="262">
        <f t="shared" si="3"/>
        <v>11551.343996957316</v>
      </c>
      <c r="H37" s="262">
        <f t="shared" si="4"/>
        <v>10267.861330628724</v>
      </c>
      <c r="I37" s="276">
        <f t="shared" si="0"/>
        <v>-1283.4826663285912</v>
      </c>
      <c r="J37" s="243">
        <f t="shared" si="10"/>
        <v>-0.11111111111111116</v>
      </c>
    </row>
    <row r="38" spans="1:10" x14ac:dyDescent="0.35">
      <c r="B38" s="222" t="s">
        <v>23</v>
      </c>
      <c r="C38" s="514"/>
      <c r="D38" s="519">
        <v>27326809.00422721</v>
      </c>
      <c r="E38" s="278">
        <v>3.6000000000000002E-4</v>
      </c>
      <c r="F38" s="300">
        <f t="shared" si="11"/>
        <v>3.2000000000000003E-4</v>
      </c>
      <c r="G38" s="262">
        <f t="shared" si="3"/>
        <v>9837.6512415217967</v>
      </c>
      <c r="H38" s="262">
        <f t="shared" si="4"/>
        <v>8744.578881352707</v>
      </c>
      <c r="I38" s="276">
        <f t="shared" si="0"/>
        <v>-1093.0723601690897</v>
      </c>
      <c r="J38" s="243">
        <f t="shared" si="10"/>
        <v>-0.11111111111111123</v>
      </c>
    </row>
    <row r="39" spans="1:10" x14ac:dyDescent="0.35">
      <c r="B39" s="222" t="s">
        <v>0</v>
      </c>
      <c r="C39" s="514"/>
      <c r="D39" s="279">
        <f>SUM(D36:D38)</f>
        <v>73189608</v>
      </c>
      <c r="E39" s="275"/>
      <c r="F39" s="299"/>
      <c r="G39" s="280">
        <f>SUM(G36:G38)</f>
        <v>49742.147542432962</v>
      </c>
      <c r="H39" s="280">
        <f t="shared" ref="H39:I39" si="12">SUM(H36:H38)</f>
        <v>44062.312635862996</v>
      </c>
      <c r="I39" s="280">
        <f t="shared" si="12"/>
        <v>-5679.8349065699767</v>
      </c>
      <c r="J39" s="281">
        <f t="shared" si="10"/>
        <v>-0.11418555866983317</v>
      </c>
    </row>
    <row r="40" spans="1:10" x14ac:dyDescent="0.35">
      <c r="C40" s="514"/>
      <c r="D40" s="282"/>
      <c r="E40" s="275"/>
      <c r="F40" s="299"/>
      <c r="G40" s="262"/>
      <c r="H40" s="262"/>
      <c r="I40" s="276"/>
      <c r="J40" s="283"/>
    </row>
    <row r="41" spans="1:10" x14ac:dyDescent="0.35">
      <c r="A41" s="222" t="s">
        <v>22</v>
      </c>
      <c r="C41" s="514" t="s">
        <v>2</v>
      </c>
      <c r="D41" s="282"/>
      <c r="E41" s="275"/>
      <c r="F41" s="299"/>
      <c r="G41" s="262"/>
      <c r="H41" s="262"/>
      <c r="I41" s="276"/>
    </row>
    <row r="42" spans="1:10" x14ac:dyDescent="0.35">
      <c r="B42" s="222" t="s">
        <v>19</v>
      </c>
      <c r="C42" s="514"/>
      <c r="D42" s="519">
        <v>3092941.7762121395</v>
      </c>
      <c r="E42" s="278">
        <v>1.0300000000000001E-3</v>
      </c>
      <c r="F42" s="300">
        <f>F27</f>
        <v>9.1E-4</v>
      </c>
      <c r="G42" s="262">
        <f t="shared" si="3"/>
        <v>3185.7300294985039</v>
      </c>
      <c r="H42" s="262">
        <f t="shared" si="4"/>
        <v>2814.5770163530469</v>
      </c>
      <c r="I42" s="276">
        <f t="shared" si="0"/>
        <v>-371.15301314545695</v>
      </c>
      <c r="J42" s="243">
        <f t="shared" ref="J42:J48" si="13">I42/G42</f>
        <v>-0.1165048543689321</v>
      </c>
    </row>
    <row r="43" spans="1:10" x14ac:dyDescent="0.35">
      <c r="B43" s="222" t="s">
        <v>18</v>
      </c>
      <c r="C43" s="514"/>
      <c r="D43" s="519">
        <v>3092941.7762121395</v>
      </c>
      <c r="E43" s="278">
        <v>6.3000000000000003E-4</v>
      </c>
      <c r="F43" s="300">
        <f t="shared" ref="F43:F47" si="14">F28</f>
        <v>5.5999999999999995E-4</v>
      </c>
      <c r="G43" s="262">
        <f t="shared" si="3"/>
        <v>1948.553319013648</v>
      </c>
      <c r="H43" s="262">
        <f t="shared" si="4"/>
        <v>1732.0473946787979</v>
      </c>
      <c r="I43" s="276">
        <f t="shared" si="0"/>
        <v>-216.50592433485008</v>
      </c>
      <c r="J43" s="243">
        <f t="shared" si="13"/>
        <v>-0.11111111111111127</v>
      </c>
    </row>
    <row r="44" spans="1:10" x14ac:dyDescent="0.35">
      <c r="B44" s="222" t="s">
        <v>17</v>
      </c>
      <c r="C44" s="514"/>
      <c r="D44" s="519">
        <v>6169135.7675767737</v>
      </c>
      <c r="E44" s="278">
        <v>4.0999999999999999E-4</v>
      </c>
      <c r="F44" s="300">
        <f t="shared" si="14"/>
        <v>3.6999999999999999E-4</v>
      </c>
      <c r="G44" s="262">
        <f t="shared" si="3"/>
        <v>2529.3456647064772</v>
      </c>
      <c r="H44" s="262">
        <f t="shared" si="4"/>
        <v>2282.5802340034061</v>
      </c>
      <c r="I44" s="276">
        <f t="shared" si="0"/>
        <v>-246.76543070307116</v>
      </c>
      <c r="J44" s="243">
        <f t="shared" si="13"/>
        <v>-9.7560975609756184E-2</v>
      </c>
    </row>
    <row r="45" spans="1:10" x14ac:dyDescent="0.35">
      <c r="B45" s="222" t="s">
        <v>16</v>
      </c>
      <c r="C45" s="514"/>
      <c r="D45" s="519">
        <v>12101147.947530605</v>
      </c>
      <c r="E45" s="278">
        <v>2.7E-4</v>
      </c>
      <c r="F45" s="300">
        <f t="shared" si="14"/>
        <v>2.5000000000000001E-4</v>
      </c>
      <c r="G45" s="262">
        <f t="shared" si="3"/>
        <v>3267.3099458332636</v>
      </c>
      <c r="H45" s="262">
        <f t="shared" si="4"/>
        <v>3025.2869868826515</v>
      </c>
      <c r="I45" s="276">
        <f t="shared" si="0"/>
        <v>-242.02295895061206</v>
      </c>
      <c r="J45" s="243">
        <f t="shared" si="13"/>
        <v>-7.4074074074074056E-2</v>
      </c>
    </row>
    <row r="46" spans="1:10" x14ac:dyDescent="0.35">
      <c r="B46" s="222" t="s">
        <v>15</v>
      </c>
      <c r="C46" s="514"/>
      <c r="D46" s="519">
        <v>27066959.299161628</v>
      </c>
      <c r="E46" s="278">
        <v>2.0000000000000001E-4</v>
      </c>
      <c r="F46" s="300">
        <f t="shared" si="14"/>
        <v>1.9000000000000001E-4</v>
      </c>
      <c r="G46" s="262">
        <f t="shared" si="3"/>
        <v>5413.3918598323262</v>
      </c>
      <c r="H46" s="262">
        <f t="shared" si="4"/>
        <v>5142.7222668407094</v>
      </c>
      <c r="I46" s="276">
        <f t="shared" si="0"/>
        <v>-270.66959299161681</v>
      </c>
      <c r="J46" s="243">
        <f t="shared" si="13"/>
        <v>-5.0000000000000093E-2</v>
      </c>
    </row>
    <row r="47" spans="1:10" x14ac:dyDescent="0.35">
      <c r="B47" s="222" t="s">
        <v>21</v>
      </c>
      <c r="C47" s="514"/>
      <c r="D47" s="519">
        <v>52029727.433306709</v>
      </c>
      <c r="E47" s="278">
        <v>1.6000000000000001E-4</v>
      </c>
      <c r="F47" s="300">
        <f t="shared" si="14"/>
        <v>1.4999999999999999E-4</v>
      </c>
      <c r="G47" s="262">
        <f t="shared" si="3"/>
        <v>8324.7563893290735</v>
      </c>
      <c r="H47" s="262">
        <f t="shared" si="4"/>
        <v>7804.4591149960061</v>
      </c>
      <c r="I47" s="276">
        <f t="shared" si="0"/>
        <v>-520.29727433306743</v>
      </c>
      <c r="J47" s="243">
        <f t="shared" si="13"/>
        <v>-6.2500000000000042E-2</v>
      </c>
    </row>
    <row r="48" spans="1:10" x14ac:dyDescent="0.35">
      <c r="B48" s="222" t="s">
        <v>0</v>
      </c>
      <c r="C48" s="514"/>
      <c r="D48" s="279">
        <f>SUM(D42:D47)</f>
        <v>103552854</v>
      </c>
      <c r="E48" s="275"/>
      <c r="F48" s="284"/>
      <c r="G48" s="280">
        <f>SUM(G42:G47)</f>
        <v>24669.087208213292</v>
      </c>
      <c r="H48" s="280">
        <f t="shared" ref="H48:I48" si="15">SUM(H42:H47)</f>
        <v>22801.673013754618</v>
      </c>
      <c r="I48" s="280">
        <f t="shared" si="15"/>
        <v>-1867.4141944586745</v>
      </c>
      <c r="J48" s="281">
        <f t="shared" si="13"/>
        <v>-7.5698552552724369E-2</v>
      </c>
    </row>
    <row r="49" spans="2:12" x14ac:dyDescent="0.35">
      <c r="D49" s="285"/>
      <c r="E49" s="286"/>
      <c r="F49" s="286"/>
      <c r="G49" s="287"/>
      <c r="H49" s="260"/>
      <c r="I49" s="276"/>
      <c r="J49" s="234"/>
    </row>
    <row r="50" spans="2:12" x14ac:dyDescent="0.35">
      <c r="B50" s="222" t="s">
        <v>0</v>
      </c>
      <c r="D50" s="288">
        <f>D9+D11+D14+D21+D23+D33+D39+D48+D12+D15+D24</f>
        <v>1133675744</v>
      </c>
      <c r="E50" s="275"/>
      <c r="F50" s="284"/>
      <c r="G50" s="198">
        <f>G9+G11+G14+G21+G23+G33+G39+G48+G12+G15+G24</f>
        <v>3133016.6481460095</v>
      </c>
      <c r="H50" s="198">
        <f>H9+H11+H14+H21+H23+H33+H39+H48+H12+H15+H24</f>
        <v>2716009.8459825194</v>
      </c>
      <c r="I50" s="198">
        <f>I9+I11+I14+I21+I23+I33+I39+I48+I12+I15+I24</f>
        <v>-417006.80216349073</v>
      </c>
      <c r="J50" s="281">
        <f>I50/G50</f>
        <v>-0.13310072974245388</v>
      </c>
    </row>
    <row r="51" spans="2:12" x14ac:dyDescent="0.35">
      <c r="D51" s="234"/>
      <c r="E51" s="234"/>
      <c r="F51" s="289"/>
      <c r="G51" s="234"/>
      <c r="H51" s="234"/>
      <c r="J51" s="283"/>
    </row>
    <row r="52" spans="2:12" x14ac:dyDescent="0.35">
      <c r="D52" s="234"/>
      <c r="E52" s="234"/>
      <c r="F52" s="289"/>
      <c r="G52" s="290"/>
      <c r="H52" s="290"/>
    </row>
    <row r="53" spans="2:12" x14ac:dyDescent="0.35">
      <c r="L53" s="283"/>
    </row>
    <row r="54" spans="2:12" x14ac:dyDescent="0.35">
      <c r="B54" s="292"/>
      <c r="D54" s="293"/>
      <c r="E54" s="293"/>
      <c r="F54" s="294"/>
      <c r="G54" s="276"/>
      <c r="H54" s="276"/>
    </row>
    <row r="55" spans="2:12" x14ac:dyDescent="0.35">
      <c r="C55" s="289"/>
      <c r="D55" s="295"/>
      <c r="E55" s="234"/>
      <c r="F55" s="289"/>
    </row>
    <row r="56" spans="2:12" x14ac:dyDescent="0.35">
      <c r="C56" s="289"/>
      <c r="D56" s="234"/>
      <c r="E56" s="289"/>
      <c r="F56" s="289"/>
    </row>
    <row r="57" spans="2:12" x14ac:dyDescent="0.35">
      <c r="C57" s="289"/>
      <c r="D57" s="234"/>
      <c r="E57" s="296"/>
      <c r="F57" s="297"/>
    </row>
    <row r="58" spans="2:12" x14ac:dyDescent="0.35">
      <c r="C58" s="293"/>
      <c r="D58" s="293"/>
      <c r="E58" s="296"/>
      <c r="F58" s="297"/>
    </row>
    <row r="59" spans="2:12" x14ac:dyDescent="0.35">
      <c r="E59" s="296"/>
      <c r="F59" s="297"/>
    </row>
    <row r="60" spans="2:12" x14ac:dyDescent="0.35">
      <c r="E60" s="234"/>
      <c r="F60" s="289"/>
    </row>
    <row r="61" spans="2:12" x14ac:dyDescent="0.35">
      <c r="E61" s="234"/>
      <c r="F61" s="289"/>
    </row>
    <row r="62" spans="2:12" x14ac:dyDescent="0.35">
      <c r="E62" s="234"/>
      <c r="F62" s="289"/>
    </row>
  </sheetData>
  <mergeCells count="5">
    <mergeCell ref="A1:J1"/>
    <mergeCell ref="A2:J2"/>
    <mergeCell ref="A3:J3"/>
    <mergeCell ref="A4:J4"/>
    <mergeCell ref="A8:B8"/>
  </mergeCells>
  <printOptions horizontalCentered="1"/>
  <pageMargins left="0.75" right="0.75" top="1" bottom="1" header="0.5" footer="0.5"/>
  <pageSetup scale="64" orientation="landscape" blackAndWhite="1" horizontalDpi="300" verticalDpi="300" r:id="rId1"/>
  <headerFooter alignWithMargins="0">
    <oddFooter>&amp;L&amp;F 
&amp;A&amp;C&amp;P&amp;R&amp;D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H32" sqref="H32"/>
    </sheetView>
  </sheetViews>
  <sheetFormatPr defaultRowHeight="14.5" x14ac:dyDescent="0.35"/>
  <sheetData/>
  <pageMargins left="0.7" right="0.7" top="0.75" bottom="0.75" header="0.3" footer="0.3"/>
  <customProperties>
    <customPr name="_pios_id" r:id="rId1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72"/>
  <sheetViews>
    <sheetView topLeftCell="F1" zoomScale="90" zoomScaleNormal="90" workbookViewId="0">
      <pane ySplit="8" topLeftCell="A9" activePane="bottomLeft" state="frozen"/>
      <selection activeCell="P36" sqref="P36"/>
      <selection pane="bottomLeft" activeCell="C52" sqref="C52"/>
    </sheetView>
  </sheetViews>
  <sheetFormatPr defaultColWidth="8.81640625" defaultRowHeight="12.5" x14ac:dyDescent="0.25"/>
  <cols>
    <col min="1" max="1" width="1.54296875" style="42" customWidth="1"/>
    <col min="2" max="2" width="4.54296875" style="42" customWidth="1"/>
    <col min="3" max="3" width="3.1796875" style="42" customWidth="1"/>
    <col min="4" max="4" width="25.7265625" style="42" customWidth="1"/>
    <col min="5" max="5" width="12.1796875" style="42" customWidth="1"/>
    <col min="6" max="6" width="9" style="42" bestFit="1" customWidth="1"/>
    <col min="7" max="7" width="13.7265625" style="42" customWidth="1"/>
    <col min="8" max="8" width="13.26953125" style="42" customWidth="1"/>
    <col min="9" max="9" width="13.26953125" style="42" bestFit="1" customWidth="1"/>
    <col min="10" max="11" width="12.54296875" style="42" bestFit="1" customWidth="1"/>
    <col min="12" max="12" width="11.453125" style="42" customWidth="1"/>
    <col min="13" max="13" width="10.81640625" style="42" customWidth="1"/>
    <col min="14" max="14" width="9.26953125" style="42" bestFit="1" customWidth="1"/>
    <col min="15" max="15" width="10" style="42" bestFit="1" customWidth="1"/>
    <col min="16" max="16" width="19.54296875" style="42" customWidth="1"/>
    <col min="17" max="17" width="15.26953125" style="42" customWidth="1"/>
    <col min="18" max="18" width="16" style="42" bestFit="1" customWidth="1"/>
    <col min="19" max="20" width="15.453125" style="42" bestFit="1" customWidth="1"/>
    <col min="21" max="21" width="16" style="42" bestFit="1" customWidth="1"/>
    <col min="22" max="22" width="10.81640625" style="42" customWidth="1"/>
    <col min="23" max="16384" width="8.81640625" style="42"/>
  </cols>
  <sheetData>
    <row r="1" spans="2:22" x14ac:dyDescent="0.25">
      <c r="B1" s="532" t="s">
        <v>13</v>
      </c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</row>
    <row r="2" spans="2:22" x14ac:dyDescent="0.25">
      <c r="B2" s="175" t="str">
        <f>Rates!$B$2</f>
        <v>2022 Gas Schedule 129 Low Income Program Filing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2:22" x14ac:dyDescent="0.25">
      <c r="B3" s="533" t="s">
        <v>63</v>
      </c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</row>
    <row r="4" spans="2:22" x14ac:dyDescent="0.25">
      <c r="B4" s="59" t="str">
        <f>Rates!B4</f>
        <v>Proposed Effective October 1, 2022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10"/>
    </row>
    <row r="6" spans="2:22" x14ac:dyDescent="0.25">
      <c r="E6" s="307"/>
      <c r="F6" s="307"/>
      <c r="G6" s="307" t="s">
        <v>62</v>
      </c>
      <c r="H6" s="307"/>
      <c r="J6" s="307" t="s">
        <v>40</v>
      </c>
      <c r="K6" s="307" t="s">
        <v>61</v>
      </c>
      <c r="L6" s="307" t="s">
        <v>40</v>
      </c>
      <c r="M6" s="307"/>
      <c r="P6" s="42" t="s">
        <v>157</v>
      </c>
    </row>
    <row r="7" spans="2:22" ht="50" x14ac:dyDescent="0.25">
      <c r="E7" s="307" t="s">
        <v>88</v>
      </c>
      <c r="F7" s="307"/>
      <c r="G7" s="307" t="s">
        <v>89</v>
      </c>
      <c r="H7" s="307"/>
      <c r="I7" s="307" t="s">
        <v>46</v>
      </c>
      <c r="J7" s="307" t="s">
        <v>6</v>
      </c>
      <c r="K7" s="307" t="s">
        <v>6</v>
      </c>
      <c r="L7" s="307" t="s">
        <v>60</v>
      </c>
      <c r="M7" s="307" t="s">
        <v>29</v>
      </c>
      <c r="Q7" s="420" t="s">
        <v>307</v>
      </c>
      <c r="R7" s="307" t="s">
        <v>308</v>
      </c>
      <c r="S7" s="307" t="s">
        <v>309</v>
      </c>
      <c r="T7" s="307" t="s">
        <v>231</v>
      </c>
      <c r="U7" s="307" t="s">
        <v>310</v>
      </c>
    </row>
    <row r="8" spans="2:22" ht="14.5" x14ac:dyDescent="0.25">
      <c r="B8" s="87" t="s">
        <v>38</v>
      </c>
      <c r="C8" s="524" t="s">
        <v>59</v>
      </c>
      <c r="D8" s="524"/>
      <c r="E8" s="17" t="s">
        <v>57</v>
      </c>
      <c r="F8" s="17" t="s">
        <v>58</v>
      </c>
      <c r="G8" s="17" t="s">
        <v>57</v>
      </c>
      <c r="H8" s="17" t="s">
        <v>97</v>
      </c>
      <c r="I8" s="17" t="s">
        <v>56</v>
      </c>
      <c r="J8" s="17" t="s">
        <v>36</v>
      </c>
      <c r="K8" s="17" t="s">
        <v>36</v>
      </c>
      <c r="L8" s="17" t="s">
        <v>55</v>
      </c>
      <c r="M8" s="17" t="s">
        <v>6</v>
      </c>
      <c r="Q8" s="307" t="s">
        <v>115</v>
      </c>
      <c r="R8" s="307" t="s">
        <v>116</v>
      </c>
      <c r="S8" s="307" t="s">
        <v>117</v>
      </c>
      <c r="T8" s="307" t="s">
        <v>232</v>
      </c>
      <c r="U8" s="307" t="s">
        <v>118</v>
      </c>
      <c r="V8" s="307"/>
    </row>
    <row r="9" spans="2:22" x14ac:dyDescent="0.25">
      <c r="B9" s="307">
        <v>1</v>
      </c>
      <c r="C9" s="42" t="s">
        <v>54</v>
      </c>
      <c r="E9" s="34"/>
      <c r="F9" s="34"/>
      <c r="G9" s="34"/>
      <c r="Q9" s="307" t="s">
        <v>98</v>
      </c>
      <c r="R9" s="307" t="s">
        <v>100</v>
      </c>
      <c r="S9" s="307" t="s">
        <v>114</v>
      </c>
      <c r="T9" s="307" t="s">
        <v>230</v>
      </c>
      <c r="U9" s="307" t="s">
        <v>48</v>
      </c>
      <c r="V9" s="307" t="s">
        <v>0</v>
      </c>
    </row>
    <row r="10" spans="2:22" x14ac:dyDescent="0.25">
      <c r="B10" s="307">
        <v>2</v>
      </c>
      <c r="D10" s="42" t="s">
        <v>19</v>
      </c>
      <c r="E10" s="421">
        <v>8058973</v>
      </c>
      <c r="F10" s="31">
        <f>+E10/$E$17</f>
        <v>0.40488151385901155</v>
      </c>
      <c r="G10" s="24">
        <f t="shared" ref="G10:G15" si="0">+F10*$G$17</f>
        <v>7731832.7691030335</v>
      </c>
      <c r="H10" s="26">
        <f>H$39</f>
        <v>0.18176000000000003</v>
      </c>
      <c r="I10" s="23">
        <f t="shared" ref="I10:I15" si="1">ROUND(G10*H10,0)</f>
        <v>1405338</v>
      </c>
      <c r="K10" s="23">
        <f>ROUND(I10*$J$48,0)</f>
        <v>7033</v>
      </c>
      <c r="L10" s="26">
        <f>L29</f>
        <v>9.1E-4</v>
      </c>
      <c r="M10" s="23">
        <f>G10*L10</f>
        <v>7035.9678198837601</v>
      </c>
      <c r="P10" s="42" t="s">
        <v>19</v>
      </c>
      <c r="Q10" s="58">
        <f>'Rate Design Int &amp; Trans (PLR)'!H158</f>
        <v>0.17533000000000001</v>
      </c>
      <c r="R10" s="58">
        <f>'Margin Revenue'!$H$26</f>
        <v>2.4000000000000002E-3</v>
      </c>
      <c r="S10" s="58">
        <f>'Margin Revenue'!$I$26</f>
        <v>4.2999999999999999E-4</v>
      </c>
      <c r="T10" s="58">
        <f>'Margin Revenue'!$J$26</f>
        <v>-1.3999999999999999E-4</v>
      </c>
      <c r="U10" s="58">
        <f>'Margin Revenue'!$K$26</f>
        <v>3.7399999999999998E-3</v>
      </c>
      <c r="V10" s="41">
        <f>SUM(Q10:U10)</f>
        <v>0.18176000000000003</v>
      </c>
    </row>
    <row r="11" spans="2:22" x14ac:dyDescent="0.25">
      <c r="B11" s="307">
        <v>3</v>
      </c>
      <c r="D11" s="42" t="s">
        <v>18</v>
      </c>
      <c r="E11" s="421">
        <v>4482868</v>
      </c>
      <c r="F11" s="31">
        <f t="shared" ref="F11:F15" si="2">+E11/$E$17</f>
        <v>0.22521857093579037</v>
      </c>
      <c r="G11" s="24">
        <f t="shared" si="0"/>
        <v>4300893.6376835331</v>
      </c>
      <c r="H11" s="26">
        <f>H$40</f>
        <v>0.11237999999999999</v>
      </c>
      <c r="I11" s="23">
        <f t="shared" si="1"/>
        <v>483334</v>
      </c>
      <c r="K11" s="23">
        <f t="shared" ref="K11:K15" si="3">ROUND(I11*$J$48,0)</f>
        <v>2419</v>
      </c>
      <c r="L11" s="26">
        <f>L30</f>
        <v>5.5999999999999995E-4</v>
      </c>
      <c r="M11" s="23">
        <f>G11*L11</f>
        <v>2408.5004371027785</v>
      </c>
      <c r="P11" s="42" t="s">
        <v>18</v>
      </c>
      <c r="Q11" s="58">
        <f>'Rate Design Int &amp; Trans (PLR)'!H159</f>
        <v>0.10595</v>
      </c>
      <c r="R11" s="58">
        <f>'Margin Revenue'!$H$26</f>
        <v>2.4000000000000002E-3</v>
      </c>
      <c r="S11" s="58">
        <f>'Margin Revenue'!$I$26</f>
        <v>4.2999999999999999E-4</v>
      </c>
      <c r="T11" s="58">
        <f>'Margin Revenue'!$J$26</f>
        <v>-1.3999999999999999E-4</v>
      </c>
      <c r="U11" s="58">
        <f>'Margin Revenue'!$K$26</f>
        <v>3.7399999999999998E-3</v>
      </c>
      <c r="V11" s="41">
        <f t="shared" ref="V11:V15" si="4">SUM(Q11:U11)</f>
        <v>0.11237999999999999</v>
      </c>
    </row>
    <row r="12" spans="2:22" x14ac:dyDescent="0.25">
      <c r="B12" s="307">
        <v>4</v>
      </c>
      <c r="D12" s="42" t="s">
        <v>17</v>
      </c>
      <c r="E12" s="421">
        <v>4029876</v>
      </c>
      <c r="F12" s="31">
        <f t="shared" si="2"/>
        <v>0.20246032534717487</v>
      </c>
      <c r="G12" s="24">
        <f t="shared" si="0"/>
        <v>3866290.0734649254</v>
      </c>
      <c r="H12" s="26">
        <f>H$41</f>
        <v>7.3849999999999985E-2</v>
      </c>
      <c r="I12" s="23">
        <f t="shared" si="1"/>
        <v>285526</v>
      </c>
      <c r="K12" s="23">
        <f t="shared" si="3"/>
        <v>1429</v>
      </c>
      <c r="L12" s="26"/>
      <c r="P12" s="42" t="s">
        <v>17</v>
      </c>
      <c r="Q12" s="58">
        <f>'Rate Design Int &amp; Trans (PLR)'!H160</f>
        <v>6.7419999999999994E-2</v>
      </c>
      <c r="R12" s="58">
        <f>'Margin Revenue'!$H$26</f>
        <v>2.4000000000000002E-3</v>
      </c>
      <c r="S12" s="58">
        <f>'Margin Revenue'!$I$26</f>
        <v>4.2999999999999999E-4</v>
      </c>
      <c r="T12" s="58">
        <f>'Margin Revenue'!$J$26</f>
        <v>-1.3999999999999999E-4</v>
      </c>
      <c r="U12" s="58">
        <f>'Margin Revenue'!$K$26</f>
        <v>3.7399999999999998E-3</v>
      </c>
      <c r="V12" s="41">
        <f t="shared" si="4"/>
        <v>7.3849999999999985E-2</v>
      </c>
    </row>
    <row r="13" spans="2:22" x14ac:dyDescent="0.25">
      <c r="B13" s="307">
        <v>5</v>
      </c>
      <c r="D13" s="42" t="s">
        <v>16</v>
      </c>
      <c r="E13" s="421">
        <v>2349865</v>
      </c>
      <c r="F13" s="31">
        <f t="shared" si="2"/>
        <v>0.11805684155590374</v>
      </c>
      <c r="G13" s="24">
        <f t="shared" si="0"/>
        <v>2254476.2477760254</v>
      </c>
      <c r="H13" s="26">
        <f>H$42</f>
        <v>4.9659999999999996E-2</v>
      </c>
      <c r="I13" s="23">
        <f t="shared" si="1"/>
        <v>111957</v>
      </c>
      <c r="K13" s="23">
        <f t="shared" si="3"/>
        <v>560</v>
      </c>
      <c r="L13" s="26"/>
      <c r="P13" s="42" t="s">
        <v>16</v>
      </c>
      <c r="Q13" s="58">
        <f>'Rate Design Int &amp; Trans (PLR)'!H161</f>
        <v>4.3229999999999998E-2</v>
      </c>
      <c r="R13" s="58">
        <f>'Margin Revenue'!$H$26</f>
        <v>2.4000000000000002E-3</v>
      </c>
      <c r="S13" s="58">
        <f>'Margin Revenue'!$I$26</f>
        <v>4.2999999999999999E-4</v>
      </c>
      <c r="T13" s="58">
        <f>'Margin Revenue'!$J$26</f>
        <v>-1.3999999999999999E-4</v>
      </c>
      <c r="U13" s="58">
        <f>'Margin Revenue'!$K$26</f>
        <v>3.7399999999999998E-3</v>
      </c>
      <c r="V13" s="41">
        <f t="shared" si="4"/>
        <v>4.9659999999999996E-2</v>
      </c>
    </row>
    <row r="14" spans="2:22" x14ac:dyDescent="0.25">
      <c r="B14" s="307">
        <v>6</v>
      </c>
      <c r="D14" s="42" t="s">
        <v>15</v>
      </c>
      <c r="E14" s="421">
        <v>982940</v>
      </c>
      <c r="F14" s="31">
        <f t="shared" si="2"/>
        <v>4.9382748302119486E-2</v>
      </c>
      <c r="G14" s="24">
        <f t="shared" si="0"/>
        <v>943039.23118518142</v>
      </c>
      <c r="H14" s="26">
        <f>H$43</f>
        <v>3.7539999999999997E-2</v>
      </c>
      <c r="I14" s="23">
        <f t="shared" si="1"/>
        <v>35402</v>
      </c>
      <c r="K14" s="23">
        <f t="shared" si="3"/>
        <v>177</v>
      </c>
      <c r="L14" s="26"/>
      <c r="P14" s="42" t="s">
        <v>15</v>
      </c>
      <c r="Q14" s="58">
        <f>'Rate Design Int &amp; Trans (PLR)'!H162</f>
        <v>3.1109999999999999E-2</v>
      </c>
      <c r="R14" s="58">
        <f>'Margin Revenue'!$H$26</f>
        <v>2.4000000000000002E-3</v>
      </c>
      <c r="S14" s="58">
        <f>'Margin Revenue'!$I$26</f>
        <v>4.2999999999999999E-4</v>
      </c>
      <c r="T14" s="58">
        <f>'Margin Revenue'!$J$26</f>
        <v>-1.3999999999999999E-4</v>
      </c>
      <c r="U14" s="58">
        <f>'Margin Revenue'!$K$26</f>
        <v>3.7399999999999998E-3</v>
      </c>
      <c r="V14" s="41">
        <f t="shared" si="4"/>
        <v>3.7539999999999997E-2</v>
      </c>
    </row>
    <row r="15" spans="2:22" x14ac:dyDescent="0.25">
      <c r="B15" s="307">
        <v>7</v>
      </c>
      <c r="D15" s="42" t="s">
        <v>21</v>
      </c>
      <c r="E15" s="421">
        <v>0</v>
      </c>
      <c r="F15" s="31">
        <f t="shared" si="2"/>
        <v>0</v>
      </c>
      <c r="G15" s="24">
        <f t="shared" si="0"/>
        <v>0</v>
      </c>
      <c r="H15" s="26">
        <f>H$44</f>
        <v>3.0419999999999999E-2</v>
      </c>
      <c r="I15" s="23">
        <f t="shared" si="1"/>
        <v>0</v>
      </c>
      <c r="K15" s="23">
        <f t="shared" si="3"/>
        <v>0</v>
      </c>
      <c r="L15" s="26"/>
      <c r="P15" s="42" t="s">
        <v>21</v>
      </c>
      <c r="Q15" s="58">
        <f>'Rate Design Int &amp; Trans (PLR)'!H163</f>
        <v>2.3990000000000001E-2</v>
      </c>
      <c r="R15" s="58">
        <f>'Margin Revenue'!$H$26</f>
        <v>2.4000000000000002E-3</v>
      </c>
      <c r="S15" s="58">
        <f>'Margin Revenue'!$I$26</f>
        <v>4.2999999999999999E-4</v>
      </c>
      <c r="T15" s="58">
        <f>'Margin Revenue'!$J$26</f>
        <v>-1.3999999999999999E-4</v>
      </c>
      <c r="U15" s="58">
        <f>'Margin Revenue'!$K$26</f>
        <v>3.7399999999999998E-3</v>
      </c>
      <c r="V15" s="41">
        <f t="shared" si="4"/>
        <v>3.0419999999999999E-2</v>
      </c>
    </row>
    <row r="16" spans="2:22" x14ac:dyDescent="0.25">
      <c r="B16" s="307">
        <v>8</v>
      </c>
      <c r="D16" s="42" t="s">
        <v>51</v>
      </c>
      <c r="E16" s="28">
        <f>SUM(E12:E15)</f>
        <v>7362681</v>
      </c>
      <c r="F16" s="422"/>
      <c r="G16" s="28">
        <f>SUM(G12:G15)</f>
        <v>7063805.5524261314</v>
      </c>
      <c r="H16" s="26"/>
      <c r="I16" s="27">
        <f>SUM(I12:I15)</f>
        <v>432885</v>
      </c>
      <c r="K16" s="27">
        <f>SUM(K12:K15)</f>
        <v>2166</v>
      </c>
      <c r="L16" s="26">
        <f>L35</f>
        <v>3.2000000000000003E-4</v>
      </c>
      <c r="M16" s="25">
        <f>G16*L16</f>
        <v>2260.4177767763622</v>
      </c>
      <c r="O16" s="26"/>
    </row>
    <row r="17" spans="2:14" x14ac:dyDescent="0.25">
      <c r="B17" s="307">
        <v>9</v>
      </c>
      <c r="D17" s="42" t="s">
        <v>0</v>
      </c>
      <c r="E17" s="423">
        <f>SUM(E10:E15)</f>
        <v>19904522</v>
      </c>
      <c r="F17" s="30">
        <f>SUM(F10:F15)</f>
        <v>1</v>
      </c>
      <c r="G17" s="55">
        <f>'Margin Revenue'!M20</f>
        <v>19096531.959212698</v>
      </c>
      <c r="H17" s="26"/>
      <c r="I17" s="27">
        <f>SUM(I10:I15)</f>
        <v>2321557</v>
      </c>
      <c r="J17" s="51">
        <f>Rates!I19</f>
        <v>10929.490802259643</v>
      </c>
      <c r="K17" s="27">
        <f>SUM(K10:K15)</f>
        <v>11618</v>
      </c>
      <c r="M17" s="27">
        <f>SUM(M10:M16)</f>
        <v>11704.886033762901</v>
      </c>
      <c r="N17" s="23">
        <f>M17-J17</f>
        <v>775.3952315032584</v>
      </c>
    </row>
    <row r="18" spans="2:14" x14ac:dyDescent="0.25">
      <c r="B18" s="307"/>
      <c r="E18" s="56"/>
      <c r="F18" s="56"/>
      <c r="G18" s="34"/>
      <c r="H18" s="26"/>
    </row>
    <row r="19" spans="2:14" x14ac:dyDescent="0.25">
      <c r="B19" s="307">
        <v>10</v>
      </c>
      <c r="C19" s="42" t="s">
        <v>53</v>
      </c>
      <c r="E19" s="56"/>
      <c r="F19" s="56"/>
      <c r="G19" s="34"/>
      <c r="H19" s="26"/>
    </row>
    <row r="20" spans="2:14" x14ac:dyDescent="0.25">
      <c r="B20" s="307">
        <v>11</v>
      </c>
      <c r="D20" s="42" t="s">
        <v>19</v>
      </c>
      <c r="E20" s="421">
        <v>1325676</v>
      </c>
      <c r="F20" s="31">
        <f t="shared" ref="F20:F25" si="5">+E20/$E$26</f>
        <v>6.1283980182962133E-2</v>
      </c>
      <c r="G20" s="24">
        <f t="shared" ref="G20:G25" si="6">+F20*$G$26</f>
        <v>1295749.0995656035</v>
      </c>
      <c r="H20" s="26">
        <f>H$39</f>
        <v>0.18176000000000003</v>
      </c>
      <c r="I20" s="23">
        <f t="shared" ref="I20:I25" si="7">ROUND(G20*H20,0)</f>
        <v>235515</v>
      </c>
      <c r="K20" s="23">
        <f t="shared" ref="K20:K25" si="8">ROUND(I20*$J$48,0)</f>
        <v>1179</v>
      </c>
      <c r="L20" s="26">
        <f t="shared" ref="L20:L25" si="9">L39</f>
        <v>9.1E-4</v>
      </c>
      <c r="M20" s="23">
        <f t="shared" ref="M20:M25" si="10">G20*L20</f>
        <v>1179.1316806046991</v>
      </c>
    </row>
    <row r="21" spans="2:14" x14ac:dyDescent="0.25">
      <c r="B21" s="307">
        <v>12</v>
      </c>
      <c r="D21" s="42" t="s">
        <v>18</v>
      </c>
      <c r="E21" s="421">
        <v>1267617</v>
      </c>
      <c r="F21" s="31">
        <f t="shared" si="5"/>
        <v>5.8600001137220491E-2</v>
      </c>
      <c r="G21" s="24">
        <f t="shared" si="6"/>
        <v>1239000.7711869655</v>
      </c>
      <c r="H21" s="26">
        <f>H$40</f>
        <v>0.11237999999999999</v>
      </c>
      <c r="I21" s="23">
        <f t="shared" si="7"/>
        <v>139239</v>
      </c>
      <c r="K21" s="23">
        <f t="shared" si="8"/>
        <v>697</v>
      </c>
      <c r="L21" s="26">
        <f t="shared" si="9"/>
        <v>5.5999999999999995E-4</v>
      </c>
      <c r="M21" s="23">
        <f t="shared" si="10"/>
        <v>693.84043186470058</v>
      </c>
    </row>
    <row r="22" spans="2:14" x14ac:dyDescent="0.25">
      <c r="B22" s="307">
        <v>13</v>
      </c>
      <c r="D22" s="42" t="s">
        <v>17</v>
      </c>
      <c r="E22" s="421">
        <v>2237193</v>
      </c>
      <c r="F22" s="31">
        <f t="shared" si="5"/>
        <v>0.10342202127628591</v>
      </c>
      <c r="G22" s="24">
        <f t="shared" si="6"/>
        <v>2186688.7650560704</v>
      </c>
      <c r="H22" s="26">
        <f>H$41</f>
        <v>7.3849999999999985E-2</v>
      </c>
      <c r="I22" s="23">
        <f t="shared" si="7"/>
        <v>161487</v>
      </c>
      <c r="K22" s="23">
        <f t="shared" si="8"/>
        <v>808</v>
      </c>
      <c r="L22" s="26">
        <f t="shared" si="9"/>
        <v>3.6999999999999999E-4</v>
      </c>
      <c r="M22" s="23">
        <f t="shared" si="10"/>
        <v>809.07484307074606</v>
      </c>
    </row>
    <row r="23" spans="2:14" x14ac:dyDescent="0.25">
      <c r="B23" s="307">
        <v>14</v>
      </c>
      <c r="D23" s="42" t="s">
        <v>16</v>
      </c>
      <c r="E23" s="421">
        <v>2931927</v>
      </c>
      <c r="F23" s="31">
        <f t="shared" si="5"/>
        <v>0.13553851481500126</v>
      </c>
      <c r="G23" s="24">
        <f t="shared" si="6"/>
        <v>2865739.2682994045</v>
      </c>
      <c r="H23" s="26">
        <f>H$42</f>
        <v>4.9659999999999996E-2</v>
      </c>
      <c r="I23" s="23">
        <f t="shared" si="7"/>
        <v>142313</v>
      </c>
      <c r="K23" s="23">
        <f t="shared" si="8"/>
        <v>712</v>
      </c>
      <c r="L23" s="26">
        <f t="shared" si="9"/>
        <v>2.5000000000000001E-4</v>
      </c>
      <c r="M23" s="23">
        <f t="shared" si="10"/>
        <v>716.43481707485114</v>
      </c>
    </row>
    <row r="24" spans="2:14" x14ac:dyDescent="0.25">
      <c r="B24" s="307">
        <v>15</v>
      </c>
      <c r="D24" s="42" t="s">
        <v>15</v>
      </c>
      <c r="E24" s="421">
        <v>3789481</v>
      </c>
      <c r="F24" s="31">
        <f t="shared" si="5"/>
        <v>0.17518192869729221</v>
      </c>
      <c r="G24" s="24">
        <f t="shared" si="6"/>
        <v>3703934.1389381443</v>
      </c>
      <c r="H24" s="26">
        <f>H$43</f>
        <v>3.7539999999999997E-2</v>
      </c>
      <c r="I24" s="23">
        <f t="shared" si="7"/>
        <v>139046</v>
      </c>
      <c r="K24" s="23">
        <f t="shared" si="8"/>
        <v>696</v>
      </c>
      <c r="L24" s="26">
        <f t="shared" si="9"/>
        <v>1.9000000000000001E-4</v>
      </c>
      <c r="M24" s="23">
        <f t="shared" si="10"/>
        <v>703.74748639824747</v>
      </c>
    </row>
    <row r="25" spans="2:14" x14ac:dyDescent="0.25">
      <c r="B25" s="307">
        <v>16</v>
      </c>
      <c r="D25" s="42" t="s">
        <v>21</v>
      </c>
      <c r="E25" s="424">
        <v>10079795</v>
      </c>
      <c r="F25" s="32">
        <f t="shared" si="5"/>
        <v>0.46597355389123801</v>
      </c>
      <c r="G25" s="24">
        <f t="shared" si="6"/>
        <v>9852245.4167201295</v>
      </c>
      <c r="H25" s="26">
        <f>H$44</f>
        <v>3.0419999999999999E-2</v>
      </c>
      <c r="I25" s="23">
        <f t="shared" si="7"/>
        <v>299705</v>
      </c>
      <c r="K25" s="23">
        <f t="shared" si="8"/>
        <v>1500</v>
      </c>
      <c r="L25" s="26">
        <f t="shared" si="9"/>
        <v>1.4999999999999999E-4</v>
      </c>
      <c r="M25" s="23">
        <f t="shared" si="10"/>
        <v>1477.8368125080192</v>
      </c>
    </row>
    <row r="26" spans="2:14" x14ac:dyDescent="0.25">
      <c r="B26" s="307">
        <v>17</v>
      </c>
      <c r="D26" s="42" t="s">
        <v>0</v>
      </c>
      <c r="E26" s="56">
        <f>SUM(E20:E25)</f>
        <v>21631689</v>
      </c>
      <c r="F26" s="31">
        <f>SUM(F20:F25)</f>
        <v>1</v>
      </c>
      <c r="G26" s="55">
        <f>'Margin Revenue'!M21</f>
        <v>21143357.459766317</v>
      </c>
      <c r="H26" s="26"/>
      <c r="I26" s="27">
        <f>SUM(I20:I25)</f>
        <v>1117305</v>
      </c>
      <c r="J26" s="51">
        <f>Rates!I30</f>
        <v>6777.7686083516446</v>
      </c>
      <c r="K26" s="27">
        <f>SUM(K20:K25)</f>
        <v>5592</v>
      </c>
      <c r="M26" s="27">
        <f>SUM(M20:M25)</f>
        <v>5580.0660715212634</v>
      </c>
      <c r="N26" s="23">
        <f>M26-J26</f>
        <v>-1197.7025368303812</v>
      </c>
    </row>
    <row r="27" spans="2:14" x14ac:dyDescent="0.25">
      <c r="B27" s="307"/>
      <c r="E27" s="56"/>
      <c r="F27" s="56"/>
      <c r="G27" s="3"/>
      <c r="H27" s="26"/>
      <c r="I27" s="6"/>
      <c r="J27" s="2"/>
      <c r="K27" s="6"/>
      <c r="M27" s="6"/>
    </row>
    <row r="28" spans="2:14" x14ac:dyDescent="0.25">
      <c r="B28" s="307">
        <f>B26+1</f>
        <v>18</v>
      </c>
      <c r="C28" s="42" t="s">
        <v>52</v>
      </c>
      <c r="E28" s="56"/>
      <c r="F28" s="56"/>
      <c r="G28" s="3"/>
      <c r="H28" s="26"/>
      <c r="I28" s="6"/>
      <c r="J28" s="2"/>
      <c r="K28" s="6"/>
      <c r="M28" s="6"/>
    </row>
    <row r="29" spans="2:14" x14ac:dyDescent="0.25">
      <c r="B29" s="307">
        <f t="shared" ref="B29:B36" si="11">B28+1</f>
        <v>19</v>
      </c>
      <c r="D29" s="42" t="s">
        <v>19</v>
      </c>
      <c r="E29" s="421">
        <v>24671262</v>
      </c>
      <c r="F29" s="31">
        <f t="shared" ref="F29:F34" si="12">+E29/$E$36</f>
        <v>0.34836798231335714</v>
      </c>
      <c r="G29" s="24">
        <f t="shared" ref="G29:G34" si="13">+F29*$G$36</f>
        <v>24484460.633315865</v>
      </c>
      <c r="H29" s="26">
        <f>H$39</f>
        <v>0.18176000000000003</v>
      </c>
      <c r="I29" s="23">
        <f t="shared" ref="I29:I34" si="14">ROUND(G29*H29,0)</f>
        <v>4450296</v>
      </c>
      <c r="J29" s="2"/>
      <c r="K29" s="23">
        <f t="shared" ref="K29:K34" si="15">ROUND(I29*$J$48,0)</f>
        <v>22273</v>
      </c>
      <c r="L29" s="26">
        <f>L39</f>
        <v>9.1E-4</v>
      </c>
      <c r="M29" s="23">
        <f>G29*L29</f>
        <v>22280.859176317437</v>
      </c>
    </row>
    <row r="30" spans="2:14" x14ac:dyDescent="0.25">
      <c r="B30" s="307">
        <f t="shared" si="11"/>
        <v>20</v>
      </c>
      <c r="D30" s="42" t="s">
        <v>18</v>
      </c>
      <c r="E30" s="421">
        <v>17305343</v>
      </c>
      <c r="F30" s="31">
        <f t="shared" si="12"/>
        <v>0.24435829120336766</v>
      </c>
      <c r="G30" s="24">
        <f t="shared" si="13"/>
        <v>17174313.556782313</v>
      </c>
      <c r="H30" s="26">
        <f>H$40</f>
        <v>0.11237999999999999</v>
      </c>
      <c r="I30" s="23">
        <f t="shared" si="14"/>
        <v>1930049</v>
      </c>
      <c r="J30" s="2"/>
      <c r="K30" s="23">
        <f t="shared" si="15"/>
        <v>9660</v>
      </c>
      <c r="L30" s="26">
        <f>L40</f>
        <v>5.5999999999999995E-4</v>
      </c>
      <c r="M30" s="23">
        <f>G30*L30</f>
        <v>9617.6155917980941</v>
      </c>
    </row>
    <row r="31" spans="2:14" x14ac:dyDescent="0.25">
      <c r="B31" s="307">
        <f t="shared" si="11"/>
        <v>21</v>
      </c>
      <c r="D31" s="42" t="s">
        <v>17</v>
      </c>
      <c r="E31" s="421">
        <v>17828519</v>
      </c>
      <c r="F31" s="31">
        <f t="shared" si="12"/>
        <v>0.25174574335375921</v>
      </c>
      <c r="G31" s="24">
        <f t="shared" si="13"/>
        <v>17693528.268064439</v>
      </c>
      <c r="H31" s="26">
        <f>H$41</f>
        <v>7.3849999999999985E-2</v>
      </c>
      <c r="I31" s="23">
        <f t="shared" si="14"/>
        <v>1306667</v>
      </c>
      <c r="J31" s="2"/>
      <c r="K31" s="23">
        <f t="shared" si="15"/>
        <v>6540</v>
      </c>
      <c r="M31" s="6"/>
    </row>
    <row r="32" spans="2:14" x14ac:dyDescent="0.25">
      <c r="B32" s="307">
        <f t="shared" si="11"/>
        <v>22</v>
      </c>
      <c r="D32" s="42" t="s">
        <v>16</v>
      </c>
      <c r="E32" s="421">
        <v>8540834</v>
      </c>
      <c r="F32" s="31">
        <f t="shared" si="12"/>
        <v>0.12059995584552259</v>
      </c>
      <c r="G32" s="24">
        <f t="shared" si="13"/>
        <v>8476166.069197664</v>
      </c>
      <c r="H32" s="26">
        <f>H$42</f>
        <v>4.9659999999999996E-2</v>
      </c>
      <c r="I32" s="23">
        <f t="shared" si="14"/>
        <v>420926</v>
      </c>
      <c r="J32" s="2"/>
      <c r="K32" s="23">
        <f t="shared" si="15"/>
        <v>2107</v>
      </c>
      <c r="M32" s="6"/>
    </row>
    <row r="33" spans="2:16" x14ac:dyDescent="0.25">
      <c r="B33" s="307">
        <f t="shared" si="11"/>
        <v>23</v>
      </c>
      <c r="D33" s="42" t="s">
        <v>15</v>
      </c>
      <c r="E33" s="421">
        <v>1986837</v>
      </c>
      <c r="F33" s="31">
        <f t="shared" si="12"/>
        <v>2.8054924668041853E-2</v>
      </c>
      <c r="G33" s="24">
        <f t="shared" si="13"/>
        <v>1971793.42959089</v>
      </c>
      <c r="H33" s="26">
        <f>H$43</f>
        <v>3.7539999999999997E-2</v>
      </c>
      <c r="I33" s="23">
        <f t="shared" si="14"/>
        <v>74021</v>
      </c>
      <c r="J33" s="2"/>
      <c r="K33" s="23">
        <f t="shared" si="15"/>
        <v>370</v>
      </c>
      <c r="M33" s="6"/>
    </row>
    <row r="34" spans="2:16" x14ac:dyDescent="0.25">
      <c r="B34" s="307">
        <f t="shared" si="11"/>
        <v>24</v>
      </c>
      <c r="D34" s="42" t="s">
        <v>21</v>
      </c>
      <c r="E34" s="421">
        <v>486750</v>
      </c>
      <c r="F34" s="31">
        <f t="shared" si="12"/>
        <v>6.8731026159515709E-3</v>
      </c>
      <c r="G34" s="24">
        <f t="shared" si="13"/>
        <v>483064.51503236836</v>
      </c>
      <c r="H34" s="26">
        <f>H$44</f>
        <v>3.0419999999999999E-2</v>
      </c>
      <c r="I34" s="23">
        <f t="shared" si="14"/>
        <v>14695</v>
      </c>
      <c r="J34" s="2"/>
      <c r="K34" s="23">
        <f t="shared" si="15"/>
        <v>74</v>
      </c>
      <c r="M34" s="6"/>
    </row>
    <row r="35" spans="2:16" x14ac:dyDescent="0.25">
      <c r="B35" s="307">
        <f t="shared" si="11"/>
        <v>25</v>
      </c>
      <c r="D35" s="42" t="s">
        <v>51</v>
      </c>
      <c r="E35" s="57">
        <f>SUM(E31:E34)</f>
        <v>28842940</v>
      </c>
      <c r="F35" s="60"/>
      <c r="G35" s="57">
        <f>SUM(G31:G34)</f>
        <v>28624552.281885359</v>
      </c>
      <c r="H35" s="26"/>
      <c r="I35" s="25">
        <f>SUM(I31:I34)</f>
        <v>1816309</v>
      </c>
      <c r="K35" s="25">
        <f>SUM(K31:K34)</f>
        <v>9091</v>
      </c>
      <c r="L35" s="26">
        <f>ROUND((K35+K16)/(G35+G16),5)</f>
        <v>3.2000000000000003E-4</v>
      </c>
      <c r="M35" s="25">
        <f>G35*L35</f>
        <v>9159.8567302033152</v>
      </c>
    </row>
    <row r="36" spans="2:16" x14ac:dyDescent="0.25">
      <c r="B36" s="307">
        <f t="shared" si="11"/>
        <v>26</v>
      </c>
      <c r="D36" s="42" t="s">
        <v>0</v>
      </c>
      <c r="E36" s="56">
        <f>SUM(E29:E34)</f>
        <v>70819545</v>
      </c>
      <c r="F36" s="31">
        <f>SUM(F29:F34)</f>
        <v>1</v>
      </c>
      <c r="G36" s="55">
        <f>'Margin Revenue'!M25</f>
        <v>70283326.471983537</v>
      </c>
      <c r="H36" s="26"/>
      <c r="I36" s="6">
        <f>SUM(I29:I34)</f>
        <v>8196654</v>
      </c>
      <c r="J36" s="51">
        <f>Rates!I36</f>
        <v>38595.906418796265</v>
      </c>
      <c r="K36" s="6">
        <f>SUM(K29:K34)</f>
        <v>41024</v>
      </c>
      <c r="M36" s="27">
        <f>SUM(M29:M35)</f>
        <v>41058.331498318847</v>
      </c>
      <c r="N36" s="23">
        <f>M36-J36</f>
        <v>2462.4250795225817</v>
      </c>
    </row>
    <row r="37" spans="2:16" x14ac:dyDescent="0.25">
      <c r="B37" s="307"/>
      <c r="E37" s="56"/>
      <c r="F37" s="56"/>
      <c r="G37" s="3"/>
      <c r="H37" s="26"/>
      <c r="I37" s="6"/>
      <c r="J37" s="2"/>
      <c r="K37" s="6"/>
      <c r="M37" s="6"/>
    </row>
    <row r="38" spans="2:16" x14ac:dyDescent="0.25">
      <c r="B38" s="307">
        <f>B36+1</f>
        <v>27</v>
      </c>
      <c r="C38" s="42" t="s">
        <v>50</v>
      </c>
      <c r="E38" s="56"/>
      <c r="F38" s="56"/>
      <c r="G38" s="3"/>
      <c r="H38" s="26"/>
      <c r="I38" s="23"/>
      <c r="J38" s="2"/>
      <c r="K38" s="6"/>
      <c r="M38" s="6"/>
    </row>
    <row r="39" spans="2:16" x14ac:dyDescent="0.25">
      <c r="B39" s="307">
        <f t="shared" ref="B39:B45" si="16">B38+1</f>
        <v>28</v>
      </c>
      <c r="D39" s="42" t="s">
        <v>19</v>
      </c>
      <c r="E39" s="421">
        <v>3000000</v>
      </c>
      <c r="F39" s="31">
        <f t="shared" ref="F39:F44" si="17">+E39/$E$45</f>
        <v>3.1128523853959037E-2</v>
      </c>
      <c r="G39" s="24">
        <f t="shared" ref="G39:G44" si="18">+F39*$G$45</f>
        <v>2996928.4229749735</v>
      </c>
      <c r="H39" s="26">
        <f>V10</f>
        <v>0.18176000000000003</v>
      </c>
      <c r="I39" s="23">
        <f t="shared" ref="I39:I44" si="19">ROUND(G39*H39,0)</f>
        <v>544722</v>
      </c>
      <c r="J39" s="2"/>
      <c r="K39" s="23">
        <f t="shared" ref="K39:K44" si="20">ROUND(I39*$J$48,0)</f>
        <v>2726</v>
      </c>
      <c r="L39" s="26">
        <f t="shared" ref="L39:L44" si="21">ROUND(K39/G39,5)</f>
        <v>9.1E-4</v>
      </c>
      <c r="M39" s="23">
        <f t="shared" ref="M39:M44" si="22">G39*L39</f>
        <v>2727.2048649072258</v>
      </c>
      <c r="P39" s="26"/>
    </row>
    <row r="40" spans="2:16" x14ac:dyDescent="0.25">
      <c r="B40" s="307">
        <f t="shared" si="16"/>
        <v>29</v>
      </c>
      <c r="D40" s="42" t="s">
        <v>18</v>
      </c>
      <c r="E40" s="421">
        <v>3000000</v>
      </c>
      <c r="F40" s="31">
        <f t="shared" si="17"/>
        <v>3.1128523853959037E-2</v>
      </c>
      <c r="G40" s="24">
        <f t="shared" si="18"/>
        <v>2996928.4229749735</v>
      </c>
      <c r="H40" s="26">
        <f t="shared" ref="H40:H44" si="23">V11</f>
        <v>0.11237999999999999</v>
      </c>
      <c r="I40" s="23">
        <f t="shared" si="19"/>
        <v>336795</v>
      </c>
      <c r="J40" s="2"/>
      <c r="K40" s="23">
        <f t="shared" si="20"/>
        <v>1686</v>
      </c>
      <c r="L40" s="26">
        <f t="shared" si="21"/>
        <v>5.5999999999999995E-4</v>
      </c>
      <c r="M40" s="23">
        <f t="shared" si="22"/>
        <v>1678.2799168659849</v>
      </c>
      <c r="P40" s="26"/>
    </row>
    <row r="41" spans="2:16" x14ac:dyDescent="0.25">
      <c r="B41" s="307">
        <f t="shared" si="16"/>
        <v>30</v>
      </c>
      <c r="D41" s="42" t="s">
        <v>17</v>
      </c>
      <c r="E41" s="421">
        <v>6000000</v>
      </c>
      <c r="F41" s="31">
        <f t="shared" si="17"/>
        <v>6.2257047707918074E-2</v>
      </c>
      <c r="G41" s="24">
        <f t="shared" si="18"/>
        <v>5993856.8459499469</v>
      </c>
      <c r="H41" s="26">
        <f>V12</f>
        <v>7.3849999999999985E-2</v>
      </c>
      <c r="I41" s="23">
        <f t="shared" si="19"/>
        <v>442646</v>
      </c>
      <c r="J41" s="2"/>
      <c r="K41" s="23">
        <f t="shared" si="20"/>
        <v>2215</v>
      </c>
      <c r="L41" s="26">
        <f t="shared" si="21"/>
        <v>3.6999999999999999E-4</v>
      </c>
      <c r="M41" s="23">
        <f t="shared" si="22"/>
        <v>2217.7270330014803</v>
      </c>
      <c r="P41" s="26"/>
    </row>
    <row r="42" spans="2:16" x14ac:dyDescent="0.25">
      <c r="B42" s="307">
        <f t="shared" si="16"/>
        <v>31</v>
      </c>
      <c r="D42" s="42" t="s">
        <v>16</v>
      </c>
      <c r="E42" s="421">
        <v>11481958</v>
      </c>
      <c r="F42" s="31">
        <f t="shared" si="17"/>
        <v>0.11913880116438526</v>
      </c>
      <c r="G42" s="24">
        <f t="shared" si="18"/>
        <v>11470202.093868293</v>
      </c>
      <c r="H42" s="26">
        <f t="shared" si="23"/>
        <v>4.9659999999999996E-2</v>
      </c>
      <c r="I42" s="23">
        <f t="shared" si="19"/>
        <v>569610</v>
      </c>
      <c r="J42" s="2"/>
      <c r="K42" s="23">
        <f t="shared" si="20"/>
        <v>2851</v>
      </c>
      <c r="L42" s="26">
        <f t="shared" si="21"/>
        <v>2.5000000000000001E-4</v>
      </c>
      <c r="M42" s="23">
        <f t="shared" si="22"/>
        <v>2867.5505234670732</v>
      </c>
      <c r="P42" s="26"/>
    </row>
    <row r="43" spans="2:16" x14ac:dyDescent="0.25">
      <c r="B43" s="307">
        <f t="shared" si="16"/>
        <v>32</v>
      </c>
      <c r="D43" s="42" t="s">
        <v>15</v>
      </c>
      <c r="E43" s="421">
        <v>25739752</v>
      </c>
      <c r="F43" s="31">
        <f t="shared" si="17"/>
        <v>0.26708016137566326</v>
      </c>
      <c r="G43" s="24">
        <f t="shared" si="18"/>
        <v>25713398.123042308</v>
      </c>
      <c r="H43" s="26">
        <f t="shared" si="23"/>
        <v>3.7539999999999997E-2</v>
      </c>
      <c r="I43" s="23">
        <f t="shared" si="19"/>
        <v>965281</v>
      </c>
      <c r="J43" s="2"/>
      <c r="K43" s="23">
        <f t="shared" si="20"/>
        <v>4831</v>
      </c>
      <c r="L43" s="26">
        <f t="shared" si="21"/>
        <v>1.9000000000000001E-4</v>
      </c>
      <c r="M43" s="23">
        <f t="shared" si="22"/>
        <v>4885.5456433780391</v>
      </c>
      <c r="P43" s="26"/>
    </row>
    <row r="44" spans="2:16" x14ac:dyDescent="0.25">
      <c r="B44" s="307">
        <f t="shared" si="16"/>
        <v>33</v>
      </c>
      <c r="D44" s="42" t="s">
        <v>21</v>
      </c>
      <c r="E44" s="424">
        <v>47152921</v>
      </c>
      <c r="F44" s="32">
        <f t="shared" si="17"/>
        <v>0.4892669420441153</v>
      </c>
      <c r="G44" s="24">
        <f t="shared" si="18"/>
        <v>47104643.057064503</v>
      </c>
      <c r="H44" s="26">
        <f t="shared" si="23"/>
        <v>3.0419999999999999E-2</v>
      </c>
      <c r="I44" s="23">
        <f t="shared" si="19"/>
        <v>1432923</v>
      </c>
      <c r="J44" s="2"/>
      <c r="K44" s="22">
        <f t="shared" si="20"/>
        <v>7171</v>
      </c>
      <c r="L44" s="26">
        <f t="shared" si="21"/>
        <v>1.4999999999999999E-4</v>
      </c>
      <c r="M44" s="22">
        <f t="shared" si="22"/>
        <v>7065.6964585596752</v>
      </c>
      <c r="P44" s="26"/>
    </row>
    <row r="45" spans="2:16" x14ac:dyDescent="0.25">
      <c r="B45" s="307">
        <f t="shared" si="16"/>
        <v>34</v>
      </c>
      <c r="D45" s="42" t="s">
        <v>0</v>
      </c>
      <c r="E45" s="56">
        <f>SUM(E39:E44)</f>
        <v>96374631</v>
      </c>
      <c r="F45" s="31">
        <f>SUM(F39:F44)</f>
        <v>1</v>
      </c>
      <c r="G45" s="55">
        <f>'Margin Revenue'!M26</f>
        <v>96275956.965875</v>
      </c>
      <c r="H45" s="26"/>
      <c r="I45" s="27">
        <f>SUM(I39:I44)</f>
        <v>4291977</v>
      </c>
      <c r="J45" s="51">
        <f>Rates!I45</f>
        <v>23410.787359763915</v>
      </c>
      <c r="K45" s="27">
        <f>SUM(K39:K44)</f>
        <v>21480</v>
      </c>
      <c r="M45" s="6">
        <f>SUM(M39:M44)</f>
        <v>21442.00444017948</v>
      </c>
      <c r="N45" s="23">
        <f>M45-J45</f>
        <v>-1968.7829195844351</v>
      </c>
    </row>
    <row r="46" spans="2:16" x14ac:dyDescent="0.25">
      <c r="B46" s="307"/>
      <c r="E46" s="56"/>
      <c r="F46" s="56"/>
      <c r="G46" s="3"/>
      <c r="I46" s="6"/>
      <c r="J46" s="52"/>
      <c r="K46" s="6"/>
      <c r="M46" s="6"/>
    </row>
    <row r="47" spans="2:16" x14ac:dyDescent="0.25">
      <c r="B47" s="307"/>
      <c r="C47" s="42" t="s">
        <v>0</v>
      </c>
      <c r="E47" s="56">
        <f>E17+E26+E36+E45</f>
        <v>208730387</v>
      </c>
      <c r="F47" s="56"/>
      <c r="G47" s="56">
        <f>G17+G26+G36+G45</f>
        <v>206799172.85683757</v>
      </c>
      <c r="I47" s="6">
        <f>I17+I26+I36+I45</f>
        <v>15927493</v>
      </c>
      <c r="J47" s="6">
        <f>J17+J26+J36+J45</f>
        <v>79713.953189171472</v>
      </c>
      <c r="K47" s="6">
        <f>K17+K26+K36+K45</f>
        <v>79714</v>
      </c>
      <c r="M47" s="6">
        <f>M17+M26+M36+M45</f>
        <v>79785.288043782493</v>
      </c>
      <c r="N47" s="21">
        <f>M47-J47</f>
        <v>71.334854611021001</v>
      </c>
    </row>
    <row r="48" spans="2:16" x14ac:dyDescent="0.25">
      <c r="B48" s="307"/>
      <c r="C48" s="42" t="s">
        <v>49</v>
      </c>
      <c r="E48" s="404"/>
      <c r="F48" s="404"/>
      <c r="G48" s="3"/>
      <c r="I48" s="6"/>
      <c r="J48" s="53">
        <f>J47/I47</f>
        <v>5.0048022742293138E-3</v>
      </c>
      <c r="K48" s="6"/>
      <c r="M48" s="6"/>
      <c r="N48" s="49">
        <f>N47/K47</f>
        <v>8.948848961414683E-4</v>
      </c>
    </row>
    <row r="49" spans="2:14" x14ac:dyDescent="0.25">
      <c r="B49" s="307"/>
      <c r="E49" s="404"/>
      <c r="F49" s="404"/>
      <c r="G49" s="3"/>
      <c r="I49" s="6"/>
      <c r="J49" s="53"/>
      <c r="K49" s="6"/>
      <c r="M49" s="6"/>
      <c r="N49" s="49"/>
    </row>
    <row r="50" spans="2:14" x14ac:dyDescent="0.25">
      <c r="B50" s="307"/>
    </row>
    <row r="51" spans="2:14" ht="12.75" customHeight="1" x14ac:dyDescent="0.25">
      <c r="B51" s="425" t="s">
        <v>32</v>
      </c>
      <c r="C51" s="418" t="s">
        <v>312</v>
      </c>
    </row>
    <row r="52" spans="2:14" ht="12.75" customHeight="1" x14ac:dyDescent="0.25">
      <c r="B52" s="417" t="s">
        <v>31</v>
      </c>
      <c r="C52" s="418" t="str">
        <f>'Margin Revenue'!$C$37</f>
        <v>Weather normalized volume for year ending December 31, 2021 from 2021 Commission Basis Report (CBR)</v>
      </c>
      <c r="D52" s="426"/>
      <c r="E52" s="426"/>
      <c r="F52" s="426"/>
      <c r="G52" s="426"/>
      <c r="H52" s="426"/>
      <c r="I52" s="426"/>
      <c r="J52" s="426"/>
      <c r="K52" s="426"/>
      <c r="L52" s="426"/>
      <c r="M52" s="426"/>
    </row>
    <row r="53" spans="2:14" ht="12.5" customHeight="1" x14ac:dyDescent="0.25">
      <c r="B53" s="417" t="s">
        <v>30</v>
      </c>
      <c r="C53" s="10" t="s">
        <v>313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2:14" ht="13" thickBot="1" x14ac:dyDescent="0.3"/>
    <row r="55" spans="2:14" x14ac:dyDescent="0.25">
      <c r="G55" s="20" t="s">
        <v>14</v>
      </c>
    </row>
    <row r="56" spans="2:14" x14ac:dyDescent="0.25">
      <c r="G56" s="19">
        <f>G17-SUM(G10:G15)</f>
        <v>0</v>
      </c>
    </row>
    <row r="57" spans="2:14" x14ac:dyDescent="0.25">
      <c r="G57" s="19">
        <f>G26-SUM(G20:G25)</f>
        <v>0</v>
      </c>
    </row>
    <row r="58" spans="2:14" x14ac:dyDescent="0.25">
      <c r="G58" s="19">
        <f>G36-SUM(G29:G34)</f>
        <v>0</v>
      </c>
    </row>
    <row r="59" spans="2:14" ht="13" thickBot="1" x14ac:dyDescent="0.3">
      <c r="G59" s="18">
        <f>G45-SUM(G39:G44)</f>
        <v>0</v>
      </c>
    </row>
    <row r="63" spans="2:14" x14ac:dyDescent="0.25">
      <c r="I63" s="54"/>
      <c r="J63" s="54"/>
    </row>
    <row r="64" spans="2:14" x14ac:dyDescent="0.25">
      <c r="G64" s="54"/>
    </row>
    <row r="68" spans="7:10" x14ac:dyDescent="0.25">
      <c r="G68" s="54"/>
    </row>
    <row r="70" spans="7:10" x14ac:dyDescent="0.25">
      <c r="J70" s="54"/>
    </row>
    <row r="72" spans="7:10" x14ac:dyDescent="0.25">
      <c r="J72" s="54"/>
    </row>
  </sheetData>
  <mergeCells count="3">
    <mergeCell ref="C8:D8"/>
    <mergeCell ref="B1:N1"/>
    <mergeCell ref="B3:N3"/>
  </mergeCells>
  <printOptions horizontalCentered="1"/>
  <pageMargins left="0.75" right="0.75" top="1" bottom="1" header="0.5" footer="0.5"/>
  <pageSetup scale="71" orientation="landscape" blackAndWhite="1" horizontalDpi="300" verticalDpi="300" r:id="rId1"/>
  <headerFooter alignWithMargins="0">
    <oddFooter>&amp;L&amp;F 
&amp;A&amp;C&amp;P&amp;R&amp;D</oddFooter>
  </headerFooter>
  <rowBreaks count="1" manualBreakCount="1">
    <brk id="53" min="1" max="13" man="1"/>
  </rowBreaks>
  <colBreaks count="1" manualBreakCount="1">
    <brk id="13" max="1048575" man="1"/>
  </colBreaks>
  <customProperties>
    <customPr name="_pios_id" r:id="rId2"/>
  </customProperties>
  <ignoredErrors>
    <ignoredError sqref="E16 E35" formulaRange="1"/>
    <ignoredError sqref="J17 J26 J36 J4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4"/>
  <sheetViews>
    <sheetView zoomScale="90" zoomScaleNormal="90" workbookViewId="0">
      <selection activeCell="J10" sqref="J10"/>
    </sheetView>
  </sheetViews>
  <sheetFormatPr defaultColWidth="8.81640625" defaultRowHeight="13" x14ac:dyDescent="0.3"/>
  <cols>
    <col min="1" max="1" width="3.1796875" style="42" customWidth="1"/>
    <col min="2" max="2" width="3.453125" style="42" customWidth="1"/>
    <col min="3" max="3" width="24.1796875" style="42" customWidth="1"/>
    <col min="4" max="4" width="9" style="42" bestFit="1" customWidth="1"/>
    <col min="5" max="5" width="13.81640625" style="42" customWidth="1"/>
    <col min="6" max="6" width="14.54296875" style="42" customWidth="1"/>
    <col min="7" max="7" width="13.54296875" style="42" customWidth="1"/>
    <col min="8" max="10" width="13.54296875" style="61" customWidth="1"/>
    <col min="11" max="12" width="13.54296875" style="42" customWidth="1"/>
    <col min="13" max="13" width="13.81640625" style="42" customWidth="1"/>
    <col min="14" max="14" width="15.453125" style="42" bestFit="1" customWidth="1"/>
    <col min="15" max="22" width="9.1796875" style="42" customWidth="1"/>
    <col min="23" max="16384" width="8.81640625" style="42"/>
  </cols>
  <sheetData>
    <row r="1" spans="2:19" ht="15" customHeight="1" x14ac:dyDescent="0.25">
      <c r="B1" s="175" t="s">
        <v>13</v>
      </c>
      <c r="C1" s="59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427"/>
      <c r="P1" s="59"/>
      <c r="Q1" s="10"/>
      <c r="R1" s="10"/>
      <c r="S1" s="10"/>
    </row>
    <row r="2" spans="2:19" ht="15" customHeight="1" x14ac:dyDescent="0.3">
      <c r="B2" s="175" t="str">
        <f>Rates!$B$2</f>
        <v>2022 Gas Schedule 129 Low Income Program Filing</v>
      </c>
      <c r="C2" s="175"/>
      <c r="D2" s="175"/>
      <c r="E2" s="175"/>
      <c r="F2" s="175"/>
      <c r="G2" s="175"/>
      <c r="H2" s="175"/>
      <c r="I2" s="175"/>
      <c r="J2" s="175"/>
      <c r="K2" s="400"/>
      <c r="L2" s="400"/>
      <c r="M2" s="400"/>
      <c r="N2" s="400"/>
      <c r="O2" s="427"/>
      <c r="P2" s="59"/>
      <c r="Q2" s="10"/>
      <c r="R2" s="10"/>
      <c r="S2" s="10"/>
    </row>
    <row r="3" spans="2:19" ht="15" customHeight="1" x14ac:dyDescent="0.3">
      <c r="B3" s="59" t="s">
        <v>306</v>
      </c>
      <c r="C3" s="59"/>
      <c r="D3" s="59"/>
      <c r="E3" s="59"/>
      <c r="F3" s="59"/>
      <c r="G3" s="59"/>
      <c r="H3" s="59"/>
      <c r="I3" s="59"/>
      <c r="J3" s="59"/>
      <c r="K3" s="69"/>
      <c r="L3" s="69"/>
      <c r="M3" s="69"/>
      <c r="N3" s="69"/>
      <c r="O3" s="10"/>
      <c r="P3" s="59"/>
      <c r="Q3" s="10"/>
      <c r="R3" s="10"/>
      <c r="S3" s="10"/>
    </row>
    <row r="4" spans="2:19" ht="15" customHeight="1" x14ac:dyDescent="0.3">
      <c r="B4" s="69"/>
      <c r="C4" s="5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10"/>
      <c r="P4" s="59"/>
      <c r="Q4" s="10"/>
      <c r="R4" s="10"/>
      <c r="S4" s="10"/>
    </row>
    <row r="6" spans="2:19" x14ac:dyDescent="0.3">
      <c r="G6" s="307"/>
      <c r="J6" s="428"/>
    </row>
    <row r="7" spans="2:19" x14ac:dyDescent="0.3">
      <c r="E7" s="401" t="s">
        <v>221</v>
      </c>
      <c r="F7" s="307" t="str">
        <f>$E$7</f>
        <v>UG-190530</v>
      </c>
      <c r="G7" s="307" t="str">
        <f>$E$7</f>
        <v>UG-190530</v>
      </c>
      <c r="H7" s="307" t="s">
        <v>99</v>
      </c>
      <c r="I7" s="307" t="s">
        <v>151</v>
      </c>
      <c r="J7" s="307" t="s">
        <v>226</v>
      </c>
      <c r="K7" s="307" t="s">
        <v>9</v>
      </c>
      <c r="L7" s="307" t="s">
        <v>0</v>
      </c>
      <c r="M7" s="429">
        <v>2021</v>
      </c>
      <c r="N7" s="44">
        <f>+M7</f>
        <v>2021</v>
      </c>
      <c r="O7" s="44"/>
    </row>
    <row r="8" spans="2:19" ht="12.5" x14ac:dyDescent="0.25">
      <c r="D8" s="307" t="s">
        <v>12</v>
      </c>
      <c r="E8" s="44" t="s">
        <v>11</v>
      </c>
      <c r="F8" s="44" t="s">
        <v>98</v>
      </c>
      <c r="G8" s="44" t="s">
        <v>47</v>
      </c>
      <c r="H8" s="44" t="s">
        <v>100</v>
      </c>
      <c r="I8" s="44" t="s">
        <v>114</v>
      </c>
      <c r="J8" s="44" t="s">
        <v>230</v>
      </c>
      <c r="K8" s="44" t="s">
        <v>48</v>
      </c>
      <c r="L8" s="44" t="s">
        <v>47</v>
      </c>
      <c r="M8" s="44" t="s">
        <v>11</v>
      </c>
      <c r="N8" s="44" t="s">
        <v>39</v>
      </c>
      <c r="O8" s="44"/>
    </row>
    <row r="9" spans="2:19" ht="14.5" x14ac:dyDescent="0.25">
      <c r="B9" s="17" t="s">
        <v>38</v>
      </c>
      <c r="C9" s="17" t="s">
        <v>8</v>
      </c>
      <c r="D9" s="17" t="s">
        <v>7</v>
      </c>
      <c r="E9" s="17" t="s">
        <v>92</v>
      </c>
      <c r="F9" s="17" t="s">
        <v>101</v>
      </c>
      <c r="G9" s="17" t="s">
        <v>45</v>
      </c>
      <c r="H9" s="17" t="s">
        <v>294</v>
      </c>
      <c r="I9" s="17" t="s">
        <v>295</v>
      </c>
      <c r="J9" s="17" t="s">
        <v>296</v>
      </c>
      <c r="K9" s="17" t="s">
        <v>297</v>
      </c>
      <c r="L9" s="17" t="s">
        <v>45</v>
      </c>
      <c r="M9" s="17" t="s">
        <v>227</v>
      </c>
      <c r="N9" s="17" t="s">
        <v>228</v>
      </c>
      <c r="O9" s="44"/>
    </row>
    <row r="10" spans="2:19" ht="12.5" x14ac:dyDescent="0.25">
      <c r="B10" s="307">
        <v>1</v>
      </c>
      <c r="C10" s="9" t="s">
        <v>5</v>
      </c>
      <c r="D10" s="307" t="s">
        <v>26</v>
      </c>
      <c r="E10" s="421">
        <f>'Rate Design Res (PLR)'!D13+'Rate Design Res (PLR)'!D24</f>
        <v>609248315.15931809</v>
      </c>
      <c r="F10" s="48">
        <f>'Rate Design Res (PLR)'!I14+'Rate Design Res (PLR)'!I25</f>
        <v>363968434.35868043</v>
      </c>
      <c r="G10" s="41">
        <f>F10/E10</f>
        <v>0.59740572981888818</v>
      </c>
      <c r="H10" s="430">
        <v>2.3620000000000002E-2</v>
      </c>
      <c r="I10" s="430">
        <v>3.14E-3</v>
      </c>
      <c r="J10" s="430">
        <v>-1.3699999999999999E-3</v>
      </c>
      <c r="K10" s="430">
        <v>2.2579999999999999E-2</v>
      </c>
      <c r="L10" s="41">
        <f>SUM(G10:K10)</f>
        <v>0.64537572981888824</v>
      </c>
      <c r="M10" s="421">
        <v>610028363.10562325</v>
      </c>
      <c r="N10" s="431">
        <f>L10*M10</f>
        <v>393697500.04951334</v>
      </c>
      <c r="O10" s="7"/>
      <c r="R10" s="432"/>
    </row>
    <row r="11" spans="2:19" ht="12.5" x14ac:dyDescent="0.25">
      <c r="B11" s="307"/>
      <c r="C11" s="9"/>
      <c r="D11" s="307"/>
      <c r="E11" s="421"/>
      <c r="F11" s="48"/>
      <c r="H11" s="430"/>
      <c r="I11" s="430"/>
      <c r="J11" s="430"/>
      <c r="K11" s="430"/>
      <c r="M11" s="34"/>
      <c r="O11" s="45"/>
    </row>
    <row r="12" spans="2:19" ht="12.5" x14ac:dyDescent="0.25">
      <c r="B12" s="307">
        <f>B10+1</f>
        <v>2</v>
      </c>
      <c r="C12" s="177" t="s">
        <v>25</v>
      </c>
      <c r="D12" s="307"/>
      <c r="E12" s="421"/>
      <c r="F12" s="48"/>
      <c r="H12" s="430"/>
      <c r="I12" s="430"/>
      <c r="J12" s="430"/>
      <c r="K12" s="430"/>
      <c r="M12" s="34"/>
      <c r="O12" s="45"/>
    </row>
    <row r="13" spans="2:19" ht="12.5" x14ac:dyDescent="0.25">
      <c r="B13" s="307">
        <f t="shared" ref="B13:B28" si="0">B12+1</f>
        <v>3</v>
      </c>
      <c r="C13" s="16" t="s">
        <v>44</v>
      </c>
      <c r="D13" s="307" t="s">
        <v>35</v>
      </c>
      <c r="E13" s="421">
        <f>'Rate Design C&amp;I (PLR)'!D36</f>
        <v>234176518.05324447</v>
      </c>
      <c r="F13" s="48">
        <f>'Rate Design C&amp;I (PLR)'!I38</f>
        <v>115542872.57000001</v>
      </c>
      <c r="G13" s="41">
        <f>F13/E13</f>
        <v>0.49340076251252973</v>
      </c>
      <c r="H13" s="430">
        <v>2.5350000000000001E-2</v>
      </c>
      <c r="I13" s="430">
        <v>3.5400000000000002E-3</v>
      </c>
      <c r="J13" s="430">
        <v>-1.47E-3</v>
      </c>
      <c r="K13" s="430">
        <v>2.4719999999999999E-2</v>
      </c>
      <c r="L13" s="41">
        <f>SUM(G13:K13)</f>
        <v>0.5455407625125297</v>
      </c>
      <c r="M13" s="421">
        <v>227926862.9423449</v>
      </c>
      <c r="N13" s="431">
        <f>L13*M13</f>
        <v>124343394.60665569</v>
      </c>
      <c r="O13" s="7"/>
      <c r="R13" s="432"/>
    </row>
    <row r="14" spans="2:19" ht="12.5" x14ac:dyDescent="0.25">
      <c r="B14" s="307"/>
      <c r="C14" s="177"/>
      <c r="D14" s="44"/>
      <c r="E14" s="421"/>
      <c r="F14" s="48"/>
      <c r="H14" s="430"/>
      <c r="I14" s="430"/>
      <c r="J14" s="430"/>
      <c r="K14" s="430"/>
      <c r="M14" s="34"/>
      <c r="N14" s="431"/>
      <c r="O14" s="7"/>
    </row>
    <row r="15" spans="2:19" ht="12.5" x14ac:dyDescent="0.25">
      <c r="B15" s="307">
        <f>B13+1</f>
        <v>4</v>
      </c>
      <c r="C15" s="9" t="s">
        <v>24</v>
      </c>
      <c r="D15" s="307" t="s">
        <v>34</v>
      </c>
      <c r="E15" s="421">
        <f>'Rate Design C&amp;I (PLR)'!D95</f>
        <v>86328991.912539363</v>
      </c>
      <c r="F15" s="48">
        <f>'Rate Design C&amp;I (PLR)'!I97</f>
        <v>21021209.463333473</v>
      </c>
      <c r="G15" s="41">
        <f>F15/E15</f>
        <v>0.24350115757902327</v>
      </c>
      <c r="H15" s="430">
        <v>8.709999999999999E-3</v>
      </c>
      <c r="I15" s="430">
        <v>1.33E-3</v>
      </c>
      <c r="J15" s="430">
        <v>-5.5999999999999995E-4</v>
      </c>
      <c r="K15" s="430">
        <v>1.125E-2</v>
      </c>
      <c r="L15" s="41">
        <f>SUM(G15:K15)</f>
        <v>0.26423115757902327</v>
      </c>
      <c r="M15" s="421">
        <v>83760025.108578265</v>
      </c>
      <c r="N15" s="431">
        <f>L15*M15</f>
        <v>22132008.393287688</v>
      </c>
      <c r="O15" s="7"/>
      <c r="R15" s="432"/>
    </row>
    <row r="16" spans="2:19" ht="12.5" x14ac:dyDescent="0.25">
      <c r="B16" s="307"/>
      <c r="C16" s="9"/>
      <c r="D16" s="307"/>
      <c r="E16" s="421"/>
      <c r="F16" s="48"/>
      <c r="G16" s="41"/>
      <c r="H16" s="430"/>
      <c r="I16" s="430"/>
      <c r="J16" s="430"/>
      <c r="K16" s="430"/>
      <c r="L16" s="41"/>
      <c r="M16" s="2"/>
      <c r="N16" s="431"/>
      <c r="O16" s="7"/>
    </row>
    <row r="17" spans="2:25" ht="12.5" x14ac:dyDescent="0.25">
      <c r="B17" s="307">
        <f>B15+1</f>
        <v>5</v>
      </c>
      <c r="C17" s="9" t="s">
        <v>43</v>
      </c>
      <c r="D17" s="307" t="s">
        <v>33</v>
      </c>
      <c r="E17" s="421">
        <f>'Rate Design Int &amp; Trans (PLR)'!D115</f>
        <v>9748488.4229263552</v>
      </c>
      <c r="F17" s="48">
        <f>'Rate Design Int &amp; Trans (PLR)'!I115</f>
        <v>2062194.29</v>
      </c>
      <c r="G17" s="41">
        <f>F17/E17</f>
        <v>0.2115399024478668</v>
      </c>
      <c r="H17" s="430">
        <v>7.6500000000000005E-3</v>
      </c>
      <c r="I17" s="430">
        <v>1.2199999999999999E-3</v>
      </c>
      <c r="J17" s="430">
        <v>-3.3E-4</v>
      </c>
      <c r="K17" s="430">
        <v>8.4600000000000005E-3</v>
      </c>
      <c r="L17" s="41">
        <f>SUM(G17:K17)</f>
        <v>0.22853990244786679</v>
      </c>
      <c r="M17" s="421">
        <v>7474724.5877283467</v>
      </c>
      <c r="N17" s="431">
        <f>L17*M17</f>
        <v>1708272.8281041076</v>
      </c>
      <c r="O17" s="7"/>
      <c r="R17" s="432"/>
    </row>
    <row r="18" spans="2:25" ht="12.5" x14ac:dyDescent="0.25">
      <c r="B18" s="307"/>
      <c r="C18" s="9"/>
      <c r="D18" s="307"/>
      <c r="E18" s="421"/>
      <c r="F18" s="48"/>
      <c r="H18" s="430"/>
      <c r="I18" s="430"/>
      <c r="J18" s="430"/>
      <c r="K18" s="430"/>
      <c r="M18" s="34"/>
      <c r="N18" s="431"/>
      <c r="O18" s="7"/>
    </row>
    <row r="19" spans="2:25" ht="12.5" x14ac:dyDescent="0.25">
      <c r="B19" s="307">
        <f>B17+1</f>
        <v>6</v>
      </c>
      <c r="C19" s="9" t="s">
        <v>4</v>
      </c>
      <c r="D19" s="307"/>
      <c r="E19" s="433"/>
      <c r="F19" s="433"/>
      <c r="H19" s="430"/>
      <c r="I19" s="430"/>
      <c r="J19" s="430"/>
      <c r="K19" s="430"/>
      <c r="M19" s="34"/>
      <c r="N19" s="431"/>
      <c r="O19" s="7"/>
    </row>
    <row r="20" spans="2:25" ht="12.5" x14ac:dyDescent="0.25">
      <c r="B20" s="307">
        <f t="shared" si="0"/>
        <v>7</v>
      </c>
      <c r="C20" s="434" t="s">
        <v>4</v>
      </c>
      <c r="D20" s="307">
        <v>85</v>
      </c>
      <c r="E20" s="421">
        <f>'Rate Design Int &amp; Trans (PLR)'!D21</f>
        <v>16184434.068649083</v>
      </c>
      <c r="F20" s="48">
        <f>'Rate Design Int &amp; Trans (PLR)'!I21</f>
        <v>1697295.0899999999</v>
      </c>
      <c r="G20" s="41">
        <f>F20/E20</f>
        <v>0.1048720692240846</v>
      </c>
      <c r="H20" s="430">
        <v>4.6800000000000001E-3</v>
      </c>
      <c r="I20" s="430">
        <v>8.0999999999999996E-4</v>
      </c>
      <c r="J20" s="430">
        <v>-2.7E-4</v>
      </c>
      <c r="K20" s="430">
        <v>6.7099999999999998E-3</v>
      </c>
      <c r="L20" s="41">
        <f>SUM(G20:K20)</f>
        <v>0.11680206922408459</v>
      </c>
      <c r="M20" s="421">
        <v>19096531.959212698</v>
      </c>
      <c r="N20" s="431">
        <f>L20*M20</f>
        <v>2230514.4478399055</v>
      </c>
      <c r="O20" s="7"/>
      <c r="R20" s="432"/>
    </row>
    <row r="21" spans="2:25" ht="12.5" x14ac:dyDescent="0.25">
      <c r="B21" s="307">
        <f t="shared" si="0"/>
        <v>8</v>
      </c>
      <c r="C21" s="16" t="s">
        <v>42</v>
      </c>
      <c r="D21" s="44">
        <v>87</v>
      </c>
      <c r="E21" s="421">
        <f>'Rate Design Int &amp; Trans (PLR)'!D141</f>
        <v>23337042.118500695</v>
      </c>
      <c r="F21" s="435">
        <f>'Rate Design Int &amp; Trans (PLR)'!I141</f>
        <v>1376677.9799999997</v>
      </c>
      <c r="G21" s="41">
        <f>F21/E21</f>
        <v>5.8991108342244594E-2</v>
      </c>
      <c r="H21" s="437">
        <v>2.4000000000000002E-3</v>
      </c>
      <c r="I21" s="437">
        <v>4.2999999999999999E-4</v>
      </c>
      <c r="J21" s="437">
        <v>-1.3999999999999999E-4</v>
      </c>
      <c r="K21" s="437">
        <v>3.7399999999999998E-3</v>
      </c>
      <c r="L21" s="41">
        <f>SUM(G21:K21)</f>
        <v>6.5421108342244585E-2</v>
      </c>
      <c r="M21" s="421">
        <v>21143357.459766317</v>
      </c>
      <c r="N21" s="431">
        <f>L21*M21</f>
        <v>1383221.8790941774</v>
      </c>
      <c r="O21" s="7"/>
      <c r="R21" s="432"/>
    </row>
    <row r="22" spans="2:25" ht="12.5" x14ac:dyDescent="0.25">
      <c r="B22" s="307">
        <f t="shared" si="0"/>
        <v>9</v>
      </c>
      <c r="C22" s="16" t="s">
        <v>1</v>
      </c>
      <c r="D22" s="44"/>
      <c r="E22" s="15">
        <f t="shared" ref="E22" si="1">SUM(E20:E21)</f>
        <v>39521476.187149778</v>
      </c>
      <c r="F22" s="11">
        <f t="shared" ref="F22" si="2">SUM(F20:F21)</f>
        <v>3073973.0699999994</v>
      </c>
      <c r="G22" s="41"/>
      <c r="H22" s="437"/>
      <c r="I22" s="437"/>
      <c r="J22" s="437"/>
      <c r="K22" s="437"/>
      <c r="L22" s="41"/>
      <c r="M22" s="15">
        <f>SUM(M20:M21)</f>
        <v>40239889.418979019</v>
      </c>
      <c r="N22" s="11">
        <f>SUM(N20:N21)</f>
        <v>3613736.3269340829</v>
      </c>
      <c r="O22" s="7"/>
      <c r="R22" s="432"/>
    </row>
    <row r="23" spans="2:25" ht="12.5" x14ac:dyDescent="0.25">
      <c r="B23" s="307"/>
      <c r="C23" s="16"/>
      <c r="D23" s="44"/>
      <c r="E23" s="39"/>
      <c r="F23" s="7"/>
      <c r="G23" s="41"/>
      <c r="H23" s="437"/>
      <c r="I23" s="437"/>
      <c r="J23" s="437"/>
      <c r="K23" s="437"/>
      <c r="L23" s="41"/>
      <c r="M23" s="39"/>
      <c r="N23" s="7"/>
      <c r="O23" s="7"/>
    </row>
    <row r="24" spans="2:25" ht="12.5" x14ac:dyDescent="0.25">
      <c r="B24" s="307">
        <f>B22+1</f>
        <v>10</v>
      </c>
      <c r="C24" s="177" t="s">
        <v>22</v>
      </c>
      <c r="D24" s="44"/>
      <c r="E24" s="14"/>
      <c r="F24" s="8"/>
      <c r="H24" s="437"/>
      <c r="I24" s="437"/>
      <c r="J24" s="437"/>
      <c r="K24" s="437"/>
      <c r="M24" s="34"/>
      <c r="N24" s="431"/>
      <c r="O24" s="7"/>
    </row>
    <row r="25" spans="2:25" ht="12.5" x14ac:dyDescent="0.25">
      <c r="B25" s="307">
        <f t="shared" si="0"/>
        <v>11</v>
      </c>
      <c r="C25" s="434" t="s">
        <v>4</v>
      </c>
      <c r="D25" s="44" t="s">
        <v>3</v>
      </c>
      <c r="E25" s="421">
        <f>'Rate Design Int &amp; Trans (PLR)'!D42</f>
        <v>74773537.134971082</v>
      </c>
      <c r="F25" s="435">
        <f>'Rate Design Int &amp; Trans (PLR)'!I42</f>
        <v>7487912.2400000002</v>
      </c>
      <c r="G25" s="41">
        <f t="shared" ref="G25:G26" si="3">F25/E25</f>
        <v>0.10014120672777367</v>
      </c>
      <c r="H25" s="414">
        <f t="shared" ref="H25:K26" si="4">H20</f>
        <v>4.6800000000000001E-3</v>
      </c>
      <c r="I25" s="414">
        <f t="shared" si="4"/>
        <v>8.0999999999999996E-4</v>
      </c>
      <c r="J25" s="414">
        <f t="shared" si="4"/>
        <v>-2.7E-4</v>
      </c>
      <c r="K25" s="414">
        <f t="shared" si="4"/>
        <v>6.7099999999999998E-3</v>
      </c>
      <c r="L25" s="41">
        <f t="shared" ref="L25:L26" si="5">SUM(G25:K25)</f>
        <v>0.11207120672777367</v>
      </c>
      <c r="M25" s="421">
        <v>70283326.471983537</v>
      </c>
      <c r="N25" s="431">
        <f>L25*M25</f>
        <v>7876737.2105572745</v>
      </c>
      <c r="O25" s="7"/>
      <c r="R25" s="432"/>
    </row>
    <row r="26" spans="2:25" ht="12.5" x14ac:dyDescent="0.25">
      <c r="B26" s="307">
        <f t="shared" si="0"/>
        <v>12</v>
      </c>
      <c r="C26" s="16" t="s">
        <v>42</v>
      </c>
      <c r="D26" s="44" t="s">
        <v>2</v>
      </c>
      <c r="E26" s="421">
        <f>'Rate Design Int &amp; Trans (PLR)'!D164</f>
        <v>100441128.37470125</v>
      </c>
      <c r="F26" s="435">
        <f>'Rate Design Int &amp; Trans (PLR)'!I164</f>
        <v>4338586.3099999996</v>
      </c>
      <c r="G26" s="41">
        <f t="shared" si="3"/>
        <v>4.3195316303244434E-2</v>
      </c>
      <c r="H26" s="414">
        <f t="shared" si="4"/>
        <v>2.4000000000000002E-3</v>
      </c>
      <c r="I26" s="414">
        <f t="shared" si="4"/>
        <v>4.2999999999999999E-4</v>
      </c>
      <c r="J26" s="414">
        <f t="shared" si="4"/>
        <v>-1.3999999999999999E-4</v>
      </c>
      <c r="K26" s="414">
        <f t="shared" si="4"/>
        <v>3.7399999999999998E-3</v>
      </c>
      <c r="L26" s="41">
        <f t="shared" si="5"/>
        <v>4.9625316303244432E-2</v>
      </c>
      <c r="M26" s="421">
        <v>96275956.965875</v>
      </c>
      <c r="N26" s="438">
        <f>L26*M26</f>
        <v>4777724.8168290956</v>
      </c>
      <c r="O26" s="7"/>
      <c r="R26" s="432"/>
    </row>
    <row r="27" spans="2:25" ht="12.5" x14ac:dyDescent="0.25">
      <c r="B27" s="307">
        <f t="shared" si="0"/>
        <v>13</v>
      </c>
      <c r="C27" s="177" t="s">
        <v>41</v>
      </c>
      <c r="D27" s="44"/>
      <c r="E27" s="13">
        <f t="shared" ref="E27" si="6">SUM(E25:E26)</f>
        <v>175214665.50967234</v>
      </c>
      <c r="F27" s="12">
        <f t="shared" ref="F27" si="7">SUM(F25:F26)</f>
        <v>11826498.550000001</v>
      </c>
      <c r="G27" s="41"/>
      <c r="H27" s="298"/>
      <c r="I27" s="298"/>
      <c r="J27" s="298"/>
      <c r="L27" s="41"/>
      <c r="M27" s="13">
        <f>SUM(M25:M26)</f>
        <v>166559283.43785852</v>
      </c>
      <c r="N27" s="439">
        <f>SUM(N25:N26)</f>
        <v>12654462.027386371</v>
      </c>
      <c r="O27" s="440"/>
      <c r="R27" s="432"/>
    </row>
    <row r="28" spans="2:25" x14ac:dyDescent="0.3">
      <c r="B28" s="307">
        <f t="shared" si="0"/>
        <v>14</v>
      </c>
      <c r="C28" s="177" t="s">
        <v>0</v>
      </c>
      <c r="D28" s="177"/>
      <c r="E28" s="15">
        <f t="shared" ref="E28" si="8">E10+E13+E15+E17+E22+E27</f>
        <v>1154238455.2448504</v>
      </c>
      <c r="F28" s="11">
        <f t="shared" ref="F28" si="9">F10+F13+F15+F17+F22+F27</f>
        <v>517495182.30201393</v>
      </c>
      <c r="G28" s="41"/>
      <c r="H28" s="63"/>
      <c r="I28" s="63"/>
      <c r="J28" s="63"/>
      <c r="L28" s="41"/>
      <c r="M28" s="15">
        <f>M10+M13+M15+M17+M22+M27</f>
        <v>1135989148.6011124</v>
      </c>
      <c r="N28" s="11">
        <f>N10+N13+N15+N17+N22+N27</f>
        <v>558149374.23188138</v>
      </c>
      <c r="O28" s="7"/>
      <c r="R28" s="432"/>
    </row>
    <row r="29" spans="2:25" x14ac:dyDescent="0.3">
      <c r="C29" s="9"/>
      <c r="D29" s="9"/>
      <c r="E29" s="39"/>
      <c r="F29" s="180"/>
      <c r="G29" s="180"/>
      <c r="H29" s="64"/>
      <c r="I29" s="64"/>
      <c r="J29" s="64"/>
      <c r="O29" s="45"/>
    </row>
    <row r="30" spans="2:25" x14ac:dyDescent="0.3">
      <c r="C30" s="9"/>
      <c r="D30" s="9"/>
      <c r="E30" s="39"/>
      <c r="F30" s="180"/>
      <c r="G30" s="180"/>
      <c r="H30" s="64"/>
      <c r="I30" s="64"/>
      <c r="J30" s="64"/>
      <c r="K30" s="180"/>
      <c r="O30" s="45"/>
    </row>
    <row r="31" spans="2:25" ht="14.5" x14ac:dyDescent="0.3">
      <c r="B31" s="417" t="s">
        <v>32</v>
      </c>
      <c r="C31" s="10" t="s">
        <v>300</v>
      </c>
      <c r="D31" s="10"/>
      <c r="E31" s="10"/>
      <c r="F31" s="10"/>
      <c r="G31" s="10"/>
      <c r="H31" s="181"/>
      <c r="I31" s="181"/>
      <c r="J31" s="181"/>
      <c r="K31" s="10"/>
      <c r="L31" s="10"/>
      <c r="M31" s="10"/>
      <c r="N31" s="10"/>
      <c r="O31" s="10"/>
      <c r="P31" s="10"/>
      <c r="T31" s="45"/>
      <c r="U31" s="45"/>
      <c r="V31" s="45"/>
      <c r="W31" s="45"/>
      <c r="X31" s="45"/>
      <c r="Y31" s="45"/>
    </row>
    <row r="32" spans="2:25" ht="14.5" x14ac:dyDescent="0.3">
      <c r="B32" s="417" t="s">
        <v>31</v>
      </c>
      <c r="C32" s="10" t="s">
        <v>301</v>
      </c>
      <c r="D32" s="426"/>
      <c r="E32" s="426"/>
      <c r="F32" s="426"/>
      <c r="G32" s="426"/>
      <c r="H32" s="62"/>
      <c r="I32" s="62"/>
      <c r="J32" s="62"/>
      <c r="K32" s="426"/>
      <c r="L32" s="426"/>
      <c r="M32" s="426"/>
      <c r="N32" s="426"/>
      <c r="O32" s="426"/>
      <c r="P32" s="426"/>
      <c r="T32" s="45"/>
      <c r="U32" s="45"/>
      <c r="V32" s="45"/>
      <c r="W32" s="45"/>
      <c r="X32" s="45"/>
      <c r="Y32" s="45"/>
    </row>
    <row r="33" spans="1:25" s="61" customFormat="1" ht="14.5" x14ac:dyDescent="0.3">
      <c r="A33" s="42"/>
      <c r="B33" s="417" t="s">
        <v>30</v>
      </c>
      <c r="C33" s="42" t="s">
        <v>302</v>
      </c>
      <c r="D33" s="441"/>
      <c r="E33" s="441"/>
      <c r="F33" s="441"/>
      <c r="G33" s="441"/>
      <c r="H33" s="62"/>
      <c r="I33" s="62"/>
      <c r="J33" s="62"/>
      <c r="K33" s="441"/>
      <c r="L33" s="441"/>
      <c r="M33" s="426"/>
      <c r="N33" s="441"/>
      <c r="O33" s="441"/>
      <c r="P33" s="441"/>
      <c r="T33" s="179"/>
      <c r="U33" s="179"/>
      <c r="V33" s="179"/>
      <c r="W33" s="179"/>
      <c r="X33" s="179"/>
      <c r="Y33" s="179"/>
    </row>
    <row r="34" spans="1:25" s="61" customFormat="1" ht="14.5" x14ac:dyDescent="0.3">
      <c r="A34" s="42"/>
      <c r="B34" s="417" t="s">
        <v>223</v>
      </c>
      <c r="C34" s="42" t="s">
        <v>303</v>
      </c>
      <c r="D34" s="441"/>
      <c r="E34" s="441"/>
      <c r="F34" s="441"/>
      <c r="G34" s="441"/>
      <c r="H34" s="62"/>
      <c r="I34" s="62"/>
      <c r="J34" s="62"/>
      <c r="K34" s="441"/>
      <c r="L34" s="441"/>
      <c r="M34" s="426"/>
      <c r="N34" s="441"/>
      <c r="O34" s="441"/>
      <c r="P34" s="441"/>
      <c r="T34" s="179"/>
      <c r="U34" s="179"/>
      <c r="V34" s="179"/>
      <c r="W34" s="179"/>
      <c r="X34" s="179"/>
      <c r="Y34" s="179"/>
    </row>
    <row r="35" spans="1:25" ht="14.5" x14ac:dyDescent="0.25">
      <c r="B35" s="417" t="s">
        <v>222</v>
      </c>
      <c r="C35" s="42" t="s">
        <v>233</v>
      </c>
      <c r="D35" s="426"/>
      <c r="E35" s="426"/>
      <c r="F35" s="426"/>
      <c r="G35" s="426"/>
      <c r="H35" s="5"/>
      <c r="I35" s="5"/>
      <c r="J35" s="5"/>
      <c r="K35" s="426"/>
      <c r="L35" s="426"/>
      <c r="M35" s="426"/>
      <c r="N35" s="426"/>
      <c r="O35" s="426"/>
      <c r="P35" s="426"/>
      <c r="T35" s="45"/>
      <c r="U35" s="45"/>
      <c r="V35" s="45"/>
      <c r="W35" s="45"/>
      <c r="X35" s="45"/>
      <c r="Y35" s="45"/>
    </row>
    <row r="36" spans="1:25" ht="14.5" x14ac:dyDescent="0.3">
      <c r="B36" s="417" t="s">
        <v>224</v>
      </c>
      <c r="C36" s="42" t="s">
        <v>304</v>
      </c>
      <c r="D36" s="426"/>
      <c r="E36" s="426"/>
      <c r="F36" s="426"/>
      <c r="G36" s="426"/>
      <c r="H36" s="62"/>
      <c r="I36" s="62"/>
      <c r="J36" s="62"/>
      <c r="K36" s="426"/>
      <c r="L36" s="426"/>
      <c r="M36" s="426"/>
      <c r="N36" s="426"/>
      <c r="O36" s="426"/>
      <c r="P36" s="426"/>
      <c r="T36" s="45"/>
      <c r="U36" s="45"/>
      <c r="V36" s="45"/>
      <c r="W36" s="45"/>
      <c r="X36" s="45"/>
      <c r="Y36" s="45"/>
    </row>
    <row r="37" spans="1:25" ht="14.5" x14ac:dyDescent="0.3">
      <c r="B37" s="417" t="s">
        <v>225</v>
      </c>
      <c r="C37" s="42" t="s">
        <v>359</v>
      </c>
      <c r="D37" s="307"/>
      <c r="E37" s="44"/>
      <c r="F37" s="44"/>
      <c r="G37" s="44"/>
      <c r="H37" s="178"/>
      <c r="I37" s="178"/>
      <c r="J37" s="178"/>
      <c r="K37" s="44"/>
      <c r="L37" s="44"/>
      <c r="M37" s="9"/>
      <c r="N37" s="9"/>
      <c r="O37" s="9"/>
      <c r="P37" s="9"/>
      <c r="T37" s="45"/>
      <c r="U37" s="45"/>
      <c r="V37" s="45"/>
      <c r="W37" s="45"/>
      <c r="X37" s="45"/>
      <c r="Y37" s="45"/>
    </row>
    <row r="38" spans="1:25" ht="14.5" x14ac:dyDescent="0.3">
      <c r="B38" s="417" t="s">
        <v>229</v>
      </c>
      <c r="C38" s="42" t="s">
        <v>311</v>
      </c>
      <c r="D38" s="9"/>
      <c r="E38" s="9"/>
      <c r="F38" s="9"/>
      <c r="G38" s="9"/>
      <c r="H38" s="62"/>
      <c r="I38" s="62"/>
      <c r="J38" s="62"/>
      <c r="K38" s="9"/>
      <c r="L38" s="9"/>
      <c r="M38" s="9"/>
      <c r="N38" s="9"/>
      <c r="O38" s="9"/>
      <c r="P38" s="9"/>
      <c r="T38" s="45"/>
      <c r="U38" s="45"/>
      <c r="V38" s="45"/>
      <c r="W38" s="45"/>
      <c r="X38" s="45"/>
      <c r="Y38" s="45"/>
    </row>
    <row r="39" spans="1:25" x14ac:dyDescent="0.3">
      <c r="C39" s="9"/>
      <c r="D39" s="9"/>
      <c r="E39" s="9"/>
      <c r="F39" s="9"/>
      <c r="G39" s="9"/>
      <c r="H39" s="62"/>
      <c r="I39" s="62"/>
      <c r="J39" s="62"/>
      <c r="K39" s="9"/>
      <c r="L39" s="9"/>
      <c r="M39" s="9"/>
      <c r="N39" s="9"/>
      <c r="O39" s="9"/>
      <c r="P39" s="9"/>
      <c r="T39" s="45"/>
      <c r="U39" s="45"/>
      <c r="V39" s="45"/>
      <c r="W39" s="45"/>
      <c r="X39" s="45"/>
      <c r="Y39" s="45"/>
    </row>
    <row r="40" spans="1:25" ht="12.5" x14ac:dyDescent="0.25">
      <c r="C40" s="525"/>
      <c r="D40" s="525"/>
      <c r="E40" s="525"/>
      <c r="F40" s="525"/>
      <c r="G40" s="525"/>
      <c r="H40" s="525"/>
      <c r="I40" s="525"/>
      <c r="J40" s="525"/>
      <c r="K40" s="525"/>
      <c r="L40" s="525"/>
      <c r="M40" s="525"/>
      <c r="N40" s="9"/>
      <c r="O40" s="9"/>
      <c r="P40" s="9"/>
      <c r="T40" s="45"/>
      <c r="U40" s="45"/>
      <c r="V40" s="45"/>
      <c r="W40" s="45"/>
      <c r="X40" s="45"/>
      <c r="Y40" s="45"/>
    </row>
    <row r="41" spans="1:25" x14ac:dyDescent="0.3">
      <c r="C41" s="9"/>
      <c r="D41" s="9"/>
      <c r="E41" s="9"/>
      <c r="F41" s="9"/>
      <c r="G41" s="9"/>
      <c r="H41" s="62"/>
      <c r="I41" s="62"/>
      <c r="J41" s="62"/>
      <c r="K41" s="9"/>
      <c r="L41" s="9"/>
      <c r="M41" s="9"/>
      <c r="N41" s="9"/>
      <c r="O41" s="9"/>
      <c r="P41" s="9"/>
      <c r="T41" s="45"/>
      <c r="U41" s="45"/>
      <c r="V41" s="45"/>
      <c r="W41" s="45"/>
      <c r="X41" s="45"/>
      <c r="Y41" s="45"/>
    </row>
    <row r="42" spans="1:25" x14ac:dyDescent="0.3">
      <c r="C42" s="9"/>
      <c r="D42" s="9"/>
      <c r="E42" s="9"/>
      <c r="F42" s="9"/>
      <c r="G42" s="9"/>
      <c r="H42" s="62"/>
      <c r="I42" s="62"/>
      <c r="J42" s="62"/>
      <c r="K42" s="9"/>
      <c r="L42" s="9"/>
      <c r="M42" s="9"/>
      <c r="N42" s="9"/>
      <c r="O42" s="9"/>
      <c r="P42" s="9"/>
      <c r="T42" s="45"/>
      <c r="U42" s="45"/>
      <c r="V42" s="45"/>
      <c r="W42" s="45"/>
      <c r="X42" s="45"/>
      <c r="Y42" s="45"/>
    </row>
    <row r="43" spans="1:25" x14ac:dyDescent="0.3">
      <c r="E43" s="5"/>
      <c r="F43" s="5"/>
      <c r="G43" s="5"/>
      <c r="H43" s="62"/>
      <c r="I43" s="62"/>
      <c r="J43" s="62"/>
      <c r="K43" s="5"/>
      <c r="L43" s="5"/>
      <c r="M43" s="5"/>
      <c r="N43" s="5"/>
      <c r="O43" s="5"/>
      <c r="P43" s="5"/>
      <c r="Q43" s="45"/>
      <c r="R43" s="45"/>
      <c r="S43" s="45"/>
      <c r="T43" s="5"/>
      <c r="U43" s="45"/>
      <c r="V43" s="45"/>
      <c r="W43" s="45"/>
      <c r="X43" s="45"/>
      <c r="Y43" s="45"/>
    </row>
    <row r="44" spans="1:25" x14ac:dyDescent="0.3">
      <c r="E44" s="5"/>
      <c r="F44" s="5"/>
      <c r="G44" s="5"/>
      <c r="H44" s="62"/>
      <c r="I44" s="62"/>
      <c r="J44" s="62"/>
      <c r="K44" s="5"/>
      <c r="L44" s="5"/>
      <c r="M44" s="5"/>
      <c r="N44" s="5"/>
      <c r="O44" s="5"/>
      <c r="P44" s="5"/>
      <c r="Q44" s="45"/>
      <c r="R44" s="45"/>
      <c r="S44" s="5"/>
      <c r="T44" s="5"/>
      <c r="U44" s="45"/>
      <c r="V44" s="45"/>
      <c r="W44" s="45"/>
      <c r="X44" s="45"/>
      <c r="Y44" s="45"/>
    </row>
    <row r="45" spans="1:25" x14ac:dyDescent="0.3">
      <c r="E45" s="5"/>
      <c r="F45" s="5"/>
      <c r="G45" s="5"/>
      <c r="H45" s="62"/>
      <c r="I45" s="62"/>
      <c r="J45" s="62"/>
      <c r="K45" s="5"/>
      <c r="L45" s="5"/>
      <c r="M45" s="5"/>
      <c r="N45" s="5"/>
      <c r="O45" s="5"/>
      <c r="P45" s="5"/>
      <c r="Q45" s="45"/>
      <c r="R45" s="45"/>
      <c r="S45" s="39"/>
      <c r="T45" s="5"/>
      <c r="U45" s="45"/>
      <c r="V45" s="45"/>
      <c r="W45" s="45"/>
      <c r="X45" s="45"/>
      <c r="Y45" s="45"/>
    </row>
    <row r="46" spans="1:25" x14ac:dyDescent="0.3">
      <c r="E46" s="5"/>
      <c r="F46" s="5"/>
      <c r="G46" s="5"/>
      <c r="H46" s="62"/>
      <c r="I46" s="62"/>
      <c r="J46" s="62"/>
      <c r="K46" s="5"/>
      <c r="L46" s="5"/>
      <c r="M46" s="5"/>
      <c r="N46" s="5"/>
      <c r="O46" s="5"/>
      <c r="P46" s="5"/>
      <c r="Q46" s="45"/>
      <c r="R46" s="45"/>
      <c r="S46" s="5"/>
      <c r="T46" s="5"/>
      <c r="U46" s="45"/>
      <c r="V46" s="45"/>
      <c r="W46" s="45"/>
      <c r="X46" s="45"/>
      <c r="Y46" s="45"/>
    </row>
    <row r="47" spans="1:25" x14ac:dyDescent="0.3">
      <c r="E47" s="5"/>
      <c r="F47" s="5"/>
      <c r="G47" s="5"/>
      <c r="H47" s="62"/>
      <c r="I47" s="62"/>
      <c r="J47" s="62"/>
      <c r="K47" s="5"/>
      <c r="L47" s="5"/>
      <c r="M47" s="5"/>
      <c r="N47" s="5"/>
      <c r="O47" s="5"/>
      <c r="P47" s="5"/>
      <c r="Q47" s="45"/>
      <c r="R47" s="45"/>
      <c r="S47" s="5"/>
      <c r="T47" s="5"/>
      <c r="U47" s="45"/>
      <c r="V47" s="45"/>
      <c r="W47" s="45"/>
      <c r="X47" s="45"/>
      <c r="Y47" s="45"/>
    </row>
    <row r="48" spans="1:25" x14ac:dyDescent="0.3">
      <c r="E48" s="5"/>
      <c r="F48" s="5"/>
      <c r="G48" s="5"/>
      <c r="H48" s="62"/>
      <c r="I48" s="62"/>
      <c r="J48" s="62"/>
      <c r="K48" s="5"/>
      <c r="L48" s="5"/>
      <c r="M48" s="5"/>
      <c r="N48" s="5"/>
      <c r="O48" s="5"/>
      <c r="P48" s="5"/>
      <c r="Q48" s="45"/>
      <c r="R48" s="45"/>
      <c r="S48" s="39"/>
      <c r="T48" s="5"/>
      <c r="U48" s="45"/>
      <c r="V48" s="45"/>
      <c r="W48" s="45"/>
      <c r="X48" s="45"/>
      <c r="Y48" s="45"/>
    </row>
    <row r="49" spans="5:20" x14ac:dyDescent="0.3">
      <c r="E49" s="5"/>
      <c r="F49" s="5"/>
      <c r="G49" s="5"/>
      <c r="H49" s="62"/>
      <c r="I49" s="62"/>
      <c r="J49" s="62"/>
      <c r="K49" s="5"/>
      <c r="L49" s="5"/>
      <c r="M49" s="5"/>
      <c r="N49" s="5"/>
      <c r="O49" s="5"/>
      <c r="P49" s="5"/>
      <c r="Q49" s="45"/>
      <c r="R49" s="45"/>
      <c r="S49" s="45"/>
      <c r="T49" s="5"/>
    </row>
    <row r="50" spans="5:20" x14ac:dyDescent="0.3">
      <c r="E50" s="5"/>
      <c r="F50" s="5"/>
      <c r="G50" s="5"/>
      <c r="H50" s="62"/>
      <c r="I50" s="62"/>
      <c r="J50" s="62"/>
      <c r="K50" s="5"/>
      <c r="L50" s="5"/>
      <c r="M50" s="5"/>
      <c r="N50" s="5"/>
      <c r="O50" s="5"/>
      <c r="P50" s="5"/>
      <c r="Q50" s="45"/>
      <c r="R50" s="45"/>
      <c r="S50" s="45"/>
      <c r="T50" s="5"/>
    </row>
    <row r="51" spans="5:20" x14ac:dyDescent="0.3">
      <c r="E51" s="5"/>
      <c r="F51" s="5"/>
      <c r="G51" s="5"/>
      <c r="H51" s="62"/>
      <c r="I51" s="62"/>
      <c r="J51" s="62"/>
      <c r="K51" s="5"/>
      <c r="L51" s="5"/>
      <c r="M51" s="5"/>
      <c r="N51" s="5"/>
      <c r="O51" s="5"/>
      <c r="P51" s="5"/>
      <c r="Q51" s="45"/>
      <c r="R51" s="45"/>
      <c r="S51" s="45"/>
      <c r="T51" s="5"/>
    </row>
    <row r="52" spans="5:20" x14ac:dyDescent="0.3">
      <c r="E52" s="5"/>
      <c r="F52" s="5"/>
      <c r="G52" s="5"/>
      <c r="H52" s="62"/>
      <c r="I52" s="62"/>
      <c r="J52" s="62"/>
      <c r="K52" s="5"/>
      <c r="L52" s="5"/>
      <c r="M52" s="5"/>
      <c r="N52" s="5"/>
      <c r="O52" s="5"/>
      <c r="P52" s="5"/>
      <c r="Q52" s="45"/>
      <c r="R52" s="45"/>
      <c r="S52" s="45"/>
      <c r="T52" s="5"/>
    </row>
    <row r="53" spans="5:20" x14ac:dyDescent="0.3">
      <c r="E53" s="5"/>
      <c r="F53" s="5"/>
      <c r="G53" s="5"/>
      <c r="H53" s="62"/>
      <c r="I53" s="62"/>
      <c r="J53" s="62"/>
      <c r="K53" s="5"/>
      <c r="L53" s="5"/>
      <c r="M53" s="5"/>
      <c r="N53" s="5"/>
      <c r="O53" s="5"/>
      <c r="P53" s="5"/>
      <c r="Q53" s="45"/>
      <c r="R53" s="45"/>
      <c r="S53" s="45"/>
      <c r="T53" s="5"/>
    </row>
    <row r="54" spans="5:20" x14ac:dyDescent="0.3">
      <c r="E54" s="5"/>
      <c r="F54" s="5"/>
      <c r="G54" s="5"/>
      <c r="H54" s="62"/>
      <c r="I54" s="62"/>
      <c r="J54" s="62"/>
      <c r="K54" s="5"/>
      <c r="L54" s="5"/>
      <c r="M54" s="5"/>
      <c r="N54" s="5"/>
      <c r="O54" s="5"/>
      <c r="P54" s="5"/>
      <c r="Q54" s="45"/>
      <c r="R54" s="45"/>
      <c r="S54" s="45"/>
      <c r="T54" s="5"/>
    </row>
    <row r="55" spans="5:20" x14ac:dyDescent="0.3">
      <c r="E55" s="5"/>
      <c r="F55" s="5"/>
      <c r="G55" s="5"/>
      <c r="H55" s="62"/>
      <c r="I55" s="62"/>
      <c r="J55" s="62"/>
      <c r="K55" s="5"/>
      <c r="L55" s="5"/>
      <c r="M55" s="5"/>
      <c r="N55" s="5"/>
      <c r="O55" s="5"/>
      <c r="P55" s="5"/>
      <c r="Q55" s="45"/>
      <c r="R55" s="45"/>
      <c r="S55" s="45"/>
      <c r="T55" s="5"/>
    </row>
    <row r="56" spans="5:20" x14ac:dyDescent="0.3">
      <c r="E56" s="45"/>
      <c r="F56" s="8"/>
      <c r="G56" s="8"/>
      <c r="H56" s="65"/>
      <c r="I56" s="65"/>
      <c r="J56" s="65"/>
      <c r="K56" s="8"/>
      <c r="L56" s="45"/>
      <c r="M56" s="45"/>
      <c r="N56" s="45"/>
      <c r="O56" s="45"/>
      <c r="P56" s="45"/>
      <c r="Q56" s="45"/>
      <c r="R56" s="45"/>
      <c r="S56" s="45"/>
      <c r="T56" s="5"/>
    </row>
    <row r="57" spans="5:20" x14ac:dyDescent="0.3">
      <c r="E57" s="45"/>
      <c r="F57" s="7"/>
      <c r="G57" s="7"/>
      <c r="H57" s="66"/>
      <c r="I57" s="66"/>
      <c r="J57" s="66"/>
      <c r="K57" s="7"/>
      <c r="L57" s="45"/>
      <c r="M57" s="45"/>
      <c r="N57" s="45"/>
      <c r="O57" s="45"/>
      <c r="P57" s="45"/>
      <c r="Q57" s="45"/>
      <c r="R57" s="45"/>
      <c r="S57" s="45"/>
      <c r="T57" s="5"/>
    </row>
    <row r="58" spans="5:20" x14ac:dyDescent="0.3">
      <c r="E58" s="45"/>
      <c r="F58" s="45"/>
      <c r="G58" s="45"/>
      <c r="H58" s="179"/>
      <c r="I58" s="179"/>
      <c r="J58" s="179"/>
      <c r="K58" s="45"/>
      <c r="L58" s="45"/>
      <c r="M58" s="45"/>
      <c r="N58" s="45"/>
      <c r="O58" s="5"/>
      <c r="P58" s="5"/>
      <c r="Q58" s="45"/>
      <c r="R58" s="45"/>
      <c r="S58" s="45"/>
      <c r="T58" s="5"/>
    </row>
    <row r="59" spans="5:20" x14ac:dyDescent="0.3">
      <c r="E59" s="45"/>
      <c r="F59" s="6"/>
      <c r="G59" s="6"/>
      <c r="H59" s="179"/>
      <c r="I59" s="179"/>
      <c r="J59" s="179"/>
      <c r="K59" s="6"/>
      <c r="L59" s="45"/>
      <c r="M59" s="6"/>
      <c r="N59" s="45"/>
      <c r="O59" s="5"/>
      <c r="P59" s="6"/>
      <c r="Q59" s="45"/>
      <c r="R59" s="45"/>
      <c r="S59" s="45"/>
      <c r="T59" s="45"/>
    </row>
    <row r="60" spans="5:20" x14ac:dyDescent="0.3">
      <c r="E60" s="45"/>
      <c r="F60" s="6"/>
      <c r="G60" s="6"/>
      <c r="H60" s="179"/>
      <c r="I60" s="179"/>
      <c r="J60" s="179"/>
      <c r="K60" s="6"/>
      <c r="L60" s="5"/>
      <c r="M60" s="6"/>
      <c r="N60" s="5"/>
      <c r="O60" s="5"/>
      <c r="P60" s="6"/>
      <c r="Q60" s="45"/>
      <c r="R60" s="45"/>
      <c r="S60" s="45"/>
      <c r="T60" s="45"/>
    </row>
    <row r="61" spans="5:20" x14ac:dyDescent="0.3">
      <c r="E61" s="45"/>
      <c r="F61" s="6"/>
      <c r="G61" s="6"/>
      <c r="H61" s="179"/>
      <c r="I61" s="179"/>
      <c r="J61" s="179"/>
      <c r="K61" s="6"/>
      <c r="L61" s="5"/>
      <c r="M61" s="6"/>
      <c r="N61" s="5"/>
      <c r="O61" s="5"/>
      <c r="P61" s="5"/>
      <c r="Q61" s="45"/>
      <c r="R61" s="45"/>
      <c r="S61" s="45"/>
      <c r="T61" s="45"/>
    </row>
    <row r="62" spans="5:20" x14ac:dyDescent="0.3">
      <c r="E62" s="7"/>
      <c r="F62" s="45"/>
      <c r="G62" s="45"/>
      <c r="H62" s="179"/>
      <c r="I62" s="179"/>
      <c r="J62" s="179"/>
      <c r="K62" s="45"/>
      <c r="L62" s="5"/>
      <c r="M62" s="6"/>
      <c r="N62" s="5"/>
      <c r="O62" s="5"/>
      <c r="P62" s="5"/>
      <c r="Q62" s="45"/>
      <c r="R62" s="45"/>
      <c r="S62" s="45"/>
      <c r="T62" s="45"/>
    </row>
    <row r="63" spans="5:20" x14ac:dyDescent="0.3">
      <c r="E63" s="45"/>
      <c r="F63" s="45"/>
      <c r="G63" s="45"/>
      <c r="H63" s="179"/>
      <c r="I63" s="179"/>
      <c r="J63" s="179"/>
      <c r="K63" s="45"/>
      <c r="L63" s="5"/>
      <c r="M63" s="6"/>
      <c r="N63" s="5"/>
      <c r="O63" s="5"/>
      <c r="P63" s="5"/>
      <c r="Q63" s="45"/>
      <c r="R63" s="45"/>
      <c r="S63" s="45"/>
      <c r="T63" s="45"/>
    </row>
    <row r="64" spans="5:20" x14ac:dyDescent="0.3">
      <c r="E64" s="45"/>
      <c r="F64" s="45"/>
      <c r="G64" s="45"/>
      <c r="H64" s="179"/>
      <c r="I64" s="179"/>
      <c r="J64" s="179"/>
      <c r="K64" s="45"/>
      <c r="L64" s="45"/>
      <c r="M64" s="6"/>
      <c r="N64" s="5"/>
      <c r="O64" s="5"/>
      <c r="P64" s="5"/>
      <c r="Q64" s="45"/>
      <c r="R64" s="45"/>
      <c r="S64" s="45"/>
      <c r="T64" s="45"/>
    </row>
    <row r="65" spans="5:20" x14ac:dyDescent="0.3">
      <c r="E65" s="45"/>
      <c r="F65" s="45"/>
      <c r="G65" s="45"/>
      <c r="H65" s="179"/>
      <c r="I65" s="179"/>
      <c r="J65" s="179"/>
      <c r="K65" s="45"/>
      <c r="L65" s="45"/>
      <c r="M65" s="45"/>
      <c r="N65" s="5"/>
      <c r="O65" s="5"/>
      <c r="P65" s="5"/>
      <c r="Q65" s="45"/>
      <c r="R65" s="45"/>
      <c r="S65" s="45"/>
      <c r="T65" s="45"/>
    </row>
    <row r="66" spans="5:20" x14ac:dyDescent="0.3">
      <c r="E66" s="45"/>
      <c r="F66" s="45"/>
      <c r="G66" s="45"/>
      <c r="H66" s="179"/>
      <c r="I66" s="179"/>
      <c r="J66" s="179"/>
      <c r="K66" s="45"/>
      <c r="L66" s="5"/>
      <c r="M66" s="5"/>
      <c r="N66" s="5"/>
      <c r="O66" s="5"/>
      <c r="P66" s="5"/>
      <c r="Q66" s="45"/>
      <c r="R66" s="45"/>
      <c r="S66" s="6"/>
      <c r="T66" s="45"/>
    </row>
    <row r="67" spans="5:20" x14ac:dyDescent="0.3">
      <c r="E67" s="45"/>
      <c r="F67" s="6"/>
      <c r="G67" s="6"/>
      <c r="H67" s="67"/>
      <c r="I67" s="67"/>
      <c r="J67" s="67"/>
      <c r="K67" s="6"/>
      <c r="L67" s="6"/>
      <c r="M67" s="6"/>
      <c r="N67" s="6"/>
      <c r="O67" s="6"/>
      <c r="P67" s="6"/>
      <c r="Q67" s="6"/>
      <c r="R67" s="6"/>
      <c r="S67" s="442"/>
      <c r="T67" s="45"/>
    </row>
    <row r="68" spans="5:20" x14ac:dyDescent="0.3">
      <c r="E68" s="45"/>
      <c r="F68" s="6"/>
      <c r="G68" s="6"/>
      <c r="H68" s="67"/>
      <c r="I68" s="67"/>
      <c r="J68" s="67"/>
      <c r="K68" s="6"/>
      <c r="L68" s="6"/>
      <c r="M68" s="6"/>
      <c r="N68" s="6"/>
      <c r="O68" s="6"/>
      <c r="P68" s="6"/>
      <c r="Q68" s="6"/>
      <c r="R68" s="6"/>
      <c r="S68" s="6"/>
      <c r="T68" s="45"/>
    </row>
    <row r="69" spans="5:20" x14ac:dyDescent="0.3">
      <c r="E69" s="45"/>
      <c r="F69" s="6"/>
      <c r="G69" s="6"/>
      <c r="H69" s="67"/>
      <c r="I69" s="67"/>
      <c r="J69" s="67"/>
      <c r="K69" s="6"/>
      <c r="L69" s="6"/>
      <c r="M69" s="5"/>
      <c r="N69" s="6"/>
      <c r="O69" s="6"/>
      <c r="P69" s="6"/>
      <c r="Q69" s="6"/>
      <c r="R69" s="6"/>
      <c r="S69" s="6"/>
      <c r="T69" s="45"/>
    </row>
    <row r="70" spans="5:20" x14ac:dyDescent="0.3">
      <c r="E70" s="45"/>
      <c r="F70" s="6"/>
      <c r="G70" s="6"/>
      <c r="H70" s="68"/>
      <c r="I70" s="68"/>
      <c r="J70" s="68"/>
      <c r="K70" s="6"/>
      <c r="L70" s="6"/>
      <c r="M70" s="6"/>
      <c r="N70" s="6"/>
      <c r="O70" s="6"/>
      <c r="P70" s="6"/>
      <c r="Q70" s="6"/>
      <c r="R70" s="6"/>
      <c r="S70" s="6"/>
      <c r="T70" s="45"/>
    </row>
    <row r="71" spans="5:20" x14ac:dyDescent="0.3">
      <c r="E71" s="45"/>
      <c r="F71" s="6"/>
      <c r="G71" s="6"/>
      <c r="H71" s="68"/>
      <c r="I71" s="68"/>
      <c r="J71" s="68"/>
      <c r="K71" s="6"/>
      <c r="L71" s="6"/>
      <c r="M71" s="6"/>
      <c r="N71" s="6"/>
      <c r="O71" s="6"/>
      <c r="P71" s="6"/>
      <c r="Q71" s="6"/>
      <c r="R71" s="6"/>
      <c r="S71" s="45"/>
      <c r="T71" s="45"/>
    </row>
    <row r="72" spans="5:20" x14ac:dyDescent="0.3">
      <c r="E72" s="45"/>
      <c r="F72" s="45"/>
      <c r="G72" s="45"/>
      <c r="H72" s="178"/>
      <c r="I72" s="178"/>
      <c r="J72" s="178"/>
      <c r="K72" s="45"/>
      <c r="L72" s="5"/>
      <c r="M72" s="5"/>
      <c r="N72" s="5"/>
      <c r="O72" s="5"/>
      <c r="P72" s="5"/>
      <c r="Q72" s="45"/>
      <c r="R72" s="45"/>
      <c r="S72" s="45"/>
      <c r="T72" s="45"/>
    </row>
    <row r="73" spans="5:20" x14ac:dyDescent="0.3">
      <c r="E73" s="45"/>
      <c r="F73" s="45"/>
      <c r="G73" s="45"/>
      <c r="H73" s="178"/>
      <c r="I73" s="178"/>
      <c r="J73" s="178"/>
      <c r="K73" s="45"/>
      <c r="L73" s="5"/>
      <c r="M73" s="5"/>
      <c r="N73" s="5"/>
      <c r="O73" s="5"/>
      <c r="P73" s="5"/>
      <c r="Q73" s="5"/>
      <c r="R73" s="45"/>
      <c r="S73" s="45"/>
      <c r="T73" s="45"/>
    </row>
    <row r="74" spans="5:20" x14ac:dyDescent="0.3">
      <c r="L74" s="4"/>
      <c r="M74" s="4"/>
      <c r="N74" s="4"/>
      <c r="O74" s="4"/>
      <c r="P74" s="4"/>
      <c r="Q74" s="4"/>
    </row>
    <row r="75" spans="5:20" x14ac:dyDescent="0.3">
      <c r="L75" s="4"/>
      <c r="M75" s="4"/>
      <c r="N75" s="4"/>
      <c r="O75" s="4"/>
      <c r="P75" s="4"/>
      <c r="Q75" s="4"/>
    </row>
    <row r="76" spans="5:20" x14ac:dyDescent="0.3">
      <c r="L76" s="4"/>
      <c r="M76" s="4"/>
      <c r="N76" s="4"/>
      <c r="O76" s="4"/>
      <c r="P76" s="4"/>
      <c r="Q76" s="4"/>
    </row>
    <row r="77" spans="5:20" x14ac:dyDescent="0.3">
      <c r="F77" s="4"/>
      <c r="G77" s="4"/>
      <c r="K77" s="4"/>
      <c r="L77" s="4"/>
      <c r="M77" s="4"/>
      <c r="N77" s="4"/>
      <c r="O77" s="4"/>
      <c r="P77" s="4"/>
      <c r="Q77" s="4"/>
    </row>
    <row r="78" spans="5:20" x14ac:dyDescent="0.3">
      <c r="F78" s="47"/>
      <c r="G78" s="47"/>
      <c r="K78" s="47"/>
      <c r="L78" s="4"/>
      <c r="M78" s="4"/>
      <c r="N78" s="4"/>
      <c r="O78" s="4"/>
      <c r="P78" s="4"/>
      <c r="Q78" s="4"/>
    </row>
    <row r="79" spans="5:20" x14ac:dyDescent="0.3">
      <c r="F79" s="47"/>
      <c r="G79" s="47"/>
      <c r="K79" s="47"/>
      <c r="L79" s="4"/>
      <c r="M79" s="4"/>
      <c r="N79" s="4"/>
      <c r="O79" s="4"/>
      <c r="P79" s="4"/>
      <c r="Q79" s="4"/>
    </row>
    <row r="80" spans="5:20" x14ac:dyDescent="0.3">
      <c r="F80" s="47"/>
      <c r="G80" s="47"/>
      <c r="K80" s="47"/>
      <c r="L80" s="4"/>
      <c r="M80" s="4"/>
      <c r="N80" s="4"/>
      <c r="O80" s="4"/>
      <c r="P80" s="4"/>
      <c r="Q80" s="4"/>
    </row>
    <row r="81" spans="12:17" x14ac:dyDescent="0.3">
      <c r="L81" s="4"/>
      <c r="M81" s="4"/>
      <c r="N81" s="4"/>
      <c r="O81" s="4"/>
      <c r="P81" s="4"/>
      <c r="Q81" s="4"/>
    </row>
    <row r="82" spans="12:17" x14ac:dyDescent="0.3">
      <c r="L82" s="4"/>
      <c r="M82" s="4"/>
      <c r="N82" s="4"/>
      <c r="O82" s="4"/>
      <c r="P82" s="4"/>
      <c r="Q82" s="4"/>
    </row>
    <row r="83" spans="12:17" x14ac:dyDescent="0.3">
      <c r="L83" s="4"/>
      <c r="M83" s="4"/>
      <c r="N83" s="4"/>
      <c r="O83" s="4"/>
      <c r="P83" s="4"/>
      <c r="Q83" s="4"/>
    </row>
    <row r="84" spans="12:17" x14ac:dyDescent="0.3">
      <c r="L84" s="4"/>
      <c r="M84" s="4"/>
      <c r="N84" s="4"/>
      <c r="O84" s="4"/>
    </row>
  </sheetData>
  <mergeCells count="1">
    <mergeCell ref="C40:M40"/>
  </mergeCells>
  <printOptions horizontalCentered="1"/>
  <pageMargins left="0.5" right="0.5" top="1" bottom="1" header="0.5" footer="0.5"/>
  <pageSetup scale="87" orientation="landscape" blackAndWhite="1" horizontalDpi="300" verticalDpi="300" r:id="rId1"/>
  <headerFooter alignWithMargins="0">
    <oddFooter>&amp;L&amp;F 
&amp;A&amp;C&amp;P&amp;R&amp;D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F12DEE5811C034889676BB03BCBCA28" ma:contentTypeVersion="20" ma:contentTypeDescription="" ma:contentTypeScope="" ma:versionID="3c5d9d79aae26246c054bc564482c04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2022-08-31T07:00:00+00:00</OpenedDate>
    <SignificantOrder xmlns="dc463f71-b30c-4ab2-9473-d307f9d35888">false</SignificantOrder>
    <Date1 xmlns="dc463f71-b30c-4ab2-9473-d307f9d35888">2022-08-31T07:00:00+00:00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220657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6D6DA76-16DB-444D-9956-55CD86628904}"/>
</file>

<file path=customXml/itemProps2.xml><?xml version="1.0" encoding="utf-8"?>
<ds:datastoreItem xmlns:ds="http://schemas.openxmlformats.org/officeDocument/2006/customXml" ds:itemID="{D9DC8579-96C8-4507-AE2A-F6FBD8DDE0A9}"/>
</file>

<file path=customXml/itemProps3.xml><?xml version="1.0" encoding="utf-8"?>
<ds:datastoreItem xmlns:ds="http://schemas.openxmlformats.org/officeDocument/2006/customXml" ds:itemID="{5786D3C3-B916-4D5F-B559-8C2B88256A9D}"/>
</file>

<file path=customXml/itemProps4.xml><?xml version="1.0" encoding="utf-8"?>
<ds:datastoreItem xmlns:ds="http://schemas.openxmlformats.org/officeDocument/2006/customXml" ds:itemID="{25C04389-4DD9-4754-BC03-BA08057C0B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Rates</vt:lpstr>
      <vt:lpstr>Rate Impacts--&gt;</vt:lpstr>
      <vt:lpstr>Rate Impacts Sch 129</vt:lpstr>
      <vt:lpstr>Typical Res Bill Sch 129</vt:lpstr>
      <vt:lpstr>Avg Per Therm</vt:lpstr>
      <vt:lpstr>Sch. 129</vt:lpstr>
      <vt:lpstr>Work Papers--&gt;</vt:lpstr>
      <vt:lpstr>Sch 85 87 Rate Calc</vt:lpstr>
      <vt:lpstr>Margin Revenue</vt:lpstr>
      <vt:lpstr>Revenue Req 2022-2023</vt:lpstr>
      <vt:lpstr>Data from 2019 GRC PLR Update-&gt;</vt:lpstr>
      <vt:lpstr>Rate Design Res (PLR)</vt:lpstr>
      <vt:lpstr>Rate Design C&amp;I (PLR)</vt:lpstr>
      <vt:lpstr>Rate Design Int &amp; Trans (PLR)</vt:lpstr>
      <vt:lpstr>'Avg Per Therm'!Print_Area</vt:lpstr>
      <vt:lpstr>'Margin Revenue'!Print_Area</vt:lpstr>
      <vt:lpstr>'Rate Design C&amp;I (PLR)'!Print_Area</vt:lpstr>
      <vt:lpstr>'Rate Design Int &amp; Trans (PLR)'!Print_Area</vt:lpstr>
      <vt:lpstr>'Rate Design Res (PLR)'!Print_Area</vt:lpstr>
      <vt:lpstr>'Rate Impacts Sch 129'!Print_Area</vt:lpstr>
      <vt:lpstr>Rates!Print_Area</vt:lpstr>
      <vt:lpstr>'Sch 85 87 Rate Calc'!Print_Area</vt:lpstr>
      <vt:lpstr>'Sch. 129'!Print_Area</vt:lpstr>
      <vt:lpstr>'Typical Res Bill Sch 129'!Print_Area</vt:lpstr>
      <vt:lpstr>'Rate Design C&amp;I (PLR)'!Print_Titles</vt:lpstr>
      <vt:lpstr>'Rate Design Int &amp; Trans (PLR)'!Print_Titles</vt:lpstr>
      <vt:lpstr>'Rate Design Res (PLR)'!Print_Titles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Yakupova, Kelima</cp:lastModifiedBy>
  <cp:lastPrinted>2020-08-12T23:08:32Z</cp:lastPrinted>
  <dcterms:created xsi:type="dcterms:W3CDTF">2016-08-18T16:48:49Z</dcterms:created>
  <dcterms:modified xsi:type="dcterms:W3CDTF">2022-08-15T21:34:27Z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0x0101006E56B4D1795A2E4DB2F0B01679ED314A004F12DEE5811C034889676BB03BCBCA28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