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2.xml" ContentType="application/vnd.openxmlformats-officedocument.drawingml.chart+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2000 Western Region Office\WUTC\WUTC-Columbia 2025\Fuel Surcharage G-48\2022\8-2022\"/>
    </mc:Choice>
  </mc:AlternateContent>
  <workbookProtection workbookAlgorithmName="SHA-512" workbookHashValue="Ry5e/cL0ePsAVE9EFk3eoWqab1XSMm+lAvVsc0ESA4tiIlVupG9/GhRuG85JCQEjG/t/LdWbmC2rQF8KYUQQuQ==" workbookSaltValue="avPEqf4IFUFMUKlDicpjBQ==" workbookSpinCount="100000" lockStructure="1"/>
  <bookViews>
    <workbookView xWindow="0" yWindow="0" windowWidth="28800" windowHeight="1245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J9" i="7"/>
  <c r="M8" i="7"/>
  <c r="J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tc={DF12F414-7A01-4F44-91EA-AA0E9B470EA8}</author>
    <author>tc={5F727F22-6679-417E-93AB-2C0C884860B6}</author>
  </authors>
  <commentList>
    <comment ref="B148"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authors>
    <author>tc={B90AB7F8-F303-49DF-A858-48CDE7675D6D}</author>
    <author>Sharbono, Benjamin (UTC)</author>
  </authors>
  <commentList>
    <comment ref="G55"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<sst xmlns="http://schemas.openxmlformats.org/spreadsheetml/2006/main" count="598" uniqueCount="288">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</sst>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0" fontId="12" fillId="0" borderId="20" xfId="5" applyFont="1" applyFill="1" applyBorder="1" applyAlignment="1" applyProtection="1">
      <alignment vertical="center" wrapText="1"/>
      <protection hidden="1"/>
    </xf>
    <xf numFmtId="0" fontId="19" fillId="0" borderId="20" xfId="6" applyFont="1" applyFill="1" applyBorder="1" applyAlignment="1" applyProtection="1">
      <alignment vertical="center" wrapText="1"/>
      <protection hidden="1"/>
    </xf>
    <xf numFmtId="0" fontId="28" fillId="0" borderId="20" xfId="8" applyFont="1" applyFill="1" applyBorder="1" applyAlignment="1">
      <alignment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cellStyle name="Normal" xfId="0" builtinId="0"/>
    <cellStyle name="Normal 2" xfId="4"/>
    <cellStyle name="Normal 2 2" xfId="5"/>
    <cellStyle name="Normal 2 2 2" xfId="6"/>
    <cellStyle name="Normal 2 3" xfId="7"/>
    <cellStyle name="Normal 3" xfId="8"/>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topLeftCell="A7" zoomScaleNormal="100" zoomScaleSheetLayoutView="90" zoomScalePageLayoutView="80" workbookViewId="0">
      <selection activeCell="O21" sqref="O21"/>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70" t="s">
        <v>0</v>
      </c>
      <c r="B1" s="270"/>
      <c r="C1" s="270"/>
      <c r="D1" s="270"/>
      <c r="E1" s="270"/>
      <c r="F1" s="270"/>
    </row>
    <row r="2" spans="1:6" ht="26.25" customHeight="1" x14ac:dyDescent="0.2">
      <c r="A2" s="283" t="s">
        <v>1</v>
      </c>
      <c r="B2" s="284"/>
      <c r="C2" s="68" t="s">
        <v>2</v>
      </c>
      <c r="D2" s="280" t="s">
        <v>165</v>
      </c>
      <c r="E2" s="280"/>
      <c r="F2" s="280"/>
    </row>
    <row r="3" spans="1:6" ht="5.25" customHeight="1" x14ac:dyDescent="0.2">
      <c r="A3" s="285"/>
      <c r="B3" s="286"/>
      <c r="C3" s="69"/>
      <c r="D3" s="69"/>
      <c r="E3" s="69"/>
      <c r="F3" s="69"/>
    </row>
    <row r="4" spans="1:6" x14ac:dyDescent="0.2">
      <c r="A4" s="285"/>
      <c r="B4" s="286"/>
      <c r="C4" s="70" t="s">
        <v>4</v>
      </c>
      <c r="D4" s="282">
        <v>44774</v>
      </c>
      <c r="E4" s="282"/>
      <c r="F4" s="282"/>
    </row>
    <row r="5" spans="1:6" ht="5.25" customHeight="1" x14ac:dyDescent="0.2">
      <c r="A5" s="285"/>
      <c r="B5" s="286"/>
      <c r="C5" s="69"/>
      <c r="D5" s="69"/>
      <c r="E5" s="69"/>
      <c r="F5" s="69"/>
    </row>
    <row r="6" spans="1:6" x14ac:dyDescent="0.2">
      <c r="A6" s="285"/>
      <c r="B6" s="286"/>
      <c r="C6" s="70" t="s">
        <v>5</v>
      </c>
      <c r="D6" s="293">
        <v>1505708</v>
      </c>
      <c r="E6" s="293"/>
      <c r="F6" s="293"/>
    </row>
    <row r="7" spans="1:6" x14ac:dyDescent="0.2">
      <c r="A7" s="287"/>
      <c r="B7" s="287"/>
      <c r="C7" s="287"/>
      <c r="D7" s="287"/>
      <c r="E7" s="287"/>
      <c r="F7" s="287"/>
    </row>
    <row r="8" spans="1:6" ht="28.5" customHeight="1" x14ac:dyDescent="0.2">
      <c r="A8" s="283" t="s">
        <v>6</v>
      </c>
      <c r="B8" s="284"/>
      <c r="C8" s="71" t="s">
        <v>7</v>
      </c>
      <c r="D8" s="295">
        <f>IF(AND(D2&gt;"", D4&gt;0, D6&gt;0), F45, 0)</f>
        <v>3.0529469999999996E-2</v>
      </c>
      <c r="E8" s="295"/>
      <c r="F8" s="295"/>
    </row>
    <row r="9" spans="1:6" ht="5.25" customHeight="1" x14ac:dyDescent="0.2">
      <c r="A9" s="285"/>
      <c r="B9" s="286"/>
      <c r="C9" s="72"/>
      <c r="D9" s="72"/>
      <c r="E9" s="72"/>
      <c r="F9" s="72"/>
    </row>
    <row r="10" spans="1:6" ht="29.25" customHeight="1" x14ac:dyDescent="0.2">
      <c r="A10" s="285"/>
      <c r="B10" s="286"/>
      <c r="C10" s="71" t="s">
        <v>8</v>
      </c>
      <c r="D10" s="281">
        <f>IF(AND(D2&gt;"", D4&gt;0, D6&gt;0), IF(F45&lt;F61, F45,F61), 0)</f>
        <v>2.2631367626531833E-2</v>
      </c>
      <c r="E10" s="281"/>
      <c r="F10" s="281"/>
    </row>
    <row r="11" spans="1:6" ht="5.25" customHeight="1" x14ac:dyDescent="0.2">
      <c r="A11" s="285"/>
      <c r="B11" s="286"/>
      <c r="C11" s="72"/>
      <c r="D11" s="72"/>
      <c r="E11" s="72"/>
      <c r="F11" s="72"/>
    </row>
    <row r="12" spans="1:6" ht="39" customHeight="1" x14ac:dyDescent="0.2">
      <c r="A12" s="285"/>
      <c r="B12" s="286"/>
      <c r="C12" s="294"/>
      <c r="D12" s="294"/>
      <c r="E12" s="294"/>
      <c r="F12" s="294"/>
    </row>
    <row r="13" spans="1:6" x14ac:dyDescent="0.2">
      <c r="A13" s="73"/>
      <c r="B13" s="74"/>
      <c r="C13" s="74"/>
      <c r="D13" s="75"/>
      <c r="E13" s="73"/>
      <c r="F13" s="73"/>
    </row>
    <row r="14" spans="1:6" ht="25.5" x14ac:dyDescent="0.2">
      <c r="A14" s="76" t="s">
        <v>9</v>
      </c>
      <c r="B14" s="77"/>
      <c r="C14" s="78"/>
      <c r="D14" s="77"/>
      <c r="F14" s="77"/>
    </row>
    <row r="15" spans="1:6" x14ac:dyDescent="0.2">
      <c r="A15" s="77">
        <v>1</v>
      </c>
      <c r="B15" s="271" t="s">
        <v>10</v>
      </c>
      <c r="C15" s="272"/>
      <c r="D15" s="272"/>
      <c r="E15" s="272"/>
      <c r="F15" s="273"/>
    </row>
    <row r="16" spans="1:6" x14ac:dyDescent="0.2">
      <c r="A16" s="77">
        <v>2</v>
      </c>
      <c r="C16" s="67" t="s">
        <v>11</v>
      </c>
      <c r="F16" s="79">
        <f>IF(D2="","",VLOOKUP(D2,CompanyInfo,3, FALSE))</f>
        <v>1327743</v>
      </c>
    </row>
    <row r="17" spans="1:6" x14ac:dyDescent="0.2">
      <c r="A17" s="77">
        <v>3</v>
      </c>
      <c r="C17" s="67" t="s">
        <v>12</v>
      </c>
      <c r="F17" s="79">
        <f>IF(D2="","",VLOOKUP(D2,CompanyInfo,4, FALSE))</f>
        <v>47897</v>
      </c>
    </row>
    <row r="18" spans="1:6" x14ac:dyDescent="0.2">
      <c r="A18" s="77">
        <v>4</v>
      </c>
      <c r="C18" s="67" t="s">
        <v>13</v>
      </c>
      <c r="F18" s="80">
        <f>IF(D4="","",VLOOKUP(D2,CompanyInfo,5, FALSE))</f>
        <v>43100</v>
      </c>
    </row>
    <row r="19" spans="1:6" x14ac:dyDescent="0.2">
      <c r="A19" s="77">
        <v>5</v>
      </c>
      <c r="C19" s="67" t="s">
        <v>14</v>
      </c>
      <c r="F19" s="80">
        <f>IF(D4="","",VLOOKUP(D2,CompanyInfo,6,FALSE ))</f>
        <v>43191</v>
      </c>
    </row>
    <row r="20" spans="1:6" x14ac:dyDescent="0.2">
      <c r="A20" s="77">
        <v>6</v>
      </c>
      <c r="C20" s="78" t="s">
        <v>15</v>
      </c>
      <c r="F20" s="81">
        <f>IF(D2="","",VLOOKUP(D2,CompanyInfo,2, FALSE))</f>
        <v>1</v>
      </c>
    </row>
    <row r="21" spans="1:6" x14ac:dyDescent="0.2">
      <c r="A21" s="77">
        <v>7</v>
      </c>
      <c r="B21" s="77"/>
      <c r="C21" s="78" t="s">
        <v>16</v>
      </c>
      <c r="D21" s="77"/>
      <c r="F21" s="263" t="str">
        <f>IF(D2="","",VLOOKUP(D2,CompanyInfo,9,FALSE ))</f>
        <v>West</v>
      </c>
    </row>
    <row r="22" spans="1:6" x14ac:dyDescent="0.2">
      <c r="A22" s="77">
        <v>8</v>
      </c>
      <c r="B22" s="77"/>
      <c r="C22" s="78" t="s">
        <v>17</v>
      </c>
      <c r="D22" s="77"/>
      <c r="F22" s="79">
        <f>IF(D2="","",VLOOKUP(D2,CompanyInfo,7,FALSE ))</f>
        <v>1352262</v>
      </c>
    </row>
    <row r="23" spans="1:6" x14ac:dyDescent="0.2">
      <c r="A23" s="77">
        <v>9</v>
      </c>
      <c r="B23" s="77"/>
      <c r="C23" s="78"/>
      <c r="D23" s="77"/>
      <c r="F23" s="77"/>
    </row>
    <row r="24" spans="1:6" x14ac:dyDescent="0.2">
      <c r="A24" s="77">
        <v>10</v>
      </c>
      <c r="B24" s="274" t="s">
        <v>18</v>
      </c>
      <c r="C24" s="275"/>
      <c r="D24" s="275"/>
      <c r="E24" s="275"/>
      <c r="F24" s="276"/>
    </row>
    <row r="25" spans="1:6" x14ac:dyDescent="0.2">
      <c r="A25" s="77">
        <v>11</v>
      </c>
      <c r="C25" s="78" t="s">
        <v>19</v>
      </c>
      <c r="F25" s="79">
        <f>+F17</f>
        <v>47897</v>
      </c>
    </row>
    <row r="26" spans="1:6" x14ac:dyDescent="0.2">
      <c r="A26" s="77">
        <v>12</v>
      </c>
      <c r="C26" s="82" t="s">
        <v>20</v>
      </c>
      <c r="E26" s="77" t="s">
        <v>21</v>
      </c>
      <c r="F26" s="83">
        <f>+F16</f>
        <v>1327743</v>
      </c>
    </row>
    <row r="27" spans="1:6" x14ac:dyDescent="0.2">
      <c r="A27" s="77">
        <v>13</v>
      </c>
      <c r="C27" s="67" t="s">
        <v>22</v>
      </c>
      <c r="E27" s="77" t="s">
        <v>23</v>
      </c>
      <c r="F27" s="84">
        <f>F17/F16</f>
        <v>3.6073999260399038E-2</v>
      </c>
    </row>
    <row r="28" spans="1:6" x14ac:dyDescent="0.2">
      <c r="A28" s="77">
        <v>14</v>
      </c>
      <c r="C28" s="67" t="s">
        <v>24</v>
      </c>
      <c r="E28" s="77" t="s">
        <v>25</v>
      </c>
      <c r="F28" s="85">
        <v>100</v>
      </c>
    </row>
    <row r="29" spans="1:6" x14ac:dyDescent="0.2">
      <c r="A29" s="77">
        <v>15</v>
      </c>
      <c r="C29" s="67" t="s">
        <v>26</v>
      </c>
      <c r="E29" s="77" t="s">
        <v>23</v>
      </c>
      <c r="F29" s="86">
        <f>ROUND(F27,4)</f>
        <v>3.61E-2</v>
      </c>
    </row>
    <row r="30" spans="1:6" x14ac:dyDescent="0.2">
      <c r="A30" s="77">
        <v>16</v>
      </c>
    </row>
    <row r="31" spans="1:6" x14ac:dyDescent="0.2">
      <c r="A31" s="77">
        <v>17</v>
      </c>
      <c r="B31" s="274" t="s">
        <v>27</v>
      </c>
      <c r="C31" s="275"/>
      <c r="D31" s="275"/>
      <c r="E31" s="275"/>
      <c r="F31" s="276"/>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6.0220000000000002</v>
      </c>
    </row>
    <row r="33" spans="1:6" x14ac:dyDescent="0.2">
      <c r="A33" s="77">
        <v>19</v>
      </c>
      <c r="C33" s="82" t="s">
        <v>30</v>
      </c>
      <c r="E33" s="77" t="s">
        <v>31</v>
      </c>
      <c r="F33" s="88">
        <f>+IF(F21="West",(+VLOOKUP(F18,'Weekly OPIS Averages'!B15:J323,9,FALSE)),(+VLOOKUP(F18,'Weekly OPIS Averages'!M15:U323,9,FALSE)))</f>
        <v>2.8369999999999997</v>
      </c>
    </row>
    <row r="34" spans="1:6" x14ac:dyDescent="0.2">
      <c r="A34" s="77">
        <v>20</v>
      </c>
      <c r="C34" s="67" t="s">
        <v>32</v>
      </c>
      <c r="E34" s="77" t="s">
        <v>23</v>
      </c>
      <c r="F34" s="89">
        <f>+F32-F33</f>
        <v>3.1850000000000005</v>
      </c>
    </row>
    <row r="35" spans="1:6" x14ac:dyDescent="0.2">
      <c r="A35" s="77">
        <v>21</v>
      </c>
      <c r="C35" s="82" t="s">
        <v>33</v>
      </c>
      <c r="E35" s="77" t="s">
        <v>21</v>
      </c>
      <c r="F35" s="90">
        <f>+F33</f>
        <v>2.8369999999999997</v>
      </c>
    </row>
    <row r="36" spans="1:6" x14ac:dyDescent="0.2">
      <c r="A36" s="77">
        <v>22</v>
      </c>
      <c r="C36" s="67" t="s">
        <v>34</v>
      </c>
      <c r="E36" s="77" t="s">
        <v>23</v>
      </c>
      <c r="F36" s="84">
        <f>F34/F35</f>
        <v>1.1226647867465636</v>
      </c>
    </row>
    <row r="37" spans="1:6" x14ac:dyDescent="0.2">
      <c r="A37" s="77">
        <v>23</v>
      </c>
      <c r="C37" s="67" t="s">
        <v>24</v>
      </c>
      <c r="E37" s="77" t="s">
        <v>25</v>
      </c>
      <c r="F37" s="85">
        <v>100</v>
      </c>
    </row>
    <row r="38" spans="1:6" x14ac:dyDescent="0.2">
      <c r="A38" s="77">
        <v>24</v>
      </c>
      <c r="C38" s="67" t="s">
        <v>35</v>
      </c>
      <c r="D38" s="91"/>
      <c r="E38" s="77" t="s">
        <v>23</v>
      </c>
      <c r="F38" s="86">
        <f>ROUND(F36,4)</f>
        <v>1.1227</v>
      </c>
    </row>
    <row r="39" spans="1:6" x14ac:dyDescent="0.2">
      <c r="A39" s="77">
        <v>25</v>
      </c>
    </row>
    <row r="40" spans="1:6" ht="56.25" customHeight="1" x14ac:dyDescent="0.2">
      <c r="A40" s="92">
        <v>26</v>
      </c>
      <c r="B40" s="277" t="s">
        <v>36</v>
      </c>
      <c r="C40" s="278"/>
      <c r="D40" s="278"/>
      <c r="E40" s="278"/>
      <c r="F40" s="279"/>
    </row>
    <row r="41" spans="1:6" x14ac:dyDescent="0.2">
      <c r="A41" s="77">
        <v>27</v>
      </c>
      <c r="C41" s="82" t="s">
        <v>37</v>
      </c>
      <c r="F41" s="93">
        <f>F29</f>
        <v>3.61E-2</v>
      </c>
    </row>
    <row r="42" spans="1:6" x14ac:dyDescent="0.2">
      <c r="A42" s="77">
        <v>28</v>
      </c>
      <c r="C42" s="82" t="s">
        <v>38</v>
      </c>
      <c r="E42" s="77" t="s">
        <v>25</v>
      </c>
      <c r="F42" s="94">
        <f>F38</f>
        <v>1.1227</v>
      </c>
    </row>
    <row r="43" spans="1:6" x14ac:dyDescent="0.2">
      <c r="A43" s="77">
        <v>29</v>
      </c>
      <c r="B43" s="67" t="s">
        <v>39</v>
      </c>
      <c r="C43" s="67" t="s">
        <v>40</v>
      </c>
      <c r="E43" s="77" t="s">
        <v>23</v>
      </c>
      <c r="F43" s="93">
        <f>F42*F41</f>
        <v>4.0529469999999998E-2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3.0529469999999996E-2</v>
      </c>
    </row>
    <row r="46" spans="1:6" ht="13.5" thickTop="1" x14ac:dyDescent="0.2">
      <c r="A46" s="77">
        <v>32</v>
      </c>
      <c r="C46" s="82"/>
      <c r="F46" s="97"/>
    </row>
    <row r="47" spans="1:6" ht="64.5" customHeight="1" x14ac:dyDescent="0.2">
      <c r="A47" s="92">
        <v>33</v>
      </c>
      <c r="B47" s="290" t="s">
        <v>43</v>
      </c>
      <c r="C47" s="291"/>
      <c r="D47" s="291"/>
      <c r="E47" s="291"/>
      <c r="F47" s="292"/>
    </row>
    <row r="48" spans="1:6" x14ac:dyDescent="0.2">
      <c r="A48" s="77">
        <v>34</v>
      </c>
      <c r="C48" s="67" t="s">
        <v>44</v>
      </c>
      <c r="F48" s="98">
        <f>F45</f>
        <v>3.0529469999999996E-2</v>
      </c>
    </row>
    <row r="49" spans="1:7" x14ac:dyDescent="0.2">
      <c r="A49" s="77">
        <v>35</v>
      </c>
      <c r="C49" s="67" t="s">
        <v>45</v>
      </c>
      <c r="E49" s="77" t="s">
        <v>25</v>
      </c>
      <c r="F49" s="83">
        <f>F16</f>
        <v>1327743</v>
      </c>
    </row>
    <row r="50" spans="1:7" x14ac:dyDescent="0.2">
      <c r="A50" s="77">
        <v>36</v>
      </c>
      <c r="C50" s="67" t="s">
        <v>46</v>
      </c>
      <c r="E50" s="77" t="s">
        <v>23</v>
      </c>
      <c r="F50" s="79">
        <f>F49*F48</f>
        <v>40535.290086209992</v>
      </c>
    </row>
    <row r="51" spans="1:7" x14ac:dyDescent="0.2">
      <c r="A51" s="77">
        <v>37</v>
      </c>
    </row>
    <row r="52" spans="1:7" x14ac:dyDescent="0.2">
      <c r="A52" s="77">
        <v>38</v>
      </c>
      <c r="C52" s="67" t="s">
        <v>47</v>
      </c>
      <c r="F52" s="98">
        <f>F29</f>
        <v>3.61E-2</v>
      </c>
    </row>
    <row r="53" spans="1:7" x14ac:dyDescent="0.2">
      <c r="A53" s="77">
        <v>39</v>
      </c>
      <c r="C53" s="67" t="s">
        <v>48</v>
      </c>
      <c r="E53" s="77" t="s">
        <v>25</v>
      </c>
      <c r="F53" s="83">
        <f>IF(D6&gt;F22, D6, F22)</f>
        <v>1505708</v>
      </c>
    </row>
    <row r="54" spans="1:7" x14ac:dyDescent="0.2">
      <c r="A54" s="77">
        <v>40</v>
      </c>
      <c r="C54" s="67" t="s">
        <v>49</v>
      </c>
      <c r="E54" s="77" t="s">
        <v>23</v>
      </c>
      <c r="F54" s="79">
        <f>F53*F52</f>
        <v>54356.058799999999</v>
      </c>
    </row>
    <row r="55" spans="1:7" x14ac:dyDescent="0.2">
      <c r="A55" s="77">
        <v>41</v>
      </c>
      <c r="F55" s="79"/>
    </row>
    <row r="56" spans="1:7" x14ac:dyDescent="0.2">
      <c r="A56" s="77">
        <v>42</v>
      </c>
      <c r="C56" s="67" t="s">
        <v>50</v>
      </c>
      <c r="F56" s="79">
        <f>F17</f>
        <v>47897</v>
      </c>
    </row>
    <row r="57" spans="1:7" x14ac:dyDescent="0.2">
      <c r="A57" s="77">
        <v>43</v>
      </c>
      <c r="C57" s="67" t="s">
        <v>51</v>
      </c>
      <c r="E57" s="77" t="s">
        <v>52</v>
      </c>
      <c r="F57" s="79">
        <f>F50</f>
        <v>40535.290086209992</v>
      </c>
    </row>
    <row r="58" spans="1:7" x14ac:dyDescent="0.2">
      <c r="A58" s="77">
        <v>44</v>
      </c>
      <c r="C58" s="67" t="s">
        <v>53</v>
      </c>
      <c r="E58" s="77" t="s">
        <v>31</v>
      </c>
      <c r="F58" s="83">
        <f>F54</f>
        <v>54356.058799999999</v>
      </c>
    </row>
    <row r="59" spans="1:7" x14ac:dyDescent="0.2">
      <c r="A59" s="77">
        <v>45</v>
      </c>
      <c r="C59" s="67" t="s">
        <v>54</v>
      </c>
      <c r="E59" s="77" t="s">
        <v>23</v>
      </c>
      <c r="F59" s="79">
        <f>F56+F57-F58</f>
        <v>34076.231286209993</v>
      </c>
    </row>
    <row r="60" spans="1:7" x14ac:dyDescent="0.2">
      <c r="A60" s="77">
        <v>46</v>
      </c>
      <c r="C60" s="67" t="s">
        <v>55</v>
      </c>
      <c r="E60" s="77" t="s">
        <v>21</v>
      </c>
      <c r="F60" s="99">
        <f>F53</f>
        <v>1505708</v>
      </c>
    </row>
    <row r="61" spans="1:7" ht="13.5" thickBot="1" x14ac:dyDescent="0.25">
      <c r="A61" s="77">
        <v>47</v>
      </c>
      <c r="C61" s="100" t="s">
        <v>56</v>
      </c>
      <c r="E61" s="77" t="s">
        <v>23</v>
      </c>
      <c r="F61" s="96">
        <f>IF(AND(D2&gt;"", D4&gt;0, D6&gt;0), IF(F60=0, 0, F59/F60), 0)</f>
        <v>2.2631367626531833E-2</v>
      </c>
    </row>
    <row r="62" spans="1:7" ht="13.5" thickTop="1" x14ac:dyDescent="0.2"/>
    <row r="63" spans="1:7" x14ac:dyDescent="0.2">
      <c r="A63" s="288">
        <f ca="1">NOW()</f>
        <v>44763.582071296296</v>
      </c>
      <c r="B63" s="288"/>
      <c r="C63" s="288"/>
      <c r="D63" s="289" t="s">
        <v>57</v>
      </c>
      <c r="E63" s="289"/>
      <c r="F63" s="289"/>
      <c r="G63" s="263"/>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6" t="s">
        <v>59</v>
      </c>
      <c r="D4" s="296"/>
      <c r="E4" s="296"/>
      <c r="F4" s="296"/>
      <c r="G4" s="296"/>
      <c r="H4" s="46"/>
      <c r="I4" s="47"/>
      <c r="J4" s="45" t="s">
        <v>58</v>
      </c>
      <c r="K4" s="46"/>
      <c r="L4" s="296" t="s">
        <v>60</v>
      </c>
      <c r="M4" s="296"/>
      <c r="N4" s="296"/>
      <c r="O4" s="296"/>
      <c r="P4" s="296"/>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25"/>
  <sheetViews>
    <sheetView zoomScaleNormal="100" workbookViewId="0">
      <pane ySplit="3" topLeftCell="A211" activePane="bottomLeft" state="frozen"/>
      <selection activeCell="I14" sqref="I14"/>
      <selection pane="bottomLeft" activeCell="D225" sqref="D225"/>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6" t="s">
        <v>70</v>
      </c>
      <c r="D3" s="296"/>
      <c r="E3" s="296"/>
      <c r="F3" s="296"/>
      <c r="G3" s="130"/>
      <c r="H3" s="130"/>
      <c r="I3" s="130"/>
      <c r="J3" s="130"/>
      <c r="K3" s="130"/>
      <c r="L3" s="130"/>
      <c r="N3" s="296" t="s">
        <v>71</v>
      </c>
      <c r="O3" s="296"/>
      <c r="P3" s="296"/>
      <c r="Q3" s="296"/>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8" t="s">
        <v>81</v>
      </c>
      <c r="AA1" s="298"/>
      <c r="AB1" s="298"/>
      <c r="AC1" s="298"/>
      <c r="AD1" s="298"/>
    </row>
    <row r="2" spans="2:36" x14ac:dyDescent="0.2">
      <c r="B2" s="5" t="s">
        <v>82</v>
      </c>
      <c r="Z2" s="264"/>
      <c r="AA2" s="264"/>
      <c r="AB2" s="264"/>
      <c r="AC2" s="264"/>
      <c r="AD2" s="264"/>
    </row>
    <row r="3" spans="2:36" x14ac:dyDescent="0.2">
      <c r="B3" s="5" t="s">
        <v>81</v>
      </c>
      <c r="Z3" s="298" t="s">
        <v>83</v>
      </c>
      <c r="AA3" s="298"/>
      <c r="AB3" s="298"/>
      <c r="AC3" s="298"/>
      <c r="AD3" s="298"/>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9" t="s">
        <v>85</v>
      </c>
      <c r="E10" s="299"/>
      <c r="F10" s="299"/>
      <c r="G10" s="300" t="s">
        <v>86</v>
      </c>
      <c r="H10" s="301"/>
      <c r="I10" s="301"/>
      <c r="K10" s="14"/>
      <c r="L10" s="14"/>
      <c r="M10" s="302" t="s">
        <v>87</v>
      </c>
      <c r="N10" s="302"/>
      <c r="O10" s="302"/>
      <c r="P10" s="302"/>
      <c r="Q10" s="302"/>
      <c r="R10" s="303"/>
      <c r="S10" s="306" t="s">
        <v>88</v>
      </c>
      <c r="T10" s="307"/>
      <c r="U10" s="307"/>
      <c r="V10" s="307"/>
      <c r="W10" s="307"/>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5" t="s">
        <v>90</v>
      </c>
      <c r="P11" s="14"/>
      <c r="Q11" s="18" t="s">
        <v>91</v>
      </c>
      <c r="R11" s="14"/>
      <c r="S11" s="19" t="s">
        <v>89</v>
      </c>
      <c r="T11" s="14"/>
      <c r="U11" s="14" t="s">
        <v>90</v>
      </c>
      <c r="V11" s="14"/>
      <c r="W11" s="14" t="s">
        <v>91</v>
      </c>
      <c r="Y11" s="8"/>
    </row>
    <row r="12" spans="2:36" x14ac:dyDescent="0.2">
      <c r="B12" s="15"/>
      <c r="G12" s="20"/>
      <c r="H12" s="21"/>
      <c r="I12" s="21"/>
      <c r="L12" s="304" t="s">
        <v>92</v>
      </c>
      <c r="M12" s="304"/>
      <c r="N12" s="304"/>
      <c r="P12" s="304" t="s">
        <v>93</v>
      </c>
      <c r="Q12" s="304"/>
      <c r="R12" s="305"/>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7" t="s">
        <v>94</v>
      </c>
      <c r="AB14" s="297"/>
      <c r="AC14" s="297"/>
      <c r="AE14" s="297" t="s">
        <v>95</v>
      </c>
      <c r="AF14" s="297"/>
      <c r="AG14" s="297"/>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4"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7" t="s">
        <v>106</v>
      </c>
      <c r="AB52" s="297"/>
      <c r="AC52" s="297"/>
      <c r="AE52" s="297" t="s">
        <v>107</v>
      </c>
      <c r="AF52" s="297"/>
      <c r="AG52" s="297"/>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4"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7" t="s">
        <v>109</v>
      </c>
      <c r="AB104" s="297"/>
      <c r="AC104" s="297"/>
      <c r="AE104" s="297" t="s">
        <v>110</v>
      </c>
      <c r="AF104" s="297"/>
      <c r="AG104" s="297"/>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4"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7" t="s">
        <v>111</v>
      </c>
      <c r="AB160" s="297"/>
      <c r="AC160" s="297"/>
      <c r="AE160" s="297" t="s">
        <v>112</v>
      </c>
      <c r="AF160" s="297"/>
      <c r="AG160" s="297"/>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4"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7" t="s">
        <v>113</v>
      </c>
      <c r="AB212" s="297"/>
      <c r="AC212" s="297"/>
      <c r="AE212" s="297" t="s">
        <v>114</v>
      </c>
      <c r="AF212" s="297"/>
      <c r="AG212" s="297"/>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4"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7" t="s">
        <v>115</v>
      </c>
      <c r="AB264" s="297"/>
      <c r="AC264" s="297"/>
      <c r="AE264" s="297" t="s">
        <v>116</v>
      </c>
      <c r="AF264" s="297"/>
      <c r="AG264" s="297"/>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4"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7" t="s">
        <v>117</v>
      </c>
      <c r="AB316" s="297"/>
      <c r="AC316" s="297"/>
      <c r="AE316" s="297" t="s">
        <v>118</v>
      </c>
      <c r="AF316" s="297"/>
      <c r="AG316" s="297"/>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4"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7" t="s">
        <v>128</v>
      </c>
      <c r="AB368" s="297"/>
      <c r="AC368" s="297"/>
      <c r="AE368" s="297" t="s">
        <v>129</v>
      </c>
      <c r="AF368" s="297"/>
      <c r="AG368" s="297"/>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4"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7" t="s">
        <v>131</v>
      </c>
      <c r="AB420" s="297"/>
      <c r="AC420" s="297"/>
      <c r="AE420" s="297" t="s">
        <v>132</v>
      </c>
      <c r="AF420" s="297"/>
      <c r="AG420" s="297"/>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4"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7" t="s">
        <v>133</v>
      </c>
      <c r="AB472" s="297"/>
      <c r="AC472" s="297"/>
      <c r="AE472" s="297" t="s">
        <v>134</v>
      </c>
      <c r="AF472" s="297"/>
      <c r="AG472" s="297"/>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4"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D97"/>
  <sheetViews>
    <sheetView zoomScale="75" zoomScaleNormal="75" workbookViewId="0">
      <pane xSplit="1" ySplit="1" topLeftCell="B2" activePane="bottomRight" state="frozen"/>
      <selection pane="topRight" activeCell="D9" sqref="D9"/>
      <selection pane="bottomLeft" activeCell="D9" sqref="D9"/>
      <selection pane="bottomRight" activeCell="C9" sqref="C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1" t="s">
        <v>144</v>
      </c>
      <c r="B2" s="252">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3" t="s">
        <v>148</v>
      </c>
      <c r="B3" s="254">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5" t="s">
        <v>152</v>
      </c>
      <c r="B4" s="254"/>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6" t="s">
        <v>153</v>
      </c>
      <c r="B5" s="254">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5" t="s">
        <v>155</v>
      </c>
      <c r="B6" s="254">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67" t="s">
        <v>157</v>
      </c>
      <c r="B7" s="254">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67" t="s">
        <v>159</v>
      </c>
      <c r="B8" s="254">
        <v>1</v>
      </c>
      <c r="C8" s="222">
        <v>1474975</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68" t="s">
        <v>160</v>
      </c>
      <c r="O8" s="171"/>
      <c r="P8" s="172"/>
    </row>
    <row r="9" spans="1:134" s="167" customFormat="1" x14ac:dyDescent="0.2">
      <c r="A9" s="267" t="s">
        <v>161</v>
      </c>
      <c r="B9" s="254">
        <v>2</v>
      </c>
      <c r="C9" s="222">
        <v>755707</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69" t="s">
        <v>162</v>
      </c>
      <c r="O9" s="121"/>
      <c r="P9" s="121"/>
    </row>
    <row r="10" spans="1:134" s="170" customFormat="1" ht="30" x14ac:dyDescent="0.2">
      <c r="A10" s="256" t="s">
        <v>163</v>
      </c>
      <c r="B10" s="254">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6" t="s">
        <v>165</v>
      </c>
      <c r="B11" s="254">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1" t="s">
        <v>166</v>
      </c>
      <c r="O11" s="120"/>
      <c r="P11" s="120"/>
    </row>
    <row r="12" spans="1:134" s="170" customFormat="1" ht="45" x14ac:dyDescent="0.2">
      <c r="A12" s="256" t="s">
        <v>167</v>
      </c>
      <c r="B12" s="254">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1" t="s">
        <v>168</v>
      </c>
      <c r="O12" s="120"/>
      <c r="P12" s="120"/>
    </row>
    <row r="13" spans="1:134" s="170" customFormat="1" x14ac:dyDescent="0.2">
      <c r="A13" s="253" t="s">
        <v>169</v>
      </c>
      <c r="B13" s="254">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2" t="s">
        <v>170</v>
      </c>
      <c r="O13" s="120"/>
      <c r="P13" s="120"/>
    </row>
    <row r="14" spans="1:134" s="167" customFormat="1" x14ac:dyDescent="0.2">
      <c r="A14" s="256" t="s">
        <v>171</v>
      </c>
      <c r="B14" s="254">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3" t="s">
        <v>173</v>
      </c>
      <c r="B15" s="254"/>
      <c r="C15" s="222">
        <f t="shared" si="0"/>
        <v>0</v>
      </c>
      <c r="D15" s="200"/>
      <c r="E15" s="223"/>
      <c r="F15" s="223"/>
      <c r="G15" s="200"/>
      <c r="H15" s="224" t="s">
        <v>174</v>
      </c>
      <c r="I15" s="225"/>
      <c r="J15" s="226"/>
      <c r="K15" s="200"/>
      <c r="L15" s="200"/>
      <c r="M15" s="227">
        <f t="shared" si="1"/>
        <v>0</v>
      </c>
      <c r="N15" s="232" t="s">
        <v>175</v>
      </c>
      <c r="O15" s="121"/>
      <c r="P15" s="121"/>
    </row>
    <row r="16" spans="1:134" s="104" customFormat="1" x14ac:dyDescent="0.2">
      <c r="A16" s="256" t="s">
        <v>176</v>
      </c>
      <c r="B16" s="254">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3" t="s">
        <v>177</v>
      </c>
      <c r="O16" s="121"/>
      <c r="P16" s="122"/>
    </row>
    <row r="17" spans="1:16" s="104" customFormat="1" ht="30" x14ac:dyDescent="0.2">
      <c r="A17" s="256" t="s">
        <v>178</v>
      </c>
      <c r="B17" s="254">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1" t="s">
        <v>179</v>
      </c>
      <c r="O17" s="121"/>
      <c r="P17" s="122"/>
    </row>
    <row r="18" spans="1:16" s="104" customFormat="1" ht="45" x14ac:dyDescent="0.2">
      <c r="A18" s="256" t="s">
        <v>180</v>
      </c>
      <c r="B18" s="254">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6" t="s">
        <v>182</v>
      </c>
      <c r="B19" s="254">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6" t="s">
        <v>184</v>
      </c>
      <c r="B20" s="254"/>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1" t="s">
        <v>185</v>
      </c>
      <c r="O20" s="121"/>
      <c r="P20" s="122"/>
    </row>
    <row r="21" spans="1:16" s="104" customFormat="1" ht="45" x14ac:dyDescent="0.2">
      <c r="A21" s="256" t="s">
        <v>186</v>
      </c>
      <c r="B21" s="254">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6" t="s">
        <v>188</v>
      </c>
      <c r="B22" s="254">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6" t="s">
        <v>190</v>
      </c>
      <c r="B23" s="254">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1" t="s">
        <v>191</v>
      </c>
      <c r="O23" s="121"/>
      <c r="P23" s="122"/>
    </row>
    <row r="24" spans="1:16" s="175" customFormat="1" ht="30" x14ac:dyDescent="0.2">
      <c r="A24" s="256" t="s">
        <v>192</v>
      </c>
      <c r="B24" s="254">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3" t="s">
        <v>193</v>
      </c>
      <c r="O24" s="173"/>
      <c r="P24" s="174"/>
    </row>
    <row r="25" spans="1:16" s="175" customFormat="1" ht="30" x14ac:dyDescent="0.2">
      <c r="A25" s="257" t="s">
        <v>194</v>
      </c>
      <c r="B25" s="258">
        <v>2</v>
      </c>
      <c r="C25" s="234">
        <f t="shared" si="0"/>
        <v>0</v>
      </c>
      <c r="D25" s="201"/>
      <c r="E25" s="235"/>
      <c r="F25" s="235"/>
      <c r="G25" s="201"/>
      <c r="H25" s="236"/>
      <c r="I25" s="237"/>
      <c r="J25" s="238"/>
      <c r="K25" s="201"/>
      <c r="L25" s="200"/>
      <c r="M25" s="227"/>
      <c r="N25" s="230" t="s">
        <v>195</v>
      </c>
      <c r="O25" s="173"/>
      <c r="P25" s="174"/>
    </row>
    <row r="26" spans="1:16" s="104" customFormat="1" x14ac:dyDescent="0.2">
      <c r="A26" s="256" t="s">
        <v>196</v>
      </c>
      <c r="B26" s="254">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3" t="s">
        <v>198</v>
      </c>
      <c r="B27" s="254">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2" t="s">
        <v>175</v>
      </c>
      <c r="O27" s="121"/>
      <c r="P27" s="122"/>
    </row>
    <row r="28" spans="1:16" s="104" customFormat="1" x14ac:dyDescent="0.2">
      <c r="A28" s="256" t="s">
        <v>199</v>
      </c>
      <c r="B28" s="254">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3" t="s">
        <v>201</v>
      </c>
      <c r="B29" s="254"/>
      <c r="C29" s="222">
        <f t="shared" si="0"/>
        <v>0</v>
      </c>
      <c r="D29" s="200"/>
      <c r="E29" s="223"/>
      <c r="F29" s="223"/>
      <c r="G29" s="200"/>
      <c r="H29" s="224" t="s">
        <v>149</v>
      </c>
      <c r="I29" s="225"/>
      <c r="J29" s="226"/>
      <c r="K29" s="200"/>
      <c r="L29" s="200"/>
      <c r="M29" s="227">
        <f t="shared" si="2"/>
        <v>0</v>
      </c>
      <c r="N29" s="232" t="s">
        <v>175</v>
      </c>
      <c r="O29" s="121"/>
      <c r="P29" s="122"/>
    </row>
    <row r="30" spans="1:16" s="104" customFormat="1" x14ac:dyDescent="0.2">
      <c r="A30" s="256" t="s">
        <v>202</v>
      </c>
      <c r="B30" s="254">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5" t="s">
        <v>204</v>
      </c>
      <c r="B31" s="254">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3" t="s">
        <v>206</v>
      </c>
      <c r="B32" s="254"/>
      <c r="C32" s="222">
        <f t="shared" si="0"/>
        <v>0</v>
      </c>
      <c r="D32" s="200"/>
      <c r="E32" s="223"/>
      <c r="F32" s="223"/>
      <c r="G32" s="200"/>
      <c r="H32" s="224" t="s">
        <v>149</v>
      </c>
      <c r="I32" s="225"/>
      <c r="J32" s="226"/>
      <c r="K32" s="200"/>
      <c r="L32" s="200"/>
      <c r="M32" s="227">
        <f t="shared" si="2"/>
        <v>0</v>
      </c>
      <c r="N32" s="232" t="s">
        <v>175</v>
      </c>
      <c r="O32" s="121"/>
      <c r="P32" s="122"/>
    </row>
    <row r="33" spans="1:16" s="104" customFormat="1" x14ac:dyDescent="0.2">
      <c r="A33" s="256" t="s">
        <v>207</v>
      </c>
      <c r="B33" s="254">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5" t="s">
        <v>209</v>
      </c>
      <c r="B34" s="254">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3" t="s">
        <v>211</v>
      </c>
      <c r="B35" s="254">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2" t="s">
        <v>212</v>
      </c>
      <c r="O35" s="121"/>
      <c r="P35" s="122"/>
    </row>
    <row r="36" spans="1:16" s="104" customFormat="1" x14ac:dyDescent="0.2">
      <c r="A36" s="253" t="s">
        <v>3</v>
      </c>
      <c r="B36" s="254">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2" t="s">
        <v>213</v>
      </c>
      <c r="O36" s="121"/>
      <c r="P36" s="122"/>
    </row>
    <row r="37" spans="1:16" s="104" customFormat="1" x14ac:dyDescent="0.2">
      <c r="A37" s="255" t="s">
        <v>214</v>
      </c>
      <c r="B37" s="254">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6" t="s">
        <v>216</v>
      </c>
      <c r="B38" s="254">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6" t="s">
        <v>218</v>
      </c>
      <c r="B39" s="254">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6" t="s">
        <v>220</v>
      </c>
      <c r="B40" s="254">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6" t="s">
        <v>222</v>
      </c>
      <c r="B41" s="254">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3" t="s">
        <v>224</v>
      </c>
      <c r="B42" s="254">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2" t="s">
        <v>225</v>
      </c>
      <c r="O42" s="120"/>
      <c r="P42" s="176"/>
    </row>
    <row r="43" spans="1:16" ht="15.75" x14ac:dyDescent="0.2">
      <c r="A43" s="256" t="s">
        <v>226</v>
      </c>
      <c r="B43" s="259">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3" t="s">
        <v>228</v>
      </c>
      <c r="B44" s="254">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2" t="s">
        <v>229</v>
      </c>
      <c r="O44" s="178"/>
      <c r="P44" s="179"/>
    </row>
    <row r="45" spans="1:16" s="104" customFormat="1" x14ac:dyDescent="0.2">
      <c r="A45" s="253" t="s">
        <v>230</v>
      </c>
      <c r="B45" s="254">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2" t="s">
        <v>231</v>
      </c>
      <c r="O45" s="121"/>
      <c r="P45" s="122"/>
    </row>
    <row r="46" spans="1:16" s="104" customFormat="1" ht="30" x14ac:dyDescent="0.2">
      <c r="A46" s="256" t="s">
        <v>232</v>
      </c>
      <c r="B46" s="254">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3" t="s">
        <v>234</v>
      </c>
      <c r="B47" s="254">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2" t="s">
        <v>235</v>
      </c>
      <c r="O47" s="181"/>
      <c r="P47" s="182"/>
    </row>
    <row r="48" spans="1:16" s="104" customFormat="1" ht="30" x14ac:dyDescent="0.2">
      <c r="A48" s="256" t="s">
        <v>236</v>
      </c>
      <c r="B48" s="254">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3" t="s">
        <v>238</v>
      </c>
      <c r="B49" s="254"/>
      <c r="C49" s="222">
        <f t="shared" si="0"/>
        <v>0</v>
      </c>
      <c r="D49" s="200"/>
      <c r="E49" s="223"/>
      <c r="F49" s="223"/>
      <c r="G49" s="200"/>
      <c r="H49" s="224" t="s">
        <v>149</v>
      </c>
      <c r="I49" s="225"/>
      <c r="J49" s="226"/>
      <c r="K49" s="200"/>
      <c r="L49" s="200"/>
      <c r="M49" s="227">
        <f t="shared" si="2"/>
        <v>0</v>
      </c>
      <c r="N49" s="232" t="s">
        <v>175</v>
      </c>
      <c r="O49" s="120"/>
      <c r="P49" s="176"/>
    </row>
    <row r="50" spans="1:74" x14ac:dyDescent="0.2">
      <c r="A50" s="253" t="s">
        <v>239</v>
      </c>
      <c r="B50" s="254">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2" t="s">
        <v>175</v>
      </c>
      <c r="O50" s="120"/>
      <c r="P50" s="176"/>
    </row>
    <row r="51" spans="1:74" ht="30" x14ac:dyDescent="0.2">
      <c r="A51" s="253" t="s">
        <v>241</v>
      </c>
      <c r="B51" s="254">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2" t="s">
        <v>175</v>
      </c>
      <c r="O51" s="120"/>
      <c r="P51" s="176"/>
    </row>
    <row r="52" spans="1:74" x14ac:dyDescent="0.2">
      <c r="A52" s="256" t="s">
        <v>242</v>
      </c>
      <c r="B52" s="254">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5" t="s">
        <v>244</v>
      </c>
      <c r="B53" s="254">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6" t="s">
        <v>245</v>
      </c>
      <c r="B54" s="254">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5" t="s">
        <v>247</v>
      </c>
      <c r="B55" s="254"/>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3" t="s">
        <v>249</v>
      </c>
      <c r="B56" s="254">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2"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6" t="s">
        <v>250</v>
      </c>
      <c r="B57" s="254"/>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6" t="s">
        <v>252</v>
      </c>
      <c r="B58" s="254">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3" t="s">
        <v>254</v>
      </c>
      <c r="B59" s="254">
        <v>2</v>
      </c>
      <c r="C59" s="222"/>
      <c r="D59" s="200"/>
      <c r="E59" s="223"/>
      <c r="F59" s="223"/>
      <c r="G59" s="200"/>
      <c r="H59" s="224"/>
      <c r="I59" s="225"/>
      <c r="J59" s="226"/>
      <c r="K59" s="200"/>
      <c r="L59" s="200"/>
      <c r="M59" s="227"/>
      <c r="N59" s="239" t="s">
        <v>255</v>
      </c>
      <c r="O59" s="121"/>
      <c r="P59" s="122"/>
    </row>
    <row r="60" spans="1:74" s="104" customFormat="1" x14ac:dyDescent="0.2">
      <c r="A60" s="256" t="s">
        <v>256</v>
      </c>
      <c r="B60" s="254">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0" t="s">
        <v>257</v>
      </c>
      <c r="O60" s="121"/>
      <c r="P60" s="122"/>
    </row>
    <row r="61" spans="1:74" x14ac:dyDescent="0.2">
      <c r="A61" s="256" t="s">
        <v>258</v>
      </c>
      <c r="B61" s="254">
        <v>3</v>
      </c>
      <c r="C61" s="222">
        <f t="shared" si="0"/>
        <v>16174456</v>
      </c>
      <c r="D61" s="200">
        <v>744674</v>
      </c>
      <c r="E61" s="223">
        <v>41243</v>
      </c>
      <c r="F61" s="223">
        <v>41306</v>
      </c>
      <c r="G61" s="241">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6" t="s">
        <v>260</v>
      </c>
      <c r="B62" s="254">
        <v>3</v>
      </c>
      <c r="C62" s="222">
        <f t="shared" si="0"/>
        <v>2821656</v>
      </c>
      <c r="D62" s="200">
        <v>340309</v>
      </c>
      <c r="E62" s="223">
        <v>41851</v>
      </c>
      <c r="F62" s="223">
        <v>41913</v>
      </c>
      <c r="G62" s="241">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6" t="s">
        <v>262</v>
      </c>
      <c r="B63" s="254">
        <v>3</v>
      </c>
      <c r="C63" s="222">
        <v>8195725</v>
      </c>
      <c r="D63" s="200">
        <v>397240</v>
      </c>
      <c r="E63" s="223">
        <v>43434</v>
      </c>
      <c r="F63" s="223">
        <v>43525</v>
      </c>
      <c r="G63" s="241">
        <v>8050853</v>
      </c>
      <c r="H63" s="224" t="s">
        <v>149</v>
      </c>
      <c r="I63" s="225" t="s">
        <v>150</v>
      </c>
      <c r="J63" s="226">
        <f>+IF(I63="West",(+VLOOKUP(E63,'[1]Weekly OPIS Averages'!$B$15:$J$323,9,FALSE)),(+VLOOKUP(E63,'[1]Weekly OPIS Averages'!$M$15:$U$323,9,FALSE)))</f>
        <v>3.3335833333333333</v>
      </c>
      <c r="K63" s="200">
        <v>5820249</v>
      </c>
      <c r="L63" s="200"/>
      <c r="M63" s="227">
        <f t="shared" si="2"/>
        <v>5820249</v>
      </c>
      <c r="N63" s="266" t="s">
        <v>287</v>
      </c>
      <c r="O63" s="120"/>
      <c r="P63" s="120"/>
      <c r="S63" s="183"/>
    </row>
    <row r="64" spans="1:74" s="167" customFormat="1" x14ac:dyDescent="0.2">
      <c r="A64" s="256" t="s">
        <v>263</v>
      </c>
      <c r="B64" s="254">
        <v>3</v>
      </c>
      <c r="C64" s="222">
        <f t="shared" si="0"/>
        <v>1810124</v>
      </c>
      <c r="D64" s="200">
        <v>98511</v>
      </c>
      <c r="E64" s="223">
        <v>40359</v>
      </c>
      <c r="F64" s="223">
        <v>40513</v>
      </c>
      <c r="G64" s="241">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0" t="s">
        <v>265</v>
      </c>
      <c r="B65" s="254">
        <v>3</v>
      </c>
      <c r="C65" s="222">
        <f t="shared" si="0"/>
        <v>59098312.600000001</v>
      </c>
      <c r="D65" s="200">
        <v>2225515</v>
      </c>
      <c r="E65" s="223">
        <v>42247</v>
      </c>
      <c r="F65" s="223">
        <v>42248</v>
      </c>
      <c r="G65" s="241">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2" t="s">
        <v>266</v>
      </c>
      <c r="O65" s="121"/>
      <c r="P65" s="121"/>
      <c r="S65" s="183"/>
    </row>
    <row r="66" spans="1:19" s="170" customFormat="1" x14ac:dyDescent="0.2">
      <c r="A66" s="256" t="s">
        <v>267</v>
      </c>
      <c r="B66" s="254">
        <v>3</v>
      </c>
      <c r="C66" s="222">
        <f t="shared" si="0"/>
        <v>10025512</v>
      </c>
      <c r="D66" s="200">
        <v>655544.39</v>
      </c>
      <c r="E66" s="223">
        <v>43312</v>
      </c>
      <c r="F66" s="223">
        <v>43435</v>
      </c>
      <c r="G66" s="241">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6" t="s">
        <v>269</v>
      </c>
      <c r="B67" s="254">
        <v>3</v>
      </c>
      <c r="C67" s="222">
        <f t="shared" si="0"/>
        <v>14580117</v>
      </c>
      <c r="D67" s="200">
        <v>19729</v>
      </c>
      <c r="E67" s="223">
        <v>40329</v>
      </c>
      <c r="F67" s="223">
        <v>44256</v>
      </c>
      <c r="G67" s="241">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6" t="s">
        <v>271</v>
      </c>
      <c r="B68" s="254">
        <v>3</v>
      </c>
      <c r="C68" s="222">
        <f t="shared" ref="C68:C72" si="3">+M68</f>
        <v>12563224.15</v>
      </c>
      <c r="D68" s="200">
        <v>467375</v>
      </c>
      <c r="E68" s="223">
        <v>42035</v>
      </c>
      <c r="F68" s="223">
        <v>42157</v>
      </c>
      <c r="G68" s="241">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6" t="s">
        <v>273</v>
      </c>
      <c r="B69" s="254"/>
      <c r="C69" s="222">
        <f t="shared" si="3"/>
        <v>3537623</v>
      </c>
      <c r="D69" s="200">
        <v>81851</v>
      </c>
      <c r="E69" s="223">
        <v>43465</v>
      </c>
      <c r="F69" s="223">
        <v>43647</v>
      </c>
      <c r="G69" s="241">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0" t="s">
        <v>275</v>
      </c>
      <c r="B70" s="254">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3" t="s">
        <v>276</v>
      </c>
      <c r="O70" s="120"/>
      <c r="P70" s="120"/>
    </row>
    <row r="71" spans="1:19" s="167" customFormat="1" x14ac:dyDescent="0.2">
      <c r="A71" s="256" t="s">
        <v>277</v>
      </c>
      <c r="B71" s="254">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1" t="s">
        <v>279</v>
      </c>
      <c r="B72" s="262">
        <v>1</v>
      </c>
      <c r="C72" s="244">
        <f t="shared" si="3"/>
        <v>2389472</v>
      </c>
      <c r="D72" s="202">
        <v>88349.23</v>
      </c>
      <c r="E72" s="245">
        <v>43465</v>
      </c>
      <c r="F72" s="245">
        <v>43619</v>
      </c>
      <c r="G72" s="202">
        <v>2499092</v>
      </c>
      <c r="H72" s="246" t="s">
        <v>149</v>
      </c>
      <c r="I72" s="247" t="s">
        <v>150</v>
      </c>
      <c r="J72" s="248">
        <f>+IF(I72="West",(+VLOOKUP(E72,'[1]Weekly OPIS Averages'!$B$15:$J$323,9,FALSE)),(+VLOOKUP(E72,'[1]Weekly OPIS Averages'!$M$15:$U$323,9,FALSE)))</f>
        <v>3.355166666666666</v>
      </c>
      <c r="K72" s="202">
        <v>2389472</v>
      </c>
      <c r="L72" s="202"/>
      <c r="M72" s="249">
        <f t="shared" si="2"/>
        <v>2389472</v>
      </c>
      <c r="N72" s="250"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8" t="s">
        <v>282</v>
      </c>
      <c r="D76" s="309"/>
      <c r="E76" s="210"/>
      <c r="F76" s="214"/>
      <c r="G76" s="193"/>
      <c r="H76" s="193"/>
      <c r="K76" s="194"/>
      <c r="M76" s="203">
        <f t="shared" si="5"/>
        <v>0</v>
      </c>
    </row>
    <row r="77" spans="1:19" x14ac:dyDescent="0.2">
      <c r="B77" s="191"/>
      <c r="C77" s="310" t="s">
        <v>283</v>
      </c>
      <c r="D77" s="311"/>
      <c r="E77" s="210"/>
      <c r="F77" s="214"/>
      <c r="G77" s="193"/>
      <c r="H77" s="193"/>
      <c r="K77" s="194"/>
      <c r="M77" s="203">
        <f t="shared" si="5"/>
        <v>0</v>
      </c>
    </row>
    <row r="78" spans="1:19" ht="15.75" thickBot="1" x14ac:dyDescent="0.25">
      <c r="B78" s="191"/>
      <c r="C78" s="312" t="s">
        <v>284</v>
      </c>
      <c r="D78" s="313"/>
      <c r="E78" s="210"/>
      <c r="F78" s="214"/>
      <c r="G78" s="193"/>
      <c r="H78" s="193"/>
      <c r="K78" s="194"/>
      <c r="L78" s="189">
        <f>+M75-K75</f>
        <v>863643</v>
      </c>
      <c r="M78" s="203">
        <f t="shared" si="5"/>
        <v>863643</v>
      </c>
    </row>
    <row r="79" spans="1:19" ht="15.75" thickBot="1" x14ac:dyDescent="0.25">
      <c r="B79" s="191"/>
      <c r="C79" s="314" t="s">
        <v>285</v>
      </c>
      <c r="D79" s="315"/>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B7D300F928154EBF1621989F5C0C25" ma:contentTypeVersion="20" ma:contentTypeDescription="" ma:contentTypeScope="" ma:versionID="84f21cad34808c7537093a1b2783475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2022-07-21T07:00:00+00:00</OpenedDate>
    <SignificantOrder xmlns="dc463f71-b30c-4ab2-9473-d307f9d35888">false</SignificantOrder>
    <Date1 xmlns="dc463f71-b30c-4ab2-9473-d307f9d35888">2022-07-21T07:00:00+00:00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220551</DocketNumber>
    <DelegatedOrder xmlns="dc463f71-b30c-4ab2-9473-d307f9d35888">false</DelegatedOrder>
  </documentManagement>
</p:properties>
</file>

<file path=customXml/itemProps1.xml><?xml version="1.0" encoding="utf-8"?>
<ds:datastoreItem xmlns:ds="http://schemas.openxmlformats.org/officeDocument/2006/customXml" ds:itemID="{01E3E712-9E9C-4E23-99B3-739B106E5664}"/>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2AE04566-4B1E-423E-8D5B-E4B2858804E5}"/>
</file>

<file path=customXml/itemProps5.xml><?xml version="1.0" encoding="utf-8"?>
<ds:datastoreItem xmlns:ds="http://schemas.openxmlformats.org/officeDocument/2006/customXml" ds:itemID="{1EA0C019-6FCB-418D-8BD9-06298B99E7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Heather Garland</cp:lastModifiedBy>
  <cp:revision/>
  <cp:lastPrinted>2022-07-21T21:20:13Z</cp:lastPrinted>
  <dcterms:created xsi:type="dcterms:W3CDTF">2005-10-11T17:22:03Z</dcterms:created>
  <dcterms:modified xsi:type="dcterms:W3CDTF">2022-07-21T21:20:40Z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0x0101006E56B4D1795A2E4DB2F0B01679ED314A0039B7D300F928154EBF1621989F5C0C25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