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5180" windowHeight="8415" activeTab="0"/>
  </bookViews>
  <sheets>
    <sheet name="WUTC_KENT_SF" sheetId="1" r:id="rId1"/>
    <sheet name="Value" sheetId="2" r:id="rId2"/>
    <sheet name="Commodity Tonnages" sheetId="3" r:id="rId3"/>
    <sheet name="Pricing" sheetId="4" r:id="rId4"/>
    <sheet name="Single Family" sheetId="5" r:id="rId5"/>
    <sheet name="RSA" sheetId="6" r:id="rId6"/>
    <sheet name="Recap"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fn.IFERROR" hidden="1">#NAME?</definedName>
    <definedName name="_xlfn.SINGLE" hidden="1">#NAME?</definedName>
    <definedName name="color" localSheetId="6">#REF!</definedName>
    <definedName name="color">#REF!</definedName>
    <definedName name="_xlnm.Print_Area" localSheetId="4">'Single Family'!$A$1:$O$98</definedName>
    <definedName name="_xlnm.Print_Area" localSheetId="0">'WUTC_KENT_SF'!$A$1:$J$66</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5"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comments7.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<sst xmlns="http://schemas.openxmlformats.org/spreadsheetml/2006/main" count="281" uniqueCount="143">
  <si>
    <t>Kent-Meridian Disposal</t>
  </si>
  <si>
    <t>Deferred Accounting Methodology</t>
  </si>
  <si>
    <t>Single Family</t>
  </si>
  <si>
    <t>Commodity</t>
  </si>
  <si>
    <t>Revenue</t>
  </si>
  <si>
    <t>Annual</t>
  </si>
  <si>
    <t>Month</t>
  </si>
  <si>
    <t>Customers</t>
  </si>
  <si>
    <t>per Customer</t>
  </si>
  <si>
    <t>(a)</t>
  </si>
  <si>
    <t>(c)</t>
  </si>
  <si>
    <t>(d)</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</si>
  <si>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</si>
  <si>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</si>
  <si>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</si>
  <si>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</si>
  <si>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</si>
  <si>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</si>
  <si>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</si>
  <si>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</si>
  <si>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</si>
  <si>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</si>
  <si>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</si>
  <si>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</si>
  <si>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</si>
  <si>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</si>
  <si>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</si>
  <si>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</si>
  <si>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</si>
  <si>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</si>
  <si>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</si>
  <si>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</si>
  <si>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</si>
  <si>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</si>
  <si>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</si>
  <si>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</si>
  <si>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</si>
  <si>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</si>
  <si>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</si>
  <si>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</si>
  <si>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</si>
  <si>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</si>
  <si>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</si>
  <si>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</si>
  <si>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</si>
  <si>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</si>
  <si>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</si>
  <si>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</si>
  <si>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</si>
  <si>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Glass (cont.)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</si>
  <si>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</si>
  <si>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</si>
  <si>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</si>
  <si>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</si>
  <si>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</si>
  <si>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</si>
  <si>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</si>
  <si>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</si>
  <si>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</si>
  <si>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</si>
  <si>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</si>
  <si>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</si>
  <si>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</si>
  <si>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</si>
  <si>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</si>
  <si>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</si>
  <si>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</si>
  <si>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</si>
  <si>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</si>
  <si>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</si>
  <si>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</si>
  <si>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</si>
  <si>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 xml:space="preserve"> True-up Computation</t>
  </si>
  <si>
    <t>Projected Debit</t>
  </si>
  <si>
    <t>Shrinkage</t>
  </si>
  <si>
    <t>Material Shrinkage</t>
  </si>
  <si>
    <t>Current six months</t>
  </si>
  <si>
    <t>Total twelve months</t>
  </si>
  <si>
    <t>Total Annual Customers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</si>
  <si>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</si>
  <si>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</si>
  <si>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</si>
  <si>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</si>
  <si>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</si>
  <si>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</si>
  <si>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</si>
  <si>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</si>
  <si>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</si>
  <si>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</si>
  <si>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</si>
  <si>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</si>
  <si>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</si>
  <si>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</si>
  <si>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Kent SF RSA Unspent</t>
  </si>
  <si>
    <t>Commodity Value versus Credits</t>
  </si>
  <si>
    <t>use for 6 month calculation</t>
  </si>
  <si>
    <t>Unspent RSA dollars</t>
  </si>
  <si>
    <t>Prior three months</t>
  </si>
  <si>
    <t>2021/2022 Monthly True-up Amount</t>
  </si>
  <si>
    <t>8/1/22 - 7/31/23 Adjusted Credit</t>
  </si>
  <si>
    <t>See King County letter requesting rollover into Plan Year #2</t>
  </si>
  <si>
    <t>Total Passback at end of 2 year plan year 2023</t>
  </si>
  <si>
    <t>King County RSA Plan Year 2021-2023</t>
  </si>
  <si>
    <t>Per RSA File</t>
  </si>
  <si>
    <t>Per UTC Filing</t>
  </si>
  <si>
    <t>Variance</t>
  </si>
  <si>
    <t>Current Month</t>
  </si>
  <si>
    <t>2021 - 2023</t>
  </si>
  <si>
    <t>Plan Spend</t>
  </si>
  <si>
    <t>50% RSA Retained</t>
  </si>
  <si>
    <t>50% Passed to Customers</t>
  </si>
  <si>
    <t>Commodity Revenue</t>
  </si>
  <si>
    <t>2021-2022</t>
  </si>
  <si>
    <t>2022-2023</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</si>
  <si>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</si>
  <si>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</si>
  <si>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</si>
  <si>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</si>
  <si>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</si>
  <si>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</si>
  <si>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</si>
  <si>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</si>
  <si>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</si>
  <si>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</si>
  <si>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2022-2021</t>
  </si>
  <si>
    <t xml:space="preserve">SeaTac Multi-Family Value </t>
  </si>
  <si>
    <t>Total Revenue Retained</t>
  </si>
  <si>
    <t>Actual Available Spend</t>
  </si>
  <si>
    <t>Year 1</t>
  </si>
  <si>
    <t>Division Spend</t>
  </si>
  <si>
    <t>Forecasted Yr 1</t>
  </si>
  <si>
    <t>Forecast Yr 2 ($$ received)</t>
  </si>
  <si>
    <t>Commodity Value</t>
  </si>
  <si>
    <t>Avg Tons / month</t>
  </si>
  <si>
    <t># months forecast</t>
  </si>
  <si>
    <t>Year 2</t>
  </si>
  <si>
    <t>Forecasted Yr 1 Value</t>
  </si>
  <si>
    <t>Forecasted Yr2 Value</t>
  </si>
  <si>
    <t>Forecasted Yr 1 Spend</t>
  </si>
  <si>
    <t>Forecasted Yr2 Spend</t>
  </si>
  <si>
    <t>Potential Rollover Amount to Yr 2</t>
  </si>
  <si>
    <t>Rollover Amount from Yr 1</t>
  </si>
  <si>
    <t>Forecasted Available Spend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</si>
</sst>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 numFmtId="178" formatCode="&quot;$&quot;#,##0.00"/>
    <numFmt numFmtId="179" formatCode="0.000"/>
    <numFmt numFmtId="180" formatCode="_(* #,##0.000_);_(* \(#,##0.000\);_(* &quot;-&quot;??_);_(@_)"/>
    <numFmt numFmtId="181"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1"/>
      <color indexed="12"/>
      <name val="Calibri"/>
      <family val="2"/>
    </font>
    <font>
      <b/>
      <sz val="12"/>
      <name val="Arial"/>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sz val="11"/>
      <color rgb="FF0000FF"/>
      <name val="Calibri"/>
      <family val="2"/>
    </font>
    <font>
      <sz val="11"/>
      <color theme="1" tint="0.34999001026153564"/>
      <name val="Calibri"/>
      <family val="2"/>
    </font>
    <font>
      <sz val="10"/>
      <color theme="1" tint="0.3499900102615356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style="thin"/>
      <right>
        <color indexed="63"/>
      </right>
      <top style="thin"/>
      <bottom style="thin"/>
    </border>
    <border>
      <left>
        <color indexed="63"/>
      </left>
      <right style="thin"/>
      <top style="thin"/>
      <bottom style="thin"/>
    </border>
    <border>
      <left/>
      <right style="hair"/>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Alignment="1">
      <alignment/>
    </xf>
    <xf numFmtId="0" fontId="1" fillId="0" borderId="0" xfId="68" applyFont="1">
      <alignment/>
      <protection/>
    </xf>
    <xf numFmtId="0" fontId="7" fillId="0" borderId="0" xfId="68" applyFont="1">
      <alignment/>
      <protection/>
    </xf>
    <xf numFmtId="0" fontId="7" fillId="0" borderId="0" xfId="68" applyFont="1" applyAlignment="1">
      <alignment horizontal="center"/>
      <protection/>
    </xf>
    <xf numFmtId="0" fontId="8" fillId="0" borderId="0" xfId="68" applyFont="1" applyAlignment="1">
      <alignment horizontal="center"/>
      <protection/>
    </xf>
    <xf numFmtId="0" fontId="6" fillId="0" borderId="0" xfId="68">
      <alignment/>
      <protection/>
    </xf>
    <xf numFmtId="0" fontId="9" fillId="0" borderId="0" xfId="68" applyFont="1">
      <alignment/>
      <protection/>
    </xf>
    <xf numFmtId="14" fontId="7" fillId="0" borderId="0" xfId="68" applyNumberFormat="1" applyFont="1" applyAlignment="1">
      <alignment horizontal="center"/>
      <protection/>
    </xf>
    <xf numFmtId="0" fontId="10" fillId="0" borderId="0" xfId="68" applyFont="1">
      <alignment/>
      <protection/>
    </xf>
    <xf numFmtId="0" fontId="11" fillId="0" borderId="0" xfId="68" applyFont="1">
      <alignment/>
      <protection/>
    </xf>
    <xf numFmtId="0" fontId="11" fillId="0" borderId="0" xfId="68" applyFont="1" applyAlignment="1">
      <alignment horizontal="center"/>
      <protection/>
    </xf>
    <xf numFmtId="0" fontId="9" fillId="0" borderId="0" xfId="68" applyFont="1" applyAlignment="1">
      <alignment horizontal="center"/>
      <protection/>
    </xf>
    <xf numFmtId="166" fontId="9" fillId="0" borderId="0" xfId="68" applyNumberFormat="1" applyFont="1" applyAlignment="1">
      <alignment horizontal="center"/>
      <protection/>
    </xf>
    <xf numFmtId="1" fontId="7" fillId="0" borderId="0" xfId="68" applyNumberFormat="1" applyFont="1">
      <alignment/>
      <protection/>
    </xf>
    <xf numFmtId="41" fontId="7" fillId="0" borderId="0" xfId="68" applyNumberFormat="1" applyFont="1">
      <alignment/>
      <protection/>
    </xf>
    <xf numFmtId="166" fontId="9" fillId="0" borderId="0" xfId="68" applyNumberFormat="1" applyFont="1">
      <alignment/>
      <protection/>
    </xf>
    <xf numFmtId="166" fontId="7" fillId="0" borderId="0" xfId="68" applyNumberFormat="1" applyFont="1">
      <alignment/>
      <protection/>
    </xf>
    <xf numFmtId="168" fontId="7" fillId="0" borderId="0" xfId="68" applyNumberFormat="1" applyFont="1" applyAlignment="1">
      <alignment horizontal="right"/>
      <protection/>
    </xf>
    <xf numFmtId="166" fontId="7" fillId="0" borderId="0" xfId="68" applyNumberFormat="1" applyFont="1" applyAlignment="1">
      <alignment horizontal="center"/>
      <protection/>
    </xf>
    <xf numFmtId="166" fontId="7" fillId="0" borderId="0" xfId="68" applyNumberFormat="1" applyFont="1" applyFill="1" applyAlignment="1">
      <alignment horizontal="center"/>
      <protection/>
    </xf>
    <xf numFmtId="41" fontId="13" fillId="0" borderId="0" xfId="68" applyNumberFormat="1" applyFont="1" applyAlignment="1">
      <alignment horizontal="left"/>
      <protection/>
    </xf>
    <xf numFmtId="41" fontId="7" fillId="0" borderId="10" xfId="68" applyNumberFormat="1" applyFont="1" applyBorder="1">
      <alignment/>
      <protection/>
    </xf>
    <xf numFmtId="167" fontId="7" fillId="0" borderId="0" xfId="68" applyNumberFormat="1" applyFont="1">
      <alignment/>
      <protection/>
    </xf>
    <xf numFmtId="166" fontId="6" fillId="0" borderId="0" xfId="68" applyNumberFormat="1">
      <alignment/>
      <protection/>
    </xf>
    <xf numFmtId="168" fontId="7" fillId="0" borderId="0" xfId="68" applyNumberFormat="1" applyFont="1">
      <alignment/>
      <protection/>
    </xf>
    <xf numFmtId="41" fontId="7" fillId="0" borderId="11" xfId="68" applyNumberFormat="1" applyFont="1" applyBorder="1">
      <alignment/>
      <protection/>
    </xf>
    <xf numFmtId="41" fontId="9" fillId="0" borderId="12" xfId="68" applyNumberFormat="1" applyFont="1" applyBorder="1">
      <alignment/>
      <protection/>
    </xf>
    <xf numFmtId="41" fontId="7" fillId="0" borderId="12" xfId="68" applyNumberFormat="1" applyFont="1" applyBorder="1">
      <alignment/>
      <protection/>
    </xf>
    <xf numFmtId="41" fontId="10" fillId="0" borderId="0" xfId="68" applyNumberFormat="1" applyFont="1">
      <alignment/>
      <protection/>
    </xf>
    <xf numFmtId="41" fontId="7" fillId="0" borderId="0" xfId="68" applyNumberFormat="1" applyFont="1" applyAlignment="1">
      <alignment horizontal="right"/>
      <protection/>
    </xf>
    <xf numFmtId="1" fontId="10" fillId="0" borderId="0" xfId="68" applyNumberFormat="1" applyFont="1">
      <alignment/>
      <protection/>
    </xf>
    <xf numFmtId="167" fontId="12" fillId="0" borderId="0" xfId="68" applyNumberFormat="1" applyFont="1">
      <alignment/>
      <protection/>
    </xf>
    <xf numFmtId="41" fontId="7" fillId="0" borderId="0" xfId="68" applyNumberFormat="1" applyFont="1" applyBorder="1">
      <alignment/>
      <protection/>
    </xf>
    <xf numFmtId="41" fontId="7" fillId="0" borderId="13" xfId="68" applyNumberFormat="1" applyFont="1" applyBorder="1">
      <alignment/>
      <protection/>
    </xf>
    <xf numFmtId="41" fontId="7" fillId="0" borderId="14" xfId="68" applyNumberFormat="1" applyFont="1" applyBorder="1">
      <alignment/>
      <protection/>
    </xf>
    <xf numFmtId="41" fontId="7" fillId="0" borderId="15" xfId="68" applyNumberFormat="1" applyFont="1" applyBorder="1">
      <alignment/>
      <protection/>
    </xf>
    <xf numFmtId="167" fontId="7" fillId="0" borderId="11" xfId="68" applyNumberFormat="1" applyFont="1" applyBorder="1">
      <alignment/>
      <protection/>
    </xf>
    <xf numFmtId="166" fontId="7" fillId="0" borderId="0" xfId="68" applyNumberFormat="1" applyFont="1" applyFill="1" applyBorder="1">
      <alignment/>
      <protection/>
    </xf>
    <xf numFmtId="168" fontId="7" fillId="0" borderId="0" xfId="68" applyNumberFormat="1" applyFont="1" applyFill="1" applyBorder="1" applyAlignment="1">
      <alignment horizontal="right"/>
      <protection/>
    </xf>
    <xf numFmtId="41" fontId="13" fillId="0" borderId="0" xfId="68" applyNumberFormat="1" applyFont="1" applyFill="1" applyBorder="1" applyAlignment="1">
      <alignment horizontal="left"/>
      <protection/>
    </xf>
    <xf numFmtId="41" fontId="7" fillId="0" borderId="0" xfId="68" applyNumberFormat="1" applyFont="1" applyFill="1" applyBorder="1">
      <alignment/>
      <protection/>
    </xf>
    <xf numFmtId="41" fontId="12" fillId="0" borderId="0" xfId="68" applyNumberFormat="1" applyFont="1" applyFill="1" applyBorder="1">
      <alignment/>
      <protection/>
    </xf>
    <xf numFmtId="1" fontId="7" fillId="0" borderId="0" xfId="68" applyNumberFormat="1" applyFont="1" applyFill="1" applyBorder="1">
      <alignment/>
      <protection/>
    </xf>
    <xf numFmtId="0" fontId="6" fillId="0" borderId="0" xfId="68" applyFill="1" applyBorder="1">
      <alignment/>
      <protection/>
    </xf>
    <xf numFmtId="166" fontId="6" fillId="0" borderId="0" xfId="68" applyNumberFormat="1" applyFill="1" applyBorder="1">
      <alignment/>
      <protection/>
    </xf>
    <xf numFmtId="168" fontId="7" fillId="0" borderId="0" xfId="68" applyNumberFormat="1" applyFont="1" applyFill="1" applyBorder="1">
      <alignment/>
      <protection/>
    </xf>
    <xf numFmtId="167" fontId="7" fillId="0" borderId="0" xfId="68" applyNumberFormat="1" applyFont="1" applyFill="1" applyBorder="1">
      <alignment/>
      <protection/>
    </xf>
    <xf numFmtId="166" fontId="7" fillId="0" borderId="13" xfId="68" applyNumberFormat="1" applyFont="1" applyBorder="1">
      <alignment/>
      <protection/>
    </xf>
    <xf numFmtId="166" fontId="7" fillId="0" borderId="15" xfId="68" applyNumberFormat="1" applyFont="1" applyBorder="1">
      <alignment/>
      <protection/>
    </xf>
    <xf numFmtId="2" fontId="6" fillId="0" borderId="0" xfId="68"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72"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8"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7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72" applyNumberFormat="1" applyFont="1" applyFill="1" applyAlignment="1">
      <alignment/>
    </xf>
    <xf numFmtId="10" fontId="7" fillId="0" borderId="0" xfId="72" applyNumberFormat="1" applyFont="1" applyAlignment="1">
      <alignment/>
    </xf>
    <xf numFmtId="10" fontId="9" fillId="34" borderId="0" xfId="72" applyNumberFormat="1" applyFont="1" applyFill="1" applyAlignment="1">
      <alignment/>
    </xf>
    <xf numFmtId="9" fontId="7" fillId="0" borderId="0" xfId="7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8" applyNumberFormat="1" applyFont="1" applyAlignment="1">
      <alignment horizontal="right"/>
      <protection/>
    </xf>
    <xf numFmtId="170" fontId="7" fillId="0" borderId="11" xfId="45" applyNumberFormat="1" applyFont="1" applyBorder="1" applyAlignment="1">
      <alignment/>
    </xf>
    <xf numFmtId="165" fontId="1" fillId="0" borderId="0" xfId="72" applyNumberFormat="1" applyFont="1" applyAlignment="1">
      <alignment/>
    </xf>
    <xf numFmtId="0" fontId="16" fillId="0" borderId="16" xfId="68" applyFont="1" applyBorder="1" applyAlignment="1">
      <alignment horizontal="center"/>
      <protection/>
    </xf>
    <xf numFmtId="0" fontId="7" fillId="0" borderId="0" xfId="68" applyFont="1" applyBorder="1">
      <alignment/>
      <protection/>
    </xf>
    <xf numFmtId="166" fontId="16" fillId="0" borderId="17" xfId="68" applyNumberFormat="1" applyFont="1" applyBorder="1" applyAlignment="1">
      <alignment horizontal="center"/>
      <protection/>
    </xf>
    <xf numFmtId="166" fontId="7" fillId="0" borderId="0" xfId="68" applyNumberFormat="1" applyFont="1" applyBorder="1">
      <alignment/>
      <protection/>
    </xf>
    <xf numFmtId="166" fontId="17" fillId="0" borderId="17" xfId="68" applyNumberFormat="1" applyFont="1" applyFill="1" applyBorder="1" applyAlignment="1">
      <alignment horizontal="center"/>
      <protection/>
    </xf>
    <xf numFmtId="41" fontId="13" fillId="0" borderId="17" xfId="68" applyNumberFormat="1" applyFont="1" applyBorder="1">
      <alignment/>
      <protection/>
    </xf>
    <xf numFmtId="166" fontId="9" fillId="0" borderId="0" xfId="68" applyNumberFormat="1" applyFont="1" applyBorder="1">
      <alignment/>
      <protection/>
    </xf>
    <xf numFmtId="0" fontId="6" fillId="0" borderId="0" xfId="68" applyBorder="1">
      <alignment/>
      <protection/>
    </xf>
    <xf numFmtId="167" fontId="9" fillId="0" borderId="17" xfId="68" applyNumberFormat="1" applyFont="1" applyBorder="1">
      <alignment/>
      <protection/>
    </xf>
    <xf numFmtId="41" fontId="7" fillId="0" borderId="18" xfId="68" applyNumberFormat="1" applyFont="1" applyBorder="1">
      <alignment/>
      <protection/>
    </xf>
    <xf numFmtId="165" fontId="7" fillId="0" borderId="0" xfId="72"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9"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5" xfId="68" applyNumberFormat="1" applyFont="1" applyBorder="1">
      <alignment/>
      <protection/>
    </xf>
    <xf numFmtId="166" fontId="7" fillId="36" borderId="11" xfId="68" applyNumberFormat="1" applyFont="1" applyFill="1" applyBorder="1">
      <alignment/>
      <protection/>
    </xf>
    <xf numFmtId="41" fontId="12" fillId="36" borderId="0" xfId="68" applyNumberFormat="1" applyFont="1" applyFill="1" applyAlignment="1">
      <alignment horizontal="center"/>
      <protection/>
    </xf>
    <xf numFmtId="41" fontId="12" fillId="36" borderId="0" xfId="68" applyNumberFormat="1" applyFont="1" applyFill="1">
      <alignment/>
      <protection/>
    </xf>
    <xf numFmtId="166" fontId="7" fillId="37" borderId="0" xfId="68" applyNumberFormat="1" applyFont="1" applyFill="1">
      <alignment/>
      <protection/>
    </xf>
    <xf numFmtId="9" fontId="7" fillId="37" borderId="19" xfId="72" applyFont="1" applyFill="1" applyBorder="1" applyAlignment="1">
      <alignment/>
    </xf>
    <xf numFmtId="165" fontId="61" fillId="38" borderId="21" xfId="72"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xf numFmtId="37" fontId="7" fillId="0" borderId="0" xfId="68" applyNumberFormat="1" applyFont="1" applyFill="1" applyAlignment="1">
      <alignment horizontal="center"/>
      <protection/>
    </xf>
    <xf numFmtId="0" fontId="1" fillId="0" borderId="22" xfId="0" applyFont="1" applyBorder="1" applyAlignment="1">
      <alignment/>
    </xf>
    <xf numFmtId="0" fontId="1" fillId="0" borderId="23" xfId="0" applyFont="1" applyBorder="1" applyAlignment="1">
      <alignment/>
    </xf>
    <xf numFmtId="178" fontId="1" fillId="0" borderId="24" xfId="0" applyNumberFormat="1" applyFont="1" applyBorder="1" applyAlignment="1">
      <alignment/>
    </xf>
    <xf numFmtId="178" fontId="0" fillId="0" borderId="0" xfId="0" applyNumberFormat="1" applyAlignment="1">
      <alignment/>
    </xf>
    <xf numFmtId="0" fontId="1" fillId="0" borderId="0" xfId="0" applyFont="1" applyAlignment="1">
      <alignment/>
    </xf>
    <xf numFmtId="178" fontId="0" fillId="32" borderId="19" xfId="0" applyNumberFormat="1" applyFill="1" applyBorder="1" applyAlignment="1">
      <alignment/>
    </xf>
    <xf numFmtId="178" fontId="0" fillId="0" borderId="19" xfId="0" applyNumberFormat="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78" fontId="1" fillId="0" borderId="0" xfId="0" applyNumberFormat="1" applyFont="1" applyAlignment="1">
      <alignment/>
    </xf>
    <xf numFmtId="44" fontId="0" fillId="0" borderId="19" xfId="45"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79" fontId="0" fillId="0" borderId="0" xfId="0" applyNumberFormat="1" applyAlignment="1">
      <alignment/>
    </xf>
    <xf numFmtId="180" fontId="7" fillId="0" borderId="0" xfId="42" applyNumberFormat="1" applyFont="1" applyAlignment="1">
      <alignment/>
    </xf>
    <xf numFmtId="44" fontId="7" fillId="33" borderId="19" xfId="45" applyFont="1" applyFill="1" applyBorder="1" applyAlignment="1">
      <alignment/>
    </xf>
    <xf numFmtId="44" fontId="7" fillId="33" borderId="19" xfId="45" applyFont="1" applyFill="1" applyBorder="1" applyAlignment="1">
      <alignment horizontal="center"/>
    </xf>
    <xf numFmtId="44" fontId="62" fillId="33" borderId="19" xfId="45" applyFont="1" applyFill="1" applyBorder="1" applyAlignment="1">
      <alignment/>
    </xf>
    <xf numFmtId="44" fontId="62" fillId="33" borderId="19" xfId="45" applyFont="1" applyFill="1" applyBorder="1" applyAlignment="1">
      <alignment horizontal="center"/>
    </xf>
    <xf numFmtId="171" fontId="61" fillId="0" borderId="0" xfId="47" applyNumberFormat="1" applyFont="1" applyFill="1" applyBorder="1" applyAlignment="1">
      <alignment/>
    </xf>
    <xf numFmtId="0" fontId="0" fillId="0" borderId="0" xfId="0" applyAlignment="1">
      <alignment wrapText="1"/>
    </xf>
    <xf numFmtId="44" fontId="0" fillId="0" borderId="0" xfId="45" applyFont="1" applyAlignment="1">
      <alignment/>
    </xf>
    <xf numFmtId="181" fontId="61" fillId="38" borderId="25" xfId="47" applyNumberFormat="1" applyFont="1" applyFill="1" applyBorder="1" applyAlignment="1">
      <alignment/>
    </xf>
    <xf numFmtId="181" fontId="63" fillId="38" borderId="21" xfId="0" applyNumberFormat="1" applyFont="1" applyFill="1" applyBorder="1" applyAlignment="1">
      <alignment/>
    </xf>
    <xf numFmtId="0" fontId="41" fillId="39" borderId="26" xfId="65" applyFont="1" applyFill="1" applyBorder="1">
      <alignment/>
      <protection/>
    </xf>
    <xf numFmtId="171" fontId="0" fillId="39" borderId="10" xfId="65" applyNumberFormat="1" applyFont="1" applyFill="1" applyBorder="1">
      <alignment/>
      <protection/>
    </xf>
    <xf numFmtId="0" fontId="0" fillId="39" borderId="10" xfId="65" applyFont="1" applyFill="1" applyBorder="1">
      <alignment/>
      <protection/>
    </xf>
    <xf numFmtId="171" fontId="0" fillId="39" borderId="27" xfId="48" applyNumberFormat="1" applyFont="1" applyFill="1" applyBorder="1" applyAlignment="1">
      <alignment/>
    </xf>
    <xf numFmtId="0" fontId="0" fillId="0" borderId="0" xfId="65" applyFont="1">
      <alignment/>
      <protection/>
    </xf>
    <xf numFmtId="171" fontId="0" fillId="0" borderId="0" xfId="65" applyNumberFormat="1" applyFont="1">
      <alignment/>
      <protection/>
    </xf>
    <xf numFmtId="0" fontId="0" fillId="0" borderId="0" xfId="65" applyFont="1">
      <alignment/>
      <protection/>
    </xf>
    <xf numFmtId="171" fontId="0" fillId="0" borderId="0" xfId="48" applyNumberFormat="1" applyFont="1" applyAlignment="1">
      <alignment/>
    </xf>
    <xf numFmtId="0" fontId="61" fillId="40" borderId="10" xfId="62" applyFont="1" applyFill="1" applyBorder="1" applyAlignment="1">
      <alignment horizontal="center"/>
      <protection/>
    </xf>
    <xf numFmtId="0" fontId="61" fillId="40" borderId="28" xfId="62" applyFont="1" applyFill="1" applyBorder="1" applyAlignment="1">
      <alignment horizontal="center"/>
      <protection/>
    </xf>
    <xf numFmtId="171" fontId="0" fillId="0" borderId="29" xfId="0" applyNumberFormat="1" applyFont="1" applyBorder="1" applyAlignment="1">
      <alignment horizontal="center"/>
    </xf>
    <xf numFmtId="171" fontId="0" fillId="0" borderId="29" xfId="0" applyNumberFormat="1" applyBorder="1" applyAlignment="1">
      <alignment/>
    </xf>
    <xf numFmtId="171" fontId="0" fillId="0" borderId="29" xfId="45" applyNumberFormat="1" applyFont="1" applyBorder="1" applyAlignment="1">
      <alignment horizontal="center"/>
    </xf>
    <xf numFmtId="0" fontId="61" fillId="40" borderId="30" xfId="62" applyFont="1" applyFill="1" applyBorder="1" applyAlignment="1">
      <alignment horizontal="center"/>
      <protection/>
    </xf>
    <xf numFmtId="0" fontId="61" fillId="0" borderId="0" xfId="62"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1" fontId="61" fillId="0" borderId="19" xfId="47" applyNumberFormat="1" applyFont="1" applyFill="1" applyBorder="1" applyAlignment="1">
      <alignment/>
    </xf>
    <xf numFmtId="0" fontId="0" fillId="0" borderId="0" xfId="0" applyAlignment="1">
      <alignment horizontal="center" wrapText="1"/>
    </xf>
    <xf numFmtId="171" fontId="61" fillId="40" borderId="30" xfId="48" applyNumberFormat="1" applyFont="1" applyFill="1" applyBorder="1" applyAlignment="1">
      <alignment horizontal="center"/>
    </xf>
    <xf numFmtId="0" fontId="61" fillId="40" borderId="0" xfId="62" applyFont="1" applyFill="1" applyAlignment="1">
      <alignment horizontal="center"/>
      <protection/>
    </xf>
    <xf numFmtId="171" fontId="0" fillId="0" borderId="0" xfId="0" applyNumberFormat="1" applyAlignment="1">
      <alignment/>
    </xf>
    <xf numFmtId="0" fontId="1" fillId="0" borderId="0" xfId="0" applyFont="1" applyAlignment="1">
      <alignment horizontal="left"/>
    </xf>
    <xf numFmtId="44" fontId="1" fillId="0" borderId="31" xfId="45" applyFont="1" applyBorder="1" applyAlignment="1">
      <alignment/>
    </xf>
    <xf numFmtId="0" fontId="0" fillId="0" borderId="0" xfId="0" applyFont="1" applyAlignment="1">
      <alignment horizontal="right"/>
    </xf>
    <xf numFmtId="44" fontId="1" fillId="0" borderId="31" xfId="0" applyNumberFormat="1" applyFont="1" applyBorder="1" applyAlignment="1">
      <alignment horizontal="right"/>
    </xf>
    <xf numFmtId="0" fontId="61" fillId="40" borderId="19" xfId="62" applyFont="1" applyFill="1" applyBorder="1" applyAlignment="1">
      <alignment horizontal="center"/>
      <protection/>
    </xf>
    <xf numFmtId="0" fontId="0" fillId="40" borderId="19" xfId="0" applyFill="1" applyBorder="1" applyAlignment="1">
      <alignment/>
    </xf>
    <xf numFmtId="0" fontId="64" fillId="0" borderId="0" xfId="0" applyFont="1" applyAlignment="1">
      <alignment/>
    </xf>
    <xf numFmtId="0" fontId="65" fillId="2" borderId="26" xfId="62" applyFont="1" applyFill="1" applyBorder="1" applyAlignment="1">
      <alignment horizontal="center"/>
      <protection/>
    </xf>
    <xf numFmtId="0" fontId="65" fillId="2" borderId="10" xfId="62" applyFont="1" applyFill="1" applyBorder="1" applyAlignment="1">
      <alignment horizontal="center"/>
      <protection/>
    </xf>
    <xf numFmtId="0" fontId="65" fillId="2" borderId="27" xfId="62" applyFont="1" applyFill="1" applyBorder="1" applyAlignment="1">
      <alignment horizontal="center"/>
      <protection/>
    </xf>
    <xf numFmtId="0" fontId="65" fillId="2" borderId="32" xfId="62" applyFont="1" applyFill="1" applyBorder="1" applyAlignment="1">
      <alignment horizontal="center"/>
      <protection/>
    </xf>
    <xf numFmtId="0" fontId="65" fillId="2" borderId="30" xfId="62" applyFont="1" applyFill="1" applyBorder="1" applyAlignment="1">
      <alignment horizontal="center"/>
      <protection/>
    </xf>
    <xf numFmtId="0" fontId="65" fillId="2" borderId="33" xfId="62" applyFont="1" applyFill="1" applyBorder="1" applyAlignment="1">
      <alignment horizontal="center"/>
      <protection/>
    </xf>
    <xf numFmtId="44" fontId="0" fillId="38" borderId="0" xfId="0" applyNumberFormat="1" applyFont="1" applyFill="1" applyAlignment="1">
      <alignment horizontal="right"/>
    </xf>
    <xf numFmtId="44" fontId="0" fillId="38" borderId="0" xfId="45" applyFont="1" applyFill="1" applyAlignment="1">
      <alignment/>
    </xf>
    <xf numFmtId="0" fontId="65" fillId="2" borderId="10" xfId="62" applyFont="1" applyFill="1" applyBorder="1" applyAlignment="1">
      <alignment horizontal="center"/>
      <protection/>
    </xf>
    <xf numFmtId="171" fontId="65" fillId="2" borderId="19" xfId="47" applyNumberFormat="1" applyFont="1" applyFill="1" applyBorder="1" applyAlignment="1">
      <alignment/>
    </xf>
    <xf numFmtId="171" fontId="65" fillId="2" borderId="34" xfId="48" applyNumberFormat="1" applyFont="1" applyFill="1" applyBorder="1" applyAlignment="1">
      <alignment horizontal="center"/>
    </xf>
    <xf numFmtId="171" fontId="65" fillId="2" borderId="35" xfId="48" applyNumberFormat="1" applyFont="1" applyFill="1" applyBorder="1" applyAlignment="1">
      <alignment horizontal="center"/>
    </xf>
    <xf numFmtId="171" fontId="65" fillId="2" borderId="36" xfId="48" applyNumberFormat="1" applyFont="1" applyFill="1" applyBorder="1" applyAlignment="1">
      <alignment horizontal="center"/>
    </xf>
    <xf numFmtId="0" fontId="61" fillId="40" borderId="37" xfId="62" applyFont="1" applyFill="1" applyBorder="1">
      <alignment/>
      <protection/>
    </xf>
    <xf numFmtId="0" fontId="61" fillId="40" borderId="38" xfId="62" applyFont="1" applyFill="1" applyBorder="1">
      <alignment/>
      <protection/>
    </xf>
    <xf numFmtId="0" fontId="61" fillId="0" borderId="0" xfId="62" applyFont="1">
      <alignment/>
      <protection/>
    </xf>
    <xf numFmtId="0" fontId="61" fillId="40" borderId="19" xfId="62" applyFont="1" applyFill="1" applyBorder="1">
      <alignment/>
      <protection/>
    </xf>
    <xf numFmtId="0" fontId="61" fillId="40" borderId="19" xfId="62" applyFont="1" applyFill="1" applyBorder="1" applyAlignment="1">
      <alignment wrapText="1"/>
      <protection/>
    </xf>
    <xf numFmtId="171" fontId="0" fillId="0" borderId="0" xfId="45" applyNumberFormat="1" applyFont="1" applyBorder="1" applyAlignment="1">
      <alignment/>
    </xf>
    <xf numFmtId="0" fontId="61" fillId="40" borderId="26" xfId="62" applyFont="1" applyFill="1" applyBorder="1" applyAlignment="1">
      <alignment horizontal="center"/>
      <protection/>
    </xf>
    <xf numFmtId="171" fontId="63" fillId="38" borderId="39" xfId="48" applyNumberFormat="1" applyFont="1" applyFill="1" applyBorder="1" applyAlignment="1">
      <alignment/>
    </xf>
    <xf numFmtId="0" fontId="61" fillId="40" borderId="19" xfId="62" applyFont="1" applyFill="1" applyBorder="1" applyAlignment="1">
      <alignment horizontal="center"/>
      <protection/>
    </xf>
    <xf numFmtId="171" fontId="63" fillId="38" borderId="19" xfId="48" applyNumberFormat="1" applyFont="1" applyFill="1" applyBorder="1" applyAlignment="1">
      <alignment wrapText="1"/>
    </xf>
    <xf numFmtId="0" fontId="61" fillId="40" borderId="34" xfId="62" applyFont="1" applyFill="1" applyBorder="1" applyAlignment="1">
      <alignment horizontal="center"/>
      <protection/>
    </xf>
    <xf numFmtId="164" fontId="61" fillId="0" borderId="19" xfId="42" applyNumberFormat="1" applyFont="1" applyFill="1" applyBorder="1" applyAlignment="1">
      <alignment/>
    </xf>
    <xf numFmtId="164" fontId="61" fillId="0" borderId="40" xfId="42" applyNumberFormat="1" applyFont="1" applyFill="1" applyBorder="1" applyAlignment="1">
      <alignment wrapText="1"/>
    </xf>
    <xf numFmtId="0" fontId="63" fillId="38" borderId="39" xfId="0" applyFont="1" applyFill="1" applyBorder="1" applyAlignment="1">
      <alignment/>
    </xf>
    <xf numFmtId="0" fontId="63" fillId="38" borderId="19" xfId="0" applyFont="1" applyFill="1" applyBorder="1" applyAlignment="1">
      <alignment wrapText="1"/>
    </xf>
    <xf numFmtId="0" fontId="61" fillId="40" borderId="32" xfId="62" applyFont="1" applyFill="1" applyBorder="1" applyAlignment="1">
      <alignment horizontal="center"/>
      <protection/>
    </xf>
    <xf numFmtId="171" fontId="61" fillId="40" borderId="27" xfId="48" applyNumberFormat="1" applyFont="1" applyFill="1" applyBorder="1" applyAlignment="1">
      <alignment horizontal="center"/>
    </xf>
    <xf numFmtId="171" fontId="61" fillId="40" borderId="19" xfId="48" applyNumberFormat="1" applyFont="1" applyFill="1" applyBorder="1" applyAlignment="1">
      <alignment horizontal="center" wrapText="1"/>
    </xf>
    <xf numFmtId="0" fontId="61" fillId="40" borderId="41" xfId="62" applyFont="1" applyFill="1" applyBorder="1" applyAlignment="1">
      <alignment horizontal="center"/>
      <protection/>
    </xf>
    <xf numFmtId="0" fontId="63" fillId="40" borderId="17" xfId="62" applyFont="1" applyFill="1" applyBorder="1" applyAlignment="1">
      <alignment horizontal="center"/>
      <protection/>
    </xf>
    <xf numFmtId="171" fontId="44" fillId="0" borderId="0" xfId="0" applyNumberFormat="1" applyFont="1" applyAlignment="1">
      <alignment wrapText="1"/>
    </xf>
    <xf numFmtId="0" fontId="61" fillId="40" borderId="41" xfId="62" applyFont="1" applyFill="1" applyBorder="1" applyAlignment="1">
      <alignment horizontal="center" wrapText="1"/>
      <protection/>
    </xf>
    <xf numFmtId="0" fontId="63" fillId="40" borderId="0" xfId="62" applyFont="1" applyFill="1" applyAlignment="1">
      <alignment horizontal="center"/>
      <protection/>
    </xf>
    <xf numFmtId="171" fontId="44" fillId="0" borderId="0" xfId="48" applyNumberFormat="1" applyFont="1" applyFill="1" applyBorder="1" applyAlignment="1">
      <alignment horizontal="center" wrapText="1"/>
    </xf>
    <xf numFmtId="171" fontId="61" fillId="0" borderId="0" xfId="48" applyNumberFormat="1" applyFont="1" applyFill="1" applyBorder="1" applyAlignment="1">
      <alignment horizont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2 3" xfId="48"/>
    <cellStyle name="Currency 3" xfId="49"/>
    <cellStyle name="Currency 3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2" xfId="62"/>
    <cellStyle name="Normal 2" xfId="63"/>
    <cellStyle name="Normal 2 3" xfId="64"/>
    <cellStyle name="Normal 2 3 2" xfId="65"/>
    <cellStyle name="Normal 3" xfId="66"/>
    <cellStyle name="Normal 4" xfId="67"/>
    <cellStyle name="Normal_98REC_CR" xfId="68"/>
    <cellStyle name="Note" xfId="69"/>
    <cellStyle name="Note 2"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133350</xdr:rowOff>
    </xdr:to>
    <xdr:sp>
      <xdr:nvSpPr>
        <xdr:cNvPr id="1" name="Double Bracket 1"/>
        <xdr:cNvSpPr>
          <a:spLocks/>
        </xdr:cNvSpPr>
      </xdr:nvSpPr>
      <xdr:spPr>
        <a:xfrm>
          <a:off x="9620250" y="122682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2\4172_4176_4183%20RSA%20King%20Co%20Workbook_21-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2">
        <row r="29">
          <cell r="P29">
            <v>0</v>
          </cell>
        </row>
        <row r="30">
          <cell r="P30">
            <v>0</v>
          </cell>
        </row>
        <row r="31">
          <cell r="P31">
            <v>0</v>
          </cell>
        </row>
      </sheetData>
      <sheetData sheetId="3">
        <row r="32">
          <cell r="P32">
            <v>215.88</v>
          </cell>
        </row>
        <row r="34">
          <cell r="P34">
            <v>77.71679999999999</v>
          </cell>
        </row>
        <row r="35">
          <cell r="P35">
            <v>112.25760000000001</v>
          </cell>
        </row>
        <row r="36">
          <cell r="P36">
            <v>25.9056</v>
          </cell>
        </row>
      </sheetData>
      <sheetData sheetId="4">
        <row r="29">
          <cell r="P29">
            <v>0</v>
          </cell>
        </row>
      </sheetData>
      <sheetData sheetId="5">
        <row r="38">
          <cell r="I38">
            <v>2629.6666666666674</v>
          </cell>
        </row>
      </sheetData>
      <sheetData sheetId="6">
        <row r="38">
          <cell r="I38">
            <v>0</v>
          </cell>
        </row>
      </sheetData>
      <sheetData sheetId="7">
        <row r="22">
          <cell r="P22">
            <v>643.0833333333334</v>
          </cell>
        </row>
        <row r="23">
          <cell r="P23">
            <v>10610.872</v>
          </cell>
        </row>
        <row r="24">
          <cell r="P24">
            <v>7073.914666666669</v>
          </cell>
        </row>
        <row r="25">
          <cell r="P25">
            <v>18327.870000000003</v>
          </cell>
        </row>
        <row r="31">
          <cell r="P31">
            <v>0</v>
          </cell>
        </row>
        <row r="32">
          <cell r="P32">
            <v>0</v>
          </cell>
        </row>
        <row r="33">
          <cell r="P33">
            <v>0</v>
          </cell>
        </row>
        <row r="34">
          <cell r="P34">
            <v>0</v>
          </cell>
        </row>
      </sheetData>
      <sheetData sheetId="8">
        <row r="17">
          <cell r="F17">
            <v>96988.7</v>
          </cell>
          <cell r="M17">
            <v>170514.11</v>
          </cell>
          <cell r="T17">
            <v>34786.2</v>
          </cell>
          <cell r="V17">
            <v>12888.999999999998</v>
          </cell>
        </row>
        <row r="33">
          <cell r="F33">
            <v>0</v>
          </cell>
          <cell r="M33">
            <v>0</v>
          </cell>
          <cell r="T33">
            <v>0</v>
          </cell>
        </row>
      </sheetData>
      <sheetData sheetId="9">
        <row r="17">
          <cell r="F17">
            <v>8687.720000000001</v>
          </cell>
          <cell r="M17">
            <v>1738.4599999999998</v>
          </cell>
          <cell r="T17">
            <v>1900.98</v>
          </cell>
          <cell r="V17">
            <v>536.03</v>
          </cell>
        </row>
        <row r="34">
          <cell r="F34">
            <v>0</v>
          </cell>
          <cell r="M34">
            <v>0</v>
          </cell>
          <cell r="T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90" zoomScaleNormal="90" zoomScalePageLayoutView="9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50</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2022</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09" t="str">
        <f>"Total "&amp;F5</f>
        <v>Total Commodity</v>
      </c>
      <c r="P5" s="110"/>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1" t="str">
        <f>+F6</f>
        <v>Revenue</v>
      </c>
      <c r="P6" s="112"/>
    </row>
    <row r="7" spans="1:16" s="16" customFormat="1" ht="11.25">
      <c r="A7" s="15" t="s">
        <v>6</v>
      </c>
      <c r="B7" s="12" t="s">
        <v>7</v>
      </c>
      <c r="C7" s="12"/>
      <c r="D7" s="12" t="s">
        <v>4</v>
      </c>
      <c r="E7" s="12"/>
      <c r="F7" s="12" t="s">
        <v>8</v>
      </c>
      <c r="G7" s="12"/>
      <c r="H7" s="12"/>
      <c r="I7" s="12"/>
      <c r="J7" s="12" t="s">
        <v>7</v>
      </c>
      <c r="K7" s="12"/>
      <c r="O7" s="111" t="str">
        <f>+F7</f>
        <v>per Customer</v>
      </c>
      <c r="P7" s="112"/>
    </row>
    <row r="8" spans="1:16" s="16" customFormat="1" ht="11.25">
      <c r="A8" s="17">
        <f>+'Single Family'!C6</f>
        <v>44317</v>
      </c>
      <c r="B8" s="140">
        <v>21856</v>
      </c>
      <c r="C8" s="18"/>
      <c r="D8" s="19">
        <f>VLOOKUP(A8,Value!$A$6:$O$17,15,)</f>
        <v>12049.619134144</v>
      </c>
      <c r="E8" s="18"/>
      <c r="F8" s="71">
        <f aca="true" t="shared" si="0" ref="F8:F16">ROUND(D8/B8,2)</f>
        <v>0.55</v>
      </c>
      <c r="G8" s="18"/>
      <c r="H8" s="18"/>
      <c r="I8" s="18"/>
      <c r="J8" s="14">
        <f aca="true" t="shared" si="1" ref="J8:J16">+B8</f>
        <v>21856</v>
      </c>
      <c r="K8" s="13">
        <f aca="true" t="shared" si="2" ref="K8:K22">YEAR(A8)</f>
        <v>2021</v>
      </c>
      <c r="O8" s="113">
        <f>VLOOKUP(A8,Value!$A$7:$N$18,13,FALSE)</f>
        <v>24099.238268288</v>
      </c>
      <c r="P8" s="112"/>
    </row>
    <row r="9" spans="1:16" s="16" customFormat="1" ht="11.25">
      <c r="A9" s="17">
        <f>Value!A8</f>
        <v>44377</v>
      </c>
      <c r="B9" s="140">
        <v>21994</v>
      </c>
      <c r="C9" s="20"/>
      <c r="D9" s="19">
        <f>VLOOKUP(A9,Value!$A$6:$O$17,15,)</f>
        <v>18454.31023491</v>
      </c>
      <c r="E9" s="14"/>
      <c r="F9" s="68">
        <f t="shared" si="0"/>
        <v>0.84</v>
      </c>
      <c r="G9" s="14"/>
      <c r="H9" s="14"/>
      <c r="I9" s="14"/>
      <c r="J9" s="14">
        <f t="shared" si="1"/>
        <v>21994</v>
      </c>
      <c r="K9" s="13">
        <f t="shared" si="2"/>
        <v>2021</v>
      </c>
      <c r="O9" s="113">
        <f>VLOOKUP(A9,Value!$A$7:$N$18,13,FALSE)</f>
        <v>36908.62046982</v>
      </c>
      <c r="P9" s="112"/>
    </row>
    <row r="10" spans="1:16" s="16" customFormat="1" ht="11.25">
      <c r="A10" s="17">
        <f>Value!A9</f>
        <v>44408</v>
      </c>
      <c r="B10" s="140">
        <v>22106</v>
      </c>
      <c r="C10" s="14"/>
      <c r="D10" s="19">
        <f>VLOOKUP(A10,Value!$A$6:$O$17,15,)</f>
        <v>19854.798897168002</v>
      </c>
      <c r="E10" s="14"/>
      <c r="F10" s="68">
        <f t="shared" si="0"/>
        <v>0.9</v>
      </c>
      <c r="G10" s="14"/>
      <c r="H10" s="14"/>
      <c r="I10" s="14"/>
      <c r="J10" s="14">
        <f t="shared" si="1"/>
        <v>22106</v>
      </c>
      <c r="K10" s="13">
        <f t="shared" si="2"/>
        <v>2021</v>
      </c>
      <c r="O10" s="113">
        <f>VLOOKUP(A10,Value!$A$7:$N$18,13,FALSE)</f>
        <v>39709.597794336005</v>
      </c>
      <c r="P10" s="112"/>
    </row>
    <row r="11" spans="1:25" s="16" customFormat="1" ht="11.25">
      <c r="A11" s="17"/>
      <c r="B11" s="19"/>
      <c r="C11" s="14"/>
      <c r="D11" s="19"/>
      <c r="E11" s="14"/>
      <c r="F11" s="68"/>
      <c r="G11" s="22"/>
      <c r="H11" s="14"/>
      <c r="I11" s="14"/>
      <c r="J11" s="14"/>
      <c r="K11" s="13"/>
      <c r="O11" s="113"/>
      <c r="P11" s="112"/>
      <c r="X11" s="14"/>
      <c r="Y11" s="14"/>
    </row>
    <row r="12" spans="1:25" s="16" customFormat="1" ht="11.25">
      <c r="A12" s="17" t="s">
        <v>97</v>
      </c>
      <c r="B12" s="149">
        <f>SUM(B8:B10)</f>
        <v>65956</v>
      </c>
      <c r="C12" s="14"/>
      <c r="D12" s="19">
        <f>SUM(D8:D10)</f>
        <v>50358.728266222</v>
      </c>
      <c r="E12" s="14"/>
      <c r="F12" s="68"/>
      <c r="G12" s="22"/>
      <c r="H12" s="14"/>
      <c r="I12" s="14"/>
      <c r="J12" s="14"/>
      <c r="K12" s="13"/>
      <c r="O12" s="113"/>
      <c r="P12" s="112"/>
      <c r="X12" s="14"/>
      <c r="Y12" s="14"/>
    </row>
    <row r="13" spans="1:25" s="16" customFormat="1" ht="11.25">
      <c r="A13" s="17"/>
      <c r="B13" s="19"/>
      <c r="C13" s="14"/>
      <c r="D13" s="19"/>
      <c r="E13" s="14"/>
      <c r="F13" s="68"/>
      <c r="G13" s="22"/>
      <c r="H13" s="14"/>
      <c r="I13" s="14"/>
      <c r="J13" s="14"/>
      <c r="K13" s="13"/>
      <c r="O13" s="113"/>
      <c r="P13" s="112"/>
      <c r="X13" s="14"/>
      <c r="Y13" s="14"/>
    </row>
    <row r="14" spans="1:16" s="16" customFormat="1" ht="11.25">
      <c r="A14" s="17">
        <f>Value!A10</f>
        <v>44439</v>
      </c>
      <c r="B14" s="141">
        <v>22187</v>
      </c>
      <c r="C14" s="14"/>
      <c r="D14" s="19">
        <f>VLOOKUP(A14,Value!$A$6:$O$17,15,)</f>
        <v>22402.144966688007</v>
      </c>
      <c r="E14" s="14"/>
      <c r="F14" s="68">
        <f t="shared" si="0"/>
        <v>1.01</v>
      </c>
      <c r="G14" s="22"/>
      <c r="H14" s="14"/>
      <c r="I14" s="14"/>
      <c r="J14" s="14">
        <f t="shared" si="1"/>
        <v>22187</v>
      </c>
      <c r="K14" s="13">
        <f t="shared" si="2"/>
        <v>2021</v>
      </c>
      <c r="O14" s="113">
        <f>VLOOKUP(A14,Value!$A$7:$N$18,13,FALSE)</f>
        <v>44804.289933376014</v>
      </c>
      <c r="P14" s="112"/>
    </row>
    <row r="15" spans="1:16" s="16" customFormat="1" ht="11.25">
      <c r="A15" s="17">
        <f>Value!A11</f>
        <v>44469</v>
      </c>
      <c r="B15" s="141">
        <v>22267</v>
      </c>
      <c r="C15" s="14"/>
      <c r="D15" s="19">
        <f>VLOOKUP(A15,Value!$A$6:$O$17,15,)</f>
        <v>20418.752881116</v>
      </c>
      <c r="E15" s="14"/>
      <c r="F15" s="68">
        <f t="shared" si="0"/>
        <v>0.92</v>
      </c>
      <c r="G15" s="22"/>
      <c r="H15" s="14"/>
      <c r="I15" s="14"/>
      <c r="J15" s="14">
        <f t="shared" si="1"/>
        <v>22267</v>
      </c>
      <c r="K15" s="13">
        <f t="shared" si="2"/>
        <v>2021</v>
      </c>
      <c r="O15" s="113">
        <f>VLOOKUP(A15,Value!$A$7:$N$18,13,FALSE)</f>
        <v>40837.505762232</v>
      </c>
      <c r="P15" s="112"/>
    </row>
    <row r="16" spans="1:25" s="16" customFormat="1" ht="11.25">
      <c r="A16" s="17">
        <f>Value!A12</f>
        <v>44500</v>
      </c>
      <c r="B16" s="141">
        <v>22329</v>
      </c>
      <c r="C16" s="14"/>
      <c r="D16" s="19">
        <f>VLOOKUP(A16,Value!$A$6:$O$17,15,)</f>
        <v>18139.455391988</v>
      </c>
      <c r="E16" s="14"/>
      <c r="F16" s="68">
        <f t="shared" si="0"/>
        <v>0.81</v>
      </c>
      <c r="G16" s="22"/>
      <c r="H16" s="14"/>
      <c r="I16" s="14"/>
      <c r="J16" s="14">
        <f t="shared" si="1"/>
        <v>22329</v>
      </c>
      <c r="K16" s="13">
        <f t="shared" si="2"/>
        <v>2021</v>
      </c>
      <c r="O16" s="113">
        <f>VLOOKUP(A16,Value!$A$7:$N$18,13,FALSE)</f>
        <v>36278.910783976</v>
      </c>
      <c r="P16" s="112"/>
      <c r="X16" s="14"/>
      <c r="Y16" s="14"/>
    </row>
    <row r="17" spans="1:27" s="16" customFormat="1" ht="11.25">
      <c r="A17" s="17">
        <f>Value!A13</f>
        <v>44530</v>
      </c>
      <c r="B17" s="141">
        <v>22405</v>
      </c>
      <c r="C17" s="14"/>
      <c r="D17" s="19">
        <f>VLOOKUP(A17,Value!$A$6:$O$17,15,)</f>
        <v>15211.213103082004</v>
      </c>
      <c r="E17" s="14"/>
      <c r="F17" s="68">
        <f aca="true" t="shared" si="3" ref="F17:F22">ROUND(D17/B17,2)</f>
        <v>0.68</v>
      </c>
      <c r="G17" s="22"/>
      <c r="H17" s="14"/>
      <c r="I17" s="14"/>
      <c r="J17" s="14">
        <f aca="true" t="shared" si="4" ref="J17:J22">+B17</f>
        <v>22405</v>
      </c>
      <c r="K17" s="13">
        <f t="shared" si="2"/>
        <v>2021</v>
      </c>
      <c r="L17" s="14"/>
      <c r="M17" s="14"/>
      <c r="N17" s="14"/>
      <c r="O17" s="113">
        <f>VLOOKUP(A17,Value!$A$7:$N$18,13,FALSE)</f>
        <v>30422.426206164007</v>
      </c>
      <c r="P17" s="112"/>
      <c r="S17" s="14"/>
      <c r="T17" s="14"/>
      <c r="U17" s="14"/>
      <c r="V17" s="14"/>
      <c r="W17" s="14"/>
      <c r="Y17" s="14"/>
      <c r="AA17" s="14"/>
    </row>
    <row r="18" spans="1:16" s="16" customFormat="1" ht="11.25">
      <c r="A18" s="17">
        <f>Value!A14</f>
        <v>44561</v>
      </c>
      <c r="B18" s="141">
        <v>22464</v>
      </c>
      <c r="C18" s="14"/>
      <c r="D18" s="19">
        <f>VLOOKUP(A18,Value!$A$6:$O$17,15,)</f>
        <v>7636.57302632</v>
      </c>
      <c r="E18" s="14"/>
      <c r="F18" s="68">
        <f t="shared" si="3"/>
        <v>0.34</v>
      </c>
      <c r="G18" s="22"/>
      <c r="H18" s="20"/>
      <c r="I18" s="14"/>
      <c r="J18" s="14">
        <f t="shared" si="4"/>
        <v>22464</v>
      </c>
      <c r="K18" s="13">
        <f t="shared" si="2"/>
        <v>2021</v>
      </c>
      <c r="O18" s="113">
        <f>VLOOKUP(A18,Value!$A$7:$N$18,13,FALSE)</f>
        <v>15273.14605264</v>
      </c>
      <c r="P18" s="112"/>
    </row>
    <row r="19" spans="1:16" s="16" customFormat="1" ht="11.25">
      <c r="A19" s="17">
        <f>Value!A15</f>
        <v>44592</v>
      </c>
      <c r="B19" s="141">
        <v>22458</v>
      </c>
      <c r="C19" s="14"/>
      <c r="D19" s="19">
        <f>VLOOKUP(A19,Value!$A$6:$O$17,15,)</f>
        <v>6779.628529740003</v>
      </c>
      <c r="E19" s="14"/>
      <c r="F19" s="68">
        <f t="shared" si="3"/>
        <v>0.3</v>
      </c>
      <c r="G19" s="22"/>
      <c r="H19" s="20"/>
      <c r="I19" s="14"/>
      <c r="J19" s="14">
        <f t="shared" si="4"/>
        <v>22458</v>
      </c>
      <c r="K19" s="13">
        <f t="shared" si="2"/>
        <v>2022</v>
      </c>
      <c r="O19" s="113">
        <f>VLOOKUP(A19,Value!$A$7:$N$18,13,FALSE)</f>
        <v>13559.257059480005</v>
      </c>
      <c r="P19" s="112"/>
    </row>
    <row r="20" spans="1:16" s="16" customFormat="1" ht="11.25">
      <c r="A20" s="17">
        <f>Value!A16</f>
        <v>44620</v>
      </c>
      <c r="B20" s="141">
        <v>22450</v>
      </c>
      <c r="C20" s="14"/>
      <c r="D20" s="19">
        <f>VLOOKUP(A20,Value!$A$6:$O$17,15,)</f>
        <v>7527.863018016005</v>
      </c>
      <c r="E20" s="14"/>
      <c r="F20" s="68">
        <f t="shared" si="3"/>
        <v>0.34</v>
      </c>
      <c r="G20" s="22"/>
      <c r="H20" s="20"/>
      <c r="I20" s="14"/>
      <c r="J20" s="14">
        <f t="shared" si="4"/>
        <v>22450</v>
      </c>
      <c r="K20" s="13">
        <f t="shared" si="2"/>
        <v>2022</v>
      </c>
      <c r="O20" s="113">
        <f>VLOOKUP(A20,Value!$A$7:$N$18,13,FALSE)</f>
        <v>15055.72603603201</v>
      </c>
      <c r="P20" s="32"/>
    </row>
    <row r="21" spans="1:16" s="16" customFormat="1" ht="11.25">
      <c r="A21" s="17">
        <f>Value!A17</f>
        <v>44651</v>
      </c>
      <c r="B21" s="141">
        <v>22499</v>
      </c>
      <c r="C21" s="14"/>
      <c r="D21" s="19">
        <f>VLOOKUP(A21,Value!$A$6:$O$17,15,)</f>
        <v>10363.89121243</v>
      </c>
      <c r="E21" s="14"/>
      <c r="F21" s="68">
        <f t="shared" si="3"/>
        <v>0.46</v>
      </c>
      <c r="G21" s="22"/>
      <c r="H21" s="20"/>
      <c r="I21" s="14"/>
      <c r="J21" s="14">
        <f t="shared" si="4"/>
        <v>22499</v>
      </c>
      <c r="K21" s="13">
        <f t="shared" si="2"/>
        <v>2022</v>
      </c>
      <c r="O21" s="113">
        <f>VLOOKUP(A21,Value!$A$7:$N$18,13,FALSE)</f>
        <v>20727.78242486</v>
      </c>
      <c r="P21" s="112"/>
    </row>
    <row r="22" spans="1:16" s="16" customFormat="1" ht="11.25">
      <c r="A22" s="17">
        <f>Value!A18</f>
        <v>44681</v>
      </c>
      <c r="B22" s="141">
        <v>22523</v>
      </c>
      <c r="C22" s="14"/>
      <c r="D22" s="19">
        <f>Value!O18</f>
        <v>11656.575193025</v>
      </c>
      <c r="E22" s="14"/>
      <c r="F22" s="68">
        <f t="shared" si="3"/>
        <v>0.52</v>
      </c>
      <c r="G22" s="22"/>
      <c r="H22" s="20"/>
      <c r="I22" s="14"/>
      <c r="J22" s="14">
        <f t="shared" si="4"/>
        <v>22523</v>
      </c>
      <c r="K22" s="13">
        <f t="shared" si="2"/>
        <v>2022</v>
      </c>
      <c r="O22" s="113">
        <f>VLOOKUP(A22,Value!$A$7:$N$18,13,FALSE)</f>
        <v>23313.15038605</v>
      </c>
      <c r="P22" s="112"/>
    </row>
    <row r="23" spans="1:15" s="16" customFormat="1" ht="11.25">
      <c r="A23" s="17"/>
      <c r="B23" s="14"/>
      <c r="C23" s="14"/>
      <c r="E23" s="14"/>
      <c r="F23" s="71"/>
      <c r="G23" s="14"/>
      <c r="H23" s="14"/>
      <c r="I23" s="14"/>
      <c r="J23" s="14"/>
      <c r="K23" s="13"/>
      <c r="O23" s="114"/>
    </row>
    <row r="24" spans="1:16" s="16" customFormat="1" ht="11.25">
      <c r="A24" s="17" t="s">
        <v>76</v>
      </c>
      <c r="B24" s="21">
        <f>SUM(B14:B22)</f>
        <v>201582</v>
      </c>
      <c r="C24" s="20"/>
      <c r="D24" s="70">
        <f>SUM(D14:D22)</f>
        <v>120136.09732240501</v>
      </c>
      <c r="F24" s="70">
        <f>D24/B24</f>
        <v>0.5959663924477633</v>
      </c>
      <c r="G24" s="14"/>
      <c r="H24" s="14"/>
      <c r="I24" s="14"/>
      <c r="J24" s="14"/>
      <c r="K24" s="13"/>
      <c r="O24" s="114"/>
      <c r="P24" s="115" t="s">
        <v>51</v>
      </c>
    </row>
    <row r="25" spans="4:18" ht="12.75">
      <c r="D25" s="23"/>
      <c r="F25" s="23"/>
      <c r="O25" s="114">
        <f>SUM(O8:O24)</f>
        <v>340989.65117725404</v>
      </c>
      <c r="P25" s="116"/>
      <c r="Q25" s="16"/>
      <c r="R25" s="16"/>
    </row>
    <row r="26" spans="1:16" s="16" customFormat="1" ht="12" thickBot="1">
      <c r="A26" s="24" t="s">
        <v>77</v>
      </c>
      <c r="B26" s="25">
        <f>B12+B24</f>
        <v>267538</v>
      </c>
      <c r="C26" s="20"/>
      <c r="D26" s="69">
        <f>D12+D24</f>
        <v>170494.82558862702</v>
      </c>
      <c r="E26" s="20" t="s">
        <v>9</v>
      </c>
      <c r="F26" s="107">
        <f>ROUND(D26/B26,3)</f>
        <v>0.637</v>
      </c>
      <c r="G26" s="20" t="s">
        <v>10</v>
      </c>
      <c r="H26" s="14"/>
      <c r="I26" s="14"/>
      <c r="J26" s="25">
        <f>SUM(J8:J25)</f>
        <v>267538</v>
      </c>
      <c r="K26" s="20" t="s">
        <v>11</v>
      </c>
      <c r="O26" s="117">
        <f>ROUND(O25/J26,3)</f>
        <v>1.275</v>
      </c>
      <c r="P26" s="112" t="s">
        <v>52</v>
      </c>
    </row>
    <row r="27" spans="2:16" s="16" customFormat="1" ht="12" thickTop="1">
      <c r="B27" s="14"/>
      <c r="C27" s="14"/>
      <c r="D27" s="14"/>
      <c r="E27" s="14"/>
      <c r="F27" s="14"/>
      <c r="G27" s="14"/>
      <c r="H27" s="14"/>
      <c r="I27" s="14"/>
      <c r="J27" s="14"/>
      <c r="K27" s="14"/>
      <c r="O27" s="118">
        <f>+J22</f>
        <v>22523</v>
      </c>
      <c r="P27" s="112" t="s">
        <v>53</v>
      </c>
    </row>
    <row r="28" spans="2:16" s="16" customFormat="1" ht="11.25">
      <c r="B28" s="14"/>
      <c r="C28" s="14"/>
      <c r="D28" s="14"/>
      <c r="E28" s="14"/>
      <c r="F28" s="14"/>
      <c r="G28" s="14"/>
      <c r="H28" s="14"/>
      <c r="I28" s="14"/>
      <c r="J28" s="14"/>
      <c r="K28" s="14"/>
      <c r="O28" s="112"/>
      <c r="P28" s="112" t="s">
        <v>54</v>
      </c>
    </row>
    <row r="29" spans="2:16" s="16" customFormat="1" ht="11.25">
      <c r="B29" s="14"/>
      <c r="C29" s="14"/>
      <c r="D29" s="14"/>
      <c r="E29" s="14"/>
      <c r="F29" s="14"/>
      <c r="G29" s="14"/>
      <c r="H29" s="14"/>
      <c r="I29" s="14"/>
      <c r="J29" s="14"/>
      <c r="K29" s="14"/>
      <c r="O29" s="112"/>
      <c r="P29" s="112"/>
    </row>
    <row r="30" spans="2:16" s="16" customFormat="1" ht="11.25">
      <c r="B30" s="14"/>
      <c r="C30" s="14"/>
      <c r="D30" s="14"/>
      <c r="E30" s="14"/>
      <c r="F30" s="14"/>
      <c r="G30" s="14"/>
      <c r="H30" s="14"/>
      <c r="I30" s="14"/>
      <c r="J30" s="14"/>
      <c r="K30" s="14"/>
      <c r="O30" s="112"/>
      <c r="P30" s="112"/>
    </row>
    <row r="31" spans="2:11" s="16" customFormat="1" ht="12" thickBot="1">
      <c r="B31" s="26" t="s">
        <v>94</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8" s="16" customFormat="1" ht="11.25">
      <c r="A33" s="8"/>
      <c r="B33" s="28"/>
      <c r="C33" s="14"/>
      <c r="D33" s="14"/>
      <c r="E33" s="14"/>
      <c r="F33" s="29" t="s">
        <v>12</v>
      </c>
      <c r="G33" s="14">
        <f>ROUND(D26,0)</f>
        <v>170495</v>
      </c>
      <c r="H33" s="20" t="s">
        <v>9</v>
      </c>
      <c r="I33" s="14"/>
      <c r="J33" s="14"/>
      <c r="K33" s="14"/>
      <c r="Q33" s="13"/>
      <c r="R33" s="13"/>
    </row>
    <row r="34" spans="1:27" s="13" customFormat="1" ht="11.25">
      <c r="A34" s="30"/>
      <c r="B34" s="28"/>
      <c r="C34" s="14"/>
      <c r="D34" s="14"/>
      <c r="E34" s="14"/>
      <c r="F34" s="14"/>
      <c r="G34" s="14"/>
      <c r="H34" s="20"/>
      <c r="I34" s="14"/>
      <c r="J34" s="14"/>
      <c r="K34" s="14"/>
      <c r="O34" s="16">
        <f>12*O27*O26</f>
        <v>344601.89999999997</v>
      </c>
      <c r="P34" s="13" t="s">
        <v>55</v>
      </c>
      <c r="Q34" s="16"/>
      <c r="R34" s="16"/>
      <c r="W34" s="14"/>
      <c r="X34" s="16"/>
      <c r="Y34" s="16"/>
      <c r="AA34" s="14"/>
    </row>
    <row r="35" spans="1:16" s="16" customFormat="1" ht="11.25">
      <c r="A35" s="16" t="s">
        <v>95</v>
      </c>
      <c r="B35" s="14" t="s">
        <v>13</v>
      </c>
      <c r="C35" s="14"/>
      <c r="D35" s="14"/>
      <c r="E35" s="14"/>
      <c r="F35" s="31">
        <v>0.146</v>
      </c>
      <c r="G35" s="14"/>
      <c r="H35" s="14"/>
      <c r="I35" s="14"/>
      <c r="J35" s="14"/>
      <c r="K35" s="14"/>
      <c r="O35" s="16">
        <f>12*O27*G58</f>
        <v>172165.812</v>
      </c>
      <c r="P35" s="16" t="s">
        <v>56</v>
      </c>
    </row>
    <row r="36" spans="2:15" s="16" customFormat="1" ht="11.25">
      <c r="B36" s="72" t="str">
        <f>"Customers from "&amp;TEXT($A$8,"mm/yy")&amp;" - "&amp;TEXT($A$16,"mm/yy")</f>
        <v>Customers from 05/21 - 10/21</v>
      </c>
      <c r="D36" s="14"/>
      <c r="E36" s="14"/>
      <c r="F36" s="14">
        <f>SUM(B12)</f>
        <v>65956</v>
      </c>
      <c r="G36" s="20"/>
      <c r="H36" s="14"/>
      <c r="I36" s="14"/>
      <c r="J36" s="14"/>
      <c r="K36" s="14"/>
      <c r="O36" s="119">
        <f>+O35/O34</f>
        <v>0.499607843137255</v>
      </c>
    </row>
    <row r="37" spans="2:11" s="16" customFormat="1" ht="11.25">
      <c r="B37" s="14"/>
      <c r="C37" s="14" t="s">
        <v>14</v>
      </c>
      <c r="D37" s="14"/>
      <c r="E37" s="14"/>
      <c r="F37" s="21">
        <f>ROUND(F35*F36,0)</f>
        <v>9630</v>
      </c>
      <c r="G37" s="20"/>
      <c r="H37" s="14"/>
      <c r="I37" s="14"/>
      <c r="J37" s="14"/>
      <c r="K37" s="14"/>
    </row>
    <row r="38" spans="2:10" s="16" customFormat="1" ht="11.25">
      <c r="B38" s="14"/>
      <c r="C38" s="14"/>
      <c r="D38" s="14"/>
      <c r="E38" s="14"/>
      <c r="F38" s="32"/>
      <c r="G38" s="20"/>
      <c r="H38" s="14"/>
      <c r="I38" s="14"/>
      <c r="J38" s="14"/>
    </row>
    <row r="39" spans="2:10" s="16" customFormat="1" ht="11.25">
      <c r="B39" s="14" t="s">
        <v>13</v>
      </c>
      <c r="C39" s="14"/>
      <c r="D39" s="14"/>
      <c r="E39" s="14"/>
      <c r="F39" s="31">
        <v>0.13</v>
      </c>
      <c r="G39" s="14"/>
      <c r="H39" s="14"/>
      <c r="I39" s="14"/>
      <c r="J39" s="14"/>
    </row>
    <row r="40" spans="2:11" s="16" customFormat="1" ht="11.25">
      <c r="B40" s="72" t="str">
        <f>"Customers from "&amp;TEXT(A8,"mm/yy")&amp;" - "&amp;TEXT($A$22,"mm/yy")</f>
        <v>Customers from 05/21 - 04/22</v>
      </c>
      <c r="D40" s="14"/>
      <c r="E40" s="14"/>
      <c r="F40" s="14">
        <f>+B24</f>
        <v>201582</v>
      </c>
      <c r="G40" s="20"/>
      <c r="H40" s="14"/>
      <c r="I40" s="14"/>
      <c r="J40" s="14"/>
      <c r="K40" s="14"/>
    </row>
    <row r="41" spans="2:11" s="16" customFormat="1" ht="11.25">
      <c r="B41" s="14"/>
      <c r="C41" s="14" t="s">
        <v>14</v>
      </c>
      <c r="D41" s="14"/>
      <c r="E41" s="14"/>
      <c r="F41" s="21">
        <f>ROUND(F39*F40,0)</f>
        <v>26206</v>
      </c>
      <c r="G41" s="20"/>
      <c r="H41" s="14"/>
      <c r="I41" s="14"/>
      <c r="J41" s="14"/>
      <c r="K41" s="14"/>
    </row>
    <row r="42" spans="2:11" s="16" customFormat="1" ht="11.25">
      <c r="B42" s="14"/>
      <c r="C42" s="14"/>
      <c r="D42" s="14"/>
      <c r="E42" s="14"/>
      <c r="F42" s="33"/>
      <c r="G42" s="20"/>
      <c r="H42" s="14"/>
      <c r="I42" s="14"/>
      <c r="J42" s="14"/>
      <c r="K42" s="14"/>
    </row>
    <row r="43" spans="2:11" s="16" customFormat="1" ht="12" thickBot="1">
      <c r="B43" s="14"/>
      <c r="C43" s="14" t="s">
        <v>15</v>
      </c>
      <c r="D43" s="14"/>
      <c r="E43" s="14"/>
      <c r="F43" s="25">
        <f>+F37+F41</f>
        <v>35836</v>
      </c>
      <c r="G43" s="34">
        <f>+F43</f>
        <v>35836</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tr">
        <f>IF(G46&lt;=0,"Excess","Deficient")&amp;" Commodity Credits"</f>
        <v>Deficient Commodity Credits</v>
      </c>
      <c r="G46" s="35">
        <f>+G33-G43</f>
        <v>134659</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8" s="16" customFormat="1" ht="12" thickBot="1">
      <c r="B49" s="26" t="str">
        <f>$K$22+1&amp;" Recycle Adjustment Calculation"</f>
        <v>2023 Recycle Adjustment Calculation</v>
      </c>
      <c r="C49" s="27"/>
      <c r="D49" s="27"/>
      <c r="E49" s="27"/>
      <c r="F49" s="27"/>
      <c r="G49" s="14"/>
      <c r="H49" s="14"/>
      <c r="I49" s="14"/>
      <c r="J49" s="14"/>
      <c r="K49" s="14"/>
      <c r="O49" s="14"/>
      <c r="P49" s="14"/>
      <c r="Q49" s="14"/>
      <c r="R49" s="14"/>
    </row>
    <row r="50" spans="2:27" s="16" customFormat="1" ht="12" thickTop="1">
      <c r="B50" s="28"/>
      <c r="C50" s="14"/>
      <c r="D50" s="14"/>
      <c r="E50" s="14"/>
      <c r="F50" s="14"/>
      <c r="G50" s="14"/>
      <c r="H50" s="14"/>
      <c r="I50" s="14"/>
      <c r="J50" s="14"/>
      <c r="K50" s="14"/>
      <c r="L50" s="14"/>
      <c r="M50" s="14"/>
      <c r="N50" s="14"/>
      <c r="S50" s="14"/>
      <c r="T50" s="14"/>
      <c r="U50" s="14"/>
      <c r="V50" s="14"/>
      <c r="W50" s="14"/>
      <c r="AA50" s="14"/>
    </row>
    <row r="51" spans="2:11" s="16" customFormat="1" ht="11.25">
      <c r="B51" s="14" t="s">
        <v>72</v>
      </c>
      <c r="C51" s="14"/>
      <c r="D51" s="14"/>
      <c r="E51" s="14"/>
      <c r="F51" s="14"/>
      <c r="G51" s="14"/>
      <c r="H51" s="14"/>
      <c r="I51" s="14"/>
      <c r="J51" s="14"/>
      <c r="K51" s="14"/>
    </row>
    <row r="52" spans="2:11" s="16" customFormat="1" ht="11.25">
      <c r="B52" s="14"/>
      <c r="C52" s="14"/>
      <c r="D52" s="14"/>
      <c r="E52" s="14"/>
      <c r="F52" s="29" t="s">
        <v>78</v>
      </c>
      <c r="G52" s="14">
        <f>+J26</f>
        <v>267538</v>
      </c>
      <c r="H52" s="20" t="s">
        <v>11</v>
      </c>
      <c r="I52" s="14"/>
      <c r="J52" s="14"/>
      <c r="K52" s="14"/>
    </row>
    <row r="53" spans="2:11" s="16" customFormat="1" ht="11.25">
      <c r="B53" s="14"/>
      <c r="C53" s="14"/>
      <c r="D53" s="14"/>
      <c r="E53" s="14"/>
      <c r="F53" s="29" t="str">
        <f>F46</f>
        <v>Deficient Commodity Credits</v>
      </c>
      <c r="G53" s="14">
        <f>+G46</f>
        <v>134659</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98</v>
      </c>
      <c r="G55" s="36">
        <f>ROUND(G53/G52,3)</f>
        <v>0.503</v>
      </c>
      <c r="H55" s="14"/>
      <c r="I55" s="22">
        <f>+G55</f>
        <v>0.503</v>
      </c>
      <c r="J55" s="14"/>
      <c r="K55" s="14"/>
    </row>
    <row r="56" spans="2:25" s="16" customFormat="1" ht="12" thickTop="1">
      <c r="B56" s="14"/>
      <c r="C56" s="14"/>
      <c r="D56" s="14"/>
      <c r="E56" s="14"/>
      <c r="F56" s="29"/>
      <c r="G56" s="14"/>
      <c r="H56" s="14"/>
      <c r="I56" s="22"/>
      <c r="J56" s="14"/>
      <c r="K56" s="14"/>
      <c r="Y56" s="14"/>
    </row>
    <row r="57" spans="2:14" s="16" customFormat="1" ht="11.25">
      <c r="B57" s="14" t="s">
        <v>73</v>
      </c>
      <c r="C57" s="14"/>
      <c r="D57" s="14"/>
      <c r="E57" s="14"/>
      <c r="F57" s="29"/>
      <c r="G57" s="14"/>
      <c r="H57" s="14"/>
      <c r="I57" s="22"/>
      <c r="J57" s="14"/>
      <c r="K57" s="14"/>
      <c r="N57" s="142" t="s">
        <v>57</v>
      </c>
    </row>
    <row r="58" spans="2:14" s="16" customFormat="1" ht="12" thickBot="1">
      <c r="B58" s="28"/>
      <c r="C58" s="14"/>
      <c r="D58" s="14"/>
      <c r="E58" s="14"/>
      <c r="F58" s="29" t="s">
        <v>79</v>
      </c>
      <c r="G58" s="138">
        <f>F26</f>
        <v>0.637</v>
      </c>
      <c r="H58" s="14"/>
      <c r="I58" s="22">
        <f>+G58</f>
        <v>0.637</v>
      </c>
      <c r="J58" s="20" t="s">
        <v>10</v>
      </c>
      <c r="K58" s="14"/>
      <c r="N58" s="143">
        <f>+'[1]WUTC_AW of Kent_MF'!$O$56</f>
        <v>0.5</v>
      </c>
    </row>
    <row r="59" spans="2:25" s="14" customFormat="1" ht="12" thickTop="1">
      <c r="B59" s="28"/>
      <c r="I59" s="22"/>
      <c r="X59" s="16"/>
      <c r="Y59" s="16"/>
    </row>
    <row r="60" spans="2:11" s="16" customFormat="1" ht="12" thickBot="1">
      <c r="B60" s="14"/>
      <c r="C60" s="14"/>
      <c r="D60" s="14"/>
      <c r="E60" s="14"/>
      <c r="F60" s="14"/>
      <c r="G60" s="29" t="s">
        <v>99</v>
      </c>
      <c r="H60" s="25"/>
      <c r="I60" s="36">
        <f>+I55+I58</f>
        <v>1.1400000000000001</v>
      </c>
      <c r="J60" s="14"/>
      <c r="K60" s="14"/>
    </row>
    <row r="61" s="16" customFormat="1" ht="12" thickTop="1">
      <c r="I61" s="22"/>
    </row>
    <row r="62" spans="7:9" s="16" customFormat="1" ht="11.25">
      <c r="G62" s="106"/>
      <c r="I62" s="71"/>
    </row>
    <row r="63" spans="1:6" s="16" customFormat="1" ht="11.25">
      <c r="A63" s="37"/>
      <c r="B63" s="37"/>
      <c r="C63" s="37"/>
      <c r="D63" s="37"/>
      <c r="E63" s="37"/>
      <c r="F63" s="37"/>
    </row>
    <row r="64" spans="2:10" s="16" customFormat="1" ht="11.25">
      <c r="B64" s="106" t="s">
        <v>101</v>
      </c>
      <c r="C64" s="39"/>
      <c r="D64" s="37"/>
      <c r="E64" s="37"/>
      <c r="G64" s="106" t="s">
        <v>96</v>
      </c>
      <c r="I64" s="166">
        <v>0</v>
      </c>
      <c r="J64" s="16" t="s">
        <v>100</v>
      </c>
    </row>
    <row r="65" spans="1:6" s="16" customFormat="1" ht="11.25">
      <c r="A65" s="38"/>
      <c r="B65" s="40"/>
      <c r="C65" s="40"/>
      <c r="D65" s="37"/>
      <c r="E65" s="37"/>
      <c r="F65" s="37"/>
    </row>
    <row r="66" spans="1:9" s="16" customFormat="1" ht="12" thickBot="1">
      <c r="A66" s="38"/>
      <c r="B66" s="41"/>
      <c r="C66" s="40"/>
      <c r="D66" s="37"/>
      <c r="E66" s="37"/>
      <c r="F66" s="37"/>
      <c r="G66" s="29" t="str">
        <f>G60</f>
        <v>8/1/22 - 7/31/23 Adjusted Credit</v>
      </c>
      <c r="H66" s="25"/>
      <c r="I66" s="139">
        <f>+I60+I64</f>
        <v>1.1400000000000001</v>
      </c>
    </row>
    <row r="67" spans="1:6" s="16" customFormat="1" ht="12" thickTop="1">
      <c r="A67" s="38"/>
      <c r="B67" s="41"/>
      <c r="C67" s="40"/>
      <c r="D67" s="37"/>
      <c r="E67" s="37"/>
      <c r="F67" s="37"/>
    </row>
    <row r="68" spans="1:6" s="16" customFormat="1" ht="11.25">
      <c r="A68" s="38"/>
      <c r="B68" s="41"/>
      <c r="C68" s="40"/>
      <c r="D68" s="37"/>
      <c r="E68" s="37"/>
      <c r="F68" s="37"/>
    </row>
    <row r="69" spans="1:25" s="16" customFormat="1" ht="11.25">
      <c r="A69" s="38"/>
      <c r="B69" s="41"/>
      <c r="C69" s="40"/>
      <c r="D69" s="37"/>
      <c r="E69" s="37"/>
      <c r="F69" s="37"/>
      <c r="Y69" s="14"/>
    </row>
    <row r="70" spans="1:6" s="16" customFormat="1" ht="11.25">
      <c r="A70" s="38"/>
      <c r="B70" s="41"/>
      <c r="C70" s="40"/>
      <c r="D70" s="37"/>
      <c r="E70" s="37"/>
      <c r="F70" s="37"/>
    </row>
    <row r="71" spans="1:6" s="16" customFormat="1" ht="11.25">
      <c r="A71" s="38"/>
      <c r="B71" s="41"/>
      <c r="C71" s="40"/>
      <c r="D71" s="37"/>
      <c r="E71" s="37"/>
      <c r="F71" s="37"/>
    </row>
    <row r="72" spans="1:6" s="16" customFormat="1" ht="11.25">
      <c r="A72" s="38"/>
      <c r="B72" s="41"/>
      <c r="C72" s="40"/>
      <c r="D72" s="37"/>
      <c r="E72" s="37"/>
      <c r="F72" s="37"/>
    </row>
    <row r="73" spans="1:27" s="16" customFormat="1" ht="11.25">
      <c r="A73" s="38"/>
      <c r="B73" s="41"/>
      <c r="C73" s="40"/>
      <c r="D73" s="37"/>
      <c r="E73" s="42"/>
      <c r="F73" s="37"/>
      <c r="G73" s="14"/>
      <c r="H73" s="13"/>
      <c r="I73" s="14"/>
      <c r="J73" s="14"/>
      <c r="K73" s="13"/>
      <c r="L73" s="14"/>
      <c r="M73" s="14"/>
      <c r="N73" s="14"/>
      <c r="O73" s="14"/>
      <c r="P73" s="14"/>
      <c r="Q73" s="14"/>
      <c r="R73" s="14"/>
      <c r="S73" s="14"/>
      <c r="T73" s="14"/>
      <c r="U73" s="14"/>
      <c r="V73" s="13"/>
      <c r="W73" s="14"/>
      <c r="AA73" s="14"/>
    </row>
    <row r="74" spans="1:6" s="16" customFormat="1" ht="11.25">
      <c r="A74" s="38"/>
      <c r="B74" s="41"/>
      <c r="C74" s="40"/>
      <c r="D74" s="37"/>
      <c r="E74" s="37"/>
      <c r="F74" s="37"/>
    </row>
    <row r="75" spans="1:6" s="16" customFormat="1" ht="11.25">
      <c r="A75" s="38"/>
      <c r="B75" s="40"/>
      <c r="C75" s="40"/>
      <c r="D75" s="37"/>
      <c r="E75" s="37"/>
      <c r="F75" s="37"/>
    </row>
    <row r="76" spans="1:6" s="16" customFormat="1" ht="11.25">
      <c r="A76" s="38"/>
      <c r="B76" s="40"/>
      <c r="C76" s="39"/>
      <c r="D76" s="37"/>
      <c r="E76" s="37"/>
      <c r="F76" s="37"/>
    </row>
    <row r="77" spans="1:6" s="16" customFormat="1" ht="12.75">
      <c r="A77" s="43"/>
      <c r="B77" s="43"/>
      <c r="C77" s="43"/>
      <c r="D77" s="44"/>
      <c r="E77" s="37"/>
      <c r="F77" s="43"/>
    </row>
    <row r="78" spans="1:25" s="16" customFormat="1" ht="11.25">
      <c r="A78" s="45"/>
      <c r="B78" s="40"/>
      <c r="C78" s="39"/>
      <c r="D78" s="37"/>
      <c r="E78" s="37"/>
      <c r="F78" s="46"/>
      <c r="Y78" s="14"/>
    </row>
    <row r="79" s="16" customFormat="1" ht="11.25"/>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47"/>
      <c r="I97" s="47"/>
      <c r="J97" s="47"/>
      <c r="L97" s="47"/>
      <c r="M97" s="47"/>
      <c r="N97" s="47"/>
      <c r="O97" s="47"/>
      <c r="P97" s="47"/>
      <c r="Q97" s="47"/>
      <c r="R97" s="47"/>
      <c r="S97" s="47"/>
      <c r="T97" s="47"/>
      <c r="U97" s="47"/>
      <c r="V97" s="47"/>
      <c r="W97" s="47"/>
      <c r="X97" s="47"/>
      <c r="Y97" s="47"/>
      <c r="AA97" s="5"/>
    </row>
    <row r="98" s="16" customFormat="1" ht="12.75">
      <c r="AA98" s="5"/>
    </row>
    <row r="99" spans="7:27" s="16" customFormat="1" ht="13.5" thickBot="1">
      <c r="G99" s="48"/>
      <c r="I99" s="48"/>
      <c r="J99" s="48"/>
      <c r="L99" s="48"/>
      <c r="M99" s="48"/>
      <c r="N99" s="48"/>
      <c r="O99" s="48"/>
      <c r="P99" s="48"/>
      <c r="Q99" s="48"/>
      <c r="R99" s="48"/>
      <c r="S99" s="48"/>
      <c r="T99" s="48"/>
      <c r="U99" s="48"/>
      <c r="V99" s="48"/>
      <c r="W99" s="48"/>
      <c r="X99" s="48"/>
      <c r="Y99" s="48"/>
      <c r="AA99" s="5"/>
    </row>
    <row r="100" ht="13.5" thickTop="1"/>
    <row r="101" spans="23:25" ht="12.75">
      <c r="W101" s="49"/>
      <c r="X101" s="49"/>
      <c r="Y101" s="49"/>
    </row>
    <row r="102" spans="23:27" ht="12.75">
      <c r="W102" s="49"/>
      <c r="AA102" s="49"/>
    </row>
  </sheetData>
  <sheetProtection/>
  <printOptions horizontalCentered="1"/>
  <pageMargins left="0" right="0" top="0.52" bottom="0.44" header="0" footer="0"/>
  <pageSetup fitToHeight="1" fitToWidth="1" horizontalDpi="1200" verticalDpi="1200" orientation="portrait" scale="9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A1" sqref="A1"/>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4" customWidth="1"/>
    <col min="16" max="16" width="14.57421875" style="0" bestFit="1" customWidth="1"/>
    <col min="17" max="17" width="12.28125" style="145" bestFit="1" customWidth="1"/>
  </cols>
  <sheetData>
    <row r="1" spans="1:2" ht="12.75">
      <c r="A1" s="50" t="str">
        <f>"Commodity Value Timeframe:  "&amp;TEXT(A7,"mmmm")&amp;" - "&amp;TEXT(A18,"mmmm")</f>
        <v>Commodity Value Timeframe:  May - April</v>
      </c>
      <c r="B1" s="51"/>
    </row>
    <row r="2" spans="1:2" ht="12.75">
      <c r="A2" s="52" t="str">
        <f>WUTC_KENT_SF!A1</f>
        <v>Kent-Meridian Disposal</v>
      </c>
      <c r="B2" s="52"/>
    </row>
    <row r="3" spans="1:2" ht="12.75">
      <c r="A3" s="52"/>
      <c r="B3" s="52"/>
    </row>
    <row r="4" spans="2:15" ht="12.75">
      <c r="B4" s="62"/>
      <c r="C4" s="54" t="s">
        <v>17</v>
      </c>
      <c r="D4" s="54" t="s">
        <v>18</v>
      </c>
      <c r="E4" s="54" t="s">
        <v>49</v>
      </c>
      <c r="F4" s="54" t="s">
        <v>19</v>
      </c>
      <c r="G4" s="54" t="s">
        <v>20</v>
      </c>
      <c r="H4" s="54" t="s">
        <v>21</v>
      </c>
      <c r="I4" s="54" t="s">
        <v>22</v>
      </c>
      <c r="J4" s="54" t="s">
        <v>23</v>
      </c>
      <c r="K4" s="54" t="s">
        <v>24</v>
      </c>
      <c r="L4" s="54" t="s">
        <v>25</v>
      </c>
      <c r="M4" s="54" t="s">
        <v>26</v>
      </c>
      <c r="N4"/>
      <c r="O4" s="65"/>
    </row>
    <row r="5" spans="2:15" ht="12.75">
      <c r="B5" s="62"/>
      <c r="C5" s="62"/>
      <c r="D5" s="62"/>
      <c r="E5" s="62"/>
      <c r="F5" s="62"/>
      <c r="G5" s="62"/>
      <c r="H5" s="62"/>
      <c r="I5" s="62"/>
      <c r="J5" s="62"/>
      <c r="K5" s="62"/>
      <c r="L5" s="62"/>
      <c r="M5" s="62"/>
      <c r="N5"/>
      <c r="O5" s="65" t="str">
        <f>+TEXT(P20,"00.0%")&amp;" of"</f>
        <v>50.0% of</v>
      </c>
    </row>
    <row r="6" spans="2:17" ht="12.75">
      <c r="B6" s="62"/>
      <c r="C6" s="62"/>
      <c r="D6" s="62"/>
      <c r="E6" s="62"/>
      <c r="F6" s="62"/>
      <c r="G6" s="62"/>
      <c r="H6" s="62"/>
      <c r="I6" s="62"/>
      <c r="J6" s="62"/>
      <c r="K6" s="62"/>
      <c r="L6" s="62"/>
      <c r="M6" s="62"/>
      <c r="N6"/>
      <c r="O6" s="65" t="s">
        <v>26</v>
      </c>
      <c r="P6" s="54" t="s">
        <v>58</v>
      </c>
      <c r="Q6" s="146"/>
    </row>
    <row r="7" spans="1:18" ht="12.75">
      <c r="A7" s="57">
        <f>+Pricing!A7</f>
        <v>44317</v>
      </c>
      <c r="B7" s="62"/>
      <c r="C7" s="67">
        <f>'Commodity Tonnages'!C7*Pricing!C7</f>
        <v>11735.618856448</v>
      </c>
      <c r="D7" s="67">
        <f>'Commodity Tonnages'!D7*Pricing!D7</f>
        <v>-1855.6125824</v>
      </c>
      <c r="E7" s="67">
        <f>'Commodity Tonnages'!E7*Pricing!E7</f>
        <v>0</v>
      </c>
      <c r="F7" s="67">
        <f>'Commodity Tonnages'!F7*Pricing!F7</f>
        <v>1502.757912576</v>
      </c>
      <c r="G7" s="67">
        <f>'Commodity Tonnages'!G7*Pricing!G7</f>
        <v>180.49761408</v>
      </c>
      <c r="H7" s="67">
        <f>'Commodity Tonnages'!H7*Pricing!H7</f>
        <v>9113.14108672</v>
      </c>
      <c r="I7" s="67">
        <f>'Commodity Tonnages'!I7*Pricing!I7</f>
        <v>3242.6613849600003</v>
      </c>
      <c r="J7" s="67">
        <f>'Commodity Tonnages'!J7*Pricing!J7</f>
        <v>3242.6613849600003</v>
      </c>
      <c r="K7" s="67">
        <f>'Commodity Tonnages'!K7*Pricing!K7</f>
        <v>19519.919327744</v>
      </c>
      <c r="L7" s="67">
        <f>'Commodity Tonnages'!L7*Pricing!L7</f>
        <v>-22582.4067168</v>
      </c>
      <c r="M7" s="63">
        <f aca="true" t="shared" si="0" ref="M7:M18">SUM(C7:L7)</f>
        <v>24099.238268288</v>
      </c>
      <c r="N7"/>
      <c r="O7" s="129">
        <f>M7*P7</f>
        <v>12049.619134144</v>
      </c>
      <c r="P7" s="144">
        <v>0.5</v>
      </c>
      <c r="Q7" s="147"/>
      <c r="R7" s="66"/>
    </row>
    <row r="8" spans="1:18" ht="12.75">
      <c r="A8" s="57">
        <f>+Pricing!A8</f>
        <v>44377</v>
      </c>
      <c r="B8" s="62"/>
      <c r="C8" s="67">
        <f>'Commodity Tonnages'!C8*Pricing!C8</f>
        <v>12813.867426800001</v>
      </c>
      <c r="D8" s="67">
        <f>'Commodity Tonnages'!D8*Pricing!D8</f>
        <v>-795.8639919999999</v>
      </c>
      <c r="E8" s="67">
        <f>'Commodity Tonnages'!E8*Pricing!E8</f>
        <v>0</v>
      </c>
      <c r="F8" s="67">
        <f>'Commodity Tonnages'!F8*Pricing!F8</f>
        <v>1904.3428641600003</v>
      </c>
      <c r="G8" s="67">
        <f>'Commodity Tonnages'!G8*Pricing!G8</f>
        <v>224.67880512000005</v>
      </c>
      <c r="H8" s="67">
        <f>'Commodity Tonnages'!H8*Pricing!H8</f>
        <v>13362.125614640006</v>
      </c>
      <c r="I8" s="67">
        <f>'Commodity Tonnages'!I8*Pricing!I8</f>
        <v>5142.19311672</v>
      </c>
      <c r="J8" s="67">
        <f>'Commodity Tonnages'!J8*Pricing!J8</f>
        <v>5142.19311672</v>
      </c>
      <c r="K8" s="67">
        <f>'Commodity Tonnages'!K8*Pricing!K8</f>
        <v>24407.29780016</v>
      </c>
      <c r="L8" s="67">
        <f>'Commodity Tonnages'!L8*Pricing!L8</f>
        <v>-25292.2142825</v>
      </c>
      <c r="M8" s="63">
        <f t="shared" si="0"/>
        <v>36908.62046982</v>
      </c>
      <c r="N8"/>
      <c r="O8" s="129">
        <f aca="true" t="shared" si="1" ref="O8:O18">M8*P8</f>
        <v>18454.31023491</v>
      </c>
      <c r="P8" s="144">
        <v>0.5</v>
      </c>
      <c r="Q8" s="147"/>
      <c r="R8" s="66"/>
    </row>
    <row r="9" spans="1:18" ht="12.75">
      <c r="A9" s="57">
        <f>+Pricing!A9</f>
        <v>44408</v>
      </c>
      <c r="B9" s="58"/>
      <c r="C9" s="67">
        <f>'Commodity Tonnages'!C9*Pricing!C9</f>
        <v>14012.956717056004</v>
      </c>
      <c r="D9" s="67">
        <f>'Commodity Tonnages'!D9*Pricing!D9</f>
        <v>-4871.9502216</v>
      </c>
      <c r="E9" s="67">
        <f>'Commodity Tonnages'!E9*Pricing!E9</f>
        <v>0</v>
      </c>
      <c r="F9" s="67">
        <f>'Commodity Tonnages'!F9*Pricing!F9</f>
        <v>1821.4079500799999</v>
      </c>
      <c r="G9" s="67">
        <f>'Commodity Tonnages'!G9*Pricing!G9</f>
        <v>198.88561929600002</v>
      </c>
      <c r="H9" s="67">
        <f>'Commodity Tonnages'!H9*Pricing!H9</f>
        <v>11033.12620224</v>
      </c>
      <c r="I9" s="67">
        <f>'Commodity Tonnages'!I9*Pricing!I9</f>
        <v>5217.824217744001</v>
      </c>
      <c r="J9" s="67">
        <f>'Commodity Tonnages'!J9*Pricing!J9</f>
        <v>5217.824217744001</v>
      </c>
      <c r="K9" s="67">
        <f>'Commodity Tonnages'!K9*Pricing!K9</f>
        <v>22690.031566176007</v>
      </c>
      <c r="L9" s="67">
        <f>'Commodity Tonnages'!L9*Pricing!L9</f>
        <v>-15610.508474400001</v>
      </c>
      <c r="M9" s="63">
        <f t="shared" si="0"/>
        <v>39709.597794336005</v>
      </c>
      <c r="N9" s="63"/>
      <c r="O9" s="129">
        <f t="shared" si="1"/>
        <v>19854.798897168002</v>
      </c>
      <c r="P9" s="144">
        <v>0.5</v>
      </c>
      <c r="Q9" s="147"/>
      <c r="R9" s="66"/>
    </row>
    <row r="10" spans="1:18" ht="12.75">
      <c r="A10" s="57">
        <f>+Pricing!A10</f>
        <v>44439</v>
      </c>
      <c r="B10" s="58"/>
      <c r="C10" s="67">
        <f>'Commodity Tonnages'!C10*Pricing!C10</f>
        <v>14687.612245504002</v>
      </c>
      <c r="D10" s="67">
        <f>'Commodity Tonnages'!D10*Pricing!D10</f>
        <v>-5676.88656216</v>
      </c>
      <c r="E10" s="67">
        <f>'Commodity Tonnages'!E10*Pricing!E10</f>
        <v>0</v>
      </c>
      <c r="F10" s="67">
        <f>'Commodity Tonnages'!F10*Pricing!F10</f>
        <v>1687.094786816</v>
      </c>
      <c r="G10" s="67">
        <f>'Commodity Tonnages'!G10*Pricing!G10</f>
        <v>188.407041312</v>
      </c>
      <c r="H10" s="67">
        <f>'Commodity Tonnages'!H10*Pricing!H10</f>
        <v>12896.646690592</v>
      </c>
      <c r="I10" s="67">
        <f>'Commodity Tonnages'!I10*Pricing!I10</f>
        <v>6412.210923152</v>
      </c>
      <c r="J10" s="67">
        <f>'Commodity Tonnages'!J10*Pricing!J10</f>
        <v>6412.210923152</v>
      </c>
      <c r="K10" s="67">
        <f>'Commodity Tonnages'!K10*Pricing!K10</f>
        <v>23905.314717408004</v>
      </c>
      <c r="L10" s="67">
        <f>'Commodity Tonnages'!L10*Pricing!L10</f>
        <v>-15708.3208324</v>
      </c>
      <c r="M10" s="63">
        <f t="shared" si="0"/>
        <v>44804.289933376014</v>
      </c>
      <c r="N10" s="63"/>
      <c r="O10" s="129">
        <f t="shared" si="1"/>
        <v>22402.144966688007</v>
      </c>
      <c r="P10" s="144">
        <v>0.5</v>
      </c>
      <c r="Q10" s="147"/>
      <c r="R10" s="66"/>
    </row>
    <row r="11" spans="1:18" ht="12.75">
      <c r="A11" s="57">
        <f>+Pricing!A11</f>
        <v>44469</v>
      </c>
      <c r="B11" s="58"/>
      <c r="C11" s="67">
        <f>'Commodity Tonnages'!C11*Pricing!C11</f>
        <v>14431.810922496</v>
      </c>
      <c r="D11" s="67">
        <f>'Commodity Tonnages'!D11*Pricing!D11</f>
        <v>-4731.22007208</v>
      </c>
      <c r="E11" s="67">
        <f>'Commodity Tonnages'!E11*Pricing!E11</f>
        <v>0</v>
      </c>
      <c r="F11" s="67">
        <f>'Commodity Tonnages'!F11*Pricing!F11</f>
        <v>1373.5462003199998</v>
      </c>
      <c r="G11" s="67">
        <f>'Commodity Tonnages'!G11*Pricing!G11</f>
        <v>151.90156195199998</v>
      </c>
      <c r="H11" s="67">
        <f>'Commodity Tonnages'!H11*Pricing!H11</f>
        <v>10897.691712192001</v>
      </c>
      <c r="I11" s="67">
        <f>'Commodity Tonnages'!I11*Pricing!I11</f>
        <v>5090.955707376</v>
      </c>
      <c r="J11" s="67">
        <f>'Commodity Tonnages'!J11*Pricing!J11</f>
        <v>5090.955707376</v>
      </c>
      <c r="K11" s="67">
        <f>'Commodity Tonnages'!K11*Pricing!K11</f>
        <v>22693.299681599998</v>
      </c>
      <c r="L11" s="67">
        <f>'Commodity Tonnages'!L11*Pricing!L11</f>
        <v>-14161.435658999997</v>
      </c>
      <c r="M11" s="63">
        <f t="shared" si="0"/>
        <v>40837.505762232</v>
      </c>
      <c r="N11" s="63"/>
      <c r="O11" s="129">
        <f t="shared" si="1"/>
        <v>20418.752881116</v>
      </c>
      <c r="P11" s="144">
        <v>0.5</v>
      </c>
      <c r="Q11" s="147"/>
      <c r="R11" s="66"/>
    </row>
    <row r="12" spans="1:18" ht="12.75">
      <c r="A12" s="57">
        <f>+Pricing!A12</f>
        <v>44500</v>
      </c>
      <c r="B12" s="58"/>
      <c r="C12" s="67">
        <f>'Commodity Tonnages'!C12*Pricing!C12</f>
        <v>13604.032465408</v>
      </c>
      <c r="D12" s="67">
        <f>'Commodity Tonnages'!D12*Pricing!D12</f>
        <v>-4221.313486319999</v>
      </c>
      <c r="E12" s="67">
        <f>'Commodity Tonnages'!E12*Pricing!E12</f>
        <v>0</v>
      </c>
      <c r="F12" s="67">
        <f>'Commodity Tonnages'!F12*Pricing!F12</f>
        <v>1274.0246113280002</v>
      </c>
      <c r="G12" s="67">
        <f>'Commodity Tonnages'!G12*Pricing!G12</f>
        <v>153.42755500799996</v>
      </c>
      <c r="H12" s="67">
        <f>'Commodity Tonnages'!H12*Pricing!H12</f>
        <v>11413.133114432</v>
      </c>
      <c r="I12" s="67">
        <f>'Commodity Tonnages'!I12*Pricing!I12</f>
        <v>3227.969929408001</v>
      </c>
      <c r="J12" s="67">
        <f>'Commodity Tonnages'!J12*Pricing!J12</f>
        <v>3227.969929408001</v>
      </c>
      <c r="K12" s="67">
        <f>'Commodity Tonnages'!K12*Pricing!K12</f>
        <v>20645.053922304003</v>
      </c>
      <c r="L12" s="67">
        <f>'Commodity Tonnages'!L12*Pricing!L12</f>
        <v>-13045.387257</v>
      </c>
      <c r="M12" s="63">
        <f t="shared" si="0"/>
        <v>36278.910783976</v>
      </c>
      <c r="N12" s="63"/>
      <c r="O12" s="129">
        <f t="shared" si="1"/>
        <v>18139.455391988</v>
      </c>
      <c r="P12" s="144">
        <v>0.5</v>
      </c>
      <c r="Q12" s="147"/>
      <c r="R12" s="66"/>
    </row>
    <row r="13" spans="1:18" ht="12.75">
      <c r="A13" s="57">
        <f>+Pricing!A13</f>
        <v>44530</v>
      </c>
      <c r="B13" s="58"/>
      <c r="C13" s="67">
        <f>'Commodity Tonnages'!C13*Pricing!C13</f>
        <v>13769.771537280001</v>
      </c>
      <c r="D13" s="67">
        <f>'Commodity Tonnages'!D13*Pricing!D13</f>
        <v>-6240.91376328</v>
      </c>
      <c r="E13" s="67">
        <f>'Commodity Tonnages'!E13*Pricing!E13</f>
        <v>0</v>
      </c>
      <c r="F13" s="67">
        <f>'Commodity Tonnages'!F13*Pricing!F13</f>
        <v>1581.2007717120002</v>
      </c>
      <c r="G13" s="67">
        <f>'Commodity Tonnages'!G13*Pricing!G13</f>
        <v>198.26548996799997</v>
      </c>
      <c r="H13" s="67">
        <f>'Commodity Tonnages'!H13*Pricing!H13</f>
        <v>7425.150500368002</v>
      </c>
      <c r="I13" s="67">
        <f>'Commodity Tonnages'!I13*Pricing!I13</f>
        <v>4056.4579690320006</v>
      </c>
      <c r="J13" s="67">
        <f>'Commodity Tonnages'!J13*Pricing!J13</f>
        <v>4056.4579690320006</v>
      </c>
      <c r="K13" s="67">
        <f>'Commodity Tonnages'!K13*Pricing!K13</f>
        <v>21138.841455552003</v>
      </c>
      <c r="L13" s="67">
        <f>'Commodity Tonnages'!L13*Pricing!L13</f>
        <v>-15562.805723499998</v>
      </c>
      <c r="M13" s="63">
        <f t="shared" si="0"/>
        <v>30422.426206164007</v>
      </c>
      <c r="N13" s="63"/>
      <c r="O13" s="129">
        <f t="shared" si="1"/>
        <v>15211.213103082004</v>
      </c>
      <c r="P13" s="144">
        <v>0.5</v>
      </c>
      <c r="Q13" s="147"/>
      <c r="R13" s="66"/>
    </row>
    <row r="14" spans="1:18" ht="12.75">
      <c r="A14" s="57">
        <f>+Pricing!A14</f>
        <v>44561</v>
      </c>
      <c r="B14" s="58"/>
      <c r="C14" s="67">
        <f>'Commodity Tonnages'!C14*Pricing!C14</f>
        <v>11392.622743040001</v>
      </c>
      <c r="D14" s="67">
        <f>'Commodity Tonnages'!D14*Pricing!D14</f>
        <v>-4356.9301419</v>
      </c>
      <c r="E14" s="67">
        <f>'Commodity Tonnages'!E14*Pricing!E14</f>
        <v>0</v>
      </c>
      <c r="F14" s="67">
        <f>'Commodity Tonnages'!F14*Pricing!F14</f>
        <v>1311.19886464</v>
      </c>
      <c r="G14" s="67">
        <f>'Commodity Tonnages'!G14*Pricing!G14</f>
        <v>163.88310876000003</v>
      </c>
      <c r="H14" s="67">
        <f>'Commodity Tonnages'!H14*Pricing!H14</f>
        <v>-1527.7560315500002</v>
      </c>
      <c r="I14" s="67">
        <f>'Commodity Tonnages'!I14*Pricing!I14</f>
        <v>2733.7402637999994</v>
      </c>
      <c r="J14" s="67">
        <f>'Commodity Tonnages'!J14*Pricing!J14</f>
        <v>2733.7402637999994</v>
      </c>
      <c r="K14" s="67">
        <f>'Commodity Tonnages'!K14*Pricing!K14</f>
        <v>15404.222962800002</v>
      </c>
      <c r="L14" s="67">
        <f>'Commodity Tonnages'!L14*Pricing!L14</f>
        <v>-12581.57598075</v>
      </c>
      <c r="M14" s="63">
        <f t="shared" si="0"/>
        <v>15273.14605264</v>
      </c>
      <c r="N14" s="63"/>
      <c r="O14" s="129">
        <f t="shared" si="1"/>
        <v>7636.57302632</v>
      </c>
      <c r="P14" s="144">
        <v>0.5</v>
      </c>
      <c r="Q14" s="147"/>
      <c r="R14" s="66"/>
    </row>
    <row r="15" spans="1:18" ht="12.75">
      <c r="A15" s="57">
        <f>+Pricing!A15</f>
        <v>44592</v>
      </c>
      <c r="B15" s="58"/>
      <c r="C15" s="67">
        <f>'Commodity Tonnages'!C15*Pricing!C15</f>
        <v>19733.445859776002</v>
      </c>
      <c r="D15" s="67">
        <f>'Commodity Tonnages'!D15*Pricing!D15</f>
        <v>-10086.125312999997</v>
      </c>
      <c r="E15" s="67">
        <f>'Commodity Tonnages'!E15*Pricing!E15</f>
        <v>0</v>
      </c>
      <c r="F15" s="67">
        <f>'Commodity Tonnages'!F15*Pricing!F15</f>
        <v>1210.3879510800002</v>
      </c>
      <c r="G15" s="67">
        <f>'Commodity Tonnages'!G15*Pricing!G15</f>
        <v>121.435940472</v>
      </c>
      <c r="H15" s="67">
        <f>'Commodity Tonnages'!H15*Pricing!H15</f>
        <v>-827.0677139999999</v>
      </c>
      <c r="I15" s="67">
        <f>'Commodity Tonnages'!I15*Pricing!I15</f>
        <v>2721.3317508960004</v>
      </c>
      <c r="J15" s="67">
        <f>'Commodity Tonnages'!J15*Pricing!J15</f>
        <v>2721.3317508960004</v>
      </c>
      <c r="K15" s="67">
        <f>'Commodity Tonnages'!K15*Pricing!K15</f>
        <v>15963.321108240001</v>
      </c>
      <c r="L15" s="67">
        <f>'Commodity Tonnages'!L15*Pricing!L15</f>
        <v>-17998.80427488</v>
      </c>
      <c r="M15" s="63">
        <f t="shared" si="0"/>
        <v>13559.257059480005</v>
      </c>
      <c r="N15" s="63"/>
      <c r="O15" s="129">
        <f t="shared" si="1"/>
        <v>6779.628529740003</v>
      </c>
      <c r="P15" s="144">
        <v>0.5</v>
      </c>
      <c r="Q15" s="147"/>
      <c r="R15" s="66"/>
    </row>
    <row r="16" spans="1:18" ht="12.75">
      <c r="A16" s="57">
        <f>+Pricing!A16</f>
        <v>44620</v>
      </c>
      <c r="B16" s="58"/>
      <c r="C16" s="67">
        <f>'Commodity Tonnages'!C16*Pricing!C16</f>
        <v>16693.847645184003</v>
      </c>
      <c r="D16" s="67">
        <f>'Commodity Tonnages'!D16*Pricing!D16</f>
        <v>-6326.2201319999995</v>
      </c>
      <c r="E16" s="67">
        <f>'Commodity Tonnages'!E16*Pricing!E16</f>
        <v>0</v>
      </c>
      <c r="F16" s="67">
        <f>'Commodity Tonnages'!F16*Pricing!F16</f>
        <v>1054.9404149760003</v>
      </c>
      <c r="G16" s="67">
        <f>'Commodity Tonnages'!G16*Pricing!G16</f>
        <v>111.96257011200001</v>
      </c>
      <c r="H16" s="67">
        <f>'Commodity Tonnages'!H16*Pricing!H16</f>
        <v>-4212.849369599999</v>
      </c>
      <c r="I16" s="67">
        <f>'Commodity Tonnages'!I16*Pricing!I16</f>
        <v>2864.0659804800002</v>
      </c>
      <c r="J16" s="67">
        <f>'Commodity Tonnages'!J16*Pricing!J16</f>
        <v>2864.0659804800002</v>
      </c>
      <c r="K16" s="67">
        <f>'Commodity Tonnages'!K16*Pricing!K16</f>
        <v>15402.952500480005</v>
      </c>
      <c r="L16" s="67">
        <f>'Commodity Tonnages'!L16*Pricing!L16</f>
        <v>-13397.039554080002</v>
      </c>
      <c r="M16" s="63">
        <f t="shared" si="0"/>
        <v>15055.72603603201</v>
      </c>
      <c r="N16" s="63"/>
      <c r="O16" s="129">
        <f t="shared" si="1"/>
        <v>7527.863018016005</v>
      </c>
      <c r="P16" s="144">
        <v>0.5</v>
      </c>
      <c r="Q16" s="147"/>
      <c r="R16" s="66"/>
    </row>
    <row r="17" spans="1:18" ht="12.75">
      <c r="A17" s="57">
        <f>+Pricing!A17</f>
        <v>44651</v>
      </c>
      <c r="B17" s="58"/>
      <c r="C17" s="67">
        <f>'Commodity Tonnages'!C17*Pricing!C17</f>
        <v>21092.846915727998</v>
      </c>
      <c r="D17" s="67">
        <f>'Commodity Tonnages'!D17*Pricing!D17</f>
        <v>-8300.759437249999</v>
      </c>
      <c r="E17" s="67">
        <f>'Commodity Tonnages'!E17*Pricing!E17</f>
        <v>0</v>
      </c>
      <c r="F17" s="67">
        <f>'Commodity Tonnages'!F17*Pricing!F17</f>
        <v>1259.8972194479998</v>
      </c>
      <c r="G17" s="67">
        <f>'Commodity Tonnages'!G17*Pricing!G17</f>
        <v>184.684868256</v>
      </c>
      <c r="H17" s="67">
        <f>'Commodity Tonnages'!H17*Pricing!H17</f>
        <v>-3648.8556230000004</v>
      </c>
      <c r="I17" s="67">
        <f>'Commodity Tonnages'!I17*Pricing!I17</f>
        <v>4203.387880384001</v>
      </c>
      <c r="J17" s="67">
        <f>'Commodity Tonnages'!J17*Pricing!J17</f>
        <v>4203.387880384001</v>
      </c>
      <c r="K17" s="67">
        <f>'Commodity Tonnages'!K17*Pricing!K17</f>
        <v>17377.58840328</v>
      </c>
      <c r="L17" s="67">
        <f>'Commodity Tonnages'!L17*Pricing!L17</f>
        <v>-15644.395682369997</v>
      </c>
      <c r="M17" s="63">
        <f t="shared" si="0"/>
        <v>20727.78242486</v>
      </c>
      <c r="N17" s="63"/>
      <c r="O17" s="129">
        <f t="shared" si="1"/>
        <v>10363.89121243</v>
      </c>
      <c r="P17" s="144">
        <v>0.5</v>
      </c>
      <c r="Q17" s="147"/>
      <c r="R17" s="66"/>
    </row>
    <row r="18" spans="1:18" ht="12.75">
      <c r="A18" s="57">
        <f>+Pricing!A18</f>
        <v>44681</v>
      </c>
      <c r="B18" s="58"/>
      <c r="C18" s="67">
        <f>'Commodity Tonnages'!C18*Pricing!C18</f>
        <v>18125.46080344</v>
      </c>
      <c r="D18" s="67">
        <f>'Commodity Tonnages'!D18*Pricing!D18</f>
        <v>-5532.273264249999</v>
      </c>
      <c r="E18" s="67">
        <f>'Commodity Tonnages'!E18*Pricing!E18</f>
        <v>0</v>
      </c>
      <c r="F18" s="67">
        <f>'Commodity Tonnages'!F18*Pricing!F18</f>
        <v>1302.9999361679997</v>
      </c>
      <c r="G18" s="67">
        <f>'Commodity Tonnages'!G18*Pricing!G18</f>
        <v>197.51635364</v>
      </c>
      <c r="H18" s="67">
        <f>'Commodity Tonnages'!H18*Pricing!H18</f>
        <v>-1467.4281586999998</v>
      </c>
      <c r="I18" s="67">
        <f>'Commodity Tonnages'!I18*Pricing!I18</f>
        <v>4480.260873696</v>
      </c>
      <c r="J18" s="67">
        <f>'Commodity Tonnages'!J18*Pricing!J18</f>
        <v>4480.260873696</v>
      </c>
      <c r="K18" s="67">
        <f>'Commodity Tonnages'!K18*Pricing!K18</f>
        <v>15482.557792800002</v>
      </c>
      <c r="L18" s="67">
        <f>'Commodity Tonnages'!L18*Pricing!L18</f>
        <v>-13756.20482444</v>
      </c>
      <c r="M18" s="63">
        <f t="shared" si="0"/>
        <v>23313.15038605</v>
      </c>
      <c r="N18" s="63"/>
      <c r="O18" s="129">
        <f t="shared" si="1"/>
        <v>11656.575193025</v>
      </c>
      <c r="P18" s="144">
        <v>0.5</v>
      </c>
      <c r="Q18" s="147"/>
      <c r="R18" s="66"/>
    </row>
    <row r="19" spans="1:17" ht="6.75" customHeight="1">
      <c r="A19" s="58"/>
      <c r="B19" s="58"/>
      <c r="C19" s="67"/>
      <c r="D19" s="67"/>
      <c r="E19" s="67"/>
      <c r="F19" s="67"/>
      <c r="G19" s="67"/>
      <c r="H19" s="67"/>
      <c r="I19" s="67"/>
      <c r="J19" s="67"/>
      <c r="K19" s="67"/>
      <c r="L19" s="67"/>
      <c r="M19" s="63"/>
      <c r="N19"/>
      <c r="O19" s="63"/>
      <c r="Q19" s="148"/>
    </row>
    <row r="20" spans="1:17" ht="12.75">
      <c r="A20" s="61" t="s">
        <v>29</v>
      </c>
      <c r="B20" s="58"/>
      <c r="C20" s="74">
        <f aca="true" t="shared" si="2" ref="C20:L20">SUM(C7:C19)</f>
        <v>182093.89413816005</v>
      </c>
      <c r="D20" s="74">
        <f t="shared" si="2"/>
        <v>-62996.068968240004</v>
      </c>
      <c r="E20" s="74">
        <f t="shared" si="2"/>
        <v>0</v>
      </c>
      <c r="F20" s="74">
        <f t="shared" si="2"/>
        <v>17283.799483304</v>
      </c>
      <c r="G20" s="74">
        <f t="shared" si="2"/>
        <v>2075.546527976</v>
      </c>
      <c r="H20" s="74">
        <f t="shared" si="2"/>
        <v>64457.05802433402</v>
      </c>
      <c r="I20" s="74">
        <f t="shared" si="2"/>
        <v>49393.05999764801</v>
      </c>
      <c r="J20" s="74">
        <f t="shared" si="2"/>
        <v>49393.05999764801</v>
      </c>
      <c r="K20" s="74">
        <f t="shared" si="2"/>
        <v>234630.40123854403</v>
      </c>
      <c r="L20" s="74">
        <f t="shared" si="2"/>
        <v>-195341.09926212</v>
      </c>
      <c r="M20" s="73">
        <f>SUM(C20:L20)</f>
        <v>340989.65117725416</v>
      </c>
      <c r="N20" s="59"/>
      <c r="O20" s="73">
        <f>SUM(O7:O19)</f>
        <v>170494.82558862702</v>
      </c>
      <c r="P20" s="108">
        <f>+O20/M20</f>
        <v>0.49999999999999983</v>
      </c>
      <c r="Q20" s="148"/>
    </row>
    <row r="21" spans="1:15" ht="12.75">
      <c r="A21" s="58"/>
      <c r="B21" s="58"/>
      <c r="C21" s="63"/>
      <c r="D21" s="63"/>
      <c r="E21" s="63"/>
      <c r="F21" s="63"/>
      <c r="G21" s="63"/>
      <c r="H21" s="63"/>
      <c r="I21" s="63"/>
      <c r="J21" s="63"/>
      <c r="K21" s="63"/>
      <c r="L21" s="63"/>
      <c r="M21" s="63"/>
      <c r="N21"/>
      <c r="O21" s="64"/>
    </row>
    <row r="22" spans="1:15" ht="12.75">
      <c r="A22" s="58"/>
      <c r="B22" s="58"/>
      <c r="C22" s="58"/>
      <c r="D22" s="58"/>
      <c r="E22" s="58"/>
      <c r="F22" s="58"/>
      <c r="G22" s="58"/>
      <c r="H22" s="58"/>
      <c r="I22" s="58"/>
      <c r="J22" s="58"/>
      <c r="K22" s="58"/>
      <c r="L22" s="58"/>
      <c r="M22" s="59"/>
      <c r="N22"/>
      <c r="O22" s="64"/>
    </row>
    <row r="23" spans="1:11" ht="12.75">
      <c r="A23" s="58"/>
      <c r="B23" s="58"/>
      <c r="C23" s="58"/>
      <c r="D23" s="58"/>
      <c r="E23" s="58"/>
      <c r="F23" s="58"/>
      <c r="G23" s="58"/>
      <c r="H23" s="58"/>
      <c r="I23" s="58"/>
      <c r="J23" s="58"/>
      <c r="K23" s="58"/>
    </row>
    <row r="24" spans="1:11" ht="12.75">
      <c r="A24" s="58"/>
      <c r="B24" s="58"/>
      <c r="C24" s="58"/>
      <c r="D24" s="58"/>
      <c r="E24" s="58"/>
      <c r="F24" s="58"/>
      <c r="G24" s="58"/>
      <c r="H24" s="58"/>
      <c r="I24" s="58"/>
      <c r="J24" s="58"/>
      <c r="K24" s="58"/>
    </row>
    <row r="25" spans="1:11" ht="12.75">
      <c r="A25" s="58"/>
      <c r="B25" s="58"/>
      <c r="C25" s="58"/>
      <c r="D25" s="58"/>
      <c r="E25" s="58"/>
      <c r="F25" s="58"/>
      <c r="G25" s="58"/>
      <c r="H25" s="58"/>
      <c r="I25" s="58"/>
      <c r="J25" s="58"/>
      <c r="K25" s="58"/>
    </row>
    <row r="26" spans="1:11" ht="12.75">
      <c r="A26" s="58"/>
      <c r="B26" s="58"/>
      <c r="C26" s="58"/>
      <c r="D26" s="58"/>
      <c r="E26" s="58"/>
      <c r="F26" s="58"/>
      <c r="G26" s="58"/>
      <c r="H26" s="58"/>
      <c r="I26" s="58"/>
      <c r="J26" s="58"/>
      <c r="K26" s="58"/>
    </row>
    <row r="27" spans="1:11" ht="12.75">
      <c r="A27" s="58"/>
      <c r="B27" s="58"/>
      <c r="C27" s="58"/>
      <c r="D27" s="58"/>
      <c r="E27" s="58"/>
      <c r="F27" s="58"/>
      <c r="G27" s="58"/>
      <c r="H27" s="58"/>
      <c r="I27" s="58"/>
      <c r="J27" s="58"/>
      <c r="K27" s="58"/>
    </row>
    <row r="28" spans="1:11" ht="12.75">
      <c r="A28" s="58"/>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12.75">
      <c r="A33" s="58"/>
      <c r="B33" s="58"/>
      <c r="C33" s="58"/>
      <c r="D33" s="58"/>
      <c r="E33" s="58"/>
      <c r="F33" s="58"/>
      <c r="G33" s="58"/>
      <c r="H33" s="58"/>
      <c r="I33" s="58"/>
      <c r="J33" s="58"/>
      <c r="K33" s="58"/>
    </row>
    <row r="34" spans="1:11" ht="12.75">
      <c r="A34" s="58"/>
      <c r="B34" s="58"/>
      <c r="C34" s="58"/>
      <c r="D34" s="58"/>
      <c r="E34" s="58"/>
      <c r="F34" s="58"/>
      <c r="G34" s="58"/>
      <c r="H34" s="58"/>
      <c r="I34" s="58"/>
      <c r="J34" s="58"/>
      <c r="K34" s="58"/>
    </row>
    <row r="35" spans="1:11" ht="12.75">
      <c r="A35" s="58"/>
      <c r="B35" s="58"/>
      <c r="C35" s="58"/>
      <c r="D35" s="58"/>
      <c r="E35" s="58"/>
      <c r="F35" s="58"/>
      <c r="G35" s="58"/>
      <c r="H35" s="58"/>
      <c r="I35" s="58"/>
      <c r="J35" s="58"/>
      <c r="K35" s="58"/>
    </row>
    <row r="36" spans="1:11" ht="12.75">
      <c r="A36" s="58"/>
      <c r="B36" s="58"/>
      <c r="C36" s="58"/>
      <c r="D36" s="58"/>
      <c r="E36" s="58"/>
      <c r="F36" s="58"/>
      <c r="G36" s="58"/>
      <c r="H36" s="58"/>
      <c r="I36" s="58"/>
      <c r="J36" s="58"/>
      <c r="K36" s="58"/>
    </row>
    <row r="37" spans="1:11" ht="12.75">
      <c r="A37" s="58"/>
      <c r="B37" s="58"/>
      <c r="C37" s="58"/>
      <c r="D37" s="58"/>
      <c r="E37" s="58"/>
      <c r="F37" s="58"/>
      <c r="G37" s="58"/>
      <c r="H37" s="58"/>
      <c r="I37" s="58"/>
      <c r="J37" s="58"/>
      <c r="K37" s="58"/>
    </row>
    <row r="38" spans="1:11" ht="12.75">
      <c r="A38" s="58"/>
      <c r="B38" s="58"/>
      <c r="C38" s="58"/>
      <c r="D38" s="58"/>
      <c r="E38" s="58"/>
      <c r="F38" s="58"/>
      <c r="G38" s="58"/>
      <c r="H38" s="58"/>
      <c r="I38" s="58"/>
      <c r="J38" s="58"/>
      <c r="K38" s="58"/>
    </row>
    <row r="39" spans="1:11" ht="12.75">
      <c r="A39" s="58"/>
      <c r="B39" s="58"/>
      <c r="C39" s="58"/>
      <c r="D39" s="58"/>
      <c r="E39" s="58"/>
      <c r="F39" s="58"/>
      <c r="G39" s="58"/>
      <c r="H39" s="58"/>
      <c r="I39" s="58"/>
      <c r="J39" s="58"/>
      <c r="K39" s="58"/>
    </row>
    <row r="40" spans="1:11" ht="12.75">
      <c r="A40" s="58"/>
      <c r="B40" s="58"/>
      <c r="C40" s="58"/>
      <c r="D40" s="58"/>
      <c r="E40" s="58"/>
      <c r="F40" s="58"/>
      <c r="G40" s="58"/>
      <c r="H40" s="58"/>
      <c r="I40" s="58"/>
      <c r="J40" s="58"/>
      <c r="K40" s="58"/>
    </row>
    <row r="41" spans="1:11" ht="12.75">
      <c r="A41" s="58"/>
      <c r="B41" s="58"/>
      <c r="C41" s="58"/>
      <c r="D41" s="58"/>
      <c r="E41" s="58"/>
      <c r="F41" s="58"/>
      <c r="G41" s="58"/>
      <c r="H41" s="58"/>
      <c r="I41" s="58"/>
      <c r="J41" s="58"/>
      <c r="K41" s="58"/>
    </row>
    <row r="42" spans="1:11" ht="12.75">
      <c r="A42" s="58"/>
      <c r="B42" s="58"/>
      <c r="C42" s="58"/>
      <c r="D42" s="58"/>
      <c r="E42" s="58"/>
      <c r="F42" s="58"/>
      <c r="G42" s="58"/>
      <c r="H42" s="58"/>
      <c r="I42" s="58"/>
      <c r="J42" s="58"/>
      <c r="K42" s="58"/>
    </row>
    <row r="43" spans="1:11" ht="12.75">
      <c r="A43" s="58"/>
      <c r="B43" s="58"/>
      <c r="C43" s="58"/>
      <c r="D43" s="58"/>
      <c r="E43" s="58"/>
      <c r="F43" s="58"/>
      <c r="G43" s="58"/>
      <c r="H43" s="58"/>
      <c r="I43" s="58"/>
      <c r="J43" s="58"/>
      <c r="K43" s="58"/>
    </row>
    <row r="44" spans="1:11" ht="12.75">
      <c r="A44" s="58"/>
      <c r="B44" s="58"/>
      <c r="C44" s="58"/>
      <c r="D44" s="58"/>
      <c r="E44" s="58"/>
      <c r="F44" s="58"/>
      <c r="G44" s="58"/>
      <c r="H44" s="58"/>
      <c r="I44" s="58"/>
      <c r="J44" s="58"/>
      <c r="K44" s="58"/>
    </row>
    <row r="45" spans="1:11" ht="12.75">
      <c r="A45" s="58"/>
      <c r="B45" s="58"/>
      <c r="C45" s="58"/>
      <c r="D45" s="58"/>
      <c r="E45" s="58"/>
      <c r="F45" s="58"/>
      <c r="G45" s="58"/>
      <c r="H45" s="58"/>
      <c r="I45" s="58"/>
      <c r="J45" s="58"/>
      <c r="K45" s="58"/>
    </row>
    <row r="46" spans="1:11" ht="12.75">
      <c r="A46" s="58"/>
      <c r="B46" s="58"/>
      <c r="C46" s="58"/>
      <c r="D46" s="58"/>
      <c r="E46" s="58"/>
      <c r="F46" s="58"/>
      <c r="G46" s="58"/>
      <c r="H46" s="58"/>
      <c r="I46" s="58"/>
      <c r="J46" s="58"/>
      <c r="K46" s="58"/>
    </row>
    <row r="47" spans="1:11" ht="12.75">
      <c r="A47" s="58"/>
      <c r="B47" s="58"/>
      <c r="C47" s="58"/>
      <c r="D47" s="58"/>
      <c r="E47" s="58"/>
      <c r="F47" s="58"/>
      <c r="G47" s="58"/>
      <c r="H47" s="58"/>
      <c r="I47" s="58"/>
      <c r="J47" s="58"/>
      <c r="K47" s="58"/>
    </row>
    <row r="48" spans="1:11" ht="12.75">
      <c r="A48" s="58"/>
      <c r="B48" s="58"/>
      <c r="C48" s="58"/>
      <c r="D48" s="58"/>
      <c r="E48" s="58"/>
      <c r="F48" s="58"/>
      <c r="G48" s="58"/>
      <c r="H48" s="58"/>
      <c r="I48" s="58"/>
      <c r="J48" s="58"/>
      <c r="K48" s="58"/>
    </row>
    <row r="49" spans="1:11" ht="12.75">
      <c r="A49" s="58"/>
      <c r="B49" s="58"/>
      <c r="C49" s="58"/>
      <c r="D49" s="58"/>
      <c r="E49" s="58"/>
      <c r="F49" s="58"/>
      <c r="G49" s="58"/>
      <c r="H49" s="58"/>
      <c r="I49" s="58"/>
      <c r="J49" s="58"/>
      <c r="K49" s="58"/>
    </row>
    <row r="50" spans="1:11" ht="12.75">
      <c r="A50" s="58"/>
      <c r="B50" s="58"/>
      <c r="C50" s="58"/>
      <c r="D50" s="58"/>
      <c r="E50" s="58"/>
      <c r="F50" s="58"/>
      <c r="G50" s="58"/>
      <c r="H50" s="58"/>
      <c r="I50" s="58"/>
      <c r="J50" s="58"/>
      <c r="K50" s="58"/>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58"/>
      <c r="B54" s="58"/>
      <c r="C54" s="58"/>
      <c r="D54" s="58"/>
      <c r="E54" s="58"/>
      <c r="F54" s="58"/>
      <c r="G54" s="58"/>
      <c r="H54" s="58"/>
      <c r="I54" s="58"/>
      <c r="J54" s="58"/>
      <c r="K54" s="58"/>
    </row>
    <row r="55" spans="1:11" ht="12.75">
      <c r="A55" s="58"/>
      <c r="B55" s="58"/>
      <c r="C55" s="58"/>
      <c r="D55" s="58"/>
      <c r="E55" s="58"/>
      <c r="F55" s="58"/>
      <c r="G55" s="58"/>
      <c r="H55" s="58"/>
      <c r="I55" s="58"/>
      <c r="J55" s="58"/>
      <c r="K55" s="58"/>
    </row>
    <row r="56" spans="1:11" ht="12.75">
      <c r="A56" s="58"/>
      <c r="B56" s="58"/>
      <c r="C56" s="58"/>
      <c r="D56" s="58"/>
      <c r="E56" s="58"/>
      <c r="F56" s="58"/>
      <c r="G56" s="58"/>
      <c r="H56" s="58"/>
      <c r="I56" s="58"/>
      <c r="J56" s="58"/>
      <c r="K56" s="58"/>
    </row>
    <row r="57" spans="1:11" ht="12.75">
      <c r="A57" s="58"/>
      <c r="B57" s="58"/>
      <c r="C57" s="58"/>
      <c r="D57" s="58"/>
      <c r="E57" s="58"/>
      <c r="F57" s="58"/>
      <c r="G57" s="58"/>
      <c r="H57" s="58"/>
      <c r="I57" s="58"/>
      <c r="J57" s="58"/>
      <c r="K57" s="58"/>
    </row>
    <row r="58" spans="1:11" ht="12.75">
      <c r="A58" s="58"/>
      <c r="B58" s="58"/>
      <c r="C58" s="58"/>
      <c r="D58" s="58"/>
      <c r="E58" s="58"/>
      <c r="F58" s="58"/>
      <c r="G58" s="58"/>
      <c r="H58" s="58"/>
      <c r="I58" s="58"/>
      <c r="J58" s="58"/>
      <c r="K58" s="58"/>
    </row>
    <row r="59" spans="1:11" ht="12.75">
      <c r="A59" s="58"/>
      <c r="B59" s="58"/>
      <c r="C59" s="58"/>
      <c r="D59" s="58"/>
      <c r="E59" s="58"/>
      <c r="F59" s="58"/>
      <c r="G59" s="58"/>
      <c r="H59" s="58"/>
      <c r="I59" s="58"/>
      <c r="J59" s="58"/>
      <c r="K59" s="58"/>
    </row>
    <row r="60" spans="1:11" ht="12.75">
      <c r="A60" s="58"/>
      <c r="B60" s="58"/>
      <c r="C60" s="58"/>
      <c r="D60" s="58"/>
      <c r="E60" s="58"/>
      <c r="F60" s="58"/>
      <c r="G60" s="58"/>
      <c r="H60" s="58"/>
      <c r="I60" s="58"/>
      <c r="J60" s="58"/>
      <c r="K60" s="58"/>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row r="65" spans="1:11" ht="12.75">
      <c r="A65" s="58"/>
      <c r="B65" s="58"/>
      <c r="C65" s="58"/>
      <c r="D65" s="58"/>
      <c r="E65" s="58"/>
      <c r="F65" s="58"/>
      <c r="G65" s="58"/>
      <c r="H65" s="58"/>
      <c r="I65" s="58"/>
      <c r="J65" s="58"/>
      <c r="K65" s="58"/>
    </row>
    <row r="66" spans="1:11" ht="12.75">
      <c r="A66" s="58"/>
      <c r="B66" s="58"/>
      <c r="C66" s="58"/>
      <c r="D66" s="58"/>
      <c r="E66" s="58"/>
      <c r="F66" s="58"/>
      <c r="G66" s="58"/>
      <c r="H66" s="58"/>
      <c r="I66" s="58"/>
      <c r="J66" s="58"/>
      <c r="K66" s="58"/>
    </row>
    <row r="67" spans="1:11" ht="12.75">
      <c r="A67" s="58"/>
      <c r="B67" s="58"/>
      <c r="C67" s="58"/>
      <c r="D67" s="58"/>
      <c r="E67" s="58"/>
      <c r="F67" s="58"/>
      <c r="G67" s="58"/>
      <c r="H67" s="58"/>
      <c r="I67" s="58"/>
      <c r="J67" s="58"/>
      <c r="K67" s="58"/>
    </row>
    <row r="68" spans="1:11" ht="12.75">
      <c r="A68" s="58"/>
      <c r="B68" s="58"/>
      <c r="C68" s="58"/>
      <c r="D68" s="58"/>
      <c r="E68" s="58"/>
      <c r="F68" s="58"/>
      <c r="G68" s="58"/>
      <c r="H68" s="58"/>
      <c r="I68" s="58"/>
      <c r="J68" s="58"/>
      <c r="K68" s="58"/>
    </row>
    <row r="69" spans="1:11" ht="12.75">
      <c r="A69" s="58"/>
      <c r="B69" s="58"/>
      <c r="C69" s="58"/>
      <c r="D69" s="58"/>
      <c r="E69" s="58"/>
      <c r="F69" s="58"/>
      <c r="G69" s="58"/>
      <c r="H69" s="58"/>
      <c r="I69" s="58"/>
      <c r="J69" s="58"/>
      <c r="K69" s="58"/>
    </row>
    <row r="70" spans="1:11" ht="12.75">
      <c r="A70" s="58"/>
      <c r="B70" s="58"/>
      <c r="C70" s="58"/>
      <c r="D70" s="58"/>
      <c r="E70" s="58"/>
      <c r="F70" s="58"/>
      <c r="G70" s="58"/>
      <c r="H70" s="58"/>
      <c r="I70" s="58"/>
      <c r="J70" s="58"/>
      <c r="K70" s="58"/>
    </row>
    <row r="71" spans="1:11" ht="12.75">
      <c r="A71" s="58"/>
      <c r="B71" s="58"/>
      <c r="C71" s="58"/>
      <c r="D71" s="58"/>
      <c r="E71" s="58"/>
      <c r="F71" s="58"/>
      <c r="G71" s="58"/>
      <c r="H71" s="58"/>
      <c r="I71" s="58"/>
      <c r="J71" s="58"/>
      <c r="K71" s="58"/>
    </row>
    <row r="72" spans="1:11" ht="12.75">
      <c r="A72" s="58"/>
      <c r="B72" s="58"/>
      <c r="C72" s="58"/>
      <c r="D72" s="58"/>
      <c r="E72" s="58"/>
      <c r="F72" s="58"/>
      <c r="G72" s="58"/>
      <c r="H72" s="58"/>
      <c r="I72" s="58"/>
      <c r="J72" s="58"/>
      <c r="K72" s="58"/>
    </row>
    <row r="73" spans="1:11" ht="12.75">
      <c r="A73" s="58"/>
      <c r="B73" s="58"/>
      <c r="C73" s="58"/>
      <c r="D73" s="58"/>
      <c r="E73" s="58"/>
      <c r="F73" s="58"/>
      <c r="G73" s="58"/>
      <c r="H73" s="58"/>
      <c r="I73" s="58"/>
      <c r="J73" s="58"/>
      <c r="K73" s="58"/>
    </row>
    <row r="74" spans="1:11" ht="12.75">
      <c r="A74" s="58"/>
      <c r="B74" s="58"/>
      <c r="C74" s="58"/>
      <c r="D74" s="58"/>
      <c r="E74" s="58"/>
      <c r="F74" s="58"/>
      <c r="G74" s="58"/>
      <c r="H74" s="58"/>
      <c r="I74" s="58"/>
      <c r="J74" s="58"/>
      <c r="K74" s="58"/>
    </row>
    <row r="75" spans="1:11" ht="12.75">
      <c r="A75" s="58"/>
      <c r="B75" s="58"/>
      <c r="C75" s="58"/>
      <c r="D75" s="58"/>
      <c r="E75" s="58"/>
      <c r="F75" s="58"/>
      <c r="G75" s="58"/>
      <c r="H75" s="58"/>
      <c r="I75" s="58"/>
      <c r="J75" s="58"/>
      <c r="K75" s="58"/>
    </row>
    <row r="76" spans="1:11" ht="12.75">
      <c r="A76" s="58"/>
      <c r="B76" s="58"/>
      <c r="C76" s="58"/>
      <c r="D76" s="58"/>
      <c r="E76" s="58"/>
      <c r="F76" s="58"/>
      <c r="G76" s="58"/>
      <c r="H76" s="58"/>
      <c r="I76" s="58"/>
      <c r="J76" s="58"/>
      <c r="K76" s="58"/>
    </row>
    <row r="77" spans="1:11" ht="12.75">
      <c r="A77" s="58"/>
      <c r="B77" s="58"/>
      <c r="C77" s="58"/>
      <c r="D77" s="58"/>
      <c r="E77" s="58"/>
      <c r="F77" s="58"/>
      <c r="G77" s="58"/>
      <c r="H77" s="58"/>
      <c r="I77" s="58"/>
      <c r="J77" s="58"/>
      <c r="K77" s="58"/>
    </row>
    <row r="78" spans="1:11" ht="12.75">
      <c r="A78" s="58"/>
      <c r="B78" s="58"/>
      <c r="C78" s="58"/>
      <c r="D78" s="58"/>
      <c r="E78" s="58"/>
      <c r="F78" s="58"/>
      <c r="G78" s="58"/>
      <c r="H78" s="58"/>
      <c r="I78" s="58"/>
      <c r="J78" s="58"/>
      <c r="K78" s="58"/>
    </row>
    <row r="79" spans="1:11" ht="12.75">
      <c r="A79" s="58"/>
      <c r="B79" s="58"/>
      <c r="C79" s="58"/>
      <c r="D79" s="58"/>
      <c r="E79" s="58"/>
      <c r="F79" s="58"/>
      <c r="G79" s="58"/>
      <c r="H79" s="58"/>
      <c r="I79" s="58"/>
      <c r="J79" s="58"/>
      <c r="K79" s="58"/>
    </row>
    <row r="80" spans="1:11" ht="12.75">
      <c r="A80" s="58"/>
      <c r="B80" s="58"/>
      <c r="C80" s="58"/>
      <c r="D80" s="58"/>
      <c r="E80" s="58"/>
      <c r="F80" s="58"/>
      <c r="G80" s="58"/>
      <c r="H80" s="58"/>
      <c r="I80" s="58"/>
      <c r="J80" s="58"/>
      <c r="K80" s="58"/>
    </row>
    <row r="81" spans="1:11" ht="12.75">
      <c r="A81" s="58"/>
      <c r="B81" s="58"/>
      <c r="C81" s="58"/>
      <c r="D81" s="58"/>
      <c r="E81" s="58"/>
      <c r="F81" s="58"/>
      <c r="G81" s="58"/>
      <c r="H81" s="58"/>
      <c r="I81" s="58"/>
      <c r="J81" s="58"/>
      <c r="K81" s="58"/>
    </row>
    <row r="82" spans="1:11" ht="12.75">
      <c r="A82" s="58"/>
      <c r="B82" s="58"/>
      <c r="C82" s="58"/>
      <c r="D82" s="58"/>
      <c r="E82" s="58"/>
      <c r="F82" s="58"/>
      <c r="G82" s="58"/>
      <c r="H82" s="58"/>
      <c r="I82" s="58"/>
      <c r="J82" s="58"/>
      <c r="K82" s="58"/>
    </row>
    <row r="83" spans="1:11" ht="12.75">
      <c r="A83" s="58"/>
      <c r="B83" s="58"/>
      <c r="C83" s="58"/>
      <c r="D83" s="58"/>
      <c r="E83" s="58"/>
      <c r="F83" s="58"/>
      <c r="G83" s="58"/>
      <c r="H83" s="58"/>
      <c r="I83" s="58"/>
      <c r="J83" s="58"/>
      <c r="K83" s="58"/>
    </row>
    <row r="84" spans="1:11" ht="12.75">
      <c r="A84" s="58"/>
      <c r="B84" s="58"/>
      <c r="C84" s="58"/>
      <c r="D84" s="58"/>
      <c r="E84" s="58"/>
      <c r="F84" s="58"/>
      <c r="G84" s="58"/>
      <c r="H84" s="58"/>
      <c r="I84" s="58"/>
      <c r="J84" s="58"/>
      <c r="K84" s="58"/>
    </row>
    <row r="85" spans="1:11" ht="12.75">
      <c r="A85" s="58"/>
      <c r="B85" s="58"/>
      <c r="C85" s="58"/>
      <c r="D85" s="58"/>
      <c r="E85" s="58"/>
      <c r="F85" s="58"/>
      <c r="G85" s="58"/>
      <c r="H85" s="58"/>
      <c r="I85" s="58"/>
      <c r="J85" s="58"/>
      <c r="K85" s="58"/>
    </row>
    <row r="86" spans="1:11" ht="12.75">
      <c r="A86" s="58"/>
      <c r="B86" s="58"/>
      <c r="C86" s="58"/>
      <c r="D86" s="58"/>
      <c r="E86" s="58"/>
      <c r="F86" s="58"/>
      <c r="G86" s="58"/>
      <c r="H86" s="58"/>
      <c r="I86" s="58"/>
      <c r="J86" s="58"/>
      <c r="K86" s="58"/>
    </row>
    <row r="87" spans="1:11" ht="12.75">
      <c r="A87" s="58"/>
      <c r="B87" s="58"/>
      <c r="C87" s="58"/>
      <c r="D87" s="58"/>
      <c r="E87" s="58"/>
      <c r="F87" s="58"/>
      <c r="G87" s="58"/>
      <c r="H87" s="58"/>
      <c r="I87" s="58"/>
      <c r="J87" s="58"/>
      <c r="K87" s="58"/>
    </row>
    <row r="88" spans="1:11" ht="12.75">
      <c r="A88" s="58"/>
      <c r="B88" s="58"/>
      <c r="C88" s="58"/>
      <c r="D88" s="58"/>
      <c r="E88" s="58"/>
      <c r="F88" s="58"/>
      <c r="G88" s="58"/>
      <c r="H88" s="58"/>
      <c r="I88" s="58"/>
      <c r="J88" s="58"/>
      <c r="K88" s="58"/>
    </row>
    <row r="89" spans="1:11" ht="12.75">
      <c r="A89" s="58"/>
      <c r="B89" s="58"/>
      <c r="C89" s="58"/>
      <c r="D89" s="58"/>
      <c r="E89" s="58"/>
      <c r="F89" s="58"/>
      <c r="G89" s="58"/>
      <c r="H89" s="58"/>
      <c r="I89" s="58"/>
      <c r="J89" s="58"/>
      <c r="K89" s="58"/>
    </row>
    <row r="90" spans="1:11" ht="12.75">
      <c r="A90" s="58"/>
      <c r="B90" s="58"/>
      <c r="C90" s="58"/>
      <c r="D90" s="58"/>
      <c r="E90" s="58"/>
      <c r="F90" s="58"/>
      <c r="G90" s="58"/>
      <c r="H90" s="58"/>
      <c r="I90" s="58"/>
      <c r="J90" s="58"/>
      <c r="K90" s="58"/>
    </row>
    <row r="91" spans="1:11" ht="12.75">
      <c r="A91" s="58"/>
      <c r="B91" s="58"/>
      <c r="C91" s="58"/>
      <c r="D91" s="58"/>
      <c r="E91" s="58"/>
      <c r="F91" s="58"/>
      <c r="G91" s="58"/>
      <c r="H91" s="58"/>
      <c r="I91" s="58"/>
      <c r="J91" s="58"/>
      <c r="K91" s="58"/>
    </row>
    <row r="92" spans="1:11" ht="12.75">
      <c r="A92" s="58"/>
      <c r="B92" s="58"/>
      <c r="C92" s="58"/>
      <c r="D92" s="58"/>
      <c r="E92" s="58"/>
      <c r="F92" s="58"/>
      <c r="G92" s="58"/>
      <c r="H92" s="58"/>
      <c r="I92" s="58"/>
      <c r="J92" s="58"/>
      <c r="K92" s="58"/>
    </row>
    <row r="93" spans="1:11" ht="12.75">
      <c r="A93" s="58"/>
      <c r="B93" s="58"/>
      <c r="C93" s="58"/>
      <c r="D93" s="58"/>
      <c r="E93" s="58"/>
      <c r="F93" s="58"/>
      <c r="G93" s="58"/>
      <c r="H93" s="58"/>
      <c r="I93" s="58"/>
      <c r="J93" s="58"/>
      <c r="K93" s="58"/>
    </row>
    <row r="94" spans="1:11" ht="12.75">
      <c r="A94" s="58"/>
      <c r="B94" s="58"/>
      <c r="C94" s="58"/>
      <c r="D94" s="58"/>
      <c r="E94" s="58"/>
      <c r="F94" s="58"/>
      <c r="G94" s="58"/>
      <c r="H94" s="58"/>
      <c r="I94" s="58"/>
      <c r="J94" s="58"/>
      <c r="K94" s="58"/>
    </row>
    <row r="95" spans="1:11" ht="12.75">
      <c r="A95" s="58"/>
      <c r="B95" s="58"/>
      <c r="C95" s="58"/>
      <c r="D95" s="58"/>
      <c r="E95" s="58"/>
      <c r="F95" s="58"/>
      <c r="G95" s="58"/>
      <c r="H95" s="58"/>
      <c r="I95" s="58"/>
      <c r="J95" s="58"/>
      <c r="K95" s="58"/>
    </row>
    <row r="96" spans="1:11" ht="12.75">
      <c r="A96" s="58"/>
      <c r="B96" s="58"/>
      <c r="C96" s="58"/>
      <c r="D96" s="58"/>
      <c r="E96" s="58"/>
      <c r="F96" s="58"/>
      <c r="G96" s="58"/>
      <c r="H96" s="58"/>
      <c r="I96" s="58"/>
      <c r="J96" s="58"/>
      <c r="K96" s="58"/>
    </row>
    <row r="97" spans="1:11" ht="12.75">
      <c r="A97" s="58"/>
      <c r="B97" s="58"/>
      <c r="C97" s="58"/>
      <c r="D97" s="58"/>
      <c r="E97" s="58"/>
      <c r="F97" s="58"/>
      <c r="G97" s="58"/>
      <c r="H97" s="58"/>
      <c r="I97" s="58"/>
      <c r="J97" s="58"/>
      <c r="K97" s="5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00" spans="1:11" ht="12.75">
      <c r="A100" s="58"/>
      <c r="B100" s="58"/>
      <c r="C100" s="58"/>
      <c r="D100" s="58"/>
      <c r="E100" s="58"/>
      <c r="F100" s="58"/>
      <c r="G100" s="58"/>
      <c r="H100" s="58"/>
      <c r="I100" s="58"/>
      <c r="J100" s="58"/>
      <c r="K100" s="58"/>
    </row>
    <row r="101" spans="1:11" ht="12.75">
      <c r="A101" s="58"/>
      <c r="B101" s="58"/>
      <c r="C101" s="58"/>
      <c r="D101" s="58"/>
      <c r="E101" s="58"/>
      <c r="F101" s="58"/>
      <c r="G101" s="58"/>
      <c r="H101" s="58"/>
      <c r="I101" s="58"/>
      <c r="J101" s="58"/>
      <c r="K101" s="58"/>
    </row>
    <row r="102" spans="1:11" ht="12.75">
      <c r="A102" s="58"/>
      <c r="B102" s="58"/>
      <c r="C102" s="58"/>
      <c r="D102" s="58"/>
      <c r="E102" s="58"/>
      <c r="F102" s="58"/>
      <c r="G102" s="58"/>
      <c r="H102" s="58"/>
      <c r="I102" s="58"/>
      <c r="J102" s="58"/>
      <c r="K102" s="58"/>
    </row>
    <row r="103" spans="1:11" ht="12.75">
      <c r="A103" s="58"/>
      <c r="B103" s="58"/>
      <c r="C103" s="58"/>
      <c r="D103" s="58"/>
      <c r="E103" s="58"/>
      <c r="F103" s="58"/>
      <c r="G103" s="58"/>
      <c r="H103" s="58"/>
      <c r="I103" s="58"/>
      <c r="J103" s="58"/>
      <c r="K103" s="58"/>
    </row>
    <row r="104" spans="1:11" ht="12.75">
      <c r="A104" s="58"/>
      <c r="B104" s="58"/>
      <c r="C104" s="58"/>
      <c r="D104" s="58"/>
      <c r="E104" s="58"/>
      <c r="F104" s="58"/>
      <c r="G104" s="58"/>
      <c r="H104" s="58"/>
      <c r="I104" s="58"/>
      <c r="J104" s="58"/>
      <c r="K104" s="58"/>
    </row>
    <row r="105" spans="1:11" ht="12.75">
      <c r="A105" s="58"/>
      <c r="B105" s="58"/>
      <c r="C105" s="58"/>
      <c r="D105" s="58"/>
      <c r="E105" s="58"/>
      <c r="F105" s="58"/>
      <c r="G105" s="58"/>
      <c r="H105" s="58"/>
      <c r="I105" s="58"/>
      <c r="J105" s="58"/>
      <c r="K105" s="58"/>
    </row>
    <row r="106" spans="1:11" ht="12.75">
      <c r="A106" s="58"/>
      <c r="B106" s="58"/>
      <c r="C106" s="58"/>
      <c r="D106" s="58"/>
      <c r="E106" s="58"/>
      <c r="F106" s="58"/>
      <c r="G106" s="58"/>
      <c r="H106" s="58"/>
      <c r="I106" s="58"/>
      <c r="J106" s="58"/>
      <c r="K106" s="58"/>
    </row>
    <row r="107" spans="1:11" ht="12.75">
      <c r="A107" s="58"/>
      <c r="B107" s="58"/>
      <c r="C107" s="58"/>
      <c r="D107" s="58"/>
      <c r="E107" s="58"/>
      <c r="F107" s="58"/>
      <c r="G107" s="58"/>
      <c r="H107" s="58"/>
      <c r="I107" s="58"/>
      <c r="J107" s="58"/>
      <c r="K107" s="58"/>
    </row>
    <row r="108" spans="1:11" ht="12.75">
      <c r="A108" s="58"/>
      <c r="B108" s="58"/>
      <c r="C108" s="58"/>
      <c r="D108" s="58"/>
      <c r="E108" s="58"/>
      <c r="F108" s="58"/>
      <c r="G108" s="58"/>
      <c r="H108" s="58"/>
      <c r="I108" s="58"/>
      <c r="J108" s="58"/>
      <c r="K108" s="58"/>
    </row>
    <row r="109" spans="1:11" ht="12.75">
      <c r="A109" s="58"/>
      <c r="B109" s="58"/>
      <c r="C109" s="58"/>
      <c r="D109" s="58"/>
      <c r="E109" s="58"/>
      <c r="F109" s="58"/>
      <c r="G109" s="58"/>
      <c r="H109" s="58"/>
      <c r="I109" s="58"/>
      <c r="J109" s="58"/>
      <c r="K109" s="58"/>
    </row>
    <row r="110" spans="1:11" ht="12.75">
      <c r="A110" s="58"/>
      <c r="B110" s="58"/>
      <c r="C110" s="58"/>
      <c r="D110" s="58"/>
      <c r="E110" s="58"/>
      <c r="F110" s="58"/>
      <c r="G110" s="58"/>
      <c r="H110" s="58"/>
      <c r="I110" s="58"/>
      <c r="J110" s="58"/>
      <c r="K110" s="58"/>
    </row>
    <row r="111" spans="1:11" ht="12.75">
      <c r="A111" s="58"/>
      <c r="B111" s="58"/>
      <c r="C111" s="58"/>
      <c r="D111" s="58"/>
      <c r="E111" s="58"/>
      <c r="F111" s="58"/>
      <c r="G111" s="58"/>
      <c r="H111" s="58"/>
      <c r="I111" s="58"/>
      <c r="J111" s="58"/>
      <c r="K111" s="58"/>
    </row>
    <row r="112" spans="1:11" ht="12.75">
      <c r="A112" s="58"/>
      <c r="B112" s="58"/>
      <c r="C112" s="58"/>
      <c r="D112" s="58"/>
      <c r="E112" s="58"/>
      <c r="F112" s="58"/>
      <c r="G112" s="58"/>
      <c r="H112" s="58"/>
      <c r="I112" s="58"/>
      <c r="J112" s="58"/>
      <c r="K112" s="58"/>
    </row>
    <row r="113" spans="1:11" ht="12.75">
      <c r="A113" s="58"/>
      <c r="B113" s="58"/>
      <c r="C113" s="58"/>
      <c r="D113" s="58"/>
      <c r="E113" s="58"/>
      <c r="F113" s="58"/>
      <c r="G113" s="58"/>
      <c r="H113" s="58"/>
      <c r="I113" s="58"/>
      <c r="J113" s="58"/>
      <c r="K113" s="58"/>
    </row>
    <row r="114" spans="1:11" ht="12.75">
      <c r="A114" s="58"/>
      <c r="B114" s="58"/>
      <c r="C114" s="58"/>
      <c r="D114" s="58"/>
      <c r="E114" s="58"/>
      <c r="F114" s="58"/>
      <c r="G114" s="58"/>
      <c r="H114" s="58"/>
      <c r="I114" s="58"/>
      <c r="J114" s="58"/>
      <c r="K114" s="58"/>
    </row>
    <row r="115" spans="1:11" ht="12.75">
      <c r="A115" s="58"/>
      <c r="B115" s="58"/>
      <c r="C115" s="58"/>
      <c r="D115" s="58"/>
      <c r="E115" s="58"/>
      <c r="F115" s="58"/>
      <c r="G115" s="58"/>
      <c r="H115" s="58"/>
      <c r="I115" s="58"/>
      <c r="J115" s="58"/>
      <c r="K115" s="58"/>
    </row>
    <row r="116" spans="1:11" ht="12.75">
      <c r="A116" s="58"/>
      <c r="B116" s="58"/>
      <c r="C116" s="58"/>
      <c r="D116" s="58"/>
      <c r="E116" s="58"/>
      <c r="F116" s="58"/>
      <c r="G116" s="58"/>
      <c r="H116" s="58"/>
      <c r="I116" s="58"/>
      <c r="J116" s="58"/>
      <c r="K116" s="58"/>
    </row>
    <row r="117" spans="1:11" ht="12.75">
      <c r="A117" s="58"/>
      <c r="B117" s="58"/>
      <c r="C117" s="58"/>
      <c r="D117" s="58"/>
      <c r="E117" s="58"/>
      <c r="F117" s="58"/>
      <c r="G117" s="58"/>
      <c r="H117" s="58"/>
      <c r="I117" s="58"/>
      <c r="J117" s="58"/>
      <c r="K117" s="58"/>
    </row>
    <row r="118" spans="1:11" ht="12.75">
      <c r="A118" s="58"/>
      <c r="B118" s="58"/>
      <c r="C118" s="58"/>
      <c r="D118" s="58"/>
      <c r="E118" s="58"/>
      <c r="F118" s="58"/>
      <c r="G118" s="58"/>
      <c r="H118" s="58"/>
      <c r="I118" s="58"/>
      <c r="J118" s="58"/>
      <c r="K118" s="58"/>
    </row>
    <row r="119" spans="1:11" ht="12.75">
      <c r="A119" s="58"/>
      <c r="B119" s="58"/>
      <c r="C119" s="58"/>
      <c r="D119" s="58"/>
      <c r="E119" s="58"/>
      <c r="F119" s="58"/>
      <c r="G119" s="58"/>
      <c r="H119" s="58"/>
      <c r="I119" s="58"/>
      <c r="J119" s="58"/>
      <c r="K119" s="58"/>
    </row>
    <row r="120" spans="1:11" ht="12.75">
      <c r="A120" s="58"/>
      <c r="B120" s="58"/>
      <c r="C120" s="58"/>
      <c r="D120" s="58"/>
      <c r="E120" s="58"/>
      <c r="F120" s="58"/>
      <c r="G120" s="58"/>
      <c r="H120" s="58"/>
      <c r="I120" s="58"/>
      <c r="J120" s="58"/>
      <c r="K120" s="58"/>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showGridLines="0" zoomScalePageLayoutView="0" workbookViewId="0" topLeftCell="A1">
      <selection activeCell="A1" sqref="A1"/>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0" t="str">
        <f>"Residential Tonnages by Commodity:  "&amp;TEXT(A7,"mmmm")&amp;" - "&amp;TEXT(A18,"mmmm")</f>
        <v>Residential Tonnages by Commodity:  May - April</v>
      </c>
      <c r="B1" s="51"/>
    </row>
    <row r="2" spans="1:2" ht="12.75">
      <c r="A2" s="52" t="str">
        <f>Value!A2</f>
        <v>Kent-Meridian Disposal</v>
      </c>
      <c r="B2" s="52"/>
    </row>
    <row r="3" spans="1:2" ht="12.75">
      <c r="A3" s="52"/>
      <c r="B3" s="52"/>
    </row>
    <row r="4" spans="1:14" ht="12.75">
      <c r="A4" s="51"/>
      <c r="B4" s="53"/>
      <c r="C4" s="54" t="s">
        <v>17</v>
      </c>
      <c r="D4" s="54" t="s">
        <v>18</v>
      </c>
      <c r="E4" s="54" t="s">
        <v>74</v>
      </c>
      <c r="F4" s="54" t="s">
        <v>36</v>
      </c>
      <c r="G4" s="54" t="s">
        <v>39</v>
      </c>
      <c r="H4" s="54" t="s">
        <v>21</v>
      </c>
      <c r="I4" s="54" t="s">
        <v>22</v>
      </c>
      <c r="J4" s="54" t="s">
        <v>23</v>
      </c>
      <c r="K4" s="54" t="s">
        <v>24</v>
      </c>
      <c r="L4" s="54" t="s">
        <v>25</v>
      </c>
      <c r="M4" s="54"/>
      <c r="N4" s="54" t="s">
        <v>26</v>
      </c>
    </row>
    <row r="5" spans="1:12" s="56" customFormat="1" ht="12.75">
      <c r="A5" s="55"/>
      <c r="B5" s="55"/>
      <c r="C5" s="104">
        <v>55</v>
      </c>
      <c r="D5" s="105">
        <v>57</v>
      </c>
      <c r="E5" s="105">
        <v>58</v>
      </c>
      <c r="F5" s="104">
        <v>53</v>
      </c>
      <c r="G5" s="104">
        <v>56</v>
      </c>
      <c r="H5" s="104">
        <v>60</v>
      </c>
      <c r="I5" s="104">
        <v>54</v>
      </c>
      <c r="J5" s="104">
        <v>54</v>
      </c>
      <c r="K5" s="104">
        <v>51</v>
      </c>
      <c r="L5" s="104">
        <v>59</v>
      </c>
    </row>
    <row r="6" spans="1:14" ht="12.75">
      <c r="A6" s="57"/>
      <c r="B6" s="58"/>
      <c r="C6" s="59"/>
      <c r="D6" s="59"/>
      <c r="E6" s="59"/>
      <c r="F6" s="59"/>
      <c r="G6" s="59"/>
      <c r="H6" s="59"/>
      <c r="I6" s="59"/>
      <c r="J6" s="59"/>
      <c r="L6" s="58"/>
      <c r="M6" s="58"/>
      <c r="N6" s="59" t="s">
        <v>27</v>
      </c>
    </row>
    <row r="7" spans="1:16" ht="12.75">
      <c r="A7" s="57">
        <f>'Single Family'!C6</f>
        <v>44317</v>
      </c>
      <c r="B7" s="58"/>
      <c r="C7" s="63">
        <f>HLOOKUP($A7,'Single Family'!$C$6:$N$79,C$5,FALSE)</f>
        <v>9.863456</v>
      </c>
      <c r="D7" s="67">
        <f>HLOOKUP($A7,'Single Family'!$C$6:$N$79,D$5,FALSE)</f>
        <v>75.03488</v>
      </c>
      <c r="E7" s="67">
        <f>HLOOKUP($A7,'Single Family'!$C$6:$N$79,E$5,FALSE)</f>
        <v>0</v>
      </c>
      <c r="F7" s="63">
        <f>HLOOKUP($A7,'Single Family'!$C$6:$N$79,F$5,FALSE)</f>
        <v>8.532192</v>
      </c>
      <c r="G7" s="63">
        <f>HLOOKUP($A7,'Single Family'!$C$6:$N$79,G$5,FALSE)</f>
        <v>1.2707519999999999</v>
      </c>
      <c r="H7" s="63">
        <f>HLOOKUP($A7,'Single Family'!$C$6:$N$79,H$5,FALSE)</f>
        <v>195.39324799999997</v>
      </c>
      <c r="I7" s="63">
        <f>HLOOKUP($A7,'Single Family'!$C$6:$N$79,I$5,FALSE)/2</f>
        <v>10.831648</v>
      </c>
      <c r="J7" s="63">
        <f>HLOOKUP($A7,'Single Family'!$C$6:$N$79,J$5,FALSE)/2</f>
        <v>10.831648</v>
      </c>
      <c r="K7" s="63">
        <f>HLOOKUP($A7,'Single Family'!$C$6:$N$79,K$5,FALSE)</f>
        <v>148.435936</v>
      </c>
      <c r="L7" s="67">
        <f>HLOOKUP($A7,'Single Family'!$C$6:$N$79,L$5,FALSE)</f>
        <v>144.92624</v>
      </c>
      <c r="M7" s="68"/>
      <c r="N7" s="68">
        <f aca="true" t="shared" si="0" ref="N7:N18">SUM(C7:L7)</f>
        <v>605.1199999999999</v>
      </c>
      <c r="P7" s="60"/>
    </row>
    <row r="8" spans="1:16" ht="12.75">
      <c r="A8" s="57">
        <f aca="true" t="shared" si="1" ref="A8:A18">EOMONTH(A7,1)</f>
        <v>44377</v>
      </c>
      <c r="B8" s="58"/>
      <c r="C8" s="63">
        <f>HLOOKUP($A8,'Single Family'!$C$6:$N$79,C$5,FALSE)</f>
        <v>10.52491</v>
      </c>
      <c r="D8" s="67">
        <f>HLOOKUP($A8,'Single Family'!$C$6:$N$79,D$5,FALSE)</f>
        <v>80.0668</v>
      </c>
      <c r="E8" s="67">
        <f>HLOOKUP($A8,'Single Family'!$C$6:$N$79,E$5,FALSE)</f>
        <v>0</v>
      </c>
      <c r="F8" s="63">
        <f>HLOOKUP($A8,'Single Family'!$C$6:$N$79,F$5,FALSE)</f>
        <v>9.104370000000001</v>
      </c>
      <c r="G8" s="63">
        <f>HLOOKUP($A8,'Single Family'!$C$6:$N$79,G$5,FALSE)</f>
        <v>1.3559700000000001</v>
      </c>
      <c r="H8" s="63">
        <f>HLOOKUP($A8,'Single Family'!$C$6:$N$79,H$5,FALSE)</f>
        <v>208.49653000000006</v>
      </c>
      <c r="I8" s="63">
        <f>HLOOKUP($A8,'Single Family'!$C$6:$N$79,I$5,FALSE)/2</f>
        <v>11.55803</v>
      </c>
      <c r="J8" s="63">
        <f>HLOOKUP($A8,'Single Family'!$C$6:$N$79,J$5,FALSE)/2</f>
        <v>11.55803</v>
      </c>
      <c r="K8" s="63">
        <f>HLOOKUP($A8,'Single Family'!$C$6:$N$79,K$5,FALSE)</f>
        <v>158.39021</v>
      </c>
      <c r="L8" s="67">
        <f>HLOOKUP($A8,'Single Family'!$C$6:$N$79,L$5,FALSE)</f>
        <v>154.64515</v>
      </c>
      <c r="M8" s="68"/>
      <c r="N8" s="68">
        <f t="shared" si="0"/>
        <v>645.7</v>
      </c>
      <c r="P8" s="60"/>
    </row>
    <row r="9" spans="1:16" ht="12.75">
      <c r="A9" s="57">
        <f t="shared" si="1"/>
        <v>44408</v>
      </c>
      <c r="B9" s="58"/>
      <c r="C9" s="63">
        <f>HLOOKUP($A9,'Single Family'!$C$6:$N$79,C$5,FALSE)</f>
        <v>11.107008000000002</v>
      </c>
      <c r="D9" s="67">
        <f>HLOOKUP($A9,'Single Family'!$C$6:$N$79,D$5,FALSE)</f>
        <v>105.453468</v>
      </c>
      <c r="E9" s="67">
        <f>HLOOKUP($A9,'Single Family'!$C$6:$N$79,E$5,FALSE)</f>
        <v>0</v>
      </c>
      <c r="F9" s="63">
        <f>HLOOKUP($A9,'Single Family'!$C$6:$N$79,F$5,FALSE)</f>
        <v>9.592416</v>
      </c>
      <c r="G9" s="63">
        <f>HLOOKUP($A9,'Single Family'!$C$6:$N$79,G$5,FALSE)</f>
        <v>1.3252680000000001</v>
      </c>
      <c r="H9" s="63">
        <f>HLOOKUP($A9,'Single Family'!$C$6:$N$79,H$5,FALSE)</f>
        <v>220.310028</v>
      </c>
      <c r="I9" s="63">
        <f>HLOOKUP($A9,'Single Family'!$C$6:$N$79,I$5,FALSE)/2</f>
        <v>14.35707</v>
      </c>
      <c r="J9" s="63">
        <f>HLOOKUP($A9,'Single Family'!$C$6:$N$79,J$5,FALSE)/2</f>
        <v>14.35707</v>
      </c>
      <c r="K9" s="63">
        <f>HLOOKUP($A9,'Single Family'!$C$6:$N$79,K$5,FALSE)</f>
        <v>159.60013200000003</v>
      </c>
      <c r="L9" s="67">
        <f>HLOOKUP($A9,'Single Family'!$C$6:$N$79,L$5,FALSE)</f>
        <v>94.97754</v>
      </c>
      <c r="M9" s="68"/>
      <c r="N9" s="68">
        <f t="shared" si="0"/>
        <v>631.08</v>
      </c>
      <c r="P9" s="60"/>
    </row>
    <row r="10" spans="1:16" ht="12.75">
      <c r="A10" s="57">
        <f t="shared" si="1"/>
        <v>44439</v>
      </c>
      <c r="B10" s="58"/>
      <c r="C10" s="63">
        <f>HLOOKUP($A10,'Single Family'!$C$6:$N$79,C$5,FALSE)</f>
        <v>11.371712</v>
      </c>
      <c r="D10" s="67">
        <f>HLOOKUP($A10,'Single Family'!$C$6:$N$79,D$5,FALSE)</f>
        <v>107.966652</v>
      </c>
      <c r="E10" s="67">
        <f>HLOOKUP($A10,'Single Family'!$C$6:$N$79,E$5,FALSE)</f>
        <v>0</v>
      </c>
      <c r="F10" s="63">
        <f>HLOOKUP($A10,'Single Family'!$C$6:$N$79,F$5,FALSE)</f>
        <v>9.821024</v>
      </c>
      <c r="G10" s="63">
        <f>HLOOKUP($A10,'Single Family'!$C$6:$N$79,G$5,FALSE)</f>
        <v>1.356852</v>
      </c>
      <c r="H10" s="63">
        <f>HLOOKUP($A10,'Single Family'!$C$6:$N$79,H$5,FALSE)</f>
        <v>225.560492</v>
      </c>
      <c r="I10" s="63">
        <f>HLOOKUP($A10,'Single Family'!$C$6:$N$79,I$5,FALSE)/2</f>
        <v>14.69923</v>
      </c>
      <c r="J10" s="63">
        <f>HLOOKUP($A10,'Single Family'!$C$6:$N$79,J$5,FALSE)/2</f>
        <v>14.69923</v>
      </c>
      <c r="K10" s="63">
        <f>HLOOKUP($A10,'Single Family'!$C$6:$N$79,K$5,FALSE)</f>
        <v>163.403748</v>
      </c>
      <c r="L10" s="67">
        <f>HLOOKUP($A10,'Single Family'!$C$6:$N$79,L$5,FALSE)</f>
        <v>97.24106</v>
      </c>
      <c r="M10" s="68"/>
      <c r="N10" s="68">
        <f t="shared" si="0"/>
        <v>646.1200000000001</v>
      </c>
      <c r="P10" s="60"/>
    </row>
    <row r="11" spans="1:16" ht="12.75">
      <c r="A11" s="57">
        <f t="shared" si="1"/>
        <v>44469</v>
      </c>
      <c r="B11" s="58"/>
      <c r="C11" s="63">
        <f>HLOOKUP($A11,'Single Family'!$C$6:$N$79,C$5,FALSE)</f>
        <v>10.308672</v>
      </c>
      <c r="D11" s="67">
        <f>HLOOKUP($A11,'Single Family'!$C$6:$N$79,D$5,FALSE)</f>
        <v>97.87381199999999</v>
      </c>
      <c r="E11" s="67">
        <f>HLOOKUP($A11,'Single Family'!$C$6:$N$79,E$5,FALSE)</f>
        <v>0</v>
      </c>
      <c r="F11" s="63">
        <f>HLOOKUP($A11,'Single Family'!$C$6:$N$79,F$5,FALSE)</f>
        <v>8.902943999999998</v>
      </c>
      <c r="G11" s="63">
        <f>HLOOKUP($A11,'Single Family'!$C$6:$N$79,G$5,FALSE)</f>
        <v>1.2300119999999997</v>
      </c>
      <c r="H11" s="63">
        <f>HLOOKUP($A11,'Single Family'!$C$6:$N$79,H$5,FALSE)</f>
        <v>204.474852</v>
      </c>
      <c r="I11" s="63">
        <f>HLOOKUP($A11,'Single Family'!$C$6:$N$79,I$5,FALSE)/2</f>
        <v>13.325129999999998</v>
      </c>
      <c r="J11" s="63">
        <f>HLOOKUP($A11,'Single Family'!$C$6:$N$79,J$5,FALSE)/2</f>
        <v>13.325129999999998</v>
      </c>
      <c r="K11" s="63">
        <f>HLOOKUP($A11,'Single Family'!$C$6:$N$79,K$5,FALSE)</f>
        <v>148.12858799999998</v>
      </c>
      <c r="L11" s="67">
        <f>HLOOKUP($A11,'Single Family'!$C$6:$N$79,L$5,FALSE)</f>
        <v>88.15085999999998</v>
      </c>
      <c r="M11" s="68"/>
      <c r="N11" s="68">
        <f t="shared" si="0"/>
        <v>585.7199999999999</v>
      </c>
      <c r="P11" s="60"/>
    </row>
    <row r="12" spans="1:16" ht="12.75">
      <c r="A12" s="57">
        <f t="shared" si="1"/>
        <v>44500</v>
      </c>
      <c r="B12" s="58"/>
      <c r="C12" s="63">
        <f>HLOOKUP($A12,'Single Family'!$C$6:$N$79,C$5,FALSE)</f>
        <v>9.496255999999999</v>
      </c>
      <c r="D12" s="67">
        <f>HLOOKUP($A12,'Single Family'!$C$6:$N$79,D$5,FALSE)</f>
        <v>90.16047599999999</v>
      </c>
      <c r="E12" s="67">
        <f>HLOOKUP($A12,'Single Family'!$C$6:$N$79,E$5,FALSE)</f>
        <v>0</v>
      </c>
      <c r="F12" s="63">
        <f>HLOOKUP($A12,'Single Family'!$C$6:$N$79,F$5,FALSE)</f>
        <v>8.201312</v>
      </c>
      <c r="G12" s="63">
        <f>HLOOKUP($A12,'Single Family'!$C$6:$N$79,G$5,FALSE)</f>
        <v>1.1330759999999998</v>
      </c>
      <c r="H12" s="63">
        <f>HLOOKUP($A12,'Single Family'!$C$6:$N$79,H$5,FALSE)</f>
        <v>188.36039599999998</v>
      </c>
      <c r="I12" s="63">
        <f>HLOOKUP($A12,'Single Family'!$C$6:$N$79,I$5,FALSE)/2</f>
        <v>12.274989999999999</v>
      </c>
      <c r="J12" s="63">
        <f>HLOOKUP($A12,'Single Family'!$C$6:$N$79,J$5,FALSE)/2</f>
        <v>12.274989999999999</v>
      </c>
      <c r="K12" s="63">
        <f>HLOOKUP($A12,'Single Family'!$C$6:$N$79,K$5,FALSE)</f>
        <v>136.454724</v>
      </c>
      <c r="L12" s="67">
        <f>HLOOKUP($A12,'Single Family'!$C$6:$N$79,L$5,FALSE)</f>
        <v>81.20378</v>
      </c>
      <c r="M12" s="68"/>
      <c r="N12" s="68">
        <f t="shared" si="0"/>
        <v>539.56</v>
      </c>
      <c r="P12" s="60"/>
    </row>
    <row r="13" spans="1:16" ht="12.75">
      <c r="A13" s="57">
        <f t="shared" si="1"/>
        <v>44530</v>
      </c>
      <c r="B13" s="58"/>
      <c r="C13" s="63">
        <f>HLOOKUP($A13,'Single Family'!$C$6:$N$79,C$5,FALSE)</f>
        <v>11.396176</v>
      </c>
      <c r="D13" s="67">
        <f>HLOOKUP($A13,'Single Family'!$C$6:$N$79,D$5,FALSE)</f>
        <v>108.198921</v>
      </c>
      <c r="E13" s="67">
        <f>HLOOKUP($A13,'Single Family'!$C$6:$N$79,E$5,FALSE)</f>
        <v>0</v>
      </c>
      <c r="F13" s="63">
        <f>HLOOKUP($A13,'Single Family'!$C$6:$N$79,F$5,FALSE)</f>
        <v>9.842152</v>
      </c>
      <c r="G13" s="63">
        <f>HLOOKUP($A13,'Single Family'!$C$6:$N$79,G$5,FALSE)</f>
        <v>1.3597709999999998</v>
      </c>
      <c r="H13" s="63">
        <f>HLOOKUP($A13,'Single Family'!$C$6:$N$79,H$5,FALSE)</f>
        <v>226.04574100000002</v>
      </c>
      <c r="I13" s="63">
        <f>HLOOKUP($A13,'Single Family'!$C$6:$N$79,I$5,FALSE)/2</f>
        <v>14.7308525</v>
      </c>
      <c r="J13" s="63">
        <f>HLOOKUP($A13,'Single Family'!$C$6:$N$79,J$5,FALSE)/2</f>
        <v>14.7308525</v>
      </c>
      <c r="K13" s="63">
        <f>HLOOKUP($A13,'Single Family'!$C$6:$N$79,K$5,FALSE)</f>
        <v>163.755279</v>
      </c>
      <c r="L13" s="67">
        <f>HLOOKUP($A13,'Single Family'!$C$6:$N$79,L$5,FALSE)</f>
        <v>97.450255</v>
      </c>
      <c r="M13" s="68"/>
      <c r="N13" s="68">
        <f t="shared" si="0"/>
        <v>647.51</v>
      </c>
      <c r="P13" s="60"/>
    </row>
    <row r="14" spans="1:16" ht="12.75">
      <c r="A14" s="57">
        <f t="shared" si="1"/>
        <v>44561</v>
      </c>
      <c r="B14" s="58"/>
      <c r="C14" s="63">
        <f>HLOOKUP($A14,'Single Family'!$C$6:$N$79,C$5,FALSE)</f>
        <v>8.987440000000001</v>
      </c>
      <c r="D14" s="67">
        <f>HLOOKUP($A14,'Single Family'!$C$6:$N$79,D$5,FALSE)</f>
        <v>85.329615</v>
      </c>
      <c r="E14" s="67">
        <f>HLOOKUP($A14,'Single Family'!$C$6:$N$79,E$5,FALSE)</f>
        <v>0</v>
      </c>
      <c r="F14" s="63">
        <f>HLOOKUP($A14,'Single Family'!$C$6:$N$79,F$5,FALSE)</f>
        <v>7.761880000000001</v>
      </c>
      <c r="G14" s="63">
        <f>HLOOKUP($A14,'Single Family'!$C$6:$N$79,G$5,FALSE)</f>
        <v>1.072365</v>
      </c>
      <c r="H14" s="63">
        <f>HLOOKUP($A14,'Single Family'!$C$6:$N$79,H$5,FALSE)</f>
        <v>178.26791500000002</v>
      </c>
      <c r="I14" s="63">
        <f>HLOOKUP($A14,'Single Family'!$C$6:$N$79,I$5,FALSE)/2</f>
        <v>11.6172875</v>
      </c>
      <c r="J14" s="63">
        <f>HLOOKUP($A14,'Single Family'!$C$6:$N$79,J$5,FALSE)/2</f>
        <v>11.6172875</v>
      </c>
      <c r="K14" s="63">
        <f>HLOOKUP($A14,'Single Family'!$C$6:$N$79,K$5,FALSE)</f>
        <v>129.14338500000002</v>
      </c>
      <c r="L14" s="67">
        <f>HLOOKUP($A14,'Single Family'!$C$6:$N$79,L$5,FALSE)</f>
        <v>76.852825</v>
      </c>
      <c r="M14" s="68"/>
      <c r="N14" s="68">
        <f t="shared" si="0"/>
        <v>510.65</v>
      </c>
      <c r="P14" s="60"/>
    </row>
    <row r="15" spans="1:16" ht="12.75">
      <c r="A15" s="57">
        <f t="shared" si="1"/>
        <v>44592</v>
      </c>
      <c r="B15" s="58"/>
      <c r="C15" s="63">
        <f>HLOOKUP($A15,'Single Family'!$C$6:$N$79,C$5,FALSE)</f>
        <v>13.081398</v>
      </c>
      <c r="D15" s="67">
        <f>HLOOKUP($A15,'Single Family'!$C$6:$N$79,D$5,FALSE)</f>
        <v>130.44652499999998</v>
      </c>
      <c r="E15" s="67">
        <f>HLOOKUP($A15,'Single Family'!$C$6:$N$79,E$5,FALSE)</f>
        <v>0</v>
      </c>
      <c r="F15" s="63">
        <f>HLOOKUP($A15,'Single Family'!$C$6:$N$79,F$5,FALSE)</f>
        <v>10.803177</v>
      </c>
      <c r="G15" s="63">
        <f>HLOOKUP($A15,'Single Family'!$C$6:$N$79,G$5,FALSE)</f>
        <v>1.396329</v>
      </c>
      <c r="H15" s="63">
        <f>HLOOKUP($A15,'Single Family'!$C$6:$N$79,H$5,FALSE)</f>
        <v>243.25520999999998</v>
      </c>
      <c r="I15" s="63">
        <f>HLOOKUP($A15,'Single Family'!$C$6:$N$79,I$5,FALSE)/2</f>
        <v>18.078786</v>
      </c>
      <c r="J15" s="63">
        <f>HLOOKUP($A15,'Single Family'!$C$6:$N$79,J$5,FALSE)/2</f>
        <v>18.078786</v>
      </c>
      <c r="K15" s="63">
        <f>HLOOKUP($A15,'Single Family'!$C$6:$N$79,K$5,FALSE)</f>
        <v>191.81151</v>
      </c>
      <c r="L15" s="67">
        <f>HLOOKUP($A15,'Single Family'!$C$6:$N$79,L$5,FALSE)</f>
        <v>107.95827899999999</v>
      </c>
      <c r="M15" s="68"/>
      <c r="N15" s="68">
        <f t="shared" si="0"/>
        <v>734.9099999999999</v>
      </c>
      <c r="P15" s="60"/>
    </row>
    <row r="16" spans="1:16" ht="12.75">
      <c r="A16" s="57">
        <f t="shared" si="1"/>
        <v>44620</v>
      </c>
      <c r="B16" s="58"/>
      <c r="C16" s="63">
        <f>HLOOKUP($A16,'Single Family'!$C$6:$N$79,C$5,FALSE)</f>
        <v>9.731616</v>
      </c>
      <c r="D16" s="67">
        <f>HLOOKUP($A16,'Single Family'!$C$6:$N$79,D$5,FALSE)</f>
        <v>97.0428</v>
      </c>
      <c r="E16" s="67">
        <f>HLOOKUP($A16,'Single Family'!$C$6:$N$79,E$5,FALSE)</f>
        <v>0</v>
      </c>
      <c r="F16" s="63">
        <f>HLOOKUP($A16,'Single Family'!$C$6:$N$79,F$5,FALSE)</f>
        <v>8.036784</v>
      </c>
      <c r="G16" s="63">
        <f>HLOOKUP($A16,'Single Family'!$C$6:$N$79,G$5,FALSE)</f>
        <v>1.0387680000000001</v>
      </c>
      <c r="H16" s="63">
        <f>HLOOKUP($A16,'Single Family'!$C$6:$N$79,H$5,FALSE)</f>
        <v>180.96431999999993</v>
      </c>
      <c r="I16" s="63">
        <f>HLOOKUP($A16,'Single Family'!$C$6:$N$79,I$5,FALSE)/2</f>
        <v>13.449312</v>
      </c>
      <c r="J16" s="63">
        <f>HLOOKUP($A16,'Single Family'!$C$6:$N$79,J$5,FALSE)/2</f>
        <v>13.449312</v>
      </c>
      <c r="K16" s="63">
        <f>HLOOKUP($A16,'Single Family'!$C$6:$N$79,K$5,FALSE)</f>
        <v>142.69392000000002</v>
      </c>
      <c r="L16" s="67">
        <f>HLOOKUP($A16,'Single Family'!$C$6:$N$79,L$5,FALSE)</f>
        <v>80.313168</v>
      </c>
      <c r="M16" s="68"/>
      <c r="N16" s="68">
        <f t="shared" si="0"/>
        <v>546.72</v>
      </c>
      <c r="P16" s="60"/>
    </row>
    <row r="17" spans="1:16" ht="12.75">
      <c r="A17" s="57">
        <f t="shared" si="1"/>
        <v>44651</v>
      </c>
      <c r="B17" s="58"/>
      <c r="C17" s="63">
        <f>HLOOKUP($A17,'Single Family'!$C$6:$N$79,C$5,FALSE)</f>
        <v>11.342337999999998</v>
      </c>
      <c r="D17" s="67">
        <f>HLOOKUP($A17,'Single Family'!$C$6:$N$79,D$5,FALSE)</f>
        <v>113.10477499999998</v>
      </c>
      <c r="E17" s="67">
        <f>HLOOKUP($A17,'Single Family'!$C$6:$N$79,E$5,FALSE)</f>
        <v>0</v>
      </c>
      <c r="F17" s="63">
        <f>HLOOKUP($A17,'Single Family'!$C$6:$N$79,F$5,FALSE)</f>
        <v>9.366986999999998</v>
      </c>
      <c r="G17" s="63">
        <f>HLOOKUP($A17,'Single Family'!$C$6:$N$79,G$5,FALSE)</f>
        <v>1.2106989999999997</v>
      </c>
      <c r="H17" s="63">
        <f>HLOOKUP($A17,'Single Family'!$C$6:$N$79,H$5,FALSE)</f>
        <v>210.91651000000002</v>
      </c>
      <c r="I17" s="63">
        <f>HLOOKUP($A17,'Single Family'!$C$6:$N$79,I$5,FALSE)/2</f>
        <v>15.675365999999999</v>
      </c>
      <c r="J17" s="63">
        <f>HLOOKUP($A17,'Single Family'!$C$6:$N$79,J$5,FALSE)/2</f>
        <v>15.675365999999999</v>
      </c>
      <c r="K17" s="63">
        <f>HLOOKUP($A17,'Single Family'!$C$6:$N$79,K$5,FALSE)</f>
        <v>166.31180999999998</v>
      </c>
      <c r="L17" s="67">
        <f>HLOOKUP($A17,'Single Family'!$C$6:$N$79,L$5,FALSE)</f>
        <v>93.60614899999999</v>
      </c>
      <c r="M17" s="68"/>
      <c r="N17" s="68">
        <f t="shared" si="0"/>
        <v>637.2099999999999</v>
      </c>
      <c r="P17" s="60"/>
    </row>
    <row r="18" spans="1:16" ht="12.75">
      <c r="A18" s="57">
        <f t="shared" si="1"/>
        <v>44681</v>
      </c>
      <c r="B18" s="58"/>
      <c r="C18" s="63">
        <f>HLOOKUP($A18,'Single Family'!$C$6:$N$79,C$5,FALSE)</f>
        <v>9.976365999999999</v>
      </c>
      <c r="D18" s="67">
        <f>HLOOKUP($A18,'Single Family'!$C$6:$N$79,D$5,FALSE)</f>
        <v>99.48342499999998</v>
      </c>
      <c r="E18" s="67">
        <f>HLOOKUP($A18,'Single Family'!$C$6:$N$79,E$5,FALSE)</f>
        <v>0</v>
      </c>
      <c r="F18" s="63">
        <f>HLOOKUP($A18,'Single Family'!$C$6:$N$79,F$5,FALSE)</f>
        <v>8.238908999999998</v>
      </c>
      <c r="G18" s="63">
        <f>HLOOKUP($A18,'Single Family'!$C$6:$N$79,G$5,FALSE)</f>
        <v>1.0648929999999999</v>
      </c>
      <c r="H18" s="63">
        <f>HLOOKUP($A18,'Single Family'!$C$6:$N$79,H$5,FALSE)</f>
        <v>185.51556999999997</v>
      </c>
      <c r="I18" s="63">
        <f>HLOOKUP($A18,'Single Family'!$C$6:$N$79,I$5,FALSE)/2</f>
        <v>13.787561999999998</v>
      </c>
      <c r="J18" s="63">
        <f>HLOOKUP($A18,'Single Family'!$C$6:$N$79,J$5,FALSE)/2</f>
        <v>13.787561999999998</v>
      </c>
      <c r="K18" s="63">
        <f>HLOOKUP($A18,'Single Family'!$C$6:$N$79,K$5,FALSE)</f>
        <v>146.28267</v>
      </c>
      <c r="L18" s="67">
        <f>HLOOKUP($A18,'Single Family'!$C$6:$N$79,L$5,FALSE)</f>
        <v>82.33304299999999</v>
      </c>
      <c r="M18" s="68"/>
      <c r="N18" s="68">
        <f t="shared" si="0"/>
        <v>560.4699999999999</v>
      </c>
      <c r="P18" s="60"/>
    </row>
    <row r="19" spans="1:15" ht="13.5" customHeight="1">
      <c r="A19" s="57"/>
      <c r="B19" s="58"/>
      <c r="C19" s="68"/>
      <c r="D19" s="68"/>
      <c r="E19" s="68"/>
      <c r="F19" s="68"/>
      <c r="G19" s="68"/>
      <c r="H19" s="68"/>
      <c r="I19" s="68"/>
      <c r="J19" s="68"/>
      <c r="K19" s="68"/>
      <c r="L19" s="68"/>
      <c r="M19" s="68"/>
      <c r="N19" s="68"/>
      <c r="O19" t="s">
        <v>28</v>
      </c>
    </row>
    <row r="20" spans="1:15" ht="12.75">
      <c r="A20" s="61" t="s">
        <v>29</v>
      </c>
      <c r="B20" s="58"/>
      <c r="C20" s="75">
        <f aca="true" t="shared" si="2" ref="C20:J20">SUM(C7:C19)</f>
        <v>127.18734800000001</v>
      </c>
      <c r="D20" s="75">
        <f t="shared" si="2"/>
        <v>1190.1621489999998</v>
      </c>
      <c r="E20" s="75">
        <f t="shared" si="2"/>
        <v>0</v>
      </c>
      <c r="F20" s="75">
        <f t="shared" si="2"/>
        <v>108.20414699999999</v>
      </c>
      <c r="G20" s="75">
        <f t="shared" si="2"/>
        <v>14.814754999999998</v>
      </c>
      <c r="H20" s="75">
        <f t="shared" si="2"/>
        <v>2467.560812</v>
      </c>
      <c r="I20" s="75">
        <f t="shared" si="2"/>
        <v>164.385264</v>
      </c>
      <c r="J20" s="75">
        <f t="shared" si="2"/>
        <v>164.385264</v>
      </c>
      <c r="K20" s="75">
        <f>SUM(K7:K19)</f>
        <v>1854.411912</v>
      </c>
      <c r="L20" s="75">
        <f>SUM(L7:L19)</f>
        <v>1199.658349</v>
      </c>
      <c r="M20" s="68"/>
      <c r="N20" s="75">
        <f>SUM(N7:N18)</f>
        <v>7290.77</v>
      </c>
      <c r="O20" s="59">
        <f>N20/15</f>
        <v>486.0513333333334</v>
      </c>
    </row>
    <row r="21" spans="1:14" ht="12.75">
      <c r="A21" s="57"/>
      <c r="B21" s="58"/>
      <c r="C21" s="58"/>
      <c r="D21" s="58"/>
      <c r="E21" s="58"/>
      <c r="F21" s="58"/>
      <c r="G21" s="58"/>
      <c r="H21" s="58"/>
      <c r="I21" s="58"/>
      <c r="J21" s="58"/>
      <c r="K21" s="58"/>
      <c r="L21" s="58"/>
      <c r="M21" s="58"/>
      <c r="N21" s="59">
        <f>IF(N20&lt;&gt;SUM('Single Family'!$C$66:$N$66),"ERROR","")</f>
      </c>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8"/>
    </row>
    <row r="26" spans="1:13" ht="12.75">
      <c r="A26" s="58"/>
      <c r="B26" s="58"/>
      <c r="C26" s="58"/>
      <c r="D26" s="58"/>
      <c r="E26" s="58"/>
      <c r="F26" s="58"/>
      <c r="G26" s="58"/>
      <c r="H26" s="58"/>
      <c r="I26" s="58"/>
      <c r="J26" s="58"/>
      <c r="K26" s="58"/>
      <c r="L26" s="58"/>
      <c r="M26" s="58"/>
    </row>
    <row r="27" spans="1:13" ht="12.75">
      <c r="A27" s="58"/>
      <c r="B27" s="58"/>
      <c r="C27" s="58"/>
      <c r="D27" s="58"/>
      <c r="E27" s="58"/>
      <c r="F27" s="58"/>
      <c r="G27" s="58"/>
      <c r="H27" s="58"/>
      <c r="I27" s="58"/>
      <c r="J27" s="58"/>
      <c r="K27" s="58"/>
      <c r="L27" s="58"/>
      <c r="M27" s="58"/>
    </row>
    <row r="28" spans="1:13" ht="12.75">
      <c r="A28" s="58"/>
      <c r="B28" s="58"/>
      <c r="C28" s="58"/>
      <c r="D28" s="58"/>
      <c r="E28" s="58"/>
      <c r="F28" s="58"/>
      <c r="G28" s="58"/>
      <c r="H28" s="58"/>
      <c r="I28" s="58"/>
      <c r="J28" s="58"/>
      <c r="K28" s="58"/>
      <c r="L28" s="58"/>
      <c r="M28" s="58"/>
    </row>
    <row r="29" spans="1:13" ht="12.75">
      <c r="A29" s="58"/>
      <c r="B29" s="58"/>
      <c r="C29" s="58"/>
      <c r="D29" s="58"/>
      <c r="E29" s="58"/>
      <c r="F29" s="58"/>
      <c r="G29" s="58"/>
      <c r="H29" s="58"/>
      <c r="I29" s="58"/>
      <c r="J29" s="58"/>
      <c r="K29" s="58"/>
      <c r="L29" s="58"/>
      <c r="M29" s="58"/>
    </row>
    <row r="30" spans="1:13" ht="12.75">
      <c r="A30" s="58"/>
      <c r="B30" s="58"/>
      <c r="C30" s="58"/>
      <c r="D30" s="58"/>
      <c r="E30" s="58"/>
      <c r="F30" s="58"/>
      <c r="G30" s="58"/>
      <c r="H30" s="58"/>
      <c r="I30" s="58"/>
      <c r="J30" s="58"/>
      <c r="K30" s="58"/>
      <c r="L30" s="58"/>
      <c r="M30" s="58"/>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A1" sqref="A1"/>
    </sheetView>
  </sheetViews>
  <sheetFormatPr defaultColWidth="9.140625" defaultRowHeight="12.75"/>
  <cols>
    <col min="2" max="2" width="3.7109375" style="0" customWidth="1"/>
    <col min="3" max="12" width="12.7109375" style="0" customWidth="1"/>
  </cols>
  <sheetData>
    <row r="1" spans="1:2" ht="12.75">
      <c r="A1" s="50" t="str">
        <f>"Commodity Pricing:  "&amp;TEXT(A7,"mmm-yy")&amp;" - "&amp;TEXT(A18,"mmm-yy")</f>
        <v>Commodity Pricing:  May-21 - Apr-22</v>
      </c>
      <c r="B1" s="51"/>
    </row>
    <row r="2" spans="1:2" ht="12.75">
      <c r="A2" s="52" t="s">
        <v>16</v>
      </c>
      <c r="B2" s="52"/>
    </row>
    <row r="3" spans="1:2" ht="12.75">
      <c r="A3" s="52"/>
      <c r="B3" s="52"/>
    </row>
    <row r="4" spans="2:13" ht="12.75">
      <c r="B4" s="62"/>
      <c r="C4" s="54" t="s">
        <v>17</v>
      </c>
      <c r="D4" s="54" t="s">
        <v>18</v>
      </c>
      <c r="E4" s="54" t="s">
        <v>74</v>
      </c>
      <c r="F4" s="54" t="s">
        <v>36</v>
      </c>
      <c r="G4" s="54" t="s">
        <v>39</v>
      </c>
      <c r="H4" s="54" t="s">
        <v>21</v>
      </c>
      <c r="I4" s="54" t="s">
        <v>22</v>
      </c>
      <c r="J4" s="54" t="s">
        <v>23</v>
      </c>
      <c r="K4" s="54" t="s">
        <v>24</v>
      </c>
      <c r="L4" s="54" t="s">
        <v>25</v>
      </c>
      <c r="M4" s="54"/>
    </row>
    <row r="5" spans="2:13" ht="12.75">
      <c r="B5" s="62"/>
      <c r="C5" s="104">
        <v>69</v>
      </c>
      <c r="D5" s="104">
        <v>71</v>
      </c>
      <c r="E5" s="104">
        <v>72</v>
      </c>
      <c r="F5" s="104">
        <v>67</v>
      </c>
      <c r="G5" s="104">
        <v>70</v>
      </c>
      <c r="H5" s="104">
        <v>74</v>
      </c>
      <c r="I5" s="104">
        <v>68</v>
      </c>
      <c r="J5" s="104">
        <v>68</v>
      </c>
      <c r="K5" s="104">
        <v>65</v>
      </c>
      <c r="L5" s="104">
        <v>73</v>
      </c>
      <c r="M5" s="62"/>
    </row>
    <row r="6" spans="2:13" ht="12.75">
      <c r="B6" s="62"/>
      <c r="C6" s="62"/>
      <c r="D6" s="62"/>
      <c r="E6" s="62"/>
      <c r="F6" s="62"/>
      <c r="G6" s="62"/>
      <c r="H6" s="62"/>
      <c r="I6" s="62"/>
      <c r="J6" s="62"/>
      <c r="K6" s="62"/>
      <c r="L6" s="62"/>
      <c r="M6" s="62"/>
    </row>
    <row r="7" spans="1:13" ht="12.75">
      <c r="A7" s="57">
        <f>+'Commodity Tonnages'!A7</f>
        <v>44317</v>
      </c>
      <c r="B7" s="62"/>
      <c r="C7" s="63">
        <f>HLOOKUP($A7,'Single Family'!$C$6:$N$79,C$5,FALSE)</f>
        <v>1189.808</v>
      </c>
      <c r="D7" s="67">
        <f>HLOOKUP($A7,'Single Family'!$C$6:$N$79,D$5,FALSE)</f>
        <v>-24.73</v>
      </c>
      <c r="E7" s="67">
        <f>HLOOKUP($A7,'Single Family'!$C$6:$N$79,E$5,FALSE)</f>
        <v>0</v>
      </c>
      <c r="F7" s="63">
        <f>HLOOKUP($A7,'Single Family'!$C$6:$N$79,F$5,FALSE)</f>
        <v>176.12800000000001</v>
      </c>
      <c r="G7" s="63">
        <f>HLOOKUP($A7,'Single Family'!$C$6:$N$79,G$5,FALSE)</f>
        <v>142.04000000000002</v>
      </c>
      <c r="H7" s="63">
        <f>HLOOKUP($A7,'Single Family'!$C$6:$N$79,H$5,FALSE)</f>
        <v>46.64</v>
      </c>
      <c r="I7" s="63">
        <f>HLOOKUP($A7,'Single Family'!$C$6:$N$79,I$5,FALSE)</f>
        <v>299.3691620111732</v>
      </c>
      <c r="J7" s="63">
        <f>HLOOKUP($A7,'Single Family'!$C$6:$N$79,J$5,FALSE)</f>
        <v>299.3691620111732</v>
      </c>
      <c r="K7" s="63">
        <f>HLOOKUP($A7,'Single Family'!$C$6:$N$79,K$5,FALSE)</f>
        <v>131.504</v>
      </c>
      <c r="L7" s="67">
        <f>HLOOKUP($A7,'Single Family'!$C$6:$N$79,L$5,FALSE)</f>
        <v>-155.82</v>
      </c>
      <c r="M7" s="62"/>
    </row>
    <row r="8" spans="1:13" ht="12.75">
      <c r="A8" s="57">
        <f>+'Commodity Tonnages'!A8</f>
        <v>44377</v>
      </c>
      <c r="B8" s="62"/>
      <c r="C8" s="63">
        <f>HLOOKUP($A8,'Single Family'!$C$6:$N$79,C$5,FALSE)</f>
        <v>1217.48</v>
      </c>
      <c r="D8" s="67">
        <f>HLOOKUP($A8,'Single Family'!$C$6:$N$79,D$5,FALSE)</f>
        <v>-9.94</v>
      </c>
      <c r="E8" s="67">
        <f>HLOOKUP($A8,'Single Family'!$C$6:$N$79,E$5,FALSE)</f>
        <v>0</v>
      </c>
      <c r="F8" s="63">
        <f>HLOOKUP($A8,'Single Family'!$C$6:$N$79,F$5,FALSE)</f>
        <v>209.168</v>
      </c>
      <c r="G8" s="63">
        <f>HLOOKUP($A8,'Single Family'!$C$6:$N$79,G$5,FALSE)</f>
        <v>165.69600000000003</v>
      </c>
      <c r="H8" s="63">
        <f>HLOOKUP($A8,'Single Family'!$C$6:$N$79,H$5,FALSE)</f>
        <v>64.08800000000001</v>
      </c>
      <c r="I8" s="63">
        <f>HLOOKUP($A8,'Single Family'!$C$6:$N$79,I$5,FALSE)</f>
        <v>444.90221229050275</v>
      </c>
      <c r="J8" s="63">
        <f>HLOOKUP($A8,'Single Family'!$C$6:$N$79,J$5,FALSE)</f>
        <v>444.90221229050275</v>
      </c>
      <c r="K8" s="63">
        <f>HLOOKUP($A8,'Single Family'!$C$6:$N$79,K$5,FALSE)</f>
        <v>154.096</v>
      </c>
      <c r="L8" s="67">
        <f>HLOOKUP($A8,'Single Family'!$C$6:$N$79,L$5,FALSE)</f>
        <v>-163.55</v>
      </c>
      <c r="M8" s="62"/>
    </row>
    <row r="9" spans="1:13" ht="12.75">
      <c r="A9" s="57">
        <f>+'Commodity Tonnages'!A9</f>
        <v>44408</v>
      </c>
      <c r="B9" s="58"/>
      <c r="C9" s="63">
        <f>HLOOKUP($A9,'Single Family'!$C$6:$N$79,C$5,FALSE)</f>
        <v>1261.632</v>
      </c>
      <c r="D9" s="67">
        <f>HLOOKUP($A9,'Single Family'!$C$6:$N$79,D$5,FALSE)</f>
        <v>-46.2</v>
      </c>
      <c r="E9" s="67">
        <f>HLOOKUP($A9,'Single Family'!$C$6:$N$79,E$5,FALSE)</f>
        <v>0</v>
      </c>
      <c r="F9" s="63">
        <f>HLOOKUP($A9,'Single Family'!$C$6:$N$79,F$5,FALSE)</f>
        <v>189.88</v>
      </c>
      <c r="G9" s="63">
        <f>HLOOKUP($A9,'Single Family'!$C$6:$N$79,G$5,FALSE)</f>
        <v>150.072</v>
      </c>
      <c r="H9" s="63">
        <f>HLOOKUP($A9,'Single Family'!$C$6:$N$79,H$5,FALSE)</f>
        <v>50.080000000000005</v>
      </c>
      <c r="I9" s="63">
        <f>HLOOKUP($A9,'Single Family'!$C$6:$N$79,I$5,FALSE)</f>
        <v>363.43238681318684</v>
      </c>
      <c r="J9" s="63">
        <f>HLOOKUP($A9,'Single Family'!$C$6:$N$79,J$5,FALSE)</f>
        <v>363.43238681318684</v>
      </c>
      <c r="K9" s="63">
        <f>HLOOKUP($A9,'Single Family'!$C$6:$N$79,K$5,FALSE)</f>
        <v>142.168</v>
      </c>
      <c r="L9" s="67">
        <f>HLOOKUP($A9,'Single Family'!$C$6:$N$79,L$5,FALSE)</f>
        <v>-164.36</v>
      </c>
      <c r="M9" s="59"/>
    </row>
    <row r="10" spans="1:13" ht="12.75">
      <c r="A10" s="57">
        <f>+'Commodity Tonnages'!A10</f>
        <v>44439</v>
      </c>
      <c r="B10" s="58"/>
      <c r="C10" s="63">
        <f>HLOOKUP($A10,'Single Family'!$C$6:$N$79,C$5,FALSE)</f>
        <v>1291.592</v>
      </c>
      <c r="D10" s="67">
        <f>HLOOKUP($A10,'Single Family'!$C$6:$N$79,D$5,FALSE)</f>
        <v>-52.58</v>
      </c>
      <c r="E10" s="67">
        <f>HLOOKUP($A10,'Single Family'!$C$6:$N$79,E$5,FALSE)</f>
        <v>0</v>
      </c>
      <c r="F10" s="63">
        <f>HLOOKUP($A10,'Single Family'!$C$6:$N$79,F$5,FALSE)</f>
        <v>171.784</v>
      </c>
      <c r="G10" s="63">
        <f>HLOOKUP($A10,'Single Family'!$C$6:$N$79,G$5,FALSE)</f>
        <v>138.856</v>
      </c>
      <c r="H10" s="63">
        <f>HLOOKUP($A10,'Single Family'!$C$6:$N$79,H$5,FALSE)</f>
        <v>57.176</v>
      </c>
      <c r="I10" s="63">
        <f>HLOOKUP($A10,'Single Family'!$C$6:$N$79,I$5,FALSE)</f>
        <v>436.2276747252747</v>
      </c>
      <c r="J10" s="63">
        <f>HLOOKUP($A10,'Single Family'!$C$6:$N$79,J$5,FALSE)</f>
        <v>436.2276747252747</v>
      </c>
      <c r="K10" s="63">
        <f>HLOOKUP($A10,'Single Family'!$C$6:$N$79,K$5,FALSE)</f>
        <v>146.29600000000002</v>
      </c>
      <c r="L10" s="67">
        <f>HLOOKUP($A10,'Single Family'!$C$6:$N$79,L$5,FALSE)</f>
        <v>-161.54</v>
      </c>
      <c r="M10" s="59"/>
    </row>
    <row r="11" spans="1:13" ht="12.75">
      <c r="A11" s="57">
        <f>+'Commodity Tonnages'!A11</f>
        <v>44469</v>
      </c>
      <c r="B11" s="58"/>
      <c r="C11" s="63">
        <f>HLOOKUP($A11,'Single Family'!$C$6:$N$79,C$5,FALSE)</f>
        <v>1399.968</v>
      </c>
      <c r="D11" s="67">
        <f>HLOOKUP($A11,'Single Family'!$C$6:$N$79,D$5,FALSE)</f>
        <v>-48.34</v>
      </c>
      <c r="E11" s="67">
        <f>HLOOKUP($A11,'Single Family'!$C$6:$N$79,E$5,FALSE)</f>
        <v>0</v>
      </c>
      <c r="F11" s="63">
        <f>HLOOKUP($A11,'Single Family'!$C$6:$N$79,F$5,FALSE)</f>
        <v>154.28</v>
      </c>
      <c r="G11" s="63">
        <f>HLOOKUP($A11,'Single Family'!$C$6:$N$79,G$5,FALSE)</f>
        <v>123.49600000000001</v>
      </c>
      <c r="H11" s="63">
        <f>HLOOKUP($A11,'Single Family'!$C$6:$N$79,H$5,FALSE)</f>
        <v>53.29600000000001</v>
      </c>
      <c r="I11" s="63">
        <f>HLOOKUP($A11,'Single Family'!$C$6:$N$79,I$5,FALSE)</f>
        <v>382.0567384615385</v>
      </c>
      <c r="J11" s="63">
        <f>HLOOKUP($A11,'Single Family'!$C$6:$N$79,J$5,FALSE)</f>
        <v>382.0567384615385</v>
      </c>
      <c r="K11" s="63">
        <f>HLOOKUP($A11,'Single Family'!$C$6:$N$79,K$5,FALSE)</f>
        <v>153.20000000000002</v>
      </c>
      <c r="L11" s="67">
        <f>HLOOKUP($A11,'Single Family'!$C$6:$N$79,L$5,FALSE)</f>
        <v>-160.65</v>
      </c>
      <c r="M11" s="59"/>
    </row>
    <row r="12" spans="1:13" ht="12.75">
      <c r="A12" s="57">
        <f>+'Commodity Tonnages'!A12</f>
        <v>44500</v>
      </c>
      <c r="B12" s="58"/>
      <c r="C12" s="63">
        <f>HLOOKUP($A12,'Single Family'!$C$6:$N$79,C$5,FALSE)</f>
        <v>1432.5680000000002</v>
      </c>
      <c r="D12" s="67">
        <f>HLOOKUP($A12,'Single Family'!$C$6:$N$79,D$5,FALSE)</f>
        <v>-46.82</v>
      </c>
      <c r="E12" s="67">
        <f>HLOOKUP($A12,'Single Family'!$C$6:$N$79,E$5,FALSE)</f>
        <v>0</v>
      </c>
      <c r="F12" s="63">
        <f>HLOOKUP($A12,'Single Family'!$C$6:$N$79,F$5,FALSE)</f>
        <v>155.34400000000002</v>
      </c>
      <c r="G12" s="63">
        <f>HLOOKUP($A12,'Single Family'!$C$6:$N$79,G$5,FALSE)</f>
        <v>135.408</v>
      </c>
      <c r="H12" s="63">
        <f>HLOOKUP($A12,'Single Family'!$C$6:$N$79,H$5,FALSE)</f>
        <v>60.592</v>
      </c>
      <c r="I12" s="63">
        <f>HLOOKUP($A12,'Single Family'!$C$6:$N$79,I$5,FALSE)</f>
        <v>262.97128791208803</v>
      </c>
      <c r="J12" s="63">
        <f>HLOOKUP($A12,'Single Family'!$C$6:$N$79,J$5,FALSE)</f>
        <v>262.97128791208803</v>
      </c>
      <c r="K12" s="63">
        <f>HLOOKUP($A12,'Single Family'!$C$6:$N$79,K$5,FALSE)</f>
        <v>151.29600000000002</v>
      </c>
      <c r="L12" s="67">
        <f>HLOOKUP($A12,'Single Family'!$C$6:$N$79,L$5,FALSE)</f>
        <v>-160.65</v>
      </c>
      <c r="M12" s="59"/>
    </row>
    <row r="13" spans="1:13" ht="12.75">
      <c r="A13" s="57">
        <f>+'Commodity Tonnages'!A13</f>
        <v>44530</v>
      </c>
      <c r="B13" s="58"/>
      <c r="C13" s="63">
        <f>HLOOKUP($A13,'Single Family'!$C$6:$N$79,C$5,FALSE)</f>
        <v>1208.28</v>
      </c>
      <c r="D13" s="67">
        <f>HLOOKUP($A13,'Single Family'!$C$6:$N$79,D$5,FALSE)</f>
        <v>-57.68</v>
      </c>
      <c r="E13" s="67">
        <f>HLOOKUP($A13,'Single Family'!$C$6:$N$79,E$5,FALSE)</f>
        <v>0</v>
      </c>
      <c r="F13" s="63">
        <f>HLOOKUP($A13,'Single Family'!$C$6:$N$79,F$5,FALSE)</f>
        <v>160.656</v>
      </c>
      <c r="G13" s="63">
        <f>HLOOKUP($A13,'Single Family'!$C$6:$N$79,G$5,FALSE)</f>
        <v>145.808</v>
      </c>
      <c r="H13" s="63">
        <f>HLOOKUP($A13,'Single Family'!$C$6:$N$79,H$5,FALSE)</f>
        <v>32.848000000000006</v>
      </c>
      <c r="I13" s="63">
        <f>HLOOKUP($A13,'Single Family'!$C$6:$N$79,I$5,FALSE)</f>
        <v>275.3715692307693</v>
      </c>
      <c r="J13" s="63">
        <f>HLOOKUP($A13,'Single Family'!$C$6:$N$79,J$5,FALSE)</f>
        <v>275.3715692307693</v>
      </c>
      <c r="K13" s="63">
        <f>HLOOKUP($A13,'Single Family'!$C$6:$N$79,K$5,FALSE)</f>
        <v>129.08800000000002</v>
      </c>
      <c r="L13" s="67">
        <f>HLOOKUP($A13,'Single Family'!$C$6:$N$79,L$5,FALSE)</f>
        <v>-159.7</v>
      </c>
      <c r="M13" s="59"/>
    </row>
    <row r="14" spans="1:13" ht="12.75">
      <c r="A14" s="57">
        <f>+'Commodity Tonnages'!A14</f>
        <v>44561</v>
      </c>
      <c r="B14" s="58"/>
      <c r="C14" s="63">
        <f>HLOOKUP($A14,'Single Family'!$C$6:$N$79,C$5,FALSE)</f>
        <v>1267.616</v>
      </c>
      <c r="D14" s="67">
        <f>HLOOKUP($A14,'Single Family'!$C$6:$N$79,D$5,FALSE)</f>
        <v>-51.06</v>
      </c>
      <c r="E14" s="67">
        <f>HLOOKUP($A14,'Single Family'!$C$6:$N$79,E$5,FALSE)</f>
        <v>0</v>
      </c>
      <c r="F14" s="63">
        <f>HLOOKUP($A14,'Single Family'!$C$6:$N$79,F$5,FALSE)</f>
        <v>168.928</v>
      </c>
      <c r="G14" s="63">
        <f>HLOOKUP($A14,'Single Family'!$C$6:$N$79,G$5,FALSE)</f>
        <v>152.824</v>
      </c>
      <c r="H14" s="63">
        <f>HLOOKUP($A14,'Single Family'!$C$6:$N$79,H$5,FALSE)</f>
        <v>-8.57</v>
      </c>
      <c r="I14" s="63">
        <f>HLOOKUP($A14,'Single Family'!$C$6:$N$79,I$5,FALSE)</f>
        <v>235.3165714285714</v>
      </c>
      <c r="J14" s="63">
        <f>HLOOKUP($A14,'Single Family'!$C$6:$N$79,J$5,FALSE)</f>
        <v>235.3165714285714</v>
      </c>
      <c r="K14" s="63">
        <f>HLOOKUP($A14,'Single Family'!$C$6:$N$79,K$5,FALSE)</f>
        <v>119.28</v>
      </c>
      <c r="L14" s="67">
        <f>HLOOKUP($A14,'Single Family'!$C$6:$N$79,L$5,FALSE)</f>
        <v>-163.71</v>
      </c>
      <c r="M14" s="59"/>
    </row>
    <row r="15" spans="1:13" ht="12.75">
      <c r="A15" s="57">
        <f>+'Commodity Tonnages'!A15</f>
        <v>44592</v>
      </c>
      <c r="B15" s="58"/>
      <c r="C15" s="63">
        <f>HLOOKUP($A15,'Single Family'!$C$6:$N$79,C$5,FALSE)</f>
        <v>1508.5120000000002</v>
      </c>
      <c r="D15" s="67">
        <f>HLOOKUP($A15,'Single Family'!$C$6:$N$79,D$5,FALSE)</f>
        <v>-77.32</v>
      </c>
      <c r="E15" s="67">
        <f>HLOOKUP($A15,'Single Family'!$C$6:$N$79,E$5,FALSE)</f>
        <v>0</v>
      </c>
      <c r="F15" s="63">
        <f>HLOOKUP($A15,'Single Family'!$C$6:$N$79,F$5,FALSE)</f>
        <v>112.04000000000002</v>
      </c>
      <c r="G15" s="63">
        <f>HLOOKUP($A15,'Single Family'!$C$6:$N$79,G$5,FALSE)</f>
        <v>86.968</v>
      </c>
      <c r="H15" s="63">
        <f>HLOOKUP($A15,'Single Family'!$C$6:$N$79,H$5,FALSE)</f>
        <v>-3.4</v>
      </c>
      <c r="I15" s="63">
        <f>HLOOKUP($A15,'Single Family'!$C$6:$N$79,I$5,FALSE)</f>
        <v>150.52624390243903</v>
      </c>
      <c r="J15" s="63">
        <f>HLOOKUP($A15,'Single Family'!$C$6:$N$79,J$5,FALSE)</f>
        <v>150.52624390243903</v>
      </c>
      <c r="K15" s="63">
        <f>HLOOKUP($A15,'Single Family'!$C$6:$N$79,K$5,FALSE)</f>
        <v>83.224</v>
      </c>
      <c r="L15" s="67">
        <f>HLOOKUP($A15,'Single Family'!$C$6:$N$79,L$5,FALSE)</f>
        <v>-166.72</v>
      </c>
      <c r="M15" s="59"/>
    </row>
    <row r="16" spans="1:13" ht="12.75">
      <c r="A16" s="57">
        <f>+'Commodity Tonnages'!A16</f>
        <v>44620</v>
      </c>
      <c r="B16" s="58"/>
      <c r="C16" s="63">
        <f>HLOOKUP($A16,'Single Family'!$C$6:$N$79,C$5,FALSE)</f>
        <v>1715.4240000000002</v>
      </c>
      <c r="D16" s="67">
        <f>HLOOKUP($A16,'Single Family'!$C$6:$N$79,D$5,FALSE)</f>
        <v>-65.19</v>
      </c>
      <c r="E16" s="67">
        <f>HLOOKUP($A16,'Single Family'!$C$6:$N$79,E$5,FALSE)</f>
        <v>0</v>
      </c>
      <c r="F16" s="63">
        <f>HLOOKUP($A16,'Single Family'!$C$6:$N$79,F$5,FALSE)</f>
        <v>131.264</v>
      </c>
      <c r="G16" s="63">
        <f>HLOOKUP($A16,'Single Family'!$C$6:$N$79,G$5,FALSE)</f>
        <v>107.78399999999999</v>
      </c>
      <c r="H16" s="63">
        <f>HLOOKUP($A16,'Single Family'!$C$6:$N$79,H$5,FALSE)</f>
        <v>-23.28</v>
      </c>
      <c r="I16" s="63">
        <f>HLOOKUP($A16,'Single Family'!$C$6:$N$79,I$5,FALSE)</f>
        <v>212.95260162601627</v>
      </c>
      <c r="J16" s="63">
        <f>HLOOKUP($A16,'Single Family'!$C$6:$N$79,J$5,FALSE)</f>
        <v>212.95260162601627</v>
      </c>
      <c r="K16" s="63">
        <f>HLOOKUP($A16,'Single Family'!$C$6:$N$79,K$5,FALSE)</f>
        <v>107.94400000000002</v>
      </c>
      <c r="L16" s="67">
        <f>HLOOKUP($A16,'Single Family'!$C$6:$N$79,L$5,FALSE)</f>
        <v>-166.81</v>
      </c>
      <c r="M16" s="59"/>
    </row>
    <row r="17" spans="1:13" ht="12.75">
      <c r="A17" s="57">
        <f>+'Commodity Tonnages'!A17</f>
        <v>44651</v>
      </c>
      <c r="B17" s="58"/>
      <c r="C17" s="63">
        <f>HLOOKUP($A17,'Single Family'!$C$6:$N$79,C$5,FALSE)</f>
        <v>1859.6560000000002</v>
      </c>
      <c r="D17" s="67">
        <f>HLOOKUP($A17,'Single Family'!$C$6:$N$79,D$5,FALSE)</f>
        <v>-73.39</v>
      </c>
      <c r="E17" s="67">
        <f>HLOOKUP($A17,'Single Family'!$C$6:$N$79,E$5,FALSE)</f>
        <v>0</v>
      </c>
      <c r="F17" s="63">
        <f>HLOOKUP($A17,'Single Family'!$C$6:$N$79,F$5,FALSE)</f>
        <v>134.504</v>
      </c>
      <c r="G17" s="63">
        <f>HLOOKUP($A17,'Single Family'!$C$6:$N$79,G$5,FALSE)</f>
        <v>152.544</v>
      </c>
      <c r="H17" s="63">
        <f>HLOOKUP($A17,'Single Family'!$C$6:$N$79,H$5,FALSE)</f>
        <v>-17.3</v>
      </c>
      <c r="I17" s="63">
        <f>HLOOKUP($A17,'Single Family'!$C$6:$N$79,I$5,FALSE)</f>
        <v>268.1524552845529</v>
      </c>
      <c r="J17" s="63">
        <f>HLOOKUP($A17,'Single Family'!$C$6:$N$79,J$5,FALSE)</f>
        <v>268.1524552845529</v>
      </c>
      <c r="K17" s="63">
        <f>HLOOKUP($A17,'Single Family'!$C$6:$N$79,K$5,FALSE)</f>
        <v>104.48800000000001</v>
      </c>
      <c r="L17" s="67">
        <f>HLOOKUP($A17,'Single Family'!$C$6:$N$79,L$5,FALSE)</f>
        <v>-167.13</v>
      </c>
      <c r="M17" s="59"/>
    </row>
    <row r="18" spans="1:13" ht="12.75">
      <c r="A18" s="57">
        <f>+'Commodity Tonnages'!A18</f>
        <v>44681</v>
      </c>
      <c r="B18" s="58"/>
      <c r="C18" s="63">
        <f>HLOOKUP($A18,'Single Family'!$C$6:$N$79,C$5,FALSE)</f>
        <v>1816.8400000000001</v>
      </c>
      <c r="D18" s="67">
        <f>HLOOKUP($A18,'Single Family'!$C$6:$N$79,D$5,FALSE)</f>
        <v>-55.61</v>
      </c>
      <c r="E18" s="67">
        <f>HLOOKUP($A18,'Single Family'!$C$6:$N$79,E$5,FALSE)</f>
        <v>0</v>
      </c>
      <c r="F18" s="63">
        <f>HLOOKUP($A18,'Single Family'!$C$6:$N$79,F$5,FALSE)</f>
        <v>158.15200000000002</v>
      </c>
      <c r="G18" s="63">
        <f>HLOOKUP($A18,'Single Family'!$C$6:$N$79,G$5,FALSE)</f>
        <v>185.48000000000002</v>
      </c>
      <c r="H18" s="63">
        <f>HLOOKUP($A18,'Single Family'!$C$6:$N$79,H$5,FALSE)</f>
        <v>-7.91</v>
      </c>
      <c r="I18" s="63">
        <f>HLOOKUP($A18,'Single Family'!$C$6:$N$79,I$5,FALSE)</f>
        <v>324.9494634146342</v>
      </c>
      <c r="J18" s="63">
        <f>HLOOKUP($A18,'Single Family'!$C$6:$N$79,J$5,FALSE)</f>
        <v>324.9494634146342</v>
      </c>
      <c r="K18" s="63">
        <f>HLOOKUP($A18,'Single Family'!$C$6:$N$79,K$5,FALSE)</f>
        <v>105.84000000000002</v>
      </c>
      <c r="L18" s="67">
        <f>HLOOKUP($A18,'Single Family'!$C$6:$N$79,L$5,FALSE)</f>
        <v>-167.08</v>
      </c>
      <c r="M18" s="59"/>
    </row>
    <row r="19" spans="1:13" ht="12.75">
      <c r="A19" s="58"/>
      <c r="B19" s="58"/>
      <c r="C19" s="59"/>
      <c r="D19" s="59"/>
      <c r="E19" s="59"/>
      <c r="F19" s="59"/>
      <c r="G19" s="59"/>
      <c r="H19" s="59"/>
      <c r="I19" s="59"/>
      <c r="J19" s="59"/>
      <c r="K19" s="59"/>
      <c r="L19" s="58"/>
      <c r="M19" s="59"/>
    </row>
    <row r="20" spans="1:14" ht="12.75">
      <c r="A20" s="61"/>
      <c r="B20" s="58"/>
      <c r="C20" s="59"/>
      <c r="D20" s="59"/>
      <c r="E20" s="59"/>
      <c r="F20" s="59"/>
      <c r="G20" s="59"/>
      <c r="H20" s="59"/>
      <c r="I20" s="59"/>
      <c r="J20" s="59"/>
      <c r="K20" s="59"/>
      <c r="L20" s="59"/>
      <c r="M20" s="59"/>
      <c r="N20" s="59" t="s">
        <v>27</v>
      </c>
    </row>
    <row r="21" spans="1:13" ht="12.75">
      <c r="A21" s="58"/>
      <c r="B21" s="58"/>
      <c r="C21" s="58"/>
      <c r="D21" s="58"/>
      <c r="E21" s="58"/>
      <c r="F21" s="58"/>
      <c r="G21" s="58"/>
      <c r="H21" s="58"/>
      <c r="I21" s="58"/>
      <c r="J21" s="58"/>
      <c r="K21" s="58"/>
      <c r="L21" s="58"/>
      <c r="M21" s="59"/>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9"/>
    </row>
    <row r="26" spans="1:13" ht="12.75">
      <c r="A26" s="58"/>
      <c r="B26" s="58"/>
      <c r="C26" s="58"/>
      <c r="D26" s="58"/>
      <c r="E26" s="58"/>
      <c r="F26" s="58"/>
      <c r="G26" s="58"/>
      <c r="H26" s="58"/>
      <c r="I26" s="58"/>
      <c r="J26" s="58"/>
      <c r="K26" s="58"/>
      <c r="L26" s="58"/>
      <c r="M26" s="59"/>
    </row>
    <row r="27" spans="1:13" ht="12.75">
      <c r="A27" s="58"/>
      <c r="B27" s="58"/>
      <c r="C27" s="58"/>
      <c r="D27" s="58"/>
      <c r="E27" s="58"/>
      <c r="F27" s="58"/>
      <c r="G27" s="58"/>
      <c r="H27" s="58"/>
      <c r="I27" s="58"/>
      <c r="J27" s="58"/>
      <c r="K27" s="58"/>
      <c r="L27" s="58"/>
      <c r="M27" s="59"/>
    </row>
    <row r="28" spans="1:13" ht="12.75">
      <c r="A28" s="58"/>
      <c r="B28" s="58"/>
      <c r="C28" s="58"/>
      <c r="D28" s="58"/>
      <c r="E28" s="58"/>
      <c r="F28" s="58"/>
      <c r="G28" s="58"/>
      <c r="H28" s="58"/>
      <c r="I28" s="58"/>
      <c r="J28" s="58"/>
      <c r="K28" s="58"/>
      <c r="L28" s="58"/>
      <c r="M28" s="59"/>
    </row>
    <row r="29" spans="1:13" ht="12.75">
      <c r="A29" s="58"/>
      <c r="B29" s="58"/>
      <c r="C29" s="58"/>
      <c r="D29" s="58"/>
      <c r="E29" s="58"/>
      <c r="F29" s="58"/>
      <c r="G29" s="58"/>
      <c r="H29" s="58"/>
      <c r="I29" s="58"/>
      <c r="J29" s="58"/>
      <c r="K29" s="58"/>
      <c r="L29" s="58"/>
      <c r="M29" s="59"/>
    </row>
    <row r="30" spans="1:13" ht="12.75">
      <c r="A30" s="58"/>
      <c r="B30" s="58"/>
      <c r="C30" s="58"/>
      <c r="D30" s="58"/>
      <c r="E30" s="58"/>
      <c r="F30" s="58"/>
      <c r="G30" s="58"/>
      <c r="H30" s="58"/>
      <c r="I30" s="58"/>
      <c r="J30" s="58"/>
      <c r="K30" s="58"/>
      <c r="L30" s="58"/>
      <c r="M30" s="59"/>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row r="105" spans="1:13" ht="12.75">
      <c r="A105" s="58"/>
      <c r="B105" s="58"/>
      <c r="C105" s="58"/>
      <c r="D105" s="58"/>
      <c r="E105" s="58"/>
      <c r="F105" s="58"/>
      <c r="G105" s="58"/>
      <c r="H105" s="58"/>
      <c r="I105" s="58"/>
      <c r="J105" s="58"/>
      <c r="K105" s="58"/>
      <c r="L105" s="58"/>
      <c r="M105" s="58"/>
    </row>
    <row r="106" spans="1:13" ht="12.75">
      <c r="A106" s="58"/>
      <c r="B106" s="58"/>
      <c r="C106" s="58"/>
      <c r="D106" s="58"/>
      <c r="E106" s="58"/>
      <c r="F106" s="58"/>
      <c r="G106" s="58"/>
      <c r="H106" s="58"/>
      <c r="I106" s="58"/>
      <c r="J106" s="58"/>
      <c r="K106" s="58"/>
      <c r="L106" s="58"/>
      <c r="M106" s="58"/>
    </row>
    <row r="107" spans="1:13" ht="12.75">
      <c r="A107" s="58"/>
      <c r="B107" s="58"/>
      <c r="C107" s="58"/>
      <c r="D107" s="58"/>
      <c r="E107" s="58"/>
      <c r="F107" s="58"/>
      <c r="G107" s="58"/>
      <c r="H107" s="58"/>
      <c r="I107" s="58"/>
      <c r="J107" s="58"/>
      <c r="K107" s="58"/>
      <c r="L107" s="58"/>
      <c r="M107" s="58"/>
    </row>
    <row r="108" spans="1:13" ht="12.75">
      <c r="A108" s="58"/>
      <c r="B108" s="58"/>
      <c r="C108" s="58"/>
      <c r="D108" s="58"/>
      <c r="E108" s="58"/>
      <c r="F108" s="58"/>
      <c r="G108" s="58"/>
      <c r="H108" s="58"/>
      <c r="I108" s="58"/>
      <c r="J108" s="58"/>
      <c r="K108" s="58"/>
      <c r="L108" s="58"/>
      <c r="M108" s="58"/>
    </row>
    <row r="109" spans="1:13" ht="12.75">
      <c r="A109" s="58"/>
      <c r="B109" s="58"/>
      <c r="C109" s="58"/>
      <c r="D109" s="58"/>
      <c r="E109" s="58"/>
      <c r="F109" s="58"/>
      <c r="G109" s="58"/>
      <c r="H109" s="58"/>
      <c r="I109" s="58"/>
      <c r="J109" s="58"/>
      <c r="K109" s="58"/>
      <c r="L109" s="58"/>
      <c r="M109" s="58"/>
    </row>
    <row r="110" spans="1:13" ht="12.75">
      <c r="A110" s="58"/>
      <c r="B110" s="58"/>
      <c r="C110" s="58"/>
      <c r="D110" s="58"/>
      <c r="E110" s="58"/>
      <c r="F110" s="58"/>
      <c r="G110" s="58"/>
      <c r="H110" s="58"/>
      <c r="I110" s="58"/>
      <c r="J110" s="58"/>
      <c r="K110" s="58"/>
      <c r="L110" s="58"/>
      <c r="M110" s="58"/>
    </row>
    <row r="111" spans="1:13" ht="12.75">
      <c r="A111" s="58"/>
      <c r="B111" s="58"/>
      <c r="C111" s="58"/>
      <c r="D111" s="58"/>
      <c r="E111" s="58"/>
      <c r="F111" s="58"/>
      <c r="G111" s="58"/>
      <c r="H111" s="58"/>
      <c r="I111" s="58"/>
      <c r="J111" s="58"/>
      <c r="K111" s="58"/>
      <c r="L111" s="58"/>
      <c r="M111" s="58"/>
    </row>
    <row r="112" spans="1:13" ht="12.75">
      <c r="A112" s="58"/>
      <c r="B112" s="58"/>
      <c r="C112" s="58"/>
      <c r="D112" s="58"/>
      <c r="E112" s="58"/>
      <c r="F112" s="58"/>
      <c r="G112" s="58"/>
      <c r="H112" s="58"/>
      <c r="I112" s="58"/>
      <c r="J112" s="58"/>
      <c r="K112" s="58"/>
      <c r="L112" s="58"/>
      <c r="M112" s="58"/>
    </row>
    <row r="113" spans="1:13" ht="12.75">
      <c r="A113" s="58"/>
      <c r="B113" s="58"/>
      <c r="C113" s="58"/>
      <c r="D113" s="58"/>
      <c r="E113" s="58"/>
      <c r="F113" s="58"/>
      <c r="G113" s="58"/>
      <c r="H113" s="58"/>
      <c r="I113" s="58"/>
      <c r="J113" s="58"/>
      <c r="K113" s="58"/>
      <c r="L113" s="58"/>
      <c r="M113" s="58"/>
    </row>
    <row r="114" spans="1:13" ht="12.75">
      <c r="A114" s="58"/>
      <c r="B114" s="58"/>
      <c r="C114" s="58"/>
      <c r="D114" s="58"/>
      <c r="E114" s="58"/>
      <c r="F114" s="58"/>
      <c r="G114" s="58"/>
      <c r="H114" s="58"/>
      <c r="I114" s="58"/>
      <c r="J114" s="58"/>
      <c r="K114" s="58"/>
      <c r="L114" s="58"/>
      <c r="M114" s="58"/>
    </row>
    <row r="115" spans="1:13" ht="12.75">
      <c r="A115" s="58"/>
      <c r="B115" s="58"/>
      <c r="C115" s="58"/>
      <c r="D115" s="58"/>
      <c r="E115" s="58"/>
      <c r="F115" s="58"/>
      <c r="G115" s="58"/>
      <c r="H115" s="58"/>
      <c r="I115" s="58"/>
      <c r="J115" s="58"/>
      <c r="K115" s="58"/>
      <c r="L115" s="58"/>
      <c r="M115" s="58"/>
    </row>
    <row r="116" spans="1:13" ht="12.75">
      <c r="A116" s="58"/>
      <c r="B116" s="58"/>
      <c r="C116" s="58"/>
      <c r="D116" s="58"/>
      <c r="E116" s="58"/>
      <c r="F116" s="58"/>
      <c r="G116" s="58"/>
      <c r="H116" s="58"/>
      <c r="I116" s="58"/>
      <c r="J116" s="58"/>
      <c r="K116" s="58"/>
      <c r="L116" s="58"/>
      <c r="M116" s="58"/>
    </row>
    <row r="117" spans="1:13" ht="12.75">
      <c r="A117" s="58"/>
      <c r="B117" s="58"/>
      <c r="C117" s="58"/>
      <c r="D117" s="58"/>
      <c r="E117" s="58"/>
      <c r="F117" s="58"/>
      <c r="G117" s="58"/>
      <c r="H117" s="58"/>
      <c r="I117" s="58"/>
      <c r="J117" s="58"/>
      <c r="K117" s="58"/>
      <c r="L117" s="58"/>
      <c r="M117" s="58"/>
    </row>
    <row r="118" spans="1:13" ht="12.75">
      <c r="A118" s="58"/>
      <c r="B118" s="58"/>
      <c r="C118" s="58"/>
      <c r="D118" s="58"/>
      <c r="E118" s="58"/>
      <c r="F118" s="58"/>
      <c r="G118" s="58"/>
      <c r="H118" s="58"/>
      <c r="I118" s="58"/>
      <c r="J118" s="58"/>
      <c r="K118" s="58"/>
      <c r="L118" s="58"/>
      <c r="M118" s="58"/>
    </row>
    <row r="119" spans="1:13" ht="12.75">
      <c r="A119" s="58"/>
      <c r="B119" s="58"/>
      <c r="C119" s="58"/>
      <c r="D119" s="58"/>
      <c r="E119" s="58"/>
      <c r="F119" s="58"/>
      <c r="G119" s="58"/>
      <c r="H119" s="58"/>
      <c r="I119" s="58"/>
      <c r="J119" s="58"/>
      <c r="K119" s="58"/>
      <c r="L119" s="58"/>
      <c r="M119" s="58"/>
    </row>
    <row r="120" spans="1:13" ht="12.75">
      <c r="A120" s="58"/>
      <c r="B120" s="58"/>
      <c r="C120" s="58"/>
      <c r="D120" s="58"/>
      <c r="E120" s="58"/>
      <c r="F120" s="58"/>
      <c r="G120" s="58"/>
      <c r="H120" s="58"/>
      <c r="I120" s="58"/>
      <c r="J120" s="58"/>
      <c r="K120" s="58"/>
      <c r="L120" s="58"/>
      <c r="M120" s="58"/>
    </row>
    <row r="121" spans="1:13" ht="12.75">
      <c r="A121" s="58"/>
      <c r="B121" s="58"/>
      <c r="C121" s="58"/>
      <c r="D121" s="58"/>
      <c r="E121" s="58"/>
      <c r="F121" s="58"/>
      <c r="G121" s="58"/>
      <c r="H121" s="58"/>
      <c r="I121" s="58"/>
      <c r="J121" s="58"/>
      <c r="K121" s="58"/>
      <c r="L121" s="58"/>
      <c r="M121" s="58"/>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AH102"/>
  <sheetViews>
    <sheetView zoomScalePageLayoutView="0" workbookViewId="0" topLeftCell="A1">
      <pane xSplit="2" ySplit="6" topLeftCell="C7" activePane="bottomRight" state="frozen"/>
      <selection pane="topLeft" activeCell="A3" sqref="A3:IV5"/>
      <selection pane="topRight" activeCell="A3" sqref="A3:IV5"/>
      <selection pane="bottomLeft" activeCell="A3" sqref="A3:IV5"/>
      <selection pane="bottomRight" activeCell="A1" sqref="A1"/>
    </sheetView>
  </sheetViews>
  <sheetFormatPr defaultColWidth="9.140625" defaultRowHeight="12.75"/>
  <cols>
    <col min="1" max="1" width="6.00390625" style="58" customWidth="1"/>
    <col min="2" max="2" width="17.8515625" style="58" customWidth="1"/>
    <col min="3" max="3" width="9.8515625" style="58" customWidth="1"/>
    <col min="4" max="5" width="9.00390625" style="58" bestFit="1" customWidth="1"/>
    <col min="6" max="10" width="8.7109375" style="58" bestFit="1" customWidth="1"/>
    <col min="11" max="14" width="9.57421875" style="58" bestFit="1" customWidth="1"/>
    <col min="15" max="15" width="10.7109375" style="58" bestFit="1" customWidth="1"/>
    <col min="16" max="16" width="12.28125" style="58" hidden="1" customWidth="1"/>
    <col min="17" max="17" width="9.8515625" style="58" hidden="1" customWidth="1"/>
    <col min="18" max="18" width="15.140625" style="58" hidden="1" customWidth="1"/>
    <col min="19" max="21" width="0" style="58" hidden="1" customWidth="1"/>
    <col min="22" max="16384" width="9.140625" style="58" customWidth="1"/>
  </cols>
  <sheetData>
    <row r="1" ht="11.25"/>
    <row r="2" spans="2:3" ht="11.25">
      <c r="B2" s="76" t="str">
        <f>WUTC_KENT_SF!A1</f>
        <v>Kent-Meridian Disposal</v>
      </c>
      <c r="C2" s="77"/>
    </row>
    <row r="3" spans="2:3" ht="11.25">
      <c r="B3" s="76" t="str">
        <f>WUTC_KENT_SF!A4</f>
        <v>Single Family</v>
      </c>
      <c r="C3" s="77"/>
    </row>
    <row r="4" spans="3:10" ht="11.25">
      <c r="C4" s="78"/>
      <c r="D4" s="78"/>
      <c r="E4" s="78"/>
      <c r="F4" s="78"/>
      <c r="G4" s="78"/>
      <c r="H4" s="79"/>
      <c r="I4" s="79"/>
      <c r="J4" s="76"/>
    </row>
    <row r="5" spans="3:10" ht="11.25">
      <c r="C5" s="78"/>
      <c r="D5" s="78"/>
      <c r="E5" s="78"/>
      <c r="F5" s="78"/>
      <c r="G5" s="78"/>
      <c r="H5" s="79"/>
      <c r="I5" s="79"/>
      <c r="J5" s="78"/>
    </row>
    <row r="6" spans="3:14" ht="9.75" customHeight="1">
      <c r="C6" s="80">
        <v>44317</v>
      </c>
      <c r="D6" s="81">
        <f aca="true" t="shared" si="0" ref="D6:N6">EOMONTH(C6,1)</f>
        <v>44377</v>
      </c>
      <c r="E6" s="81">
        <f t="shared" si="0"/>
        <v>44408</v>
      </c>
      <c r="F6" s="81">
        <f t="shared" si="0"/>
        <v>44439</v>
      </c>
      <c r="G6" s="81">
        <f t="shared" si="0"/>
        <v>44469</v>
      </c>
      <c r="H6" s="81">
        <f t="shared" si="0"/>
        <v>44500</v>
      </c>
      <c r="I6" s="81">
        <f t="shared" si="0"/>
        <v>44530</v>
      </c>
      <c r="J6" s="81">
        <f t="shared" si="0"/>
        <v>44561</v>
      </c>
      <c r="K6" s="81">
        <f t="shared" si="0"/>
        <v>44592</v>
      </c>
      <c r="L6" s="81">
        <f t="shared" si="0"/>
        <v>44620</v>
      </c>
      <c r="M6" s="81">
        <f t="shared" si="0"/>
        <v>44651</v>
      </c>
      <c r="N6" s="81">
        <f t="shared" si="0"/>
        <v>44681</v>
      </c>
    </row>
    <row r="7" spans="1:34" s="59" customFormat="1" ht="11.25">
      <c r="A7" s="82" t="s">
        <v>30</v>
      </c>
      <c r="C7" s="83">
        <v>605.12</v>
      </c>
      <c r="D7" s="83">
        <v>645.7</v>
      </c>
      <c r="E7" s="83">
        <v>631.08</v>
      </c>
      <c r="F7" s="83">
        <v>646.12</v>
      </c>
      <c r="G7" s="83">
        <v>585.7199999999999</v>
      </c>
      <c r="H7" s="83">
        <v>539.56</v>
      </c>
      <c r="I7" s="83">
        <v>647.51</v>
      </c>
      <c r="J7" s="83">
        <v>510.65000000000003</v>
      </c>
      <c r="K7" s="83">
        <v>734.91</v>
      </c>
      <c r="L7" s="83">
        <v>546.72</v>
      </c>
      <c r="M7" s="83">
        <v>637.2099999999999</v>
      </c>
      <c r="N7" s="83">
        <v>560.4699999999999</v>
      </c>
      <c r="X7" s="58"/>
      <c r="Y7" s="58"/>
      <c r="Z7" s="58"/>
      <c r="AA7" s="58"/>
      <c r="AB7" s="58"/>
      <c r="AC7" s="87"/>
      <c r="AD7" s="87"/>
      <c r="AE7" s="87"/>
      <c r="AF7" s="87"/>
      <c r="AG7" s="87"/>
      <c r="AH7" s="87"/>
    </row>
    <row r="8" spans="1:34" ht="11.25">
      <c r="A8" s="58" t="s">
        <v>31</v>
      </c>
      <c r="C8" s="84">
        <v>0</v>
      </c>
      <c r="D8" s="84">
        <v>0</v>
      </c>
      <c r="E8" s="84">
        <v>0</v>
      </c>
      <c r="F8" s="84">
        <v>0</v>
      </c>
      <c r="G8" s="84">
        <v>0</v>
      </c>
      <c r="H8" s="84">
        <v>0</v>
      </c>
      <c r="I8" s="84">
        <v>0</v>
      </c>
      <c r="J8" s="84">
        <v>0</v>
      </c>
      <c r="K8" s="84">
        <v>0</v>
      </c>
      <c r="L8" s="84">
        <v>0</v>
      </c>
      <c r="M8" s="84">
        <v>0</v>
      </c>
      <c r="N8" s="84">
        <v>0</v>
      </c>
      <c r="W8" s="59"/>
      <c r="AC8" s="87"/>
      <c r="AD8" s="87"/>
      <c r="AE8" s="87"/>
      <c r="AF8" s="87"/>
      <c r="AG8" s="87"/>
      <c r="AH8" s="87"/>
    </row>
    <row r="9" spans="1:34" ht="11.25">
      <c r="A9" s="58" t="s">
        <v>32</v>
      </c>
      <c r="C9" s="85">
        <f aca="true" t="shared" si="1" ref="C9:N9">+C7*C8</f>
        <v>0</v>
      </c>
      <c r="D9" s="85">
        <f t="shared" si="1"/>
        <v>0</v>
      </c>
      <c r="E9" s="85">
        <f t="shared" si="1"/>
        <v>0</v>
      </c>
      <c r="F9" s="85">
        <f t="shared" si="1"/>
        <v>0</v>
      </c>
      <c r="G9" s="85">
        <f t="shared" si="1"/>
        <v>0</v>
      </c>
      <c r="H9" s="85">
        <f t="shared" si="1"/>
        <v>0</v>
      </c>
      <c r="I9" s="85">
        <f t="shared" si="1"/>
        <v>0</v>
      </c>
      <c r="J9" s="85">
        <f t="shared" si="1"/>
        <v>0</v>
      </c>
      <c r="K9" s="85">
        <f t="shared" si="1"/>
        <v>0</v>
      </c>
      <c r="L9" s="85">
        <f t="shared" si="1"/>
        <v>0</v>
      </c>
      <c r="M9" s="85">
        <f t="shared" si="1"/>
        <v>0</v>
      </c>
      <c r="N9" s="85">
        <f t="shared" si="1"/>
        <v>0</v>
      </c>
      <c r="W9" s="59"/>
      <c r="AC9" s="87"/>
      <c r="AD9" s="87"/>
      <c r="AE9" s="87"/>
      <c r="AF9" s="87"/>
      <c r="AG9" s="87"/>
      <c r="AH9" s="87"/>
    </row>
    <row r="10" spans="1:34" ht="11.25">
      <c r="A10" s="76" t="s">
        <v>33</v>
      </c>
      <c r="C10" s="86">
        <f aca="true" t="shared" si="2" ref="C10:N10">+C7-C9</f>
        <v>605.12</v>
      </c>
      <c r="D10" s="86">
        <f t="shared" si="2"/>
        <v>645.7</v>
      </c>
      <c r="E10" s="86">
        <f t="shared" si="2"/>
        <v>631.08</v>
      </c>
      <c r="F10" s="86">
        <f t="shared" si="2"/>
        <v>646.12</v>
      </c>
      <c r="G10" s="86">
        <f t="shared" si="2"/>
        <v>585.7199999999999</v>
      </c>
      <c r="H10" s="86">
        <f t="shared" si="2"/>
        <v>539.56</v>
      </c>
      <c r="I10" s="86">
        <f t="shared" si="2"/>
        <v>647.51</v>
      </c>
      <c r="J10" s="86">
        <f t="shared" si="2"/>
        <v>510.65000000000003</v>
      </c>
      <c r="K10" s="86">
        <f t="shared" si="2"/>
        <v>734.91</v>
      </c>
      <c r="L10" s="86">
        <f t="shared" si="2"/>
        <v>546.72</v>
      </c>
      <c r="M10" s="86">
        <f t="shared" si="2"/>
        <v>637.2099999999999</v>
      </c>
      <c r="N10" s="86">
        <f t="shared" si="2"/>
        <v>560.4699999999999</v>
      </c>
      <c r="W10" s="59"/>
      <c r="AC10" s="87"/>
      <c r="AD10" s="87"/>
      <c r="AE10" s="87"/>
      <c r="AF10" s="87"/>
      <c r="AG10" s="87"/>
      <c r="AH10" s="87"/>
    </row>
    <row r="11" spans="23:34" ht="11.25">
      <c r="W11" s="59"/>
      <c r="AC11" s="87"/>
      <c r="AD11" s="87"/>
      <c r="AE11" s="87"/>
      <c r="AF11" s="87"/>
      <c r="AG11" s="87"/>
      <c r="AH11" s="87"/>
    </row>
    <row r="12" spans="1:34" ht="11.25">
      <c r="A12" s="76" t="s">
        <v>34</v>
      </c>
      <c r="W12" s="59"/>
      <c r="AC12" s="87"/>
      <c r="AD12" s="87"/>
      <c r="AE12" s="87"/>
      <c r="AF12" s="87"/>
      <c r="AG12" s="87"/>
      <c r="AH12" s="87"/>
    </row>
    <row r="13" spans="2:28" s="87" customFormat="1" ht="11.25">
      <c r="B13" s="87" t="s">
        <v>20</v>
      </c>
      <c r="C13" s="88">
        <v>0</v>
      </c>
      <c r="D13" s="88">
        <f>+C13</f>
        <v>0</v>
      </c>
      <c r="E13" s="88">
        <v>0</v>
      </c>
      <c r="F13" s="88">
        <f aca="true" t="shared" si="3" ref="F13:M13">+E13</f>
        <v>0</v>
      </c>
      <c r="G13" s="88">
        <f t="shared" si="3"/>
        <v>0</v>
      </c>
      <c r="H13" s="88">
        <f t="shared" si="3"/>
        <v>0</v>
      </c>
      <c r="I13" s="88">
        <f t="shared" si="3"/>
        <v>0</v>
      </c>
      <c r="J13" s="88">
        <f t="shared" si="3"/>
        <v>0</v>
      </c>
      <c r="K13" s="88">
        <v>0</v>
      </c>
      <c r="L13" s="88">
        <f t="shared" si="3"/>
        <v>0</v>
      </c>
      <c r="M13" s="88">
        <f t="shared" si="3"/>
        <v>0</v>
      </c>
      <c r="N13" s="88">
        <v>0</v>
      </c>
      <c r="P13" s="120"/>
      <c r="W13" s="59"/>
      <c r="X13" s="58"/>
      <c r="Y13" s="58"/>
      <c r="Z13" s="58"/>
      <c r="AA13" s="58"/>
      <c r="AB13" s="58"/>
    </row>
    <row r="14" spans="2:28" s="87" customFormat="1" ht="11.25">
      <c r="B14" s="87" t="s">
        <v>24</v>
      </c>
      <c r="C14" s="88">
        <v>0.2453</v>
      </c>
      <c r="D14" s="88">
        <f aca="true" t="shared" si="4" ref="D14:N23">+C14</f>
        <v>0.2453</v>
      </c>
      <c r="E14" s="88">
        <v>0.2529</v>
      </c>
      <c r="F14" s="88">
        <f t="shared" si="4"/>
        <v>0.2529</v>
      </c>
      <c r="G14" s="88">
        <f t="shared" si="4"/>
        <v>0.2529</v>
      </c>
      <c r="H14" s="88">
        <f t="shared" si="4"/>
        <v>0.2529</v>
      </c>
      <c r="I14" s="88">
        <f t="shared" si="4"/>
        <v>0.2529</v>
      </c>
      <c r="J14" s="88">
        <f t="shared" si="4"/>
        <v>0.2529</v>
      </c>
      <c r="K14" s="88">
        <v>0.261</v>
      </c>
      <c r="L14" s="88">
        <f t="shared" si="4"/>
        <v>0.261</v>
      </c>
      <c r="M14" s="88">
        <f t="shared" si="4"/>
        <v>0.261</v>
      </c>
      <c r="N14" s="88">
        <f t="shared" si="4"/>
        <v>0.261</v>
      </c>
      <c r="P14" s="120"/>
      <c r="W14" s="59"/>
      <c r="X14" s="58"/>
      <c r="Y14" s="58"/>
      <c r="Z14" s="58"/>
      <c r="AA14" s="58"/>
      <c r="AB14" s="58"/>
    </row>
    <row r="15" spans="2:28" s="87" customFormat="1" ht="11.25">
      <c r="B15" s="87" t="s">
        <v>35</v>
      </c>
      <c r="C15" s="88">
        <v>0</v>
      </c>
      <c r="D15" s="88">
        <f t="shared" si="4"/>
        <v>0</v>
      </c>
      <c r="E15" s="88">
        <v>0</v>
      </c>
      <c r="F15" s="88">
        <f t="shared" si="4"/>
        <v>0</v>
      </c>
      <c r="G15" s="88">
        <f t="shared" si="4"/>
        <v>0</v>
      </c>
      <c r="H15" s="88">
        <f t="shared" si="4"/>
        <v>0</v>
      </c>
      <c r="I15" s="88">
        <f t="shared" si="4"/>
        <v>0</v>
      </c>
      <c r="J15" s="88">
        <f t="shared" si="4"/>
        <v>0</v>
      </c>
      <c r="K15" s="88">
        <v>0</v>
      </c>
      <c r="L15" s="88">
        <f t="shared" si="4"/>
        <v>0</v>
      </c>
      <c r="M15" s="88">
        <f t="shared" si="4"/>
        <v>0</v>
      </c>
      <c r="N15" s="88">
        <f t="shared" si="4"/>
        <v>0</v>
      </c>
      <c r="P15" s="120"/>
      <c r="W15" s="59"/>
      <c r="X15" s="58"/>
      <c r="Y15" s="58"/>
      <c r="Z15" s="58"/>
      <c r="AA15" s="58"/>
      <c r="AB15" s="58"/>
    </row>
    <row r="16" spans="2:28" s="87" customFormat="1" ht="11.25">
      <c r="B16" s="87" t="s">
        <v>36</v>
      </c>
      <c r="C16" s="88">
        <v>0.0141</v>
      </c>
      <c r="D16" s="88">
        <f t="shared" si="4"/>
        <v>0.0141</v>
      </c>
      <c r="E16" s="88">
        <v>0.0152</v>
      </c>
      <c r="F16" s="88">
        <f t="shared" si="4"/>
        <v>0.0152</v>
      </c>
      <c r="G16" s="88">
        <f t="shared" si="4"/>
        <v>0.0152</v>
      </c>
      <c r="H16" s="88">
        <f t="shared" si="4"/>
        <v>0.0152</v>
      </c>
      <c r="I16" s="88">
        <f t="shared" si="4"/>
        <v>0.0152</v>
      </c>
      <c r="J16" s="88">
        <f t="shared" si="4"/>
        <v>0.0152</v>
      </c>
      <c r="K16" s="88">
        <v>0.0147</v>
      </c>
      <c r="L16" s="88">
        <f t="shared" si="4"/>
        <v>0.0147</v>
      </c>
      <c r="M16" s="88">
        <f t="shared" si="4"/>
        <v>0.0147</v>
      </c>
      <c r="N16" s="88">
        <f t="shared" si="4"/>
        <v>0.0147</v>
      </c>
      <c r="P16" s="120"/>
      <c r="W16" s="59"/>
      <c r="X16" s="58"/>
      <c r="Y16" s="58"/>
      <c r="Z16" s="58"/>
      <c r="AA16" s="58"/>
      <c r="AB16" s="58"/>
    </row>
    <row r="17" spans="2:28" s="87" customFormat="1" ht="11.25">
      <c r="B17" s="87" t="s">
        <v>37</v>
      </c>
      <c r="C17" s="88">
        <v>0.0358</v>
      </c>
      <c r="D17" s="88">
        <f t="shared" si="4"/>
        <v>0.0358</v>
      </c>
      <c r="E17" s="88">
        <v>0.0455</v>
      </c>
      <c r="F17" s="88">
        <f t="shared" si="4"/>
        <v>0.0455</v>
      </c>
      <c r="G17" s="88">
        <f t="shared" si="4"/>
        <v>0.0455</v>
      </c>
      <c r="H17" s="88">
        <f t="shared" si="4"/>
        <v>0.0455</v>
      </c>
      <c r="I17" s="88">
        <f t="shared" si="4"/>
        <v>0.0455</v>
      </c>
      <c r="J17" s="88">
        <f t="shared" si="4"/>
        <v>0.0455</v>
      </c>
      <c r="K17" s="88">
        <v>0.0492</v>
      </c>
      <c r="L17" s="88">
        <f t="shared" si="4"/>
        <v>0.0492</v>
      </c>
      <c r="M17" s="88">
        <f t="shared" si="4"/>
        <v>0.0492</v>
      </c>
      <c r="N17" s="88">
        <f t="shared" si="4"/>
        <v>0.0492</v>
      </c>
      <c r="P17" s="120"/>
      <c r="W17" s="59"/>
      <c r="X17" s="58"/>
      <c r="Y17" s="58"/>
      <c r="Z17" s="58"/>
      <c r="AA17" s="58"/>
      <c r="AB17" s="58"/>
    </row>
    <row r="18" spans="2:28" s="87" customFormat="1" ht="11.25">
      <c r="B18" s="87" t="s">
        <v>38</v>
      </c>
      <c r="C18" s="88">
        <v>0.0163</v>
      </c>
      <c r="D18" s="88">
        <f t="shared" si="4"/>
        <v>0.0163</v>
      </c>
      <c r="E18" s="88">
        <v>0.0176</v>
      </c>
      <c r="F18" s="88">
        <f t="shared" si="4"/>
        <v>0.0176</v>
      </c>
      <c r="G18" s="88">
        <f t="shared" si="4"/>
        <v>0.0176</v>
      </c>
      <c r="H18" s="88">
        <f t="shared" si="4"/>
        <v>0.0176</v>
      </c>
      <c r="I18" s="88">
        <f t="shared" si="4"/>
        <v>0.0176</v>
      </c>
      <c r="J18" s="88">
        <f t="shared" si="4"/>
        <v>0.0176</v>
      </c>
      <c r="K18" s="88">
        <v>0.0178</v>
      </c>
      <c r="L18" s="88">
        <f t="shared" si="4"/>
        <v>0.0178</v>
      </c>
      <c r="M18" s="88">
        <f t="shared" si="4"/>
        <v>0.0178</v>
      </c>
      <c r="N18" s="88">
        <f t="shared" si="4"/>
        <v>0.0178</v>
      </c>
      <c r="P18" s="120"/>
      <c r="W18" s="59"/>
      <c r="X18" s="58"/>
      <c r="Y18" s="58"/>
      <c r="Z18" s="58"/>
      <c r="AA18" s="58"/>
      <c r="AB18" s="58"/>
    </row>
    <row r="19" spans="2:16" s="87" customFormat="1" ht="11.25">
      <c r="B19" s="58" t="s">
        <v>39</v>
      </c>
      <c r="C19" s="88">
        <v>0.0021</v>
      </c>
      <c r="D19" s="88">
        <f t="shared" si="4"/>
        <v>0.0021</v>
      </c>
      <c r="E19" s="88">
        <v>0.0021</v>
      </c>
      <c r="F19" s="88">
        <f t="shared" si="4"/>
        <v>0.0021</v>
      </c>
      <c r="G19" s="88">
        <f t="shared" si="4"/>
        <v>0.0021</v>
      </c>
      <c r="H19" s="88">
        <f t="shared" si="4"/>
        <v>0.0021</v>
      </c>
      <c r="I19" s="88">
        <f t="shared" si="4"/>
        <v>0.0021</v>
      </c>
      <c r="J19" s="88">
        <f t="shared" si="4"/>
        <v>0.0021</v>
      </c>
      <c r="K19" s="88">
        <v>0.0019</v>
      </c>
      <c r="L19" s="88">
        <f t="shared" si="4"/>
        <v>0.0019</v>
      </c>
      <c r="M19" s="88">
        <f t="shared" si="4"/>
        <v>0.0019</v>
      </c>
      <c r="N19" s="88">
        <f t="shared" si="4"/>
        <v>0.0019</v>
      </c>
      <c r="P19" s="120"/>
    </row>
    <row r="20" spans="2:16" s="87" customFormat="1" ht="11.25">
      <c r="B20" s="58" t="s">
        <v>18</v>
      </c>
      <c r="C20" s="88">
        <v>0.124</v>
      </c>
      <c r="D20" s="88">
        <f t="shared" si="4"/>
        <v>0.124</v>
      </c>
      <c r="E20" s="88">
        <v>0.1671</v>
      </c>
      <c r="F20" s="88">
        <f t="shared" si="4"/>
        <v>0.1671</v>
      </c>
      <c r="G20" s="88">
        <f t="shared" si="4"/>
        <v>0.1671</v>
      </c>
      <c r="H20" s="88">
        <f t="shared" si="4"/>
        <v>0.1671</v>
      </c>
      <c r="I20" s="88">
        <f t="shared" si="4"/>
        <v>0.1671</v>
      </c>
      <c r="J20" s="88">
        <f t="shared" si="4"/>
        <v>0.1671</v>
      </c>
      <c r="K20" s="88">
        <v>0.1775</v>
      </c>
      <c r="L20" s="88">
        <f t="shared" si="4"/>
        <v>0.1775</v>
      </c>
      <c r="M20" s="88">
        <f t="shared" si="4"/>
        <v>0.1775</v>
      </c>
      <c r="N20" s="88">
        <f t="shared" si="4"/>
        <v>0.1775</v>
      </c>
      <c r="P20" s="120"/>
    </row>
    <row r="21" spans="2:16" s="87" customFormat="1" ht="11.25">
      <c r="B21" s="58" t="s">
        <v>75</v>
      </c>
      <c r="C21" s="88">
        <v>0</v>
      </c>
      <c r="D21" s="88">
        <f t="shared" si="4"/>
        <v>0</v>
      </c>
      <c r="E21" s="88">
        <v>0</v>
      </c>
      <c r="F21" s="88">
        <f t="shared" si="4"/>
        <v>0</v>
      </c>
      <c r="G21" s="88">
        <f t="shared" si="4"/>
        <v>0</v>
      </c>
      <c r="H21" s="88">
        <f t="shared" si="4"/>
        <v>0</v>
      </c>
      <c r="I21" s="88">
        <f t="shared" si="4"/>
        <v>0</v>
      </c>
      <c r="J21" s="88">
        <f t="shared" si="4"/>
        <v>0</v>
      </c>
      <c r="K21" s="88">
        <v>0</v>
      </c>
      <c r="L21" s="88">
        <f t="shared" si="4"/>
        <v>0</v>
      </c>
      <c r="M21" s="88">
        <f t="shared" si="4"/>
        <v>0</v>
      </c>
      <c r="N21" s="88">
        <f t="shared" si="4"/>
        <v>0</v>
      </c>
      <c r="P21" s="120"/>
    </row>
    <row r="22" spans="2:16" s="87" customFormat="1" ht="11.25">
      <c r="B22" s="87" t="s">
        <v>40</v>
      </c>
      <c r="C22" s="88">
        <v>0.2395</v>
      </c>
      <c r="D22" s="88">
        <f t="shared" si="4"/>
        <v>0.2395</v>
      </c>
      <c r="E22" s="88">
        <v>0.1505</v>
      </c>
      <c r="F22" s="88">
        <f t="shared" si="4"/>
        <v>0.1505</v>
      </c>
      <c r="G22" s="88">
        <f t="shared" si="4"/>
        <v>0.1505</v>
      </c>
      <c r="H22" s="88">
        <f t="shared" si="4"/>
        <v>0.1505</v>
      </c>
      <c r="I22" s="88">
        <f t="shared" si="4"/>
        <v>0.1505</v>
      </c>
      <c r="J22" s="88">
        <f t="shared" si="4"/>
        <v>0.1505</v>
      </c>
      <c r="K22" s="88">
        <v>0.1469</v>
      </c>
      <c r="L22" s="88">
        <f t="shared" si="4"/>
        <v>0.1469</v>
      </c>
      <c r="M22" s="88">
        <f t="shared" si="4"/>
        <v>0.1469</v>
      </c>
      <c r="N22" s="88">
        <f t="shared" si="4"/>
        <v>0.1469</v>
      </c>
      <c r="P22" s="120"/>
    </row>
    <row r="23" spans="2:16" s="87" customFormat="1" ht="11.25">
      <c r="B23" s="87" t="s">
        <v>41</v>
      </c>
      <c r="C23" s="89">
        <v>0.3229</v>
      </c>
      <c r="D23" s="88">
        <f t="shared" si="4"/>
        <v>0.3229</v>
      </c>
      <c r="E23" s="88">
        <v>0.3491</v>
      </c>
      <c r="F23" s="88">
        <f t="shared" si="4"/>
        <v>0.3491</v>
      </c>
      <c r="G23" s="88">
        <f t="shared" si="4"/>
        <v>0.3491</v>
      </c>
      <c r="H23" s="88">
        <f t="shared" si="4"/>
        <v>0.3491</v>
      </c>
      <c r="I23" s="88">
        <f t="shared" si="4"/>
        <v>0.3491</v>
      </c>
      <c r="J23" s="88">
        <f t="shared" si="4"/>
        <v>0.3491</v>
      </c>
      <c r="K23" s="88">
        <v>0.331</v>
      </c>
      <c r="L23" s="88">
        <f t="shared" si="4"/>
        <v>0.331</v>
      </c>
      <c r="M23" s="88">
        <f t="shared" si="4"/>
        <v>0.331</v>
      </c>
      <c r="N23" s="88">
        <f t="shared" si="4"/>
        <v>0.331</v>
      </c>
      <c r="P23" s="120"/>
    </row>
    <row r="24" spans="3:16" ht="11.25">
      <c r="C24" s="90">
        <v>1</v>
      </c>
      <c r="D24" s="90">
        <v>1</v>
      </c>
      <c r="E24" s="90">
        <v>1</v>
      </c>
      <c r="F24" s="90">
        <v>1</v>
      </c>
      <c r="G24" s="90">
        <v>1</v>
      </c>
      <c r="H24" s="90">
        <v>1</v>
      </c>
      <c r="I24" s="90">
        <v>1</v>
      </c>
      <c r="J24" s="90">
        <v>1</v>
      </c>
      <c r="K24" s="90">
        <v>1</v>
      </c>
      <c r="L24" s="90">
        <v>1</v>
      </c>
      <c r="M24" s="90">
        <v>1</v>
      </c>
      <c r="N24" s="90">
        <v>1</v>
      </c>
      <c r="P24" s="120"/>
    </row>
    <row r="26" ht="11.25">
      <c r="A26" s="76" t="s">
        <v>42</v>
      </c>
    </row>
    <row r="27" spans="2:14" ht="11.25">
      <c r="B27" s="58" t="s">
        <v>20</v>
      </c>
      <c r="C27" s="68">
        <f aca="true" t="shared" si="5" ref="C27:N27">+C$10*C13</f>
        <v>0</v>
      </c>
      <c r="D27" s="68">
        <f t="shared" si="5"/>
        <v>0</v>
      </c>
      <c r="E27" s="68">
        <f t="shared" si="5"/>
        <v>0</v>
      </c>
      <c r="F27" s="68">
        <f t="shared" si="5"/>
        <v>0</v>
      </c>
      <c r="G27" s="68">
        <f t="shared" si="5"/>
        <v>0</v>
      </c>
      <c r="H27" s="68">
        <f t="shared" si="5"/>
        <v>0</v>
      </c>
      <c r="I27" s="68">
        <f t="shared" si="5"/>
        <v>0</v>
      </c>
      <c r="J27" s="68">
        <f t="shared" si="5"/>
        <v>0</v>
      </c>
      <c r="K27" s="68">
        <f t="shared" si="5"/>
        <v>0</v>
      </c>
      <c r="L27" s="68">
        <f t="shared" si="5"/>
        <v>0</v>
      </c>
      <c r="M27" s="68">
        <f t="shared" si="5"/>
        <v>0</v>
      </c>
      <c r="N27" s="68">
        <f t="shared" si="5"/>
        <v>0</v>
      </c>
    </row>
    <row r="28" spans="2:14" ht="11.25">
      <c r="B28" s="58" t="s">
        <v>24</v>
      </c>
      <c r="C28" s="68">
        <f aca="true" t="shared" si="6" ref="C28:N28">+C$10*C14</f>
        <v>148.435936</v>
      </c>
      <c r="D28" s="68">
        <f t="shared" si="6"/>
        <v>158.39021</v>
      </c>
      <c r="E28" s="68">
        <f t="shared" si="6"/>
        <v>159.60013200000003</v>
      </c>
      <c r="F28" s="68">
        <f t="shared" si="6"/>
        <v>163.403748</v>
      </c>
      <c r="G28" s="68">
        <f t="shared" si="6"/>
        <v>148.12858799999998</v>
      </c>
      <c r="H28" s="68">
        <f t="shared" si="6"/>
        <v>136.454724</v>
      </c>
      <c r="I28" s="68">
        <f t="shared" si="6"/>
        <v>163.755279</v>
      </c>
      <c r="J28" s="68">
        <f t="shared" si="6"/>
        <v>129.14338500000002</v>
      </c>
      <c r="K28" s="68">
        <f t="shared" si="6"/>
        <v>191.81151</v>
      </c>
      <c r="L28" s="68">
        <f t="shared" si="6"/>
        <v>142.69392000000002</v>
      </c>
      <c r="M28" s="68">
        <f t="shared" si="6"/>
        <v>166.31180999999998</v>
      </c>
      <c r="N28" s="68">
        <f t="shared" si="6"/>
        <v>146.28267</v>
      </c>
    </row>
    <row r="29" spans="2:14" ht="11.25">
      <c r="B29" s="58" t="s">
        <v>35</v>
      </c>
      <c r="C29" s="68">
        <f aca="true" t="shared" si="7" ref="C29:N29">+C$10*C15</f>
        <v>0</v>
      </c>
      <c r="D29" s="68">
        <f t="shared" si="7"/>
        <v>0</v>
      </c>
      <c r="E29" s="68">
        <f t="shared" si="7"/>
        <v>0</v>
      </c>
      <c r="F29" s="68">
        <f t="shared" si="7"/>
        <v>0</v>
      </c>
      <c r="G29" s="68">
        <f t="shared" si="7"/>
        <v>0</v>
      </c>
      <c r="H29" s="68">
        <f t="shared" si="7"/>
        <v>0</v>
      </c>
      <c r="I29" s="68">
        <f t="shared" si="7"/>
        <v>0</v>
      </c>
      <c r="J29" s="68">
        <f t="shared" si="7"/>
        <v>0</v>
      </c>
      <c r="K29" s="68">
        <f t="shared" si="7"/>
        <v>0</v>
      </c>
      <c r="L29" s="68">
        <f t="shared" si="7"/>
        <v>0</v>
      </c>
      <c r="M29" s="68">
        <f t="shared" si="7"/>
        <v>0</v>
      </c>
      <c r="N29" s="68">
        <f t="shared" si="7"/>
        <v>0</v>
      </c>
    </row>
    <row r="30" spans="2:14" ht="11.25">
      <c r="B30" s="58" t="s">
        <v>36</v>
      </c>
      <c r="C30" s="68">
        <f aca="true" t="shared" si="8" ref="C30:N30">+C$10*C16</f>
        <v>8.532192</v>
      </c>
      <c r="D30" s="68">
        <f t="shared" si="8"/>
        <v>9.104370000000001</v>
      </c>
      <c r="E30" s="68">
        <f t="shared" si="8"/>
        <v>9.592416</v>
      </c>
      <c r="F30" s="68">
        <f t="shared" si="8"/>
        <v>9.821024</v>
      </c>
      <c r="G30" s="68">
        <f t="shared" si="8"/>
        <v>8.902943999999998</v>
      </c>
      <c r="H30" s="68">
        <f t="shared" si="8"/>
        <v>8.201312</v>
      </c>
      <c r="I30" s="68">
        <f t="shared" si="8"/>
        <v>9.842152</v>
      </c>
      <c r="J30" s="68">
        <f t="shared" si="8"/>
        <v>7.761880000000001</v>
      </c>
      <c r="K30" s="68">
        <f t="shared" si="8"/>
        <v>10.803177</v>
      </c>
      <c r="L30" s="68">
        <f t="shared" si="8"/>
        <v>8.036784</v>
      </c>
      <c r="M30" s="68">
        <f t="shared" si="8"/>
        <v>9.366986999999998</v>
      </c>
      <c r="N30" s="68">
        <f t="shared" si="8"/>
        <v>8.238908999999998</v>
      </c>
    </row>
    <row r="31" spans="2:14" ht="11.25">
      <c r="B31" s="58" t="s">
        <v>37</v>
      </c>
      <c r="C31" s="68">
        <f aca="true" t="shared" si="9" ref="C31:N31">+C$10*C17</f>
        <v>21.663296</v>
      </c>
      <c r="D31" s="68">
        <f t="shared" si="9"/>
        <v>23.11606</v>
      </c>
      <c r="E31" s="68">
        <f t="shared" si="9"/>
        <v>28.71414</v>
      </c>
      <c r="F31" s="68">
        <f t="shared" si="9"/>
        <v>29.39846</v>
      </c>
      <c r="G31" s="68">
        <f t="shared" si="9"/>
        <v>26.650259999999996</v>
      </c>
      <c r="H31" s="68">
        <f t="shared" si="9"/>
        <v>24.549979999999998</v>
      </c>
      <c r="I31" s="68">
        <f t="shared" si="9"/>
        <v>29.461705</v>
      </c>
      <c r="J31" s="68">
        <f t="shared" si="9"/>
        <v>23.234575</v>
      </c>
      <c r="K31" s="68">
        <f t="shared" si="9"/>
        <v>36.157572</v>
      </c>
      <c r="L31" s="68">
        <f t="shared" si="9"/>
        <v>26.898624</v>
      </c>
      <c r="M31" s="68">
        <f t="shared" si="9"/>
        <v>31.350731999999997</v>
      </c>
      <c r="N31" s="68">
        <f t="shared" si="9"/>
        <v>27.575123999999995</v>
      </c>
    </row>
    <row r="32" spans="2:14" ht="11.25">
      <c r="B32" s="58" t="s">
        <v>38</v>
      </c>
      <c r="C32" s="68">
        <f aca="true" t="shared" si="10" ref="C32:N32">+C$10*C18</f>
        <v>9.863456</v>
      </c>
      <c r="D32" s="68">
        <f t="shared" si="10"/>
        <v>10.52491</v>
      </c>
      <c r="E32" s="68">
        <f t="shared" si="10"/>
        <v>11.107008000000002</v>
      </c>
      <c r="F32" s="68">
        <f t="shared" si="10"/>
        <v>11.371712</v>
      </c>
      <c r="G32" s="68">
        <f t="shared" si="10"/>
        <v>10.308672</v>
      </c>
      <c r="H32" s="68">
        <f t="shared" si="10"/>
        <v>9.496255999999999</v>
      </c>
      <c r="I32" s="68">
        <f t="shared" si="10"/>
        <v>11.396176</v>
      </c>
      <c r="J32" s="68">
        <f t="shared" si="10"/>
        <v>8.987440000000001</v>
      </c>
      <c r="K32" s="68">
        <f t="shared" si="10"/>
        <v>13.081398</v>
      </c>
      <c r="L32" s="68">
        <f t="shared" si="10"/>
        <v>9.731616</v>
      </c>
      <c r="M32" s="68">
        <f t="shared" si="10"/>
        <v>11.342337999999998</v>
      </c>
      <c r="N32" s="68">
        <f t="shared" si="10"/>
        <v>9.976365999999999</v>
      </c>
    </row>
    <row r="33" spans="2:14" ht="11.25">
      <c r="B33" s="58" t="s">
        <v>39</v>
      </c>
      <c r="C33" s="68">
        <f aca="true" t="shared" si="11" ref="C33:N33">+C$10*C19</f>
        <v>1.2707519999999999</v>
      </c>
      <c r="D33" s="68">
        <f t="shared" si="11"/>
        <v>1.3559700000000001</v>
      </c>
      <c r="E33" s="68">
        <f t="shared" si="11"/>
        <v>1.3252680000000001</v>
      </c>
      <c r="F33" s="68">
        <f t="shared" si="11"/>
        <v>1.356852</v>
      </c>
      <c r="G33" s="68">
        <f t="shared" si="11"/>
        <v>1.2300119999999997</v>
      </c>
      <c r="H33" s="68">
        <f t="shared" si="11"/>
        <v>1.1330759999999998</v>
      </c>
      <c r="I33" s="68">
        <f t="shared" si="11"/>
        <v>1.3597709999999998</v>
      </c>
      <c r="J33" s="68">
        <f t="shared" si="11"/>
        <v>1.072365</v>
      </c>
      <c r="K33" s="68">
        <f t="shared" si="11"/>
        <v>1.396329</v>
      </c>
      <c r="L33" s="68">
        <f t="shared" si="11"/>
        <v>1.0387680000000001</v>
      </c>
      <c r="M33" s="68">
        <f t="shared" si="11"/>
        <v>1.2106989999999997</v>
      </c>
      <c r="N33" s="68">
        <f t="shared" si="11"/>
        <v>1.0648929999999999</v>
      </c>
    </row>
    <row r="34" spans="2:14" ht="11.25">
      <c r="B34" s="58" t="s">
        <v>18</v>
      </c>
      <c r="C34" s="68">
        <f aca="true" t="shared" si="12" ref="C34:N34">+C$10*C20</f>
        <v>75.03488</v>
      </c>
      <c r="D34" s="68">
        <f t="shared" si="12"/>
        <v>80.0668</v>
      </c>
      <c r="E34" s="68">
        <f t="shared" si="12"/>
        <v>105.453468</v>
      </c>
      <c r="F34" s="68">
        <f t="shared" si="12"/>
        <v>107.966652</v>
      </c>
      <c r="G34" s="68">
        <f t="shared" si="12"/>
        <v>97.87381199999999</v>
      </c>
      <c r="H34" s="68">
        <f t="shared" si="12"/>
        <v>90.16047599999999</v>
      </c>
      <c r="I34" s="68">
        <f t="shared" si="12"/>
        <v>108.198921</v>
      </c>
      <c r="J34" s="68">
        <f t="shared" si="12"/>
        <v>85.329615</v>
      </c>
      <c r="K34" s="68">
        <f t="shared" si="12"/>
        <v>130.44652499999998</v>
      </c>
      <c r="L34" s="68">
        <f t="shared" si="12"/>
        <v>97.0428</v>
      </c>
      <c r="M34" s="68">
        <f t="shared" si="12"/>
        <v>113.10477499999998</v>
      </c>
      <c r="N34" s="68">
        <f t="shared" si="12"/>
        <v>99.48342499999998</v>
      </c>
    </row>
    <row r="35" spans="2:14" ht="11.25">
      <c r="B35" s="58" t="s">
        <v>75</v>
      </c>
      <c r="C35" s="68">
        <f aca="true" t="shared" si="13" ref="C35:N35">+C$10*C21</f>
        <v>0</v>
      </c>
      <c r="D35" s="68">
        <f t="shared" si="13"/>
        <v>0</v>
      </c>
      <c r="E35" s="68">
        <f t="shared" si="13"/>
        <v>0</v>
      </c>
      <c r="F35" s="68">
        <f t="shared" si="13"/>
        <v>0</v>
      </c>
      <c r="G35" s="68">
        <f t="shared" si="13"/>
        <v>0</v>
      </c>
      <c r="H35" s="68">
        <f t="shared" si="13"/>
        <v>0</v>
      </c>
      <c r="I35" s="68">
        <f t="shared" si="13"/>
        <v>0</v>
      </c>
      <c r="J35" s="68">
        <f t="shared" si="13"/>
        <v>0</v>
      </c>
      <c r="K35" s="68">
        <f t="shared" si="13"/>
        <v>0</v>
      </c>
      <c r="L35" s="68">
        <f t="shared" si="13"/>
        <v>0</v>
      </c>
      <c r="M35" s="68">
        <f t="shared" si="13"/>
        <v>0</v>
      </c>
      <c r="N35" s="68">
        <f t="shared" si="13"/>
        <v>0</v>
      </c>
    </row>
    <row r="36" spans="2:14" ht="11.25">
      <c r="B36" s="58" t="s">
        <v>40</v>
      </c>
      <c r="C36" s="68">
        <f aca="true" t="shared" si="14" ref="C36:N36">+C$10*C22</f>
        <v>144.92624</v>
      </c>
      <c r="D36" s="68">
        <f t="shared" si="14"/>
        <v>154.64515</v>
      </c>
      <c r="E36" s="68">
        <f t="shared" si="14"/>
        <v>94.97754</v>
      </c>
      <c r="F36" s="68">
        <f t="shared" si="14"/>
        <v>97.24106</v>
      </c>
      <c r="G36" s="68">
        <f t="shared" si="14"/>
        <v>88.15085999999998</v>
      </c>
      <c r="H36" s="68">
        <f t="shared" si="14"/>
        <v>81.20378</v>
      </c>
      <c r="I36" s="68">
        <f t="shared" si="14"/>
        <v>97.450255</v>
      </c>
      <c r="J36" s="68">
        <f t="shared" si="14"/>
        <v>76.852825</v>
      </c>
      <c r="K36" s="68">
        <f t="shared" si="14"/>
        <v>107.95827899999999</v>
      </c>
      <c r="L36" s="68">
        <f t="shared" si="14"/>
        <v>80.313168</v>
      </c>
      <c r="M36" s="68">
        <f t="shared" si="14"/>
        <v>93.60614899999999</v>
      </c>
      <c r="N36" s="68">
        <f t="shared" si="14"/>
        <v>82.33304299999999</v>
      </c>
    </row>
    <row r="37" spans="2:14" ht="11.25">
      <c r="B37" s="58" t="s">
        <v>41</v>
      </c>
      <c r="C37" s="85">
        <f aca="true" t="shared" si="15" ref="C37:N37">+C$10*C23</f>
        <v>195.393248</v>
      </c>
      <c r="D37" s="85">
        <f t="shared" si="15"/>
        <v>208.49653000000004</v>
      </c>
      <c r="E37" s="85">
        <f t="shared" si="15"/>
        <v>220.31002800000002</v>
      </c>
      <c r="F37" s="85">
        <f t="shared" si="15"/>
        <v>225.560492</v>
      </c>
      <c r="G37" s="85">
        <f t="shared" si="15"/>
        <v>204.47485199999997</v>
      </c>
      <c r="H37" s="85">
        <f t="shared" si="15"/>
        <v>188.36039599999998</v>
      </c>
      <c r="I37" s="85">
        <f t="shared" si="15"/>
        <v>226.04574100000002</v>
      </c>
      <c r="J37" s="85">
        <f t="shared" si="15"/>
        <v>178.26791500000002</v>
      </c>
      <c r="K37" s="85">
        <f t="shared" si="15"/>
        <v>243.25521</v>
      </c>
      <c r="L37" s="85">
        <f t="shared" si="15"/>
        <v>180.96432000000001</v>
      </c>
      <c r="M37" s="85">
        <f t="shared" si="15"/>
        <v>210.91651</v>
      </c>
      <c r="N37" s="85">
        <f t="shared" si="15"/>
        <v>185.51556999999997</v>
      </c>
    </row>
    <row r="38" spans="3:14" ht="11.25">
      <c r="C38" s="68">
        <f aca="true" t="shared" si="16" ref="C38:N38">SUM(C27:C37)</f>
        <v>605.12</v>
      </c>
      <c r="D38" s="68">
        <f t="shared" si="16"/>
        <v>645.7</v>
      </c>
      <c r="E38" s="68">
        <f t="shared" si="16"/>
        <v>631.08</v>
      </c>
      <c r="F38" s="68">
        <f t="shared" si="16"/>
        <v>646.12</v>
      </c>
      <c r="G38" s="68">
        <f t="shared" si="16"/>
        <v>585.7199999999999</v>
      </c>
      <c r="H38" s="68">
        <f t="shared" si="16"/>
        <v>539.56</v>
      </c>
      <c r="I38" s="68">
        <f>SUM(I27:I37)</f>
        <v>647.51</v>
      </c>
      <c r="J38" s="68">
        <f t="shared" si="16"/>
        <v>510.65000000000003</v>
      </c>
      <c r="K38" s="68">
        <f t="shared" si="16"/>
        <v>734.91</v>
      </c>
      <c r="L38" s="68">
        <f t="shared" si="16"/>
        <v>546.7200000000001</v>
      </c>
      <c r="M38" s="68">
        <f t="shared" si="16"/>
        <v>637.2099999999999</v>
      </c>
      <c r="N38" s="68">
        <f t="shared" si="16"/>
        <v>560.4699999999999</v>
      </c>
    </row>
    <row r="40" ht="11.25">
      <c r="A40" s="76" t="s">
        <v>43</v>
      </c>
    </row>
    <row r="41" spans="2:14" ht="11.25">
      <c r="B41" s="58" t="s">
        <v>20</v>
      </c>
      <c r="C41" s="91">
        <v>1</v>
      </c>
      <c r="D41" s="92">
        <v>1</v>
      </c>
      <c r="E41" s="92">
        <v>1</v>
      </c>
      <c r="F41" s="92">
        <v>1</v>
      </c>
      <c r="G41" s="92">
        <v>1</v>
      </c>
      <c r="H41" s="92">
        <v>1</v>
      </c>
      <c r="I41" s="92">
        <v>1</v>
      </c>
      <c r="J41" s="92">
        <v>1</v>
      </c>
      <c r="K41" s="92">
        <v>1</v>
      </c>
      <c r="L41" s="92">
        <v>1</v>
      </c>
      <c r="M41" s="92">
        <v>1</v>
      </c>
      <c r="N41" s="92">
        <v>1</v>
      </c>
    </row>
    <row r="42" spans="2:14" ht="11.25">
      <c r="B42" s="58" t="s">
        <v>24</v>
      </c>
      <c r="C42" s="91">
        <v>1</v>
      </c>
      <c r="D42" s="92">
        <v>1</v>
      </c>
      <c r="E42" s="92">
        <v>1</v>
      </c>
      <c r="F42" s="92">
        <v>1</v>
      </c>
      <c r="G42" s="92">
        <v>1</v>
      </c>
      <c r="H42" s="92">
        <v>1</v>
      </c>
      <c r="I42" s="92">
        <v>1</v>
      </c>
      <c r="J42" s="92">
        <v>1</v>
      </c>
      <c r="K42" s="92">
        <v>1</v>
      </c>
      <c r="L42" s="92">
        <v>1</v>
      </c>
      <c r="M42" s="92">
        <v>1</v>
      </c>
      <c r="N42" s="92">
        <v>1</v>
      </c>
    </row>
    <row r="43" spans="2:14" ht="11.25">
      <c r="B43" s="58" t="s">
        <v>35</v>
      </c>
      <c r="C43" s="91">
        <v>1</v>
      </c>
      <c r="D43" s="92">
        <v>1</v>
      </c>
      <c r="E43" s="92">
        <v>1</v>
      </c>
      <c r="F43" s="92">
        <v>1</v>
      </c>
      <c r="G43" s="92">
        <v>1</v>
      </c>
      <c r="H43" s="92">
        <v>1</v>
      </c>
      <c r="I43" s="92">
        <v>1</v>
      </c>
      <c r="J43" s="92">
        <v>1</v>
      </c>
      <c r="K43" s="92">
        <v>1</v>
      </c>
      <c r="L43" s="92">
        <v>1</v>
      </c>
      <c r="M43" s="92">
        <v>1</v>
      </c>
      <c r="N43" s="92">
        <v>1</v>
      </c>
    </row>
    <row r="44" spans="2:14" ht="11.25">
      <c r="B44" s="58" t="s">
        <v>36</v>
      </c>
      <c r="C44" s="91">
        <v>1</v>
      </c>
      <c r="D44" s="92">
        <v>1</v>
      </c>
      <c r="E44" s="92">
        <v>1</v>
      </c>
      <c r="F44" s="92">
        <v>1</v>
      </c>
      <c r="G44" s="92">
        <v>1</v>
      </c>
      <c r="H44" s="92">
        <v>1</v>
      </c>
      <c r="I44" s="92">
        <v>1</v>
      </c>
      <c r="J44" s="92">
        <v>1</v>
      </c>
      <c r="K44" s="92">
        <v>1</v>
      </c>
      <c r="L44" s="92">
        <v>1</v>
      </c>
      <c r="M44" s="92">
        <v>1</v>
      </c>
      <c r="N44" s="92">
        <v>1</v>
      </c>
    </row>
    <row r="45" spans="2:14" ht="11.25">
      <c r="B45" s="58" t="s">
        <v>37</v>
      </c>
      <c r="C45" s="91">
        <v>1</v>
      </c>
      <c r="D45" s="92">
        <v>1</v>
      </c>
      <c r="E45" s="92">
        <v>1</v>
      </c>
      <c r="F45" s="92">
        <v>1</v>
      </c>
      <c r="G45" s="92">
        <v>1</v>
      </c>
      <c r="H45" s="92">
        <v>1</v>
      </c>
      <c r="I45" s="92">
        <v>1</v>
      </c>
      <c r="J45" s="92">
        <v>1</v>
      </c>
      <c r="K45" s="92">
        <v>1</v>
      </c>
      <c r="L45" s="92">
        <v>1</v>
      </c>
      <c r="M45" s="92">
        <v>1</v>
      </c>
      <c r="N45" s="92">
        <v>1</v>
      </c>
    </row>
    <row r="46" spans="2:14" ht="11.25">
      <c r="B46" s="58" t="s">
        <v>38</v>
      </c>
      <c r="C46" s="91">
        <v>1</v>
      </c>
      <c r="D46" s="92">
        <v>1</v>
      </c>
      <c r="E46" s="92">
        <v>1</v>
      </c>
      <c r="F46" s="92">
        <v>1</v>
      </c>
      <c r="G46" s="92">
        <v>1</v>
      </c>
      <c r="H46" s="92">
        <v>1</v>
      </c>
      <c r="I46" s="92">
        <v>1</v>
      </c>
      <c r="J46" s="92">
        <v>1</v>
      </c>
      <c r="K46" s="92">
        <v>1</v>
      </c>
      <c r="L46" s="92">
        <v>1</v>
      </c>
      <c r="M46" s="92">
        <v>1</v>
      </c>
      <c r="N46" s="92">
        <v>1</v>
      </c>
    </row>
    <row r="47" spans="2:14" ht="11.25">
      <c r="B47" s="58" t="s">
        <v>39</v>
      </c>
      <c r="C47" s="91">
        <v>1</v>
      </c>
      <c r="D47" s="92">
        <v>1</v>
      </c>
      <c r="E47" s="92">
        <v>1</v>
      </c>
      <c r="F47" s="92">
        <v>1</v>
      </c>
      <c r="G47" s="92">
        <v>1</v>
      </c>
      <c r="H47" s="92">
        <v>1</v>
      </c>
      <c r="I47" s="92">
        <v>1</v>
      </c>
      <c r="J47" s="92">
        <v>1</v>
      </c>
      <c r="K47" s="92">
        <v>1</v>
      </c>
      <c r="L47" s="92">
        <v>1</v>
      </c>
      <c r="M47" s="92">
        <v>1</v>
      </c>
      <c r="N47" s="92">
        <v>1</v>
      </c>
    </row>
    <row r="48" spans="2:14" ht="11.25">
      <c r="B48" s="58" t="s">
        <v>18</v>
      </c>
      <c r="C48" s="91">
        <v>1</v>
      </c>
      <c r="D48" s="92">
        <v>1</v>
      </c>
      <c r="E48" s="92">
        <v>1</v>
      </c>
      <c r="F48" s="92">
        <v>1</v>
      </c>
      <c r="G48" s="92">
        <v>1</v>
      </c>
      <c r="H48" s="92">
        <v>1</v>
      </c>
      <c r="I48" s="92">
        <v>1</v>
      </c>
      <c r="J48" s="92">
        <v>1</v>
      </c>
      <c r="K48" s="92">
        <v>1</v>
      </c>
      <c r="L48" s="92">
        <v>1</v>
      </c>
      <c r="M48" s="92">
        <v>1</v>
      </c>
      <c r="N48" s="92">
        <v>1</v>
      </c>
    </row>
    <row r="49" spans="2:14" ht="11.25">
      <c r="B49" s="58" t="s">
        <v>75</v>
      </c>
      <c r="C49" s="91">
        <v>1</v>
      </c>
      <c r="D49" s="92">
        <v>1</v>
      </c>
      <c r="E49" s="92">
        <v>1</v>
      </c>
      <c r="F49" s="92">
        <v>1</v>
      </c>
      <c r="G49" s="92">
        <v>1</v>
      </c>
      <c r="H49" s="92">
        <v>1</v>
      </c>
      <c r="I49" s="92">
        <v>1</v>
      </c>
      <c r="J49" s="92">
        <v>1</v>
      </c>
      <c r="K49" s="92">
        <v>1</v>
      </c>
      <c r="L49" s="92">
        <v>1</v>
      </c>
      <c r="M49" s="92">
        <v>1</v>
      </c>
      <c r="N49" s="92">
        <v>1</v>
      </c>
    </row>
    <row r="50" spans="2:18" ht="12.75">
      <c r="B50" s="58" t="s">
        <v>40</v>
      </c>
      <c r="C50" s="91">
        <v>1</v>
      </c>
      <c r="D50" s="92">
        <v>1</v>
      </c>
      <c r="E50" s="92">
        <v>1</v>
      </c>
      <c r="F50" s="92">
        <v>1</v>
      </c>
      <c r="G50" s="92">
        <v>1</v>
      </c>
      <c r="H50" s="92">
        <v>1</v>
      </c>
      <c r="I50" s="92">
        <v>1</v>
      </c>
      <c r="J50" s="92">
        <v>1</v>
      </c>
      <c r="K50" s="92">
        <v>1</v>
      </c>
      <c r="L50" s="92">
        <v>1</v>
      </c>
      <c r="M50" s="92">
        <v>1</v>
      </c>
      <c r="N50" s="92">
        <v>1</v>
      </c>
      <c r="R50" s="130"/>
    </row>
    <row r="51" spans="3:18" ht="14.25" customHeight="1">
      <c r="C51" s="90"/>
      <c r="D51" s="92"/>
      <c r="E51" s="92"/>
      <c r="F51" s="92"/>
      <c r="G51" s="92"/>
      <c r="H51" s="92"/>
      <c r="I51" s="92"/>
      <c r="J51" s="92"/>
      <c r="K51" s="92"/>
      <c r="L51" s="92"/>
      <c r="M51" s="92"/>
      <c r="N51" s="92"/>
      <c r="P51" s="102"/>
      <c r="R51" s="130"/>
    </row>
    <row r="52" spans="1:18" ht="12.75">
      <c r="A52" s="58" t="s">
        <v>41</v>
      </c>
      <c r="C52" s="90">
        <f>+C65/C37</f>
        <v>0.9999999999999999</v>
      </c>
      <c r="D52" s="92">
        <v>1</v>
      </c>
      <c r="E52" s="92">
        <v>1</v>
      </c>
      <c r="F52" s="92">
        <v>1</v>
      </c>
      <c r="G52" s="92">
        <v>1</v>
      </c>
      <c r="H52" s="92">
        <v>1</v>
      </c>
      <c r="I52" s="92">
        <v>1</v>
      </c>
      <c r="J52" s="92">
        <v>1</v>
      </c>
      <c r="K52" s="92">
        <v>1</v>
      </c>
      <c r="L52" s="92">
        <v>1</v>
      </c>
      <c r="M52" s="92">
        <v>1</v>
      </c>
      <c r="N52" s="92">
        <v>1</v>
      </c>
      <c r="P52" s="51"/>
      <c r="R52" s="130"/>
    </row>
    <row r="53" spans="12:18" ht="12.75">
      <c r="L53" s="90"/>
      <c r="N53" s="92"/>
      <c r="P53" s="51"/>
      <c r="Q53" s="102"/>
      <c r="R53" s="130"/>
    </row>
    <row r="54" spans="1:18" ht="12.75">
      <c r="A54" s="76" t="s">
        <v>44</v>
      </c>
      <c r="L54" s="90"/>
      <c r="N54" s="92"/>
      <c r="P54" s="51"/>
      <c r="Q54" s="130"/>
      <c r="R54" s="130"/>
    </row>
    <row r="55" spans="2:18" ht="12.75">
      <c r="B55" s="58" t="s">
        <v>20</v>
      </c>
      <c r="C55" s="68">
        <f aca="true" t="shared" si="17" ref="C55:N55">+C27*C41</f>
        <v>0</v>
      </c>
      <c r="D55" s="68">
        <f t="shared" si="17"/>
        <v>0</v>
      </c>
      <c r="E55" s="68">
        <f t="shared" si="17"/>
        <v>0</v>
      </c>
      <c r="F55" s="68">
        <f t="shared" si="17"/>
        <v>0</v>
      </c>
      <c r="G55" s="68">
        <f t="shared" si="17"/>
        <v>0</v>
      </c>
      <c r="H55" s="68">
        <f t="shared" si="17"/>
        <v>0</v>
      </c>
      <c r="I55" s="68">
        <f>+I27*I41</f>
        <v>0</v>
      </c>
      <c r="J55" s="68">
        <f t="shared" si="17"/>
        <v>0</v>
      </c>
      <c r="K55" s="68">
        <f t="shared" si="17"/>
        <v>0</v>
      </c>
      <c r="L55" s="68">
        <f t="shared" si="17"/>
        <v>0</v>
      </c>
      <c r="M55" s="68">
        <f t="shared" si="17"/>
        <v>0</v>
      </c>
      <c r="N55" s="68">
        <f t="shared" si="17"/>
        <v>0</v>
      </c>
      <c r="P55" s="51"/>
      <c r="Q55" s="130"/>
      <c r="R55" s="130"/>
    </row>
    <row r="56" spans="2:18" ht="12.75">
      <c r="B56" s="58" t="s">
        <v>24</v>
      </c>
      <c r="C56" s="68">
        <f aca="true" t="shared" si="18" ref="C56:N56">+C28*C42</f>
        <v>148.435936</v>
      </c>
      <c r="D56" s="68">
        <f t="shared" si="18"/>
        <v>158.39021</v>
      </c>
      <c r="E56" s="68">
        <f t="shared" si="18"/>
        <v>159.60013200000003</v>
      </c>
      <c r="F56" s="68">
        <f t="shared" si="18"/>
        <v>163.403748</v>
      </c>
      <c r="G56" s="68">
        <f t="shared" si="18"/>
        <v>148.12858799999998</v>
      </c>
      <c r="H56" s="68">
        <f t="shared" si="18"/>
        <v>136.454724</v>
      </c>
      <c r="I56" s="68">
        <f>+I28*I42</f>
        <v>163.755279</v>
      </c>
      <c r="J56" s="68">
        <f t="shared" si="18"/>
        <v>129.14338500000002</v>
      </c>
      <c r="K56" s="68">
        <f t="shared" si="18"/>
        <v>191.81151</v>
      </c>
      <c r="L56" s="68">
        <f t="shared" si="18"/>
        <v>142.69392000000002</v>
      </c>
      <c r="M56" s="68">
        <f t="shared" si="18"/>
        <v>166.31180999999998</v>
      </c>
      <c r="N56" s="68">
        <f t="shared" si="18"/>
        <v>146.28267</v>
      </c>
      <c r="P56" s="51"/>
      <c r="Q56" s="130"/>
      <c r="R56" s="130"/>
    </row>
    <row r="57" spans="2:18" ht="12.75">
      <c r="B57" s="58" t="s">
        <v>35</v>
      </c>
      <c r="C57" s="68">
        <f aca="true" t="shared" si="19" ref="C57:N57">+C29*C43</f>
        <v>0</v>
      </c>
      <c r="D57" s="68">
        <f t="shared" si="19"/>
        <v>0</v>
      </c>
      <c r="E57" s="68">
        <f t="shared" si="19"/>
        <v>0</v>
      </c>
      <c r="F57" s="68">
        <f t="shared" si="19"/>
        <v>0</v>
      </c>
      <c r="G57" s="68">
        <f t="shared" si="19"/>
        <v>0</v>
      </c>
      <c r="H57" s="68">
        <f t="shared" si="19"/>
        <v>0</v>
      </c>
      <c r="I57" s="68">
        <f t="shared" si="19"/>
        <v>0</v>
      </c>
      <c r="J57" s="68">
        <f t="shared" si="19"/>
        <v>0</v>
      </c>
      <c r="K57" s="68">
        <f t="shared" si="19"/>
        <v>0</v>
      </c>
      <c r="L57" s="68">
        <f t="shared" si="19"/>
        <v>0</v>
      </c>
      <c r="M57" s="68">
        <f t="shared" si="19"/>
        <v>0</v>
      </c>
      <c r="N57" s="68">
        <f t="shared" si="19"/>
        <v>0</v>
      </c>
      <c r="P57" s="51"/>
      <c r="Q57" s="130"/>
      <c r="R57" s="130"/>
    </row>
    <row r="58" spans="2:17" ht="12.75">
      <c r="B58" s="58" t="s">
        <v>36</v>
      </c>
      <c r="C58" s="68">
        <f aca="true" t="shared" si="20" ref="C58:N58">+C30*C44</f>
        <v>8.532192</v>
      </c>
      <c r="D58" s="68">
        <f t="shared" si="20"/>
        <v>9.104370000000001</v>
      </c>
      <c r="E58" s="68">
        <f t="shared" si="20"/>
        <v>9.592416</v>
      </c>
      <c r="F58" s="68">
        <f t="shared" si="20"/>
        <v>9.821024</v>
      </c>
      <c r="G58" s="68">
        <f t="shared" si="20"/>
        <v>8.902943999999998</v>
      </c>
      <c r="H58" s="68">
        <f t="shared" si="20"/>
        <v>8.201312</v>
      </c>
      <c r="I58" s="68">
        <f t="shared" si="20"/>
        <v>9.842152</v>
      </c>
      <c r="J58" s="68">
        <f t="shared" si="20"/>
        <v>7.761880000000001</v>
      </c>
      <c r="K58" s="68">
        <f t="shared" si="20"/>
        <v>10.803177</v>
      </c>
      <c r="L58" s="68">
        <f t="shared" si="20"/>
        <v>8.036784</v>
      </c>
      <c r="M58" s="68">
        <f t="shared" si="20"/>
        <v>9.366986999999998</v>
      </c>
      <c r="N58" s="68">
        <f t="shared" si="20"/>
        <v>8.238908999999998</v>
      </c>
      <c r="P58" s="51"/>
      <c r="Q58" s="130"/>
    </row>
    <row r="59" spans="2:17" ht="12.75">
      <c r="B59" s="58" t="s">
        <v>37</v>
      </c>
      <c r="C59" s="68">
        <f aca="true" t="shared" si="21" ref="C59:N59">+C31*C45</f>
        <v>21.663296</v>
      </c>
      <c r="D59" s="68">
        <f t="shared" si="21"/>
        <v>23.11606</v>
      </c>
      <c r="E59" s="68">
        <f t="shared" si="21"/>
        <v>28.71414</v>
      </c>
      <c r="F59" s="68">
        <f t="shared" si="21"/>
        <v>29.39846</v>
      </c>
      <c r="G59" s="68">
        <f t="shared" si="21"/>
        <v>26.650259999999996</v>
      </c>
      <c r="H59" s="68">
        <f t="shared" si="21"/>
        <v>24.549979999999998</v>
      </c>
      <c r="I59" s="68">
        <f>+I31*I45</f>
        <v>29.461705</v>
      </c>
      <c r="J59" s="68">
        <f t="shared" si="21"/>
        <v>23.234575</v>
      </c>
      <c r="K59" s="68">
        <f t="shared" si="21"/>
        <v>36.157572</v>
      </c>
      <c r="L59" s="68">
        <f t="shared" si="21"/>
        <v>26.898624</v>
      </c>
      <c r="M59" s="68">
        <f t="shared" si="21"/>
        <v>31.350731999999997</v>
      </c>
      <c r="N59" s="68">
        <f t="shared" si="21"/>
        <v>27.575123999999995</v>
      </c>
      <c r="P59" s="51"/>
      <c r="Q59" s="130"/>
    </row>
    <row r="60" spans="2:17" ht="12.75">
      <c r="B60" s="58" t="s">
        <v>38</v>
      </c>
      <c r="C60" s="93">
        <f aca="true" t="shared" si="22" ref="C60:N60">+C32*C46</f>
        <v>9.863456</v>
      </c>
      <c r="D60" s="93">
        <f t="shared" si="22"/>
        <v>10.52491</v>
      </c>
      <c r="E60" s="93">
        <f t="shared" si="22"/>
        <v>11.107008000000002</v>
      </c>
      <c r="F60" s="93">
        <f t="shared" si="22"/>
        <v>11.371712</v>
      </c>
      <c r="G60" s="93">
        <f t="shared" si="22"/>
        <v>10.308672</v>
      </c>
      <c r="H60" s="93">
        <f t="shared" si="22"/>
        <v>9.496255999999999</v>
      </c>
      <c r="I60" s="93">
        <f>+I32*I46</f>
        <v>11.396176</v>
      </c>
      <c r="J60" s="93">
        <f t="shared" si="22"/>
        <v>8.987440000000001</v>
      </c>
      <c r="K60" s="93">
        <f t="shared" si="22"/>
        <v>13.081398</v>
      </c>
      <c r="L60" s="93">
        <f t="shared" si="22"/>
        <v>9.731616</v>
      </c>
      <c r="M60" s="93">
        <f t="shared" si="22"/>
        <v>11.342337999999998</v>
      </c>
      <c r="N60" s="93">
        <f t="shared" si="22"/>
        <v>9.976365999999999</v>
      </c>
      <c r="P60" s="51"/>
      <c r="Q60" s="130"/>
    </row>
    <row r="61" spans="2:17" ht="12.75">
      <c r="B61" s="58" t="s">
        <v>39</v>
      </c>
      <c r="C61" s="68">
        <f aca="true" t="shared" si="23" ref="C61:N61">+C33*C47</f>
        <v>1.2707519999999999</v>
      </c>
      <c r="D61" s="68">
        <f t="shared" si="23"/>
        <v>1.3559700000000001</v>
      </c>
      <c r="E61" s="68">
        <f t="shared" si="23"/>
        <v>1.3252680000000001</v>
      </c>
      <c r="F61" s="68">
        <f t="shared" si="23"/>
        <v>1.356852</v>
      </c>
      <c r="G61" s="68">
        <f t="shared" si="23"/>
        <v>1.2300119999999997</v>
      </c>
      <c r="H61" s="68">
        <f t="shared" si="23"/>
        <v>1.1330759999999998</v>
      </c>
      <c r="I61" s="68">
        <f t="shared" si="23"/>
        <v>1.3597709999999998</v>
      </c>
      <c r="J61" s="68">
        <f t="shared" si="23"/>
        <v>1.072365</v>
      </c>
      <c r="K61" s="68">
        <f t="shared" si="23"/>
        <v>1.396329</v>
      </c>
      <c r="L61" s="68">
        <f t="shared" si="23"/>
        <v>1.0387680000000001</v>
      </c>
      <c r="M61" s="68">
        <f t="shared" si="23"/>
        <v>1.2106989999999997</v>
      </c>
      <c r="N61" s="68">
        <f t="shared" si="23"/>
        <v>1.0648929999999999</v>
      </c>
      <c r="P61" s="51"/>
      <c r="Q61" s="130"/>
    </row>
    <row r="62" spans="2:14" ht="11.25">
      <c r="B62" s="58" t="s">
        <v>32</v>
      </c>
      <c r="C62" s="68">
        <f aca="true" t="shared" si="24" ref="C62:N62">+C34*C48</f>
        <v>75.03488</v>
      </c>
      <c r="D62" s="68">
        <f t="shared" si="24"/>
        <v>80.0668</v>
      </c>
      <c r="E62" s="68">
        <f t="shared" si="24"/>
        <v>105.453468</v>
      </c>
      <c r="F62" s="68">
        <f t="shared" si="24"/>
        <v>107.966652</v>
      </c>
      <c r="G62" s="68">
        <f t="shared" si="24"/>
        <v>97.87381199999999</v>
      </c>
      <c r="H62" s="68">
        <f t="shared" si="24"/>
        <v>90.16047599999999</v>
      </c>
      <c r="I62" s="68">
        <f t="shared" si="24"/>
        <v>108.198921</v>
      </c>
      <c r="J62" s="68">
        <f t="shared" si="24"/>
        <v>85.329615</v>
      </c>
      <c r="K62" s="68">
        <f t="shared" si="24"/>
        <v>130.44652499999998</v>
      </c>
      <c r="L62" s="68">
        <f t="shared" si="24"/>
        <v>97.0428</v>
      </c>
      <c r="M62" s="68">
        <f t="shared" si="24"/>
        <v>113.10477499999998</v>
      </c>
      <c r="N62" s="68">
        <f t="shared" si="24"/>
        <v>99.48342499999998</v>
      </c>
    </row>
    <row r="63" spans="2:14" ht="11.25">
      <c r="B63" s="58" t="s">
        <v>75</v>
      </c>
      <c r="C63" s="68">
        <f aca="true" t="shared" si="25" ref="C63:N63">+C35*C49</f>
        <v>0</v>
      </c>
      <c r="D63" s="68">
        <f t="shared" si="25"/>
        <v>0</v>
      </c>
      <c r="E63" s="68">
        <f t="shared" si="25"/>
        <v>0</v>
      </c>
      <c r="F63" s="68">
        <f t="shared" si="25"/>
        <v>0</v>
      </c>
      <c r="G63" s="68">
        <f t="shared" si="25"/>
        <v>0</v>
      </c>
      <c r="H63" s="68">
        <f t="shared" si="25"/>
        <v>0</v>
      </c>
      <c r="I63" s="68">
        <f t="shared" si="25"/>
        <v>0</v>
      </c>
      <c r="J63" s="68">
        <f t="shared" si="25"/>
        <v>0</v>
      </c>
      <c r="K63" s="68">
        <f t="shared" si="25"/>
        <v>0</v>
      </c>
      <c r="L63" s="68">
        <f t="shared" si="25"/>
        <v>0</v>
      </c>
      <c r="M63" s="68">
        <f t="shared" si="25"/>
        <v>0</v>
      </c>
      <c r="N63" s="68">
        <f t="shared" si="25"/>
        <v>0</v>
      </c>
    </row>
    <row r="64" spans="2:14" ht="11.25">
      <c r="B64" s="58" t="s">
        <v>40</v>
      </c>
      <c r="C64" s="68">
        <f aca="true" t="shared" si="26" ref="C64:N64">+C36*C50</f>
        <v>144.92624</v>
      </c>
      <c r="D64" s="68">
        <f t="shared" si="26"/>
        <v>154.64515</v>
      </c>
      <c r="E64" s="68">
        <f t="shared" si="26"/>
        <v>94.97754</v>
      </c>
      <c r="F64" s="68">
        <f t="shared" si="26"/>
        <v>97.24106</v>
      </c>
      <c r="G64" s="68">
        <f t="shared" si="26"/>
        <v>88.15085999999998</v>
      </c>
      <c r="H64" s="68">
        <f t="shared" si="26"/>
        <v>81.20378</v>
      </c>
      <c r="I64" s="68">
        <f t="shared" si="26"/>
        <v>97.450255</v>
      </c>
      <c r="J64" s="68">
        <f t="shared" si="26"/>
        <v>76.852825</v>
      </c>
      <c r="K64" s="68">
        <f t="shared" si="26"/>
        <v>107.95827899999999</v>
      </c>
      <c r="L64" s="68">
        <f t="shared" si="26"/>
        <v>80.313168</v>
      </c>
      <c r="M64" s="68">
        <f t="shared" si="26"/>
        <v>93.60614899999999</v>
      </c>
      <c r="N64" s="68">
        <f t="shared" si="26"/>
        <v>82.33304299999999</v>
      </c>
    </row>
    <row r="65" spans="2:14" ht="11.25">
      <c r="B65" s="58" t="s">
        <v>41</v>
      </c>
      <c r="C65" s="85">
        <f aca="true" t="shared" si="27" ref="C65:N65">+C7-SUM(C55:C64)</f>
        <v>195.39324799999997</v>
      </c>
      <c r="D65" s="85">
        <f t="shared" si="27"/>
        <v>208.49653000000006</v>
      </c>
      <c r="E65" s="85">
        <f t="shared" si="27"/>
        <v>220.310028</v>
      </c>
      <c r="F65" s="85">
        <f t="shared" si="27"/>
        <v>225.560492</v>
      </c>
      <c r="G65" s="85">
        <f t="shared" si="27"/>
        <v>204.474852</v>
      </c>
      <c r="H65" s="85">
        <f t="shared" si="27"/>
        <v>188.36039599999998</v>
      </c>
      <c r="I65" s="85">
        <f t="shared" si="27"/>
        <v>226.04574100000002</v>
      </c>
      <c r="J65" s="85">
        <f t="shared" si="27"/>
        <v>178.26791500000002</v>
      </c>
      <c r="K65" s="85">
        <f t="shared" si="27"/>
        <v>243.25520999999998</v>
      </c>
      <c r="L65" s="85">
        <f t="shared" si="27"/>
        <v>180.96431999999993</v>
      </c>
      <c r="M65" s="85">
        <f t="shared" si="27"/>
        <v>210.91651000000002</v>
      </c>
      <c r="N65" s="85">
        <f t="shared" si="27"/>
        <v>185.51556999999997</v>
      </c>
    </row>
    <row r="66" spans="3:14" ht="13.5" customHeight="1">
      <c r="C66" s="68">
        <f aca="true" t="shared" si="28" ref="C66:N66">SUM(C55:C65)</f>
        <v>605.12</v>
      </c>
      <c r="D66" s="68">
        <f t="shared" si="28"/>
        <v>645.7</v>
      </c>
      <c r="E66" s="68">
        <f t="shared" si="28"/>
        <v>631.08</v>
      </c>
      <c r="F66" s="68">
        <f t="shared" si="28"/>
        <v>646.12</v>
      </c>
      <c r="G66" s="68">
        <f t="shared" si="28"/>
        <v>585.7199999999999</v>
      </c>
      <c r="H66" s="68">
        <f t="shared" si="28"/>
        <v>539.56</v>
      </c>
      <c r="I66" s="68">
        <f t="shared" si="28"/>
        <v>647.51</v>
      </c>
      <c r="J66" s="68">
        <f t="shared" si="28"/>
        <v>510.65000000000003</v>
      </c>
      <c r="K66" s="68">
        <f t="shared" si="28"/>
        <v>734.91</v>
      </c>
      <c r="L66" s="68">
        <f t="shared" si="28"/>
        <v>546.72</v>
      </c>
      <c r="M66" s="68">
        <f t="shared" si="28"/>
        <v>637.2099999999999</v>
      </c>
      <c r="N66" s="68">
        <f t="shared" si="28"/>
        <v>560.4699999999999</v>
      </c>
    </row>
    <row r="67" spans="16:20" ht="9.75" customHeight="1">
      <c r="P67" s="127" t="s">
        <v>67</v>
      </c>
      <c r="S67" s="131" t="s">
        <v>61</v>
      </c>
      <c r="T67" s="61" t="s">
        <v>59</v>
      </c>
    </row>
    <row r="68" spans="1:21" ht="12.75">
      <c r="A68" s="94" t="s">
        <v>45</v>
      </c>
      <c r="P68" s="127" t="s">
        <v>65</v>
      </c>
      <c r="R68" s="58" t="s">
        <v>60</v>
      </c>
      <c r="S68" s="58" t="s">
        <v>70</v>
      </c>
      <c r="T68" s="121" t="str">
        <f>TEXT(C6,"mm/yy")&amp;" - "&amp;TEXT(N6,"mm/yy")</f>
        <v>05/21 - 04/22</v>
      </c>
      <c r="U68" s="58" t="s">
        <v>68</v>
      </c>
    </row>
    <row r="69" spans="2:21" ht="12">
      <c r="B69" s="58" t="s">
        <v>20</v>
      </c>
      <c r="C69" s="167">
        <v>0</v>
      </c>
      <c r="D69" s="167">
        <v>0</v>
      </c>
      <c r="E69" s="167">
        <v>0</v>
      </c>
      <c r="F69" s="167">
        <v>0</v>
      </c>
      <c r="G69" s="168">
        <v>0</v>
      </c>
      <c r="H69" s="168">
        <v>0</v>
      </c>
      <c r="I69" s="167">
        <v>0</v>
      </c>
      <c r="J69" s="167">
        <v>0</v>
      </c>
      <c r="K69" s="167">
        <v>0</v>
      </c>
      <c r="L69" s="169">
        <v>0</v>
      </c>
      <c r="M69" s="169">
        <v>0</v>
      </c>
      <c r="N69" s="167">
        <v>0</v>
      </c>
      <c r="P69" s="128">
        <f>AVERAGE(C69:N69)</f>
        <v>0</v>
      </c>
      <c r="R69" s="58" t="str">
        <f>+B69</f>
        <v>ONP</v>
      </c>
      <c r="S69" s="122">
        <f>'[8]Single Family'!$N$69*'[8]Single Family'!$N$13</f>
        <v>13.35789</v>
      </c>
      <c r="T69" s="123">
        <f>P69*N13</f>
        <v>0</v>
      </c>
      <c r="U69" s="99">
        <f>+T69-S69</f>
        <v>-13.35789</v>
      </c>
    </row>
    <row r="70" spans="2:21" ht="12">
      <c r="B70" s="58" t="s">
        <v>24</v>
      </c>
      <c r="C70" s="167">
        <v>131.504</v>
      </c>
      <c r="D70" s="167">
        <v>154.096</v>
      </c>
      <c r="E70" s="167">
        <v>142.168</v>
      </c>
      <c r="F70" s="167">
        <v>146.29600000000002</v>
      </c>
      <c r="G70" s="168">
        <v>153.20000000000002</v>
      </c>
      <c r="H70" s="168">
        <v>151.29600000000002</v>
      </c>
      <c r="I70" s="167">
        <v>129.08800000000002</v>
      </c>
      <c r="J70" s="167">
        <v>119.28</v>
      </c>
      <c r="K70" s="167">
        <v>83.224</v>
      </c>
      <c r="L70" s="167">
        <v>107.94400000000002</v>
      </c>
      <c r="M70" s="167">
        <v>104.48800000000001</v>
      </c>
      <c r="N70" s="167">
        <v>105.84000000000002</v>
      </c>
      <c r="P70" s="128">
        <f>AVERAGE(C70:N70)</f>
        <v>127.36866666666667</v>
      </c>
      <c r="R70" s="58" t="str">
        <f aca="true" t="shared" si="29" ref="R70:R79">+B70</f>
        <v>OCC</v>
      </c>
      <c r="S70" s="122">
        <f>'[8]Single Family'!$N$70*'[8]Single Family'!$N$14</f>
        <v>16.3958256</v>
      </c>
      <c r="T70" s="123">
        <f>P70*N14</f>
        <v>33.243222</v>
      </c>
      <c r="U70" s="99">
        <f aca="true" t="shared" si="30" ref="U70:U80">+T70-S70</f>
        <v>16.847396400000004</v>
      </c>
    </row>
    <row r="71" spans="2:21" ht="12">
      <c r="B71" s="58" t="s">
        <v>35</v>
      </c>
      <c r="C71" s="167">
        <v>0</v>
      </c>
      <c r="D71" s="167">
        <v>0</v>
      </c>
      <c r="E71" s="167">
        <v>0</v>
      </c>
      <c r="F71" s="167">
        <v>0</v>
      </c>
      <c r="G71" s="168">
        <v>0</v>
      </c>
      <c r="H71" s="168">
        <v>0</v>
      </c>
      <c r="I71" s="167">
        <v>0</v>
      </c>
      <c r="J71" s="167">
        <v>0</v>
      </c>
      <c r="K71" s="167">
        <v>0</v>
      </c>
      <c r="L71" s="167">
        <v>0</v>
      </c>
      <c r="M71" s="167">
        <v>0</v>
      </c>
      <c r="N71" s="167">
        <v>0</v>
      </c>
      <c r="P71" s="128">
        <f aca="true" t="shared" si="31" ref="P71:P79">AVERAGE(C71:N71)</f>
        <v>0</v>
      </c>
      <c r="R71" s="58" t="str">
        <f t="shared" si="29"/>
        <v>Magazines</v>
      </c>
      <c r="S71" s="122">
        <v>0</v>
      </c>
      <c r="T71" s="123">
        <f aca="true" t="shared" si="32" ref="T71:T79">P71*N15</f>
        <v>0</v>
      </c>
      <c r="U71" s="99">
        <f t="shared" si="30"/>
        <v>0</v>
      </c>
    </row>
    <row r="72" spans="2:21" ht="12">
      <c r="B72" s="58" t="s">
        <v>36</v>
      </c>
      <c r="C72" s="167">
        <v>176.12800000000001</v>
      </c>
      <c r="D72" s="167">
        <v>209.168</v>
      </c>
      <c r="E72" s="167">
        <v>189.88</v>
      </c>
      <c r="F72" s="167">
        <v>171.784</v>
      </c>
      <c r="G72" s="168">
        <v>154.28</v>
      </c>
      <c r="H72" s="168">
        <v>155.34400000000002</v>
      </c>
      <c r="I72" s="167">
        <v>160.656</v>
      </c>
      <c r="J72" s="167">
        <v>168.928</v>
      </c>
      <c r="K72" s="167">
        <v>112.04000000000002</v>
      </c>
      <c r="L72" s="167">
        <v>131.264</v>
      </c>
      <c r="M72" s="167">
        <v>134.504</v>
      </c>
      <c r="N72" s="167">
        <v>158.15200000000002</v>
      </c>
      <c r="P72" s="128">
        <f t="shared" si="31"/>
        <v>160.17733333333334</v>
      </c>
      <c r="R72" s="58" t="str">
        <f t="shared" si="29"/>
        <v>Tin</v>
      </c>
      <c r="S72" s="122">
        <f>'[8]Single Family'!$N$72*'[8]Single Family'!$N$16</f>
        <v>0.8831129999999999</v>
      </c>
      <c r="T72" s="123">
        <f t="shared" si="32"/>
        <v>2.3546068</v>
      </c>
      <c r="U72" s="99">
        <f t="shared" si="30"/>
        <v>1.4714938000000002</v>
      </c>
    </row>
    <row r="73" spans="2:21" ht="12">
      <c r="B73" s="58" t="s">
        <v>37</v>
      </c>
      <c r="C73" s="167">
        <v>299.3691620111732</v>
      </c>
      <c r="D73" s="167">
        <v>444.90221229050275</v>
      </c>
      <c r="E73" s="167">
        <v>363.43238681318684</v>
      </c>
      <c r="F73" s="167">
        <v>436.2276747252747</v>
      </c>
      <c r="G73" s="168">
        <v>382.0567384615385</v>
      </c>
      <c r="H73" s="168">
        <v>262.97128791208803</v>
      </c>
      <c r="I73" s="167">
        <v>275.3715692307693</v>
      </c>
      <c r="J73" s="167">
        <v>235.3165714285714</v>
      </c>
      <c r="K73" s="167">
        <v>150.52624390243903</v>
      </c>
      <c r="L73" s="167">
        <v>212.95260162601627</v>
      </c>
      <c r="M73" s="167">
        <v>268.1524552845529</v>
      </c>
      <c r="N73" s="167">
        <v>324.9494634146342</v>
      </c>
      <c r="P73" s="128">
        <f t="shared" si="31"/>
        <v>304.6856972583956</v>
      </c>
      <c r="R73" s="58" t="str">
        <f t="shared" si="29"/>
        <v>Plastic</v>
      </c>
      <c r="S73" s="122">
        <f>'[8]Single Family'!$N$73*'[8]Single Family'!$N$17</f>
        <v>4.613924000000001</v>
      </c>
      <c r="T73" s="123">
        <f t="shared" si="32"/>
        <v>14.990536305113062</v>
      </c>
      <c r="U73" s="99">
        <f t="shared" si="30"/>
        <v>10.376612305113062</v>
      </c>
    </row>
    <row r="74" spans="2:21" ht="12">
      <c r="B74" s="58" t="s">
        <v>38</v>
      </c>
      <c r="C74" s="167">
        <v>1189.808</v>
      </c>
      <c r="D74" s="167">
        <v>1217.48</v>
      </c>
      <c r="E74" s="167">
        <v>1261.632</v>
      </c>
      <c r="F74" s="167">
        <v>1291.592</v>
      </c>
      <c r="G74" s="168">
        <v>1399.968</v>
      </c>
      <c r="H74" s="168">
        <v>1432.5680000000002</v>
      </c>
      <c r="I74" s="167">
        <v>1208.28</v>
      </c>
      <c r="J74" s="167">
        <v>1267.616</v>
      </c>
      <c r="K74" s="167">
        <v>1508.5120000000002</v>
      </c>
      <c r="L74" s="167">
        <v>1715.4240000000002</v>
      </c>
      <c r="M74" s="167">
        <v>1859.6560000000002</v>
      </c>
      <c r="N74" s="167">
        <v>1816.8400000000001</v>
      </c>
      <c r="P74" s="128">
        <f t="shared" si="31"/>
        <v>1430.7813333333336</v>
      </c>
      <c r="R74" s="58" t="str">
        <f t="shared" si="29"/>
        <v>Aluminum</v>
      </c>
      <c r="S74" s="122">
        <f>'[8]Single Family'!$N$74*'[8]Single Family'!$N$18</f>
        <v>5.7225</v>
      </c>
      <c r="T74" s="123">
        <f t="shared" si="32"/>
        <v>25.467907733333337</v>
      </c>
      <c r="U74" s="99">
        <f t="shared" si="30"/>
        <v>19.745407733333337</v>
      </c>
    </row>
    <row r="75" spans="2:21" ht="12">
      <c r="B75" s="58" t="s">
        <v>39</v>
      </c>
      <c r="C75" s="167">
        <v>142.04000000000002</v>
      </c>
      <c r="D75" s="167">
        <v>165.69600000000003</v>
      </c>
      <c r="E75" s="167">
        <v>150.072</v>
      </c>
      <c r="F75" s="167">
        <v>138.856</v>
      </c>
      <c r="G75" s="168">
        <v>123.49600000000001</v>
      </c>
      <c r="H75" s="168">
        <v>135.408</v>
      </c>
      <c r="I75" s="167">
        <v>145.808</v>
      </c>
      <c r="J75" s="167">
        <v>152.824</v>
      </c>
      <c r="K75" s="167">
        <v>86.968</v>
      </c>
      <c r="L75" s="167">
        <v>107.78399999999999</v>
      </c>
      <c r="M75" s="167">
        <v>152.544</v>
      </c>
      <c r="N75" s="167">
        <v>185.48000000000002</v>
      </c>
      <c r="P75" s="128">
        <f t="shared" si="31"/>
        <v>140.58133333333336</v>
      </c>
      <c r="R75" s="58" t="str">
        <f t="shared" si="29"/>
        <v>Ferris Metal</v>
      </c>
      <c r="S75" s="122">
        <v>0</v>
      </c>
      <c r="T75" s="123">
        <f t="shared" si="32"/>
        <v>0.2671045333333334</v>
      </c>
      <c r="U75" s="99">
        <f t="shared" si="30"/>
        <v>0.2671045333333334</v>
      </c>
    </row>
    <row r="76" spans="2:21" ht="12">
      <c r="B76" s="58" t="s">
        <v>32</v>
      </c>
      <c r="C76" s="167">
        <v>-24.73</v>
      </c>
      <c r="D76" s="167">
        <v>-9.94</v>
      </c>
      <c r="E76" s="167">
        <v>-46.2</v>
      </c>
      <c r="F76" s="167">
        <v>-52.58</v>
      </c>
      <c r="G76" s="168">
        <v>-48.34</v>
      </c>
      <c r="H76" s="168">
        <v>-46.82</v>
      </c>
      <c r="I76" s="167">
        <v>-57.68</v>
      </c>
      <c r="J76" s="167">
        <v>-51.06</v>
      </c>
      <c r="K76" s="167">
        <v>-77.32</v>
      </c>
      <c r="L76" s="167">
        <v>-65.19</v>
      </c>
      <c r="M76" s="167">
        <v>-73.39</v>
      </c>
      <c r="N76" s="167">
        <v>-55.61</v>
      </c>
      <c r="P76" s="128">
        <f t="shared" si="31"/>
        <v>-50.73833333333334</v>
      </c>
      <c r="R76" s="58" t="str">
        <f t="shared" si="29"/>
        <v>Sorted Glass</v>
      </c>
      <c r="S76" s="122">
        <f>'[8]Single Family'!$N$76*'[8]Single Family'!$N$20</f>
        <v>-1.177488</v>
      </c>
      <c r="T76" s="123">
        <f t="shared" si="32"/>
        <v>-9.006054166666667</v>
      </c>
      <c r="U76" s="99">
        <f t="shared" si="30"/>
        <v>-7.828566166666667</v>
      </c>
    </row>
    <row r="77" spans="2:21" ht="12">
      <c r="B77" s="58" t="s">
        <v>75</v>
      </c>
      <c r="C77" s="169">
        <v>0</v>
      </c>
      <c r="D77" s="169">
        <v>0</v>
      </c>
      <c r="E77" s="169">
        <v>0</v>
      </c>
      <c r="F77" s="169">
        <v>0</v>
      </c>
      <c r="G77" s="170">
        <v>0</v>
      </c>
      <c r="H77" s="170">
        <v>0</v>
      </c>
      <c r="I77" s="169">
        <v>0</v>
      </c>
      <c r="J77" s="169">
        <v>0</v>
      </c>
      <c r="K77" s="169">
        <v>0</v>
      </c>
      <c r="L77" s="169">
        <v>0</v>
      </c>
      <c r="M77" s="169">
        <v>0</v>
      </c>
      <c r="N77" s="169">
        <v>0</v>
      </c>
      <c r="P77" s="128">
        <f t="shared" si="31"/>
        <v>0</v>
      </c>
      <c r="R77" s="58" t="str">
        <f t="shared" si="29"/>
        <v>Material Shrinkage</v>
      </c>
      <c r="S77" s="122">
        <f>'[2]Single Family'!$N$77*'[2]Single Family'!$N$21</f>
        <v>0</v>
      </c>
      <c r="T77" s="123">
        <f t="shared" si="32"/>
        <v>0</v>
      </c>
      <c r="U77" s="99">
        <f t="shared" si="30"/>
        <v>0</v>
      </c>
    </row>
    <row r="78" spans="2:21" ht="12">
      <c r="B78" s="58" t="s">
        <v>40</v>
      </c>
      <c r="C78" s="169">
        <v>-155.82</v>
      </c>
      <c r="D78" s="169">
        <v>-163.55</v>
      </c>
      <c r="E78" s="169">
        <v>-164.36</v>
      </c>
      <c r="F78" s="169">
        <v>-161.54</v>
      </c>
      <c r="G78" s="170">
        <v>-160.65</v>
      </c>
      <c r="H78" s="170">
        <v>-160.65</v>
      </c>
      <c r="I78" s="169">
        <v>-159.7</v>
      </c>
      <c r="J78" s="169">
        <v>-163.71</v>
      </c>
      <c r="K78" s="169">
        <v>-166.72</v>
      </c>
      <c r="L78" s="169">
        <v>-166.81</v>
      </c>
      <c r="M78" s="169">
        <v>-167.13</v>
      </c>
      <c r="N78" s="169">
        <v>-167.08</v>
      </c>
      <c r="P78" s="128">
        <f t="shared" si="31"/>
        <v>-163.14333333333332</v>
      </c>
      <c r="R78" s="58" t="str">
        <f t="shared" si="29"/>
        <v>Trash</v>
      </c>
      <c r="S78" s="122">
        <f>'[2]Single Family'!$N$78*'[2]Single Family'!$N$22</f>
        <v>-7.126081000000016</v>
      </c>
      <c r="T78" s="123">
        <f t="shared" si="32"/>
        <v>-23.965755666666663</v>
      </c>
      <c r="U78" s="99">
        <f t="shared" si="30"/>
        <v>-16.839674666666646</v>
      </c>
    </row>
    <row r="79" spans="2:21" ht="12.75" thickBot="1">
      <c r="B79" s="58" t="s">
        <v>41</v>
      </c>
      <c r="C79" s="167">
        <v>46.64</v>
      </c>
      <c r="D79" s="167">
        <v>64.08800000000001</v>
      </c>
      <c r="E79" s="167">
        <v>50.080000000000005</v>
      </c>
      <c r="F79" s="167">
        <v>57.176</v>
      </c>
      <c r="G79" s="168">
        <v>53.29600000000001</v>
      </c>
      <c r="H79" s="168">
        <v>60.592</v>
      </c>
      <c r="I79" s="167">
        <v>32.848000000000006</v>
      </c>
      <c r="J79" s="167">
        <v>-8.57</v>
      </c>
      <c r="K79" s="167">
        <v>-3.4</v>
      </c>
      <c r="L79" s="167">
        <v>-23.28</v>
      </c>
      <c r="M79" s="167">
        <v>-17.3</v>
      </c>
      <c r="N79" s="169">
        <v>-7.91</v>
      </c>
      <c r="O79" s="99">
        <f>SUM(C69:N79)</f>
        <v>23700.81236710074</v>
      </c>
      <c r="P79" s="128">
        <f t="shared" si="31"/>
        <v>25.355</v>
      </c>
      <c r="R79" s="58" t="str">
        <f t="shared" si="29"/>
        <v>Mixed Paper</v>
      </c>
      <c r="S79" s="122">
        <f>'[8]Single Family'!$N$79*'[8]Single Family'!$N$23</f>
        <v>20.604532199999998</v>
      </c>
      <c r="T79" s="123">
        <f t="shared" si="32"/>
        <v>8.392505</v>
      </c>
      <c r="U79" s="99">
        <f t="shared" si="30"/>
        <v>-12.212027199999998</v>
      </c>
    </row>
    <row r="80" spans="18:21" ht="11.25" customHeight="1" thickBot="1">
      <c r="R80" s="124" t="s">
        <v>62</v>
      </c>
      <c r="S80" s="125">
        <f>SUMPRODUCT('[8]Single Family'!$N$69:$N$79,'[8]Single Family'!$N$13:$N$23)</f>
        <v>53.27421579999998</v>
      </c>
      <c r="T80" s="126">
        <f>SUMPRODUCT(P69:P79,N13:N23)</f>
        <v>51.7440725384464</v>
      </c>
      <c r="U80" s="99">
        <f t="shared" si="30"/>
        <v>-1.530143261553576</v>
      </c>
    </row>
    <row r="81" spans="1:20" ht="11.25">
      <c r="A81" s="76" t="s">
        <v>46</v>
      </c>
      <c r="Q81" s="87"/>
      <c r="R81" s="87"/>
      <c r="S81" s="87"/>
      <c r="T81" s="87"/>
    </row>
    <row r="82" spans="2:20" ht="11.25">
      <c r="B82" s="58" t="s">
        <v>20</v>
      </c>
      <c r="C82" s="71">
        <f aca="true" t="shared" si="33" ref="C82:N82">+C69*C55</f>
        <v>0</v>
      </c>
      <c r="D82" s="68">
        <f t="shared" si="33"/>
        <v>0</v>
      </c>
      <c r="E82" s="68">
        <f t="shared" si="33"/>
        <v>0</v>
      </c>
      <c r="F82" s="68">
        <f t="shared" si="33"/>
        <v>0</v>
      </c>
      <c r="G82" s="68">
        <f t="shared" si="33"/>
        <v>0</v>
      </c>
      <c r="H82" s="68">
        <f aca="true" t="shared" si="34" ref="H82:H92">+H69*H55</f>
        <v>0</v>
      </c>
      <c r="I82" s="68">
        <f t="shared" si="33"/>
        <v>0</v>
      </c>
      <c r="J82" s="68">
        <f t="shared" si="33"/>
        <v>0</v>
      </c>
      <c r="K82" s="68">
        <f t="shared" si="33"/>
        <v>0</v>
      </c>
      <c r="L82" s="68">
        <f t="shared" si="33"/>
        <v>0</v>
      </c>
      <c r="M82" s="68">
        <f t="shared" si="33"/>
        <v>0</v>
      </c>
      <c r="N82" s="68">
        <f t="shared" si="33"/>
        <v>0</v>
      </c>
      <c r="Q82" s="87" t="s">
        <v>63</v>
      </c>
      <c r="R82" s="87"/>
      <c r="S82" s="87"/>
      <c r="T82" s="132">
        <f>+T80-S80</f>
        <v>-1.530143261553576</v>
      </c>
    </row>
    <row r="83" spans="2:20" ht="11.25">
      <c r="B83" s="58" t="s">
        <v>24</v>
      </c>
      <c r="C83" s="71">
        <f aca="true" t="shared" si="35" ref="C83:N83">+C70*C56</f>
        <v>19519.919327744</v>
      </c>
      <c r="D83" s="68">
        <f t="shared" si="35"/>
        <v>24407.29780016</v>
      </c>
      <c r="E83" s="68">
        <f t="shared" si="35"/>
        <v>22690.031566176007</v>
      </c>
      <c r="F83" s="68">
        <f t="shared" si="35"/>
        <v>23905.314717408004</v>
      </c>
      <c r="G83" s="68">
        <f t="shared" si="35"/>
        <v>22693.299681599998</v>
      </c>
      <c r="H83" s="68">
        <f t="shared" si="34"/>
        <v>20645.053922304003</v>
      </c>
      <c r="I83" s="68">
        <f t="shared" si="35"/>
        <v>21138.841455552003</v>
      </c>
      <c r="J83" s="68">
        <f>+J70*J56</f>
        <v>15404.222962800002</v>
      </c>
      <c r="K83" s="68">
        <f t="shared" si="35"/>
        <v>15963.321108240001</v>
      </c>
      <c r="L83" s="68">
        <f t="shared" si="35"/>
        <v>15402.952500480005</v>
      </c>
      <c r="M83" s="68">
        <f t="shared" si="35"/>
        <v>17377.58840328</v>
      </c>
      <c r="N83" s="68">
        <f t="shared" si="35"/>
        <v>15482.557792800002</v>
      </c>
      <c r="Q83" s="87" t="s">
        <v>69</v>
      </c>
      <c r="R83" s="87"/>
      <c r="S83" s="87"/>
      <c r="T83" s="133">
        <f>SUM(C7:N7,'[3]Multi_Family'!$C$7:$N$7,'[4]Single Family'!$C$7:$N$7,'[5]Multi_Family'!$C$7:$N$7,'[6]Single Family'!$C$7:$N$7,'[7]Multi_Family'!$C$7:$N$7)</f>
        <v>13558.479999999996</v>
      </c>
    </row>
    <row r="84" spans="2:20" ht="11.25">
      <c r="B84" s="58" t="s">
        <v>35</v>
      </c>
      <c r="C84" s="68">
        <f>+C71*C57</f>
        <v>0</v>
      </c>
      <c r="D84" s="68">
        <f>+D71*D57</f>
        <v>0</v>
      </c>
      <c r="E84" s="68" t="s">
        <v>66</v>
      </c>
      <c r="F84" s="68" t="s">
        <v>66</v>
      </c>
      <c r="G84" s="68" t="s">
        <v>66</v>
      </c>
      <c r="H84" s="68">
        <f t="shared" si="34"/>
        <v>0</v>
      </c>
      <c r="I84" s="68" t="s">
        <v>66</v>
      </c>
      <c r="J84" s="68" t="s">
        <v>66</v>
      </c>
      <c r="K84" s="68" t="s">
        <v>66</v>
      </c>
      <c r="L84" s="68" t="s">
        <v>66</v>
      </c>
      <c r="M84" s="68" t="s">
        <v>66</v>
      </c>
      <c r="N84" s="68" t="s">
        <v>66</v>
      </c>
      <c r="Q84" s="134" t="s">
        <v>71</v>
      </c>
      <c r="R84" s="134"/>
      <c r="S84" s="87"/>
      <c r="T84" s="136">
        <f>T83/8</f>
        <v>1694.8099999999995</v>
      </c>
    </row>
    <row r="85" spans="2:20" ht="11.25">
      <c r="B85" s="58" t="s">
        <v>36</v>
      </c>
      <c r="C85" s="71">
        <f aca="true" t="shared" si="36" ref="C85:N85">+C72*C58</f>
        <v>1502.757912576</v>
      </c>
      <c r="D85" s="68">
        <f t="shared" si="36"/>
        <v>1904.3428641600003</v>
      </c>
      <c r="E85" s="68">
        <f>+E72*E58</f>
        <v>1821.4079500799999</v>
      </c>
      <c r="F85" s="68">
        <f t="shared" si="36"/>
        <v>1687.094786816</v>
      </c>
      <c r="G85" s="68">
        <f t="shared" si="36"/>
        <v>1373.5462003199998</v>
      </c>
      <c r="H85" s="68">
        <f t="shared" si="34"/>
        <v>1274.0246113280002</v>
      </c>
      <c r="I85" s="68">
        <f t="shared" si="36"/>
        <v>1581.2007717120002</v>
      </c>
      <c r="J85" s="68">
        <f aca="true" t="shared" si="37" ref="J85:J92">+J72*J58</f>
        <v>1311.19886464</v>
      </c>
      <c r="K85" s="68">
        <f t="shared" si="36"/>
        <v>1210.3879510800002</v>
      </c>
      <c r="L85" s="68">
        <f t="shared" si="36"/>
        <v>1054.9404149760003</v>
      </c>
      <c r="M85" s="68">
        <f t="shared" si="36"/>
        <v>1259.8972194479998</v>
      </c>
      <c r="N85" s="68">
        <f t="shared" si="36"/>
        <v>1302.9999361679997</v>
      </c>
      <c r="Q85" s="87" t="s">
        <v>64</v>
      </c>
      <c r="R85" s="87"/>
      <c r="S85" s="87"/>
      <c r="T85" s="135">
        <f>+T82*T83</f>
        <v>-20746.41680890892</v>
      </c>
    </row>
    <row r="86" spans="2:20" ht="11.25">
      <c r="B86" s="58" t="s">
        <v>37</v>
      </c>
      <c r="C86" s="71">
        <f aca="true" t="shared" si="38" ref="C86:N86">+C73*C59</f>
        <v>6485.322769920001</v>
      </c>
      <c r="D86" s="68">
        <f t="shared" si="38"/>
        <v>10284.38623344</v>
      </c>
      <c r="E86" s="68">
        <f>+E73*E59</f>
        <v>10435.648435488001</v>
      </c>
      <c r="F86" s="68">
        <f t="shared" si="38"/>
        <v>12824.421846304</v>
      </c>
      <c r="G86" s="68">
        <f t="shared" si="38"/>
        <v>10181.911414752</v>
      </c>
      <c r="H86" s="68">
        <f t="shared" si="34"/>
        <v>6455.939858816002</v>
      </c>
      <c r="I86" s="68">
        <f t="shared" si="38"/>
        <v>8112.915938064001</v>
      </c>
      <c r="J86" s="68">
        <f t="shared" si="37"/>
        <v>5467.480527599999</v>
      </c>
      <c r="K86" s="68">
        <f t="shared" si="38"/>
        <v>5442.663501792001</v>
      </c>
      <c r="L86" s="68">
        <f t="shared" si="38"/>
        <v>5728.1319609600005</v>
      </c>
      <c r="M86" s="68">
        <f t="shared" si="38"/>
        <v>8406.775760768001</v>
      </c>
      <c r="N86" s="68">
        <f t="shared" si="38"/>
        <v>8960.521747392</v>
      </c>
      <c r="Q86" s="87"/>
      <c r="R86" s="87"/>
      <c r="S86" s="87"/>
      <c r="T86" s="87"/>
    </row>
    <row r="87" spans="2:14" ht="11.25">
      <c r="B87" s="58" t="s">
        <v>38</v>
      </c>
      <c r="C87" s="71">
        <f aca="true" t="shared" si="39" ref="C87:N87">+C74*C60</f>
        <v>11735.618856448</v>
      </c>
      <c r="D87" s="68">
        <f t="shared" si="39"/>
        <v>12813.867426800001</v>
      </c>
      <c r="E87" s="68">
        <f t="shared" si="39"/>
        <v>14012.956717056004</v>
      </c>
      <c r="F87" s="68">
        <f t="shared" si="39"/>
        <v>14687.612245504002</v>
      </c>
      <c r="G87" s="68">
        <f t="shared" si="39"/>
        <v>14431.810922496</v>
      </c>
      <c r="H87" s="68">
        <f t="shared" si="34"/>
        <v>13604.032465408</v>
      </c>
      <c r="I87" s="68">
        <f t="shared" si="39"/>
        <v>13769.771537280001</v>
      </c>
      <c r="J87" s="68">
        <f t="shared" si="37"/>
        <v>11392.622743040001</v>
      </c>
      <c r="K87" s="68">
        <f t="shared" si="39"/>
        <v>19733.445859776002</v>
      </c>
      <c r="L87" s="68">
        <f t="shared" si="39"/>
        <v>16693.847645184003</v>
      </c>
      <c r="M87" s="68">
        <f t="shared" si="39"/>
        <v>21092.846915727998</v>
      </c>
      <c r="N87" s="68">
        <f t="shared" si="39"/>
        <v>18125.46080344</v>
      </c>
    </row>
    <row r="88" spans="2:17" ht="11.25">
      <c r="B88" s="58" t="s">
        <v>39</v>
      </c>
      <c r="C88" s="71">
        <f>+C75*C61</f>
        <v>180.49761408</v>
      </c>
      <c r="D88" s="68">
        <f>+D75*D61</f>
        <v>224.67880512000005</v>
      </c>
      <c r="E88" s="68">
        <f>+E75*E61</f>
        <v>198.88561929600002</v>
      </c>
      <c r="F88" s="68">
        <f>+F75*F61</f>
        <v>188.407041312</v>
      </c>
      <c r="G88" s="68">
        <f>+G75*G61</f>
        <v>151.90156195199998</v>
      </c>
      <c r="H88" s="68">
        <f t="shared" si="34"/>
        <v>153.42755500799996</v>
      </c>
      <c r="I88" s="68">
        <f>+I75*I61</f>
        <v>198.26548996799997</v>
      </c>
      <c r="J88" s="68">
        <f t="shared" si="37"/>
        <v>163.88310876000003</v>
      </c>
      <c r="K88" s="68">
        <f>+K75*K61</f>
        <v>121.435940472</v>
      </c>
      <c r="L88" s="68">
        <f>+L75*L61</f>
        <v>111.96257011200001</v>
      </c>
      <c r="M88" s="68">
        <f>+M75*M61</f>
        <v>184.684868256</v>
      </c>
      <c r="N88" s="68">
        <f>+N75*N61</f>
        <v>197.51635364</v>
      </c>
      <c r="P88" s="102"/>
      <c r="Q88" s="102"/>
    </row>
    <row r="89" spans="2:19" ht="12.75">
      <c r="B89" s="58" t="s">
        <v>32</v>
      </c>
      <c r="C89" s="71">
        <f aca="true" t="shared" si="40" ref="C89:N89">+C76*C62</f>
        <v>-1855.6125824</v>
      </c>
      <c r="D89" s="68">
        <f t="shared" si="40"/>
        <v>-795.8639919999999</v>
      </c>
      <c r="E89" s="68">
        <f t="shared" si="40"/>
        <v>-4871.9502216</v>
      </c>
      <c r="F89" s="68">
        <f t="shared" si="40"/>
        <v>-5676.88656216</v>
      </c>
      <c r="G89" s="68">
        <f t="shared" si="40"/>
        <v>-4731.22007208</v>
      </c>
      <c r="H89" s="68">
        <f t="shared" si="34"/>
        <v>-4221.313486319999</v>
      </c>
      <c r="I89" s="68">
        <f t="shared" si="40"/>
        <v>-6240.91376328</v>
      </c>
      <c r="J89" s="68">
        <f t="shared" si="37"/>
        <v>-4356.9301419</v>
      </c>
      <c r="K89" s="68">
        <f t="shared" si="40"/>
        <v>-10086.125312999997</v>
      </c>
      <c r="L89" s="68">
        <f t="shared" si="40"/>
        <v>-6326.2201319999995</v>
      </c>
      <c r="M89" s="68">
        <f t="shared" si="40"/>
        <v>-8300.759437249999</v>
      </c>
      <c r="N89" s="68">
        <f t="shared" si="40"/>
        <v>-5532.273264249999</v>
      </c>
      <c r="P89" s="51"/>
      <c r="Q89" s="102"/>
      <c r="R89" s="102"/>
      <c r="S89" s="102"/>
    </row>
    <row r="90" spans="2:19" ht="12.75">
      <c r="B90" s="58" t="s">
        <v>75</v>
      </c>
      <c r="C90" s="71">
        <f aca="true" t="shared" si="41" ref="C90:N90">+C77*C63</f>
        <v>0</v>
      </c>
      <c r="D90" s="68">
        <f t="shared" si="41"/>
        <v>0</v>
      </c>
      <c r="E90" s="68">
        <f t="shared" si="41"/>
        <v>0</v>
      </c>
      <c r="F90" s="68">
        <f t="shared" si="41"/>
        <v>0</v>
      </c>
      <c r="G90" s="68">
        <f t="shared" si="41"/>
        <v>0</v>
      </c>
      <c r="H90" s="68">
        <f t="shared" si="34"/>
        <v>0</v>
      </c>
      <c r="I90" s="68">
        <f t="shared" si="41"/>
        <v>0</v>
      </c>
      <c r="J90" s="68">
        <f t="shared" si="37"/>
        <v>0</v>
      </c>
      <c r="K90" s="68">
        <f t="shared" si="41"/>
        <v>0</v>
      </c>
      <c r="L90" s="68">
        <f t="shared" si="41"/>
        <v>0</v>
      </c>
      <c r="M90" s="68">
        <f t="shared" si="41"/>
        <v>0</v>
      </c>
      <c r="N90" s="68">
        <f t="shared" si="41"/>
        <v>0</v>
      </c>
      <c r="P90" s="51"/>
      <c r="Q90" s="102"/>
      <c r="R90" s="51"/>
      <c r="S90" s="102"/>
    </row>
    <row r="91" spans="2:19" ht="12.75">
      <c r="B91" s="58" t="s">
        <v>40</v>
      </c>
      <c r="C91" s="71">
        <f aca="true" t="shared" si="42" ref="C91:N91">+C78*C64</f>
        <v>-22582.4067168</v>
      </c>
      <c r="D91" s="68">
        <f t="shared" si="42"/>
        <v>-25292.2142825</v>
      </c>
      <c r="E91" s="68">
        <f t="shared" si="42"/>
        <v>-15610.508474400001</v>
      </c>
      <c r="F91" s="68">
        <f t="shared" si="42"/>
        <v>-15708.3208324</v>
      </c>
      <c r="G91" s="68">
        <f t="shared" si="42"/>
        <v>-14161.435658999997</v>
      </c>
      <c r="H91" s="68">
        <f t="shared" si="34"/>
        <v>-13045.387257</v>
      </c>
      <c r="I91" s="68">
        <f t="shared" si="42"/>
        <v>-15562.805723499998</v>
      </c>
      <c r="J91" s="68">
        <f t="shared" si="37"/>
        <v>-12581.57598075</v>
      </c>
      <c r="K91" s="68">
        <f t="shared" si="42"/>
        <v>-17998.80427488</v>
      </c>
      <c r="L91" s="68">
        <f t="shared" si="42"/>
        <v>-13397.039554080002</v>
      </c>
      <c r="M91" s="68">
        <f t="shared" si="42"/>
        <v>-15644.395682369997</v>
      </c>
      <c r="N91" s="68">
        <f t="shared" si="42"/>
        <v>-13756.20482444</v>
      </c>
      <c r="P91" s="51"/>
      <c r="Q91" s="102"/>
      <c r="R91" s="51"/>
      <c r="S91" s="102"/>
    </row>
    <row r="92" spans="2:19" ht="12.75">
      <c r="B92" s="58" t="s">
        <v>41</v>
      </c>
      <c r="C92" s="95">
        <f aca="true" t="shared" si="43" ref="C92:N92">+C79*C65</f>
        <v>9113.14108672</v>
      </c>
      <c r="D92" s="85">
        <f t="shared" si="43"/>
        <v>13362.125614640006</v>
      </c>
      <c r="E92" s="85">
        <f t="shared" si="43"/>
        <v>11033.12620224</v>
      </c>
      <c r="F92" s="85">
        <f t="shared" si="43"/>
        <v>12896.646690592</v>
      </c>
      <c r="G92" s="85">
        <f t="shared" si="43"/>
        <v>10897.691712192001</v>
      </c>
      <c r="H92" s="68">
        <f t="shared" si="34"/>
        <v>11413.133114432</v>
      </c>
      <c r="I92" s="85">
        <f t="shared" si="43"/>
        <v>7425.150500368002</v>
      </c>
      <c r="J92" s="85">
        <f t="shared" si="37"/>
        <v>-1527.7560315500002</v>
      </c>
      <c r="K92" s="68">
        <f t="shared" si="43"/>
        <v>-827.0677139999999</v>
      </c>
      <c r="L92" s="68">
        <f t="shared" si="43"/>
        <v>-4212.849369599999</v>
      </c>
      <c r="M92" s="68">
        <f t="shared" si="43"/>
        <v>-3648.8556230000004</v>
      </c>
      <c r="N92" s="68">
        <f t="shared" si="43"/>
        <v>-1467.4281586999998</v>
      </c>
      <c r="P92" s="51"/>
      <c r="Q92" s="102"/>
      <c r="R92" s="51"/>
      <c r="S92" s="102"/>
    </row>
    <row r="93" spans="1:19" ht="12.75">
      <c r="A93" s="76" t="s">
        <v>47</v>
      </c>
      <c r="B93" s="76"/>
      <c r="C93" s="96">
        <f aca="true" t="shared" si="44" ref="C93:N93">SUM(C82:C92)</f>
        <v>24099.238268287998</v>
      </c>
      <c r="D93" s="97">
        <f t="shared" si="44"/>
        <v>36908.62046982001</v>
      </c>
      <c r="E93" s="97">
        <f t="shared" si="44"/>
        <v>39709.597794336005</v>
      </c>
      <c r="F93" s="97">
        <f t="shared" si="44"/>
        <v>44804.28993337601</v>
      </c>
      <c r="G93" s="97">
        <f t="shared" si="44"/>
        <v>40837.505762232</v>
      </c>
      <c r="H93" s="97">
        <f t="shared" si="44"/>
        <v>36278.910783976</v>
      </c>
      <c r="I93" s="97">
        <f t="shared" si="44"/>
        <v>30422.42620616401</v>
      </c>
      <c r="J93" s="97">
        <f t="shared" si="44"/>
        <v>15273.146052640002</v>
      </c>
      <c r="K93" s="98">
        <f t="shared" si="44"/>
        <v>13559.257059480009</v>
      </c>
      <c r="L93" s="98">
        <f t="shared" si="44"/>
        <v>15055.726036032012</v>
      </c>
      <c r="M93" s="98">
        <f t="shared" si="44"/>
        <v>20727.782424860005</v>
      </c>
      <c r="N93" s="98">
        <f t="shared" si="44"/>
        <v>23313.15038605</v>
      </c>
      <c r="O93" s="99">
        <f>SUM(C93:N93)</f>
        <v>340989.65117725404</v>
      </c>
      <c r="P93" s="137">
        <f>O93/2</f>
        <v>170494.82558862702</v>
      </c>
      <c r="Q93" s="102"/>
      <c r="R93" s="51"/>
      <c r="S93" s="102"/>
    </row>
    <row r="94" spans="1:19" ht="12.75">
      <c r="A94" s="76" t="s">
        <v>48</v>
      </c>
      <c r="B94" s="76"/>
      <c r="C94" s="96">
        <f aca="true" t="shared" si="45" ref="C94:N94">+C93/C66</f>
        <v>39.8255524</v>
      </c>
      <c r="D94" s="97">
        <f t="shared" si="45"/>
        <v>57.16063260000001</v>
      </c>
      <c r="E94" s="97">
        <f t="shared" si="45"/>
        <v>62.923239200000005</v>
      </c>
      <c r="F94" s="97">
        <f t="shared" si="45"/>
        <v>69.34360480000001</v>
      </c>
      <c r="G94" s="97">
        <f t="shared" si="45"/>
        <v>69.72189060000001</v>
      </c>
      <c r="H94" s="97">
        <f t="shared" si="45"/>
        <v>67.23795460000001</v>
      </c>
      <c r="I94" s="97">
        <f t="shared" si="45"/>
        <v>46.98371640000002</v>
      </c>
      <c r="J94" s="97">
        <f t="shared" si="45"/>
        <v>29.909225600000003</v>
      </c>
      <c r="K94" s="68">
        <f t="shared" si="45"/>
        <v>18.450228000000013</v>
      </c>
      <c r="L94" s="68">
        <f t="shared" si="45"/>
        <v>27.53827560000002</v>
      </c>
      <c r="M94" s="68">
        <f t="shared" si="45"/>
        <v>32.52896600000001</v>
      </c>
      <c r="N94" s="68">
        <f t="shared" si="45"/>
        <v>41.59571500000001</v>
      </c>
      <c r="P94" s="51"/>
      <c r="Q94" s="102"/>
      <c r="R94" s="51"/>
      <c r="S94" s="102"/>
    </row>
    <row r="95" spans="3:19" ht="11.25" customHeight="1">
      <c r="C95" s="99"/>
      <c r="D95" s="99"/>
      <c r="E95" s="99"/>
      <c r="F95" s="99"/>
      <c r="G95" s="99"/>
      <c r="H95" s="99"/>
      <c r="I95" s="99"/>
      <c r="J95" s="99"/>
      <c r="K95" s="99"/>
      <c r="L95" s="99"/>
      <c r="M95" s="99"/>
      <c r="N95" s="99"/>
      <c r="P95" s="51"/>
      <c r="Q95" s="102"/>
      <c r="R95" s="51"/>
      <c r="S95" s="102"/>
    </row>
    <row r="96" spans="1:19" ht="12.75">
      <c r="A96" s="76"/>
      <c r="C96" s="99">
        <v>39.83</v>
      </c>
      <c r="D96" s="99">
        <v>57.16</v>
      </c>
      <c r="E96" s="99">
        <v>62.92</v>
      </c>
      <c r="F96" s="99">
        <v>69.34</v>
      </c>
      <c r="G96" s="99">
        <v>69.72</v>
      </c>
      <c r="H96" s="99">
        <v>67.24</v>
      </c>
      <c r="I96" s="99">
        <v>46.98</v>
      </c>
      <c r="J96" s="99">
        <v>29.91</v>
      </c>
      <c r="K96" s="99">
        <v>18.45</v>
      </c>
      <c r="L96" s="99">
        <v>27.54</v>
      </c>
      <c r="M96" s="99">
        <v>32.53</v>
      </c>
      <c r="N96" s="99">
        <v>41.6</v>
      </c>
      <c r="P96" s="51"/>
      <c r="Q96" s="102"/>
      <c r="R96" s="51"/>
      <c r="S96" s="102"/>
    </row>
    <row r="97" spans="3:19" ht="12.75">
      <c r="C97" s="100">
        <f>C94-C96</f>
        <v>-0.004447599999998886</v>
      </c>
      <c r="D97" s="100">
        <f aca="true" t="shared" si="46" ref="D97:N97">D94-D96</f>
        <v>0.0006326000000100862</v>
      </c>
      <c r="E97" s="100">
        <f t="shared" si="46"/>
        <v>0.0032392000000029952</v>
      </c>
      <c r="F97" s="100">
        <f t="shared" si="46"/>
        <v>0.0036048000000050706</v>
      </c>
      <c r="G97" s="100">
        <f t="shared" si="46"/>
        <v>0.0018906000000100676</v>
      </c>
      <c r="H97" s="100">
        <f t="shared" si="46"/>
        <v>-0.002045399999985875</v>
      </c>
      <c r="I97" s="100">
        <f t="shared" si="46"/>
        <v>0.0037164000000231567</v>
      </c>
      <c r="J97" s="100">
        <f t="shared" si="46"/>
        <v>-0.0007743999999973994</v>
      </c>
      <c r="K97" s="100">
        <f t="shared" si="46"/>
        <v>0.0002280000000141058</v>
      </c>
      <c r="L97" s="100">
        <f t="shared" si="46"/>
        <v>-0.0017243999999791981</v>
      </c>
      <c r="M97" s="100">
        <f t="shared" si="46"/>
        <v>-0.0010339999999899874</v>
      </c>
      <c r="N97" s="100">
        <f t="shared" si="46"/>
        <v>-0.00428499999998877</v>
      </c>
      <c r="P97" s="102"/>
      <c r="Q97" s="102"/>
      <c r="R97" s="51"/>
      <c r="S97" s="102"/>
    </row>
    <row r="98" spans="1:10" ht="11.25">
      <c r="A98" s="76"/>
      <c r="B98" s="76"/>
      <c r="C98" s="96"/>
      <c r="D98" s="96"/>
      <c r="E98" s="96"/>
      <c r="F98" s="96"/>
      <c r="G98" s="96"/>
      <c r="H98" s="96"/>
      <c r="I98" s="96"/>
      <c r="J98" s="101"/>
    </row>
    <row r="99" spans="3:10" ht="7.5" customHeight="1">
      <c r="C99" s="102"/>
      <c r="D99" s="102"/>
      <c r="E99" s="102"/>
      <c r="F99" s="102"/>
      <c r="G99" s="102"/>
      <c r="H99" s="102"/>
      <c r="I99" s="102"/>
      <c r="J99" s="102"/>
    </row>
    <row r="100" spans="1:10" ht="11.25">
      <c r="A100" s="76"/>
      <c r="B100" s="76"/>
      <c r="C100" s="101"/>
      <c r="D100" s="101"/>
      <c r="E100" s="101"/>
      <c r="F100" s="101"/>
      <c r="G100" s="101"/>
      <c r="H100" s="101"/>
      <c r="I100" s="101"/>
      <c r="J100" s="101"/>
    </row>
    <row r="101" spans="3:10" ht="7.5" customHeight="1">
      <c r="C101" s="102"/>
      <c r="D101" s="102"/>
      <c r="E101" s="102"/>
      <c r="F101" s="102"/>
      <c r="G101" s="102"/>
      <c r="H101" s="102"/>
      <c r="I101" s="102"/>
      <c r="J101" s="102"/>
    </row>
    <row r="102" spans="1:10" ht="11.25">
      <c r="A102" s="76"/>
      <c r="C102" s="100"/>
      <c r="D102" s="100"/>
      <c r="E102" s="100"/>
      <c r="F102" s="100"/>
      <c r="G102" s="100"/>
      <c r="H102" s="100"/>
      <c r="I102" s="100"/>
      <c r="J102" s="103"/>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xl/worksheets/sheet6.xml><?xml version="1.0" encoding="utf-8"?>
<worksheet xmlns="http://schemas.openxmlformats.org/spreadsheetml/2006/main" xmlns:r="http://schemas.openxmlformats.org/officeDocument/2006/relationships">
  <dimension ref="A3:F23"/>
  <sheetViews>
    <sheetView zoomScalePageLayoutView="0" workbookViewId="0" topLeftCell="A1">
      <selection activeCell="A1" sqref="A1"/>
    </sheetView>
  </sheetViews>
  <sheetFormatPr defaultColWidth="9.140625" defaultRowHeight="12.75"/>
  <cols>
    <col min="1" max="1" width="35.421875" style="0" customWidth="1"/>
    <col min="2" max="2" width="11.28125" style="0" bestFit="1" customWidth="1"/>
    <col min="3" max="3" width="10.140625" style="0" bestFit="1" customWidth="1"/>
    <col min="4" max="4" width="12.28125" style="0" bestFit="1" customWidth="1"/>
    <col min="5" max="5" width="10.7109375" style="0" bestFit="1" customWidth="1"/>
  </cols>
  <sheetData>
    <row r="2" ht="13.5" thickBot="1"/>
    <row r="3" spans="1:4" ht="13.5" thickBot="1">
      <c r="A3" s="150" t="s">
        <v>80</v>
      </c>
      <c r="B3" s="151"/>
      <c r="C3" s="152"/>
      <c r="D3" s="160"/>
    </row>
    <row r="4" spans="3:4" ht="12.75">
      <c r="C4" s="153"/>
      <c r="D4" s="153"/>
    </row>
    <row r="5" spans="1:6" ht="12.75">
      <c r="A5" s="154" t="s">
        <v>81</v>
      </c>
      <c r="E5" s="154" t="s">
        <v>82</v>
      </c>
      <c r="F5" s="154" t="s">
        <v>83</v>
      </c>
    </row>
    <row r="6" spans="1:6" ht="12.75">
      <c r="A6" s="157" t="s">
        <v>84</v>
      </c>
      <c r="C6" s="153">
        <v>2367.9943247818615</v>
      </c>
      <c r="D6" s="153"/>
      <c r="E6" s="155">
        <v>2168.576020259499</v>
      </c>
      <c r="F6" s="156">
        <v>199.41830452236283</v>
      </c>
    </row>
    <row r="7" spans="1:6" ht="12.75">
      <c r="A7" s="157" t="s">
        <v>85</v>
      </c>
      <c r="C7" s="153">
        <v>4083.045540539289</v>
      </c>
      <c r="D7" s="153"/>
      <c r="E7" s="155">
        <v>4053.9820221752716</v>
      </c>
      <c r="F7" s="156">
        <v>29.063518364017142</v>
      </c>
    </row>
    <row r="8" spans="1:6" ht="12.75">
      <c r="A8" s="157" t="s">
        <v>86</v>
      </c>
      <c r="C8" s="153">
        <v>936.1856096788639</v>
      </c>
      <c r="D8" s="153"/>
      <c r="E8" s="155">
        <v>901.0221114684289</v>
      </c>
      <c r="F8" s="156">
        <v>35.16349821043512</v>
      </c>
    </row>
    <row r="10" spans="1:6" ht="12.75">
      <c r="A10" t="s">
        <v>87</v>
      </c>
      <c r="B10" t="s">
        <v>88</v>
      </c>
      <c r="C10" t="s">
        <v>89</v>
      </c>
      <c r="D10" t="s">
        <v>26</v>
      </c>
      <c r="E10" t="s">
        <v>90</v>
      </c>
      <c r="F10" t="s">
        <v>91</v>
      </c>
    </row>
    <row r="11" spans="1:6" ht="12.75">
      <c r="A11">
        <v>4172</v>
      </c>
      <c r="B11" s="161"/>
      <c r="C11" s="161"/>
      <c r="D11" s="161">
        <v>41736.04139675801</v>
      </c>
      <c r="E11" s="162">
        <v>0.9157859871388276</v>
      </c>
      <c r="F11" s="162">
        <v>0.08421401286117236</v>
      </c>
    </row>
    <row r="12" spans="1:6" ht="12.75">
      <c r="A12">
        <v>4176</v>
      </c>
      <c r="B12" s="163"/>
      <c r="C12" s="163"/>
      <c r="D12" s="161">
        <v>71963.92150158303</v>
      </c>
      <c r="E12" s="162">
        <v>0.9928819019833468</v>
      </c>
      <c r="F12" s="162">
        <v>0.007118098016653135</v>
      </c>
    </row>
    <row r="13" spans="1:6" ht="12.75">
      <c r="A13">
        <v>4183</v>
      </c>
      <c r="B13" s="163"/>
      <c r="C13" s="163"/>
      <c r="D13" s="161">
        <v>16500.327281910002</v>
      </c>
      <c r="E13" s="162">
        <v>0.9624396082925297</v>
      </c>
      <c r="F13" s="162">
        <v>0.0375603917074704</v>
      </c>
    </row>
    <row r="14" spans="4:6" ht="12.75">
      <c r="D14" s="164">
        <v>130200.29018025103</v>
      </c>
      <c r="E14" s="158"/>
      <c r="F14" s="158"/>
    </row>
    <row r="19" spans="1:5" ht="12.75">
      <c r="A19" s="157" t="s">
        <v>93</v>
      </c>
      <c r="E19" s="153">
        <f>+E7</f>
        <v>4053.9820221752716</v>
      </c>
    </row>
    <row r="21" spans="1:5" ht="12.75">
      <c r="A21" s="157" t="s">
        <v>78</v>
      </c>
      <c r="E21" s="159">
        <v>261628</v>
      </c>
    </row>
    <row r="23" spans="1:5" ht="12.75">
      <c r="A23" s="157" t="s">
        <v>92</v>
      </c>
      <c r="E23" s="165">
        <f>E19/E21</f>
        <v>0.015495214664238047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2"/>
  <sheetViews>
    <sheetView zoomScalePageLayoutView="0" workbookViewId="0" topLeftCell="A1">
      <selection activeCell="A1" sqref="A1"/>
    </sheetView>
  </sheetViews>
  <sheetFormatPr defaultColWidth="9.140625" defaultRowHeight="12.75"/>
  <cols>
    <col min="1" max="1" width="20.28125" style="0" customWidth="1"/>
    <col min="2" max="3" width="12.57421875" style="0" bestFit="1" customWidth="1"/>
    <col min="4" max="4" width="25.8515625" style="0" customWidth="1"/>
    <col min="5" max="5" width="13.421875" style="172"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73" bestFit="1" customWidth="1"/>
    <col min="19" max="19" width="11.28125" style="0" bestFit="1" customWidth="1"/>
  </cols>
  <sheetData>
    <row r="1" spans="1:19" ht="12.75">
      <c r="A1" s="171" t="s">
        <v>102</v>
      </c>
      <c r="B1" s="171"/>
      <c r="C1" s="171"/>
      <c r="H1" t="s">
        <v>103</v>
      </c>
      <c r="Q1" s="173" t="s">
        <v>104</v>
      </c>
      <c r="S1" t="s">
        <v>105</v>
      </c>
    </row>
    <row r="2" spans="1:15" ht="15.75">
      <c r="A2" s="171" t="s">
        <v>106</v>
      </c>
      <c r="B2" s="174">
        <v>44317</v>
      </c>
      <c r="C2" s="175">
        <v>45046</v>
      </c>
      <c r="H2" t="s">
        <v>26</v>
      </c>
      <c r="I2" s="176" t="str">
        <f>"Revenue Retained "</f>
        <v>Revenue Retained </v>
      </c>
      <c r="J2" s="177"/>
      <c r="K2" s="178"/>
      <c r="L2" s="177"/>
      <c r="M2" s="178"/>
      <c r="N2" s="178"/>
      <c r="O2" s="179"/>
    </row>
    <row r="3" spans="9:15" ht="12.75">
      <c r="I3" s="180" t="s">
        <v>107</v>
      </c>
      <c r="J3" s="181"/>
      <c r="K3" s="182"/>
      <c r="L3" s="181"/>
      <c r="M3" s="182"/>
      <c r="N3" s="182"/>
      <c r="O3" s="183"/>
    </row>
    <row r="4" spans="2:19" ht="13.5" thickBot="1">
      <c r="B4" s="184" t="s">
        <v>108</v>
      </c>
      <c r="C4" s="184"/>
      <c r="D4" s="185"/>
      <c r="I4" s="157"/>
      <c r="J4" s="186" t="s">
        <v>26</v>
      </c>
      <c r="K4" s="157"/>
      <c r="L4" s="187" t="s">
        <v>109</v>
      </c>
      <c r="M4" s="157"/>
      <c r="N4" s="188" t="s">
        <v>110</v>
      </c>
      <c r="O4" s="157"/>
      <c r="Q4" s="173" t="s">
        <v>111</v>
      </c>
      <c r="S4" t="s">
        <v>105</v>
      </c>
    </row>
    <row r="5" spans="2:19" ht="12.75">
      <c r="B5" s="189" t="s">
        <v>112</v>
      </c>
      <c r="C5" s="189" t="s">
        <v>113</v>
      </c>
      <c r="D5" s="189" t="s">
        <v>26</v>
      </c>
      <c r="F5" s="190"/>
      <c r="G5" s="190"/>
      <c r="I5" t="s">
        <v>114</v>
      </c>
      <c r="J5" s="191">
        <f>L5*2</f>
        <v>193977.4</v>
      </c>
      <c r="K5" s="157"/>
      <c r="L5" s="192">
        <f>L19+L33</f>
        <v>96988.7</v>
      </c>
      <c r="M5" s="157"/>
      <c r="N5" s="192">
        <f>L5</f>
        <v>96988.7</v>
      </c>
      <c r="O5" s="157"/>
      <c r="Q5" s="173">
        <f>Q19+Q33</f>
        <v>96982.00305710803</v>
      </c>
      <c r="S5" s="164">
        <f>L5-Q5</f>
        <v>6.696942891969229</v>
      </c>
    </row>
    <row r="6" spans="1:19" ht="12.75">
      <c r="A6" s="189" t="s">
        <v>115</v>
      </c>
      <c r="B6" s="193">
        <f>'[9]King County RSA Spend 2021-2022'!P32</f>
        <v>215.88</v>
      </c>
      <c r="C6" s="193">
        <f>'[9]King County RSA Spend 2022-2023'!P29</f>
        <v>0</v>
      </c>
      <c r="D6" s="193">
        <f>SUM(B6:C6)</f>
        <v>215.88</v>
      </c>
      <c r="E6" s="194"/>
      <c r="F6" s="171"/>
      <c r="G6" s="171"/>
      <c r="I6" t="s">
        <v>116</v>
      </c>
      <c r="J6" s="191">
        <f>L6*2</f>
        <v>17375.44</v>
      </c>
      <c r="K6" s="157"/>
      <c r="L6" s="192">
        <f>L20+L34</f>
        <v>8687.72</v>
      </c>
      <c r="M6" s="157"/>
      <c r="N6" s="192">
        <f aca="true" t="shared" si="0" ref="N6:N12">L6</f>
        <v>8687.72</v>
      </c>
      <c r="O6" s="157"/>
      <c r="Q6" s="173">
        <f aca="true" t="shared" si="1" ref="Q6:Q12">Q20+Q34</f>
        <v>8687.058656771002</v>
      </c>
      <c r="S6" s="164">
        <f aca="true" t="shared" si="2" ref="S6:S14">L6-Q6</f>
        <v>0.6613432289977936</v>
      </c>
    </row>
    <row r="7" spans="1:19" ht="12.75">
      <c r="A7" s="189" t="s">
        <v>117</v>
      </c>
      <c r="B7" s="193">
        <v>11000</v>
      </c>
      <c r="C7" s="193">
        <v>11000</v>
      </c>
      <c r="D7" s="193">
        <f>SUM(B7:C7)</f>
        <v>22000</v>
      </c>
      <c r="E7" s="194"/>
      <c r="F7" s="171"/>
      <c r="G7" s="171"/>
      <c r="I7" s="157"/>
      <c r="J7" s="191"/>
      <c r="K7" s="157"/>
      <c r="L7" s="192"/>
      <c r="M7" s="157"/>
      <c r="N7" s="192"/>
      <c r="O7" s="157"/>
      <c r="S7" s="164">
        <f t="shared" si="2"/>
        <v>0</v>
      </c>
    </row>
    <row r="8" spans="1:19" ht="12.75">
      <c r="A8" s="189" t="s">
        <v>118</v>
      </c>
      <c r="B8" s="193">
        <f>'[9]Labor Expense'!P25+'[9]2021-2022 Admin Time'!I38</f>
        <v>20957.53666666667</v>
      </c>
      <c r="C8" s="193">
        <f>'[9]Labor Expense'!P34+'[9]2022-2023 Admin Time'!I38</f>
        <v>0</v>
      </c>
      <c r="D8" s="193">
        <f>SUM(B8:C8)</f>
        <v>20957.53666666667</v>
      </c>
      <c r="I8" t="s">
        <v>119</v>
      </c>
      <c r="J8" s="191">
        <f>L8*2</f>
        <v>341028.22</v>
      </c>
      <c r="K8" s="157"/>
      <c r="L8" s="192">
        <f>L22+L36</f>
        <v>170514.11</v>
      </c>
      <c r="M8" s="157"/>
      <c r="N8" s="192">
        <f t="shared" si="0"/>
        <v>170514.11</v>
      </c>
      <c r="O8" s="157"/>
      <c r="Q8" s="173">
        <f t="shared" si="1"/>
        <v>170494.83</v>
      </c>
      <c r="S8" s="164">
        <f t="shared" si="2"/>
        <v>19.279999999998836</v>
      </c>
    </row>
    <row r="9" spans="1:19" ht="12.75">
      <c r="A9" s="189" t="s">
        <v>26</v>
      </c>
      <c r="B9" s="195">
        <f>SUM(B6:B8)</f>
        <v>32173.41666666667</v>
      </c>
      <c r="C9" s="195">
        <f>SUM(C6:C8)</f>
        <v>11000</v>
      </c>
      <c r="D9" s="195">
        <f>SUM(D6:D8)</f>
        <v>43173.41666666667</v>
      </c>
      <c r="I9" t="s">
        <v>120</v>
      </c>
      <c r="J9" s="191">
        <f>L9*2</f>
        <v>3476.92</v>
      </c>
      <c r="K9" s="157"/>
      <c r="L9" s="192">
        <f>L23+L37</f>
        <v>1738.46</v>
      </c>
      <c r="M9" s="157"/>
      <c r="N9" s="192">
        <f t="shared" si="0"/>
        <v>1738.46</v>
      </c>
      <c r="O9" s="157"/>
      <c r="Q9" s="173">
        <f t="shared" si="1"/>
        <v>1738.33</v>
      </c>
      <c r="S9" s="164">
        <f t="shared" si="2"/>
        <v>0.13000000000010914</v>
      </c>
    </row>
    <row r="10" spans="1:19" ht="12.75">
      <c r="A10" s="196" t="s">
        <v>121</v>
      </c>
      <c r="B10" s="164">
        <f>0.05*B9</f>
        <v>1608.6708333333336</v>
      </c>
      <c r="C10" s="164">
        <f>0.05*C9</f>
        <v>550</v>
      </c>
      <c r="D10" s="164">
        <f>D9+B10+C10</f>
        <v>45332.08750000001</v>
      </c>
      <c r="F10" s="197"/>
      <c r="G10" s="197"/>
      <c r="I10" s="157"/>
      <c r="J10" s="191"/>
      <c r="K10" s="157"/>
      <c r="L10" s="192"/>
      <c r="M10" s="157"/>
      <c r="N10" s="192"/>
      <c r="O10" s="157"/>
      <c r="S10" s="164">
        <f t="shared" si="2"/>
        <v>0</v>
      </c>
    </row>
    <row r="11" spans="2:19" ht="12.75">
      <c r="B11" s="184" t="s">
        <v>122</v>
      </c>
      <c r="C11" s="184"/>
      <c r="D11" s="185"/>
      <c r="I11" t="s">
        <v>123</v>
      </c>
      <c r="J11" s="191">
        <f>L11*2</f>
        <v>69572.4</v>
      </c>
      <c r="K11" s="157"/>
      <c r="L11" s="192">
        <f>L25+L39</f>
        <v>34786.2</v>
      </c>
      <c r="M11" s="157"/>
      <c r="N11" s="192">
        <f t="shared" si="0"/>
        <v>34786.2</v>
      </c>
      <c r="O11" s="157"/>
      <c r="Q11" s="173">
        <f t="shared" si="1"/>
        <v>34783.4</v>
      </c>
      <c r="S11" s="164">
        <f t="shared" si="2"/>
        <v>2.7999999999956344</v>
      </c>
    </row>
    <row r="12" spans="2:19" ht="12.75">
      <c r="B12" s="189" t="s">
        <v>112</v>
      </c>
      <c r="C12" s="189" t="s">
        <v>124</v>
      </c>
      <c r="D12" s="189" t="s">
        <v>26</v>
      </c>
      <c r="I12" t="s">
        <v>125</v>
      </c>
      <c r="J12" s="191">
        <f>L12*2</f>
        <v>3801.96</v>
      </c>
      <c r="K12" s="157"/>
      <c r="L12" s="192">
        <f>L26+L40</f>
        <v>1900.98</v>
      </c>
      <c r="M12" s="157"/>
      <c r="N12" s="192">
        <f t="shared" si="0"/>
        <v>1900.98</v>
      </c>
      <c r="O12" s="157"/>
      <c r="Q12" s="173">
        <f t="shared" si="1"/>
        <v>1900.79</v>
      </c>
      <c r="S12" s="164">
        <f t="shared" si="2"/>
        <v>0.19000000000005457</v>
      </c>
    </row>
    <row r="13" spans="2:19" ht="12.75">
      <c r="B13" s="193">
        <f>'[9]Single Family'!F17+'[9]Single Family'!M17+'[9]Single Family'!T17+'[9]Multi Family'!F17+'[9]Multi Family'!M17+'[9]Multi Family'!T17</f>
        <v>314616.17</v>
      </c>
      <c r="C13" s="193">
        <f>'[9]Single Family'!F33+'[9]Single Family'!M33+'[9]Single Family'!T33+'[9]Multi Family'!F34+'[9]Multi Family'!M34+'[9]Multi Family'!T34</f>
        <v>0</v>
      </c>
      <c r="D13" s="193">
        <f>SUM(B13:C13)</f>
        <v>314616.17</v>
      </c>
      <c r="I13" s="157"/>
      <c r="J13" s="191"/>
      <c r="K13" s="157"/>
      <c r="M13" s="157"/>
      <c r="N13" s="192"/>
      <c r="O13" s="157"/>
      <c r="S13" s="164">
        <f t="shared" si="2"/>
        <v>0</v>
      </c>
    </row>
    <row r="14" spans="9:19" ht="13.5" thickBot="1">
      <c r="I14" s="198" t="s">
        <v>126</v>
      </c>
      <c r="J14" s="199">
        <f>SUM(J5,J6,J8,J9,J11,J12)</f>
        <v>629232.34</v>
      </c>
      <c r="K14" s="157"/>
      <c r="L14" s="199">
        <f>SUM(L5:L12)</f>
        <v>314616.17</v>
      </c>
      <c r="M14" s="200"/>
      <c r="N14" s="201">
        <f>L14</f>
        <v>314616.17</v>
      </c>
      <c r="O14" s="157"/>
      <c r="Q14" s="199">
        <f>SUM(Q5:Q12)</f>
        <v>314586.41171387903</v>
      </c>
      <c r="S14" s="199">
        <f t="shared" si="2"/>
        <v>29.758286120952107</v>
      </c>
    </row>
    <row r="15" spans="2:4" ht="12.75">
      <c r="B15" s="202" t="s">
        <v>127</v>
      </c>
      <c r="C15" s="202"/>
      <c r="D15" s="202"/>
    </row>
    <row r="16" spans="2:15" ht="15.75">
      <c r="B16" s="203"/>
      <c r="C16" s="203"/>
      <c r="D16" s="193">
        <f>D13-(B9+B10)</f>
        <v>280834.08249999996</v>
      </c>
      <c r="H16" t="s">
        <v>128</v>
      </c>
      <c r="I16" s="176" t="str">
        <f>"Revenue Retained "</f>
        <v>Revenue Retained </v>
      </c>
      <c r="J16" s="177"/>
      <c r="K16" s="178"/>
      <c r="L16" s="177"/>
      <c r="M16" s="178"/>
      <c r="N16" s="178"/>
      <c r="O16" s="179"/>
    </row>
    <row r="17" spans="9:15" ht="12.75">
      <c r="I17" s="180" t="s">
        <v>112</v>
      </c>
      <c r="J17" s="181"/>
      <c r="K17" s="182"/>
      <c r="L17" s="181"/>
      <c r="M17" s="182"/>
      <c r="N17" s="182"/>
      <c r="O17" s="183"/>
    </row>
    <row r="18" spans="1:19" ht="15.75" thickBot="1">
      <c r="A18" s="204"/>
      <c r="B18" s="205" t="s">
        <v>129</v>
      </c>
      <c r="C18" s="206"/>
      <c r="D18" s="207"/>
      <c r="I18" s="157"/>
      <c r="J18" s="186" t="s">
        <v>26</v>
      </c>
      <c r="K18" s="157"/>
      <c r="L18" s="187" t="s">
        <v>109</v>
      </c>
      <c r="M18" s="157"/>
      <c r="N18" s="188" t="s">
        <v>110</v>
      </c>
      <c r="O18" s="157"/>
      <c r="Q18" s="173" t="s">
        <v>111</v>
      </c>
      <c r="S18" t="s">
        <v>105</v>
      </c>
    </row>
    <row r="19" spans="1:19" ht="15">
      <c r="A19" s="204"/>
      <c r="B19" s="208" t="s">
        <v>112</v>
      </c>
      <c r="C19" s="209" t="s">
        <v>113</v>
      </c>
      <c r="D19" s="210" t="s">
        <v>26</v>
      </c>
      <c r="I19" t="s">
        <v>114</v>
      </c>
      <c r="J19" s="191">
        <f>L19*2</f>
        <v>193977.4</v>
      </c>
      <c r="K19" s="157"/>
      <c r="L19" s="211">
        <v>96988.7</v>
      </c>
      <c r="M19" s="157"/>
      <c r="N19" s="192">
        <f>L19</f>
        <v>96988.7</v>
      </c>
      <c r="O19" s="157"/>
      <c r="Q19" s="212">
        <v>96982.00305710803</v>
      </c>
      <c r="S19" s="164">
        <f>L19-Q19</f>
        <v>6.696942891969229</v>
      </c>
    </row>
    <row r="20" spans="1:19" ht="12.75">
      <c r="A20" s="213">
        <v>4172</v>
      </c>
      <c r="B20" s="214">
        <f>SUM('[9]King County RSA Spend 2021-2022'!P34+'[9]Labor Expense'!P22)</f>
        <v>720.8001333333334</v>
      </c>
      <c r="C20" s="214">
        <f>SUM('[9]Ledger'!P29+'[9]Labor Expense'!P31)</f>
        <v>0</v>
      </c>
      <c r="D20" s="214">
        <f>SUM(B20:C20)</f>
        <v>720.8001333333334</v>
      </c>
      <c r="I20" t="s">
        <v>116</v>
      </c>
      <c r="J20" s="191">
        <f>L20*2</f>
        <v>17375.44</v>
      </c>
      <c r="K20" s="157"/>
      <c r="L20" s="211">
        <v>8687.72</v>
      </c>
      <c r="M20" s="157"/>
      <c r="N20" s="192">
        <f aca="true" t="shared" si="3" ref="N20:N26">L20</f>
        <v>8687.72</v>
      </c>
      <c r="O20" s="157"/>
      <c r="Q20" s="212">
        <v>8687.058656771002</v>
      </c>
      <c r="S20" s="164">
        <f aca="true" t="shared" si="4" ref="S20:S28">L20-Q20</f>
        <v>0.6613432289977936</v>
      </c>
    </row>
    <row r="21" spans="1:19" ht="12.75">
      <c r="A21" s="209">
        <v>4176</v>
      </c>
      <c r="B21" s="214">
        <f>SUM('[9]King County RSA Spend 2021-2022'!P35+'[9]Labor Expense'!P23)</f>
        <v>10723.1296</v>
      </c>
      <c r="C21" s="214">
        <f>SUM('[9]Ledger'!P30+'[9]Labor Expense'!P32)</f>
        <v>0</v>
      </c>
      <c r="D21" s="214">
        <f>SUM(B21:C21)</f>
        <v>10723.1296</v>
      </c>
      <c r="I21" s="157"/>
      <c r="J21" s="191"/>
      <c r="K21" s="157"/>
      <c r="L21" s="192"/>
      <c r="M21" s="157"/>
      <c r="N21" s="192"/>
      <c r="O21" s="157"/>
      <c r="S21" s="164">
        <f t="shared" si="4"/>
        <v>0</v>
      </c>
    </row>
    <row r="22" spans="1:19" ht="12.75">
      <c r="A22" s="213">
        <v>4183</v>
      </c>
      <c r="B22" s="214">
        <f>SUM('[9]King County RSA Spend 2021-2022'!P36+'[9]Labor Expense'!P24)</f>
        <v>7099.820266666669</v>
      </c>
      <c r="C22" s="214">
        <f>SUM('[9]Ledger'!P31+'[9]Labor Expense'!P33)</f>
        <v>0</v>
      </c>
      <c r="D22" s="214">
        <f>SUM(B22:C22)</f>
        <v>7099.820266666669</v>
      </c>
      <c r="I22" t="s">
        <v>119</v>
      </c>
      <c r="J22" s="191">
        <f>L22*2</f>
        <v>341028.22</v>
      </c>
      <c r="K22" s="157"/>
      <c r="L22" s="211">
        <v>170514.11</v>
      </c>
      <c r="M22" s="157"/>
      <c r="N22" s="192">
        <f t="shared" si="3"/>
        <v>170514.11</v>
      </c>
      <c r="O22" s="157"/>
      <c r="Q22" s="212">
        <v>170494.83</v>
      </c>
      <c r="S22" s="164">
        <f t="shared" si="4"/>
        <v>19.279999999998836</v>
      </c>
    </row>
    <row r="23" spans="1:19" ht="15">
      <c r="A23" s="204"/>
      <c r="B23" s="215">
        <f>SUM(B20:B22)</f>
        <v>18543.750000000004</v>
      </c>
      <c r="C23" s="216">
        <f>SUM(C20:C22)</f>
        <v>0</v>
      </c>
      <c r="D23" s="217">
        <f>SUM(D20:D22)</f>
        <v>18543.750000000004</v>
      </c>
      <c r="I23" t="s">
        <v>120</v>
      </c>
      <c r="J23" s="191">
        <f>L23*2</f>
        <v>3476.92</v>
      </c>
      <c r="K23" s="157"/>
      <c r="L23" s="211">
        <v>1738.46</v>
      </c>
      <c r="M23" s="157"/>
      <c r="N23" s="192">
        <f t="shared" si="3"/>
        <v>1738.46</v>
      </c>
      <c r="O23" s="157"/>
      <c r="Q23" s="212">
        <v>1738.33</v>
      </c>
      <c r="S23" s="164">
        <f t="shared" si="4"/>
        <v>0.13000000000010914</v>
      </c>
    </row>
    <row r="24" spans="9:19" ht="12.75">
      <c r="I24" s="157"/>
      <c r="J24" s="191"/>
      <c r="K24" s="157"/>
      <c r="L24" s="192"/>
      <c r="M24" s="157"/>
      <c r="N24" s="192"/>
      <c r="O24" s="157"/>
      <c r="S24" s="164">
        <f t="shared" si="4"/>
        <v>0</v>
      </c>
    </row>
    <row r="25" spans="9:19" ht="12.75">
      <c r="I25" t="s">
        <v>123</v>
      </c>
      <c r="J25" s="191">
        <f>L25*2</f>
        <v>69572.4</v>
      </c>
      <c r="K25" s="157"/>
      <c r="L25" s="211">
        <v>34786.2</v>
      </c>
      <c r="M25" s="157"/>
      <c r="N25" s="192">
        <f t="shared" si="3"/>
        <v>34786.2</v>
      </c>
      <c r="O25" s="157"/>
      <c r="Q25" s="212">
        <v>34783.4</v>
      </c>
      <c r="S25" s="164">
        <f t="shared" si="4"/>
        <v>2.7999999999956344</v>
      </c>
    </row>
    <row r="26" spans="9:19" ht="12.75">
      <c r="I26" t="s">
        <v>125</v>
      </c>
      <c r="J26" s="191">
        <f>L26*2</f>
        <v>3801.96</v>
      </c>
      <c r="K26" s="157"/>
      <c r="L26" s="211">
        <v>1900.98</v>
      </c>
      <c r="M26" s="157"/>
      <c r="N26" s="192">
        <f t="shared" si="3"/>
        <v>1900.98</v>
      </c>
      <c r="O26" s="157"/>
      <c r="Q26" s="212">
        <v>1900.79</v>
      </c>
      <c r="S26" s="164">
        <f t="shared" si="4"/>
        <v>0.19000000000005457</v>
      </c>
    </row>
    <row r="27" spans="1:19" ht="12.75">
      <c r="A27" s="218" t="s">
        <v>130</v>
      </c>
      <c r="B27" s="219"/>
      <c r="C27" s="220"/>
      <c r="D27" s="221" t="s">
        <v>131</v>
      </c>
      <c r="E27" s="222"/>
      <c r="I27" s="157"/>
      <c r="J27" s="191"/>
      <c r="K27" s="157"/>
      <c r="M27" s="157"/>
      <c r="N27" s="223"/>
      <c r="O27" s="157"/>
      <c r="S27" s="164">
        <f t="shared" si="4"/>
        <v>0</v>
      </c>
    </row>
    <row r="28" spans="1:19" ht="15.75" thickBot="1">
      <c r="A28" s="224" t="s">
        <v>132</v>
      </c>
      <c r="B28" s="225">
        <v>25</v>
      </c>
      <c r="D28" s="226" t="s">
        <v>132</v>
      </c>
      <c r="E28" s="227">
        <v>25</v>
      </c>
      <c r="I28" s="198" t="s">
        <v>126</v>
      </c>
      <c r="J28" s="199">
        <f>SUM(J19,J20,J22,J23,J25,J26)</f>
        <v>629232.34</v>
      </c>
      <c r="K28" s="157"/>
      <c r="L28" s="199">
        <f>SUM(L19:L26)</f>
        <v>314616.17</v>
      </c>
      <c r="M28" s="200"/>
      <c r="N28" s="201">
        <f>L28</f>
        <v>314616.17</v>
      </c>
      <c r="O28" s="157"/>
      <c r="Q28" s="199">
        <f>SUM(Q19:Q26)</f>
        <v>314586.41171387903</v>
      </c>
      <c r="S28" s="199">
        <f t="shared" si="4"/>
        <v>29.758286120952107</v>
      </c>
    </row>
    <row r="29" spans="1:5" ht="12.75">
      <c r="A29" s="228" t="s">
        <v>133</v>
      </c>
      <c r="B29" s="229">
        <f>('[9]Single Family'!V17+'[9]Multi Family'!V17)/3</f>
        <v>4475.009999999999</v>
      </c>
      <c r="D29" s="226" t="s">
        <v>133</v>
      </c>
      <c r="E29" s="230">
        <v>2272</v>
      </c>
    </row>
    <row r="30" spans="1:15" ht="15.75">
      <c r="A30" s="224" t="s">
        <v>134</v>
      </c>
      <c r="B30" s="231">
        <v>0</v>
      </c>
      <c r="D30" s="226" t="s">
        <v>134</v>
      </c>
      <c r="E30" s="232">
        <v>12</v>
      </c>
      <c r="H30" t="s">
        <v>135</v>
      </c>
      <c r="I30" s="176" t="str">
        <f>"Revenue Retained "</f>
        <v>Revenue Retained </v>
      </c>
      <c r="J30" s="177"/>
      <c r="K30" s="178"/>
      <c r="L30" s="177"/>
      <c r="M30" s="178"/>
      <c r="N30" s="178"/>
      <c r="O30" s="179"/>
    </row>
    <row r="31" spans="1:15" ht="12.75">
      <c r="A31" s="233" t="s">
        <v>136</v>
      </c>
      <c r="B31" s="234">
        <f>B13+((B29*B28)*B30)</f>
        <v>314616.17</v>
      </c>
      <c r="D31" s="226" t="s">
        <v>137</v>
      </c>
      <c r="E31" s="235">
        <f>C13+((E29*E28)*E30)</f>
        <v>681600</v>
      </c>
      <c r="I31" s="180" t="s">
        <v>113</v>
      </c>
      <c r="J31" s="181"/>
      <c r="K31" s="182"/>
      <c r="L31" s="181"/>
      <c r="M31" s="182"/>
      <c r="N31" s="182"/>
      <c r="O31" s="183"/>
    </row>
    <row r="32" spans="1:19" ht="15.75" thickBot="1">
      <c r="A32" s="236" t="s">
        <v>138</v>
      </c>
      <c r="B32" s="164">
        <f>B7+(((B6+B8+B9+B10)/7)*12)</f>
        <v>105209.43571428573</v>
      </c>
      <c r="D32" s="237" t="s">
        <v>139</v>
      </c>
      <c r="E32" s="238">
        <f>B8+B10</f>
        <v>22566.207500000004</v>
      </c>
      <c r="I32" s="157"/>
      <c r="J32" s="186" t="s">
        <v>26</v>
      </c>
      <c r="K32" s="157"/>
      <c r="L32" s="187" t="s">
        <v>109</v>
      </c>
      <c r="M32" s="157"/>
      <c r="N32" s="188" t="s">
        <v>110</v>
      </c>
      <c r="O32" s="157"/>
      <c r="Q32" s="173" t="s">
        <v>111</v>
      </c>
      <c r="S32" t="s">
        <v>105</v>
      </c>
    </row>
    <row r="33" spans="1:19" ht="25.5">
      <c r="A33" s="239" t="s">
        <v>140</v>
      </c>
      <c r="B33" s="164">
        <f>B31-B32</f>
        <v>209406.73428571425</v>
      </c>
      <c r="D33" s="240" t="s">
        <v>141</v>
      </c>
      <c r="E33" s="241"/>
      <c r="I33" t="s">
        <v>114</v>
      </c>
      <c r="J33" s="191">
        <f>L33*2</f>
        <v>0</v>
      </c>
      <c r="K33" s="157"/>
      <c r="L33" s="211"/>
      <c r="M33" s="157"/>
      <c r="N33" s="192">
        <f>L33</f>
        <v>0</v>
      </c>
      <c r="O33" s="157"/>
      <c r="Q33" s="212"/>
      <c r="S33" s="164">
        <f>L33-Q33</f>
        <v>0</v>
      </c>
    </row>
    <row r="34" spans="1:19" ht="12.75">
      <c r="A34" s="172"/>
      <c r="D34" s="190" t="s">
        <v>142</v>
      </c>
      <c r="E34" s="242">
        <f>(E33+E31)-E32</f>
        <v>659033.7925</v>
      </c>
      <c r="I34" t="s">
        <v>116</v>
      </c>
      <c r="J34" s="191">
        <f>L34*2</f>
        <v>0</v>
      </c>
      <c r="K34" s="157"/>
      <c r="L34" s="211"/>
      <c r="M34" s="157"/>
      <c r="N34" s="192">
        <f aca="true" t="shared" si="5" ref="N34:N40">L34</f>
        <v>0</v>
      </c>
      <c r="O34" s="157"/>
      <c r="Q34" s="212"/>
      <c r="S34" s="164">
        <f aca="true" t="shared" si="6" ref="S34:S42">L34-Q34</f>
        <v>0</v>
      </c>
    </row>
    <row r="35" spans="4:19" ht="12.75">
      <c r="D35" s="190"/>
      <c r="E35" s="242"/>
      <c r="I35" s="157"/>
      <c r="J35" s="191"/>
      <c r="K35" s="157"/>
      <c r="L35" s="192"/>
      <c r="M35" s="157"/>
      <c r="N35" s="192"/>
      <c r="O35" s="157"/>
      <c r="S35" s="164">
        <f t="shared" si="6"/>
        <v>0</v>
      </c>
    </row>
    <row r="36" spans="9:19" ht="12.75">
      <c r="I36" t="s">
        <v>119</v>
      </c>
      <c r="J36" s="191">
        <f>L36*2</f>
        <v>0</v>
      </c>
      <c r="K36" s="157"/>
      <c r="L36" s="211"/>
      <c r="M36" s="157"/>
      <c r="N36" s="192">
        <f t="shared" si="5"/>
        <v>0</v>
      </c>
      <c r="O36" s="157"/>
      <c r="Q36" s="212"/>
      <c r="S36" s="164">
        <f t="shared" si="6"/>
        <v>0</v>
      </c>
    </row>
    <row r="37" spans="9:19" ht="12.75">
      <c r="I37" t="s">
        <v>120</v>
      </c>
      <c r="J37" s="191">
        <f>L37*2</f>
        <v>0</v>
      </c>
      <c r="K37" s="157"/>
      <c r="L37" s="211"/>
      <c r="M37" s="157"/>
      <c r="N37" s="192">
        <f t="shared" si="5"/>
        <v>0</v>
      </c>
      <c r="O37" s="157"/>
      <c r="Q37" s="212"/>
      <c r="S37" s="164">
        <f t="shared" si="6"/>
        <v>0</v>
      </c>
    </row>
    <row r="38" spans="9:19" ht="12.75">
      <c r="I38" s="157"/>
      <c r="J38" s="191"/>
      <c r="K38" s="157"/>
      <c r="L38" s="192"/>
      <c r="M38" s="157"/>
      <c r="N38" s="192"/>
      <c r="O38" s="157"/>
      <c r="S38" s="164">
        <f t="shared" si="6"/>
        <v>0</v>
      </c>
    </row>
    <row r="39" spans="9:19" ht="12.75">
      <c r="I39" t="s">
        <v>123</v>
      </c>
      <c r="J39" s="191">
        <f>L39*2</f>
        <v>0</v>
      </c>
      <c r="K39" s="157"/>
      <c r="L39" s="211"/>
      <c r="M39" s="157"/>
      <c r="N39" s="192">
        <f t="shared" si="5"/>
        <v>0</v>
      </c>
      <c r="O39" s="157"/>
      <c r="Q39" s="212"/>
      <c r="S39" s="164">
        <f t="shared" si="6"/>
        <v>0</v>
      </c>
    </row>
    <row r="40" spans="9:19" ht="12.75">
      <c r="I40" t="s">
        <v>125</v>
      </c>
      <c r="J40" s="191">
        <f>L40*2</f>
        <v>0</v>
      </c>
      <c r="K40" s="157"/>
      <c r="L40" s="211"/>
      <c r="M40" s="157"/>
      <c r="N40" s="192">
        <f t="shared" si="5"/>
        <v>0</v>
      </c>
      <c r="O40" s="157"/>
      <c r="Q40" s="212"/>
      <c r="S40" s="164">
        <f t="shared" si="6"/>
        <v>0</v>
      </c>
    </row>
    <row r="41" spans="9:19" ht="12.75">
      <c r="I41" s="157"/>
      <c r="J41" s="191"/>
      <c r="K41" s="157"/>
      <c r="M41" s="157"/>
      <c r="N41" s="223"/>
      <c r="O41" s="157"/>
      <c r="S41" s="164">
        <f t="shared" si="6"/>
        <v>0</v>
      </c>
    </row>
    <row r="42" spans="9:19" ht="13.5" thickBot="1">
      <c r="I42" s="198" t="s">
        <v>126</v>
      </c>
      <c r="J42" s="199">
        <f>SUM(J33,J34,J36,J37,J39,J40)</f>
        <v>0</v>
      </c>
      <c r="K42" s="157"/>
      <c r="L42" s="199">
        <f>SUM(L33:L40)</f>
        <v>0</v>
      </c>
      <c r="M42" s="200"/>
      <c r="N42" s="201">
        <f>L42</f>
        <v>0</v>
      </c>
      <c r="O42" s="157"/>
      <c r="Q42" s="199">
        <f>SUM(Q33:Q40)</f>
        <v>0</v>
      </c>
      <c r="S42" s="199">
        <f t="shared" si="6"/>
        <v>0</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Gualberto, Christopher</cp:lastModifiedBy>
  <cp:lastPrinted>2019-06-14T17:17:16Z</cp:lastPrinted>
  <dcterms:created xsi:type="dcterms:W3CDTF">2008-05-23T15:47:44Z</dcterms:created>
  <dcterms:modified xsi:type="dcterms:W3CDTF">2022-06-14T21:01:30Z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Kent-Meridian Disposal Company  </vt:lpwstr>
  </property>
  <property fmtid="{D5CDD505-2E9C-101B-9397-08002B2CF9AE}" pid="8" name="IsConfidential">
    <vt:lpwstr>0</vt:lpwstr>
  </property>
  <property fmtid="{D5CDD505-2E9C-101B-9397-08002B2CF9AE}" pid="9" name="IsEFSEC">
    <vt:lpwstr>0</vt:lpwstr>
  </property>
  <property fmtid="{D5CDD505-2E9C-101B-9397-08002B2CF9AE}" pid="10" name="DocketNumber">
    <vt:lpwstr>220456</vt:lpwstr>
  </property>
  <property fmtid="{D5CDD505-2E9C-101B-9397-08002B2CF9AE}" pid="11" name="Date1">
    <vt:lpwstr>2022-06-15T00:00:00Z</vt:lpwstr>
  </property>
  <property fmtid="{D5CDD505-2E9C-101B-9397-08002B2CF9AE}" pid="12" name="Nickname">
    <vt:lpwstr/>
  </property>
  <property fmtid="{D5CDD505-2E9C-101B-9397-08002B2CF9AE}" pid="13" name="CaseType">
    <vt:lpwstr>Tariff Revision</vt:lpwstr>
  </property>
  <property fmtid="{D5CDD505-2E9C-101B-9397-08002B2CF9AE}" pid="14" name="OpenedDate">
    <vt:lpwstr>2022-06-15T00:00:00Z</vt:lpwstr>
  </property>
  <property fmtid="{D5CDD505-2E9C-101B-9397-08002B2CF9AE}" pid="15" name="Prefix">
    <vt:lpwstr>TG</vt:lpwstr>
  </property>
  <property fmtid="{D5CDD505-2E9C-101B-9397-08002B2CF9AE}" pid="16" name="IndustryCode">
    <vt:lpwstr>227</vt:lpwstr>
  </property>
  <property fmtid="{D5CDD505-2E9C-101B-9397-08002B2CF9AE}" pid="17" name="CaseStatus">
    <vt:lpwstr>Closed</vt:lpwstr>
  </property>
  <property fmtid="{D5CDD505-2E9C-101B-9397-08002B2CF9AE}" pid="18" name="_docset_NoMedatataSyncRequired">
    <vt:lpwstr>False</vt:lpwstr>
  </property>
</Properties>
</file>